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LENOVO EISA 2022\UNPBF\PBF\RAPPORT PBF\Rappor final\"/>
    </mc:Choice>
  </mc:AlternateContent>
  <xr:revisionPtr revIDLastSave="0" documentId="8_{5CEECAEA-6CA1-4F17-B820-870CFCEC7A0D}" xr6:coauthVersionLast="47" xr6:coauthVersionMax="47" xr10:uidLastSave="{00000000-0000-0000-0000-000000000000}"/>
  <bookViews>
    <workbookView xWindow="-108" yWindow="-108" windowWidth="23256" windowHeight="12456" firstSheet="1" activeTab="5" xr2:uid="{00000000-000D-0000-FFFF-FFFF00000000}"/>
  </bookViews>
  <sheets>
    <sheet name="Instructions" sheetId="8" r:id="rId1"/>
    <sheet name="Expenditure report" sheetId="16" r:id="rId2"/>
    <sheet name="1) Budget Tables" sheetId="1" r:id="rId3"/>
    <sheet name="2) By Category" sheetId="5" r:id="rId4"/>
    <sheet name="3) Explanatory Notes" sheetId="3" r:id="rId5"/>
    <sheet name="4) For PBSO Use" sheetId="6" r:id="rId6"/>
    <sheet name="5) For MPTF Use" sheetId="4" r:id="rId7"/>
    <sheet name="Sheet2" sheetId="7" state="hidden" r:id="rId8"/>
  </sheets>
  <externalReferences>
    <externalReference r:id="rId9"/>
    <externalReference r:id="rId10"/>
    <externalReference r:id="rId11"/>
  </externalReferences>
  <definedNames>
    <definedName name="Account_description">'[1]GL Codes'!$J$2:$J$126</definedName>
    <definedName name="Act">[2]Sheet2!$B:$B</definedName>
    <definedName name="Activite">[2]Sheet2!$B:$B</definedName>
    <definedName name="Activity_description">'[1]GL Codes'!$G$2:$G$28</definedName>
    <definedName name="EISA">[2]Sheet2!$A:$A</definedName>
    <definedName name="Nom">[2]Sheet2!#REF!</definedName>
    <definedName name="Porcentage">[2]Sheet2!$C:$C</definedName>
    <definedName name="STAFF">[2]Sheet2!#REF!</definedName>
    <definedName name="Staff_code">'[1]GL Codes'!$M$2:$M$54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0" i="1" l="1"/>
  <c r="I110" i="1"/>
  <c r="I100" i="1"/>
  <c r="I68" i="1"/>
  <c r="I58" i="1"/>
  <c r="I26" i="1"/>
  <c r="I16" i="1"/>
  <c r="G190" i="5"/>
  <c r="G191" i="5"/>
  <c r="G194" i="5"/>
  <c r="G195" i="5"/>
  <c r="G189" i="5"/>
  <c r="G112" i="5"/>
  <c r="G113" i="5"/>
  <c r="G111" i="5"/>
  <c r="G102" i="5"/>
  <c r="G100" i="5"/>
  <c r="G67" i="5"/>
  <c r="G68" i="5"/>
  <c r="G70" i="5"/>
  <c r="G56" i="5"/>
  <c r="G57" i="5"/>
  <c r="G22" i="5"/>
  <c r="G23" i="5"/>
  <c r="G21" i="5"/>
  <c r="G11" i="5"/>
  <c r="G10" i="5"/>
  <c r="D16" i="5" l="1"/>
  <c r="G16" i="5" s="1"/>
  <c r="D10" i="5"/>
  <c r="D193" i="5" l="1"/>
  <c r="G193" i="5" s="1"/>
  <c r="D192" i="5"/>
  <c r="G192" i="5" s="1"/>
  <c r="E24" i="16" l="1"/>
  <c r="F24" i="16" l="1"/>
  <c r="E27" i="16"/>
  <c r="F20" i="16"/>
  <c r="G24" i="16" s="1"/>
  <c r="D15" i="5" l="1"/>
  <c r="G15" i="5" s="1"/>
  <c r="F26" i="16" l="1"/>
  <c r="E23" i="16"/>
  <c r="F23" i="16" s="1"/>
  <c r="D100" i="5"/>
  <c r="D12" i="5" l="1"/>
  <c r="G12" i="5" s="1"/>
  <c r="D116" i="5"/>
  <c r="G116" i="5" s="1"/>
  <c r="D101" i="5"/>
  <c r="G101" i="5" s="1"/>
  <c r="D71" i="5"/>
  <c r="G71" i="5" s="1"/>
  <c r="D60" i="5"/>
  <c r="G60" i="5" s="1"/>
  <c r="D21" i="5"/>
  <c r="D13" i="5" l="1"/>
  <c r="G13" i="5" s="1"/>
  <c r="D115" i="5"/>
  <c r="G115" i="5" s="1"/>
  <c r="D14" i="5"/>
  <c r="G14" i="5" s="1"/>
  <c r="D69" i="5"/>
  <c r="G69" i="5" s="1"/>
  <c r="D24" i="5"/>
  <c r="G24" i="5" s="1"/>
  <c r="D114" i="5"/>
  <c r="G114" i="5" s="1"/>
  <c r="D55" i="5"/>
  <c r="G55" i="5" s="1"/>
  <c r="D66" i="5"/>
  <c r="G66" i="5" s="1"/>
  <c r="D103" i="5"/>
  <c r="G103" i="5" s="1"/>
  <c r="D26" i="5"/>
  <c r="G26" i="5" s="1"/>
  <c r="D58" i="5"/>
  <c r="G58" i="5" s="1"/>
  <c r="D177" i="1"/>
  <c r="D195" i="5"/>
  <c r="D189" i="5"/>
  <c r="D25" i="5" l="1"/>
  <c r="G25" i="5" s="1"/>
  <c r="D105" i="5"/>
  <c r="G105" i="5" s="1"/>
  <c r="D59" i="5"/>
  <c r="G59" i="5" s="1"/>
  <c r="D104" i="5"/>
  <c r="G104" i="5" s="1"/>
  <c r="D196" i="5"/>
  <c r="G196" i="5" s="1"/>
  <c r="D207" i="1"/>
  <c r="G179" i="1"/>
  <c r="G178" i="1"/>
  <c r="F180" i="1"/>
  <c r="E180" i="1"/>
  <c r="D180" i="1"/>
  <c r="G175" i="1"/>
  <c r="G176" i="1"/>
  <c r="G177" i="1"/>
  <c r="C20" i="4"/>
  <c r="C6" i="4"/>
  <c r="D199" i="5"/>
  <c r="D6" i="5"/>
  <c r="D197" i="1"/>
  <c r="D189" i="1"/>
  <c r="F24" i="4"/>
  <c r="F23" i="4"/>
  <c r="F22" i="4"/>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96" i="1"/>
  <c r="G97" i="1"/>
  <c r="G98" i="1"/>
  <c r="G99" i="1"/>
  <c r="G81" i="1"/>
  <c r="G82" i="1"/>
  <c r="G83" i="1"/>
  <c r="G84" i="1"/>
  <c r="G85" i="1"/>
  <c r="G86" i="1"/>
  <c r="G87" i="1"/>
  <c r="G80" i="1"/>
  <c r="G71" i="1"/>
  <c r="G72" i="1"/>
  <c r="G73" i="1"/>
  <c r="G74" i="1"/>
  <c r="G75" i="1"/>
  <c r="G76" i="1"/>
  <c r="G77" i="1"/>
  <c r="G70" i="1"/>
  <c r="G61" i="1"/>
  <c r="G62" i="1"/>
  <c r="G63" i="1"/>
  <c r="G64" i="1"/>
  <c r="G65" i="1"/>
  <c r="G66" i="1"/>
  <c r="G67" i="1"/>
  <c r="G52" i="1"/>
  <c r="G53" i="1"/>
  <c r="G54" i="1"/>
  <c r="G55" i="1"/>
  <c r="G56" i="1"/>
  <c r="G57" i="1"/>
  <c r="G39" i="1"/>
  <c r="G40" i="1"/>
  <c r="G41" i="1"/>
  <c r="G42" i="1"/>
  <c r="G43" i="1"/>
  <c r="G44" i="1"/>
  <c r="G45" i="1"/>
  <c r="G38" i="1"/>
  <c r="G29" i="1"/>
  <c r="G30" i="1"/>
  <c r="G31" i="1"/>
  <c r="G32" i="1"/>
  <c r="G33" i="1"/>
  <c r="G34" i="1"/>
  <c r="G35" i="1"/>
  <c r="G28" i="1"/>
  <c r="G20" i="1"/>
  <c r="G21" i="1"/>
  <c r="G22" i="1"/>
  <c r="G23" i="1"/>
  <c r="G24" i="1"/>
  <c r="G25" i="1"/>
  <c r="G9" i="1"/>
  <c r="G10" i="1"/>
  <c r="G11" i="1"/>
  <c r="G12" i="1"/>
  <c r="G13" i="1"/>
  <c r="G14" i="1"/>
  <c r="G15" i="1"/>
  <c r="D202" i="5"/>
  <c r="D203" i="5"/>
  <c r="D201" i="5"/>
  <c r="D152" i="1"/>
  <c r="E152" i="1"/>
  <c r="E198" i="1"/>
  <c r="F198" i="1"/>
  <c r="E190" i="1"/>
  <c r="F190" i="1"/>
  <c r="F196" i="5"/>
  <c r="F188" i="5"/>
  <c r="H36" i="1"/>
  <c r="G130" i="1"/>
  <c r="G88" i="1"/>
  <c r="G120" i="1"/>
  <c r="G152" i="1"/>
  <c r="H172" i="1"/>
  <c r="G46" i="1"/>
  <c r="G78" i="1"/>
  <c r="H162" i="1"/>
  <c r="G142" i="1"/>
  <c r="G162" i="1"/>
  <c r="H88" i="1"/>
  <c r="H120" i="1"/>
  <c r="H46" i="1"/>
  <c r="H130" i="1"/>
  <c r="H142" i="1"/>
  <c r="H152" i="1"/>
  <c r="H78" i="1"/>
  <c r="G172" i="1"/>
  <c r="G36" i="1"/>
  <c r="D14" i="4"/>
  <c r="F207" i="5"/>
  <c r="E14" i="4" s="1"/>
  <c r="D13" i="4"/>
  <c r="F206" i="5"/>
  <c r="E13" i="4" s="1"/>
  <c r="D12" i="4"/>
  <c r="F205" i="5"/>
  <c r="E12" i="4" s="1"/>
  <c r="D11" i="4"/>
  <c r="F204" i="5"/>
  <c r="E11" i="4" s="1"/>
  <c r="D10" i="4"/>
  <c r="F203" i="5"/>
  <c r="E10" i="4" s="1"/>
  <c r="D9" i="4"/>
  <c r="F202" i="5"/>
  <c r="E9" i="4" s="1"/>
  <c r="F201" i="5"/>
  <c r="E8" i="4" s="1"/>
  <c r="G156" i="5"/>
  <c r="G157" i="5"/>
  <c r="G158" i="5"/>
  <c r="G159" i="5"/>
  <c r="G160" i="5"/>
  <c r="G161" i="5"/>
  <c r="G162" i="5"/>
  <c r="D163" i="5"/>
  <c r="F163" i="5"/>
  <c r="G167" i="5"/>
  <c r="G168" i="5"/>
  <c r="G169" i="5"/>
  <c r="G170" i="5"/>
  <c r="G171" i="5"/>
  <c r="G172" i="5"/>
  <c r="G173" i="5"/>
  <c r="D174" i="5"/>
  <c r="F174" i="5"/>
  <c r="G178" i="5"/>
  <c r="G179" i="5"/>
  <c r="G180" i="5"/>
  <c r="G181" i="5"/>
  <c r="G182" i="5"/>
  <c r="G183" i="5"/>
  <c r="G184" i="5"/>
  <c r="D185" i="5"/>
  <c r="G185" i="5"/>
  <c r="F185" i="5"/>
  <c r="F152" i="5"/>
  <c r="D152" i="5"/>
  <c r="G151" i="5"/>
  <c r="G150" i="5"/>
  <c r="G149" i="5"/>
  <c r="G148" i="5"/>
  <c r="G147" i="5"/>
  <c r="G146" i="5"/>
  <c r="G145" i="5"/>
  <c r="F118" i="5"/>
  <c r="G122" i="5"/>
  <c r="G123" i="5"/>
  <c r="G124" i="5"/>
  <c r="G125" i="5"/>
  <c r="G126" i="5"/>
  <c r="G127" i="5"/>
  <c r="G128" i="5"/>
  <c r="D129" i="5"/>
  <c r="F129" i="5"/>
  <c r="G133" i="5"/>
  <c r="G134" i="5"/>
  <c r="G135" i="5"/>
  <c r="G136" i="5"/>
  <c r="G137" i="5"/>
  <c r="G138" i="5"/>
  <c r="G139" i="5"/>
  <c r="D140" i="5"/>
  <c r="G140" i="5"/>
  <c r="F140" i="5"/>
  <c r="F107" i="5"/>
  <c r="F73" i="5"/>
  <c r="G77" i="5"/>
  <c r="G78" i="5"/>
  <c r="G79" i="5"/>
  <c r="G80" i="5"/>
  <c r="G81" i="5"/>
  <c r="G82" i="5"/>
  <c r="G83" i="5"/>
  <c r="D84" i="5"/>
  <c r="F84" i="5"/>
  <c r="G88" i="5"/>
  <c r="G89" i="5"/>
  <c r="G90" i="5"/>
  <c r="G91" i="5"/>
  <c r="G92" i="5"/>
  <c r="G93" i="5"/>
  <c r="G94" i="5"/>
  <c r="D95" i="5"/>
  <c r="G95" i="5"/>
  <c r="F95" i="5"/>
  <c r="F62" i="5"/>
  <c r="F28" i="5"/>
  <c r="G32" i="5"/>
  <c r="G33" i="5"/>
  <c r="G34" i="5"/>
  <c r="G35" i="5"/>
  <c r="G36" i="5"/>
  <c r="G37" i="5"/>
  <c r="G38" i="5"/>
  <c r="D39" i="5"/>
  <c r="F39" i="5"/>
  <c r="G43" i="5"/>
  <c r="G44" i="5"/>
  <c r="G45" i="5"/>
  <c r="G46" i="5"/>
  <c r="G47" i="5"/>
  <c r="G48" i="5"/>
  <c r="G49" i="5"/>
  <c r="D50" i="5"/>
  <c r="G50" i="5"/>
  <c r="F50" i="5"/>
  <c r="F17" i="5"/>
  <c r="G129" i="5"/>
  <c r="G174" i="5"/>
  <c r="G152" i="5"/>
  <c r="G163" i="5"/>
  <c r="G84" i="5"/>
  <c r="G39" i="5"/>
  <c r="E172" i="1"/>
  <c r="F172" i="1"/>
  <c r="F177" i="5"/>
  <c r="E162" i="1"/>
  <c r="F162" i="1"/>
  <c r="F166" i="5"/>
  <c r="F152" i="1"/>
  <c r="F155" i="5"/>
  <c r="E142" i="1"/>
  <c r="F142" i="1"/>
  <c r="F144" i="5"/>
  <c r="E130" i="1"/>
  <c r="F130" i="1"/>
  <c r="F132" i="5"/>
  <c r="E120" i="1"/>
  <c r="F120" i="1"/>
  <c r="F121" i="5"/>
  <c r="E110" i="1"/>
  <c r="F110" i="1"/>
  <c r="F110" i="5"/>
  <c r="E100" i="1"/>
  <c r="F100" i="1"/>
  <c r="F99" i="5"/>
  <c r="E88" i="1"/>
  <c r="F88" i="1"/>
  <c r="E78" i="1"/>
  <c r="F78" i="1"/>
  <c r="F76" i="5"/>
  <c r="E68" i="1"/>
  <c r="F68" i="1"/>
  <c r="F65" i="5"/>
  <c r="E58" i="1"/>
  <c r="F58" i="1"/>
  <c r="F54" i="5"/>
  <c r="E46" i="1"/>
  <c r="F46" i="1"/>
  <c r="F42" i="5"/>
  <c r="E36" i="1"/>
  <c r="F36" i="1"/>
  <c r="F31" i="5"/>
  <c r="E26" i="1"/>
  <c r="F26" i="1"/>
  <c r="F20" i="5"/>
  <c r="F16" i="1"/>
  <c r="F9" i="5"/>
  <c r="E16" i="1"/>
  <c r="F87" i="5"/>
  <c r="F191" i="1"/>
  <c r="E191" i="1"/>
  <c r="F192" i="1"/>
  <c r="F199" i="1"/>
  <c r="E192" i="1"/>
  <c r="E199" i="1"/>
  <c r="D172" i="1"/>
  <c r="D162" i="1"/>
  <c r="D166" i="5"/>
  <c r="G166" i="5"/>
  <c r="D155" i="5"/>
  <c r="G155" i="5" s="1"/>
  <c r="D142" i="1"/>
  <c r="D130" i="1"/>
  <c r="D132" i="5"/>
  <c r="D120" i="1"/>
  <c r="D121" i="5"/>
  <c r="G121" i="5" s="1"/>
  <c r="D88" i="1"/>
  <c r="D87" i="5"/>
  <c r="G87" i="5"/>
  <c r="D78" i="1"/>
  <c r="D76" i="5"/>
  <c r="D46" i="1"/>
  <c r="D42" i="5"/>
  <c r="G42" i="5" s="1"/>
  <c r="D36" i="1"/>
  <c r="D177" i="5"/>
  <c r="F193" i="1"/>
  <c r="F200" i="1"/>
  <c r="E23" i="4"/>
  <c r="E22" i="4"/>
  <c r="E193" i="1"/>
  <c r="D22" i="4"/>
  <c r="E200" i="1"/>
  <c r="D23" i="4"/>
  <c r="D144" i="5"/>
  <c r="G144" i="5" s="1"/>
  <c r="C40" i="6"/>
  <c r="D47" i="6" s="1"/>
  <c r="D31" i="5"/>
  <c r="G31" i="5" s="1"/>
  <c r="F202" i="1"/>
  <c r="E202" i="1"/>
  <c r="D45" i="6"/>
  <c r="D43" i="6"/>
  <c r="D44" i="6"/>
  <c r="C8" i="4" l="1"/>
  <c r="G201" i="5"/>
  <c r="C10" i="4"/>
  <c r="G203" i="5"/>
  <c r="C9" i="4"/>
  <c r="G202" i="5"/>
  <c r="D188" i="5"/>
  <c r="G188" i="5" s="1"/>
  <c r="F208" i="5"/>
  <c r="D8" i="4"/>
  <c r="D15" i="4" s="1"/>
  <c r="D61" i="5"/>
  <c r="G61" i="5" s="1"/>
  <c r="D117" i="5"/>
  <c r="G117" i="5" s="1"/>
  <c r="D27" i="5"/>
  <c r="G27" i="5" s="1"/>
  <c r="D51" i="1"/>
  <c r="G51" i="1" s="1"/>
  <c r="D72" i="5"/>
  <c r="G72" i="5" s="1"/>
  <c r="D102" i="1"/>
  <c r="D19" i="1"/>
  <c r="G19" i="1" s="1"/>
  <c r="D106" i="5"/>
  <c r="G106" i="5" s="1"/>
  <c r="D8" i="1"/>
  <c r="D18" i="1"/>
  <c r="G18" i="1" s="1"/>
  <c r="D50" i="1"/>
  <c r="D95" i="1"/>
  <c r="G95" i="1" s="1"/>
  <c r="D93" i="1"/>
  <c r="G93" i="1" s="1"/>
  <c r="D94" i="1"/>
  <c r="G94" i="1" s="1"/>
  <c r="D60" i="1"/>
  <c r="D206" i="5"/>
  <c r="E15" i="4"/>
  <c r="G76" i="5"/>
  <c r="G177" i="5"/>
  <c r="G132" i="5"/>
  <c r="G180" i="1"/>
  <c r="H180" i="1"/>
  <c r="D46" i="6"/>
  <c r="C41" i="6" s="1"/>
  <c r="C13" i="4" l="1"/>
  <c r="G206" i="5"/>
  <c r="C11" i="4"/>
  <c r="G204" i="5"/>
  <c r="D92" i="1"/>
  <c r="G92" i="1" s="1"/>
  <c r="H100" i="1" s="1"/>
  <c r="D207" i="5"/>
  <c r="D118" i="5"/>
  <c r="G118" i="5" s="1"/>
  <c r="D62" i="5"/>
  <c r="G62" i="5" s="1"/>
  <c r="D17" i="5"/>
  <c r="G17" i="5" s="1"/>
  <c r="D28" i="5"/>
  <c r="G28" i="5" s="1"/>
  <c r="D73" i="5"/>
  <c r="G73" i="5" s="1"/>
  <c r="G26" i="1"/>
  <c r="D110" i="1"/>
  <c r="G102" i="1"/>
  <c r="G60" i="1"/>
  <c r="D68" i="1"/>
  <c r="G50" i="1"/>
  <c r="D58" i="1"/>
  <c r="D107" i="5"/>
  <c r="G107" i="5" s="1"/>
  <c r="G205" i="5"/>
  <c r="H26" i="1"/>
  <c r="D26" i="1"/>
  <c r="C14" i="4" l="1"/>
  <c r="G207" i="5"/>
  <c r="D20" i="5"/>
  <c r="G20" i="5" s="1"/>
  <c r="D65" i="5"/>
  <c r="G65" i="5" s="1"/>
  <c r="D110" i="5"/>
  <c r="G110" i="5" s="1"/>
  <c r="E30" i="16"/>
  <c r="F30" i="16"/>
  <c r="D100" i="1"/>
  <c r="G100" i="1"/>
  <c r="G68" i="1"/>
  <c r="H68" i="1"/>
  <c r="H110" i="1"/>
  <c r="G110" i="1"/>
  <c r="D54" i="5"/>
  <c r="G54" i="5" s="1"/>
  <c r="C18" i="6"/>
  <c r="G58" i="1"/>
  <c r="H58" i="1"/>
  <c r="C12" i="4"/>
  <c r="C15" i="4" s="1"/>
  <c r="D208" i="5"/>
  <c r="G208" i="5" s="1"/>
  <c r="D209" i="5" l="1"/>
  <c r="D210" i="5" s="1"/>
  <c r="D99" i="5"/>
  <c r="G99" i="5" s="1"/>
  <c r="C29" i="6"/>
  <c r="D34" i="6" s="1"/>
  <c r="C16" i="4"/>
  <c r="C17" i="4" s="1"/>
  <c r="D23" i="6"/>
  <c r="D24" i="6"/>
  <c r="D25" i="6"/>
  <c r="D21" i="6"/>
  <c r="D22" i="6"/>
  <c r="D36" i="6" l="1"/>
  <c r="D32" i="6"/>
  <c r="D33" i="6"/>
  <c r="D35" i="6"/>
  <c r="C19" i="6"/>
  <c r="C30" i="6" l="1"/>
  <c r="D16" i="1" l="1"/>
  <c r="G8" i="1"/>
  <c r="D9" i="5" l="1"/>
  <c r="G9" i="5" s="1"/>
  <c r="D191" i="1"/>
  <c r="G191" i="1" s="1"/>
  <c r="C7" i="6"/>
  <c r="G16" i="1"/>
  <c r="H16" i="1"/>
  <c r="D204" i="1" s="1"/>
  <c r="D10" i="6" l="1"/>
  <c r="D14" i="6"/>
  <c r="D13" i="6"/>
  <c r="D11" i="6"/>
  <c r="D12" i="6"/>
  <c r="D192" i="1"/>
  <c r="D193" i="1" s="1"/>
  <c r="G192" i="1"/>
  <c r="G193" i="1" s="1"/>
  <c r="D199" i="1" l="1"/>
  <c r="D208" i="1"/>
  <c r="D201" i="1"/>
  <c r="C24" i="4" s="1"/>
  <c r="D200" i="1"/>
  <c r="C23" i="4" s="1"/>
  <c r="C8" i="6"/>
  <c r="D205" i="1"/>
  <c r="C22" i="4" l="1"/>
  <c r="D202" i="1"/>
  <c r="C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tc={723E8D57-FDE3-474C-8302-8355DB2D0504}</author>
    <author>tc={8E85B8D2-20DD-48F2-AB9A-67F8781D29F9}</author>
  </authors>
  <commentList>
    <comment ref="I192" authorId="0" shapeId="0" xr:uid="{723E8D57-FDE3-474C-8302-8355DB2D050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TSY TAFIDITRA AO ANATY % IRY AMBANY ITY REHEFA MANAO CALCUL</t>
      </text>
    </comment>
    <comment ref="I205" authorId="1" shapeId="0" xr:uid="{8E85B8D2-20DD-48F2-AB9A-67F8781D29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TSY AMPY LE INDIRECT COST ITY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Niaina Ramarshon</author>
  </authors>
  <commentList>
    <comment ref="D192" authorId="0" shapeId="0" xr:uid="{FD8C20B9-1FB0-487E-9138-34818ADA1BB6}">
      <text>
        <r>
          <rPr>
            <b/>
            <sz val="9"/>
            <color indexed="81"/>
            <rFont val="Tahoma"/>
            <family val="2"/>
          </rPr>
          <t>Niaina Ramarshon:</t>
        </r>
        <r>
          <rPr>
            <sz val="9"/>
            <color indexed="81"/>
            <rFont val="Tahoma"/>
            <family val="2"/>
          </rPr>
          <t xml:space="preserve">
audit,evalutaion,consultant</t>
        </r>
      </text>
    </comment>
    <comment ref="D193" authorId="0" shapeId="0" xr:uid="{4EC0BF10-AB5F-459B-8D74-52B56AEA201C}">
      <text>
        <r>
          <rPr>
            <b/>
            <sz val="9"/>
            <color indexed="81"/>
            <rFont val="Tahoma"/>
            <family val="2"/>
          </rPr>
          <t>Niaina Ramarshon:</t>
        </r>
        <r>
          <rPr>
            <sz val="9"/>
            <color indexed="81"/>
            <rFont val="Tahoma"/>
            <family val="2"/>
          </rPr>
          <t xml:space="preserve">
monitoring</t>
        </r>
      </text>
    </comment>
  </commentList>
</comments>
</file>

<file path=xl/sharedStrings.xml><?xml version="1.0" encoding="utf-8"?>
<sst xmlns="http://schemas.openxmlformats.org/spreadsheetml/2006/main" count="903" uniqueCount="646">
  <si>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</si>
  <si>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</si>
  <si>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</si>
  <si>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</si>
  <si>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</si>
  <si>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</si>
  <si>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</si>
  <si>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</si>
  <si>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</si>
  <si>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</si>
  <si>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</si>
  <si>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</si>
  <si>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</si>
  <si>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</si>
  <si>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</si>
  <si>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</si>
  <si>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</si>
  <si>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</si>
  <si>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</si>
  <si>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</si>
  <si>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</si>
  <si>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</si>
  <si>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</si>
  <si>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</si>
  <si>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</si>
  <si>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</si>
  <si>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</si>
  <si>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</si>
  <si>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</si>
  <si>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</si>
  <si>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</si>
  <si>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</si>
  <si>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</si>
  <si>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</si>
  <si>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</si>
  <si>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</si>
  <si>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</si>
  <si>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</si>
  <si>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</si>
  <si>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</si>
  <si>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</si>
  <si>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</si>
  <si>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</si>
  <si>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</si>
  <si>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</si>
  <si>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</si>
  <si>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</si>
  <si>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</si>
  <si>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</si>
  <si>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</si>
  <si>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</si>
  <si>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</si>
  <si>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</si>
  <si>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</si>
  <si>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</si>
  <si>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</si>
  <si>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</si>
  <si>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</si>
  <si>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</si>
  <si>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</si>
  <si>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</si>
  <si>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</si>
  <si>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</si>
  <si>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</si>
  <si>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</si>
  <si>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</si>
  <si>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</si>
  <si>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</si>
  <si>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</si>
  <si>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</si>
  <si>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</si>
  <si>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</si>
  <si>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</si>
  <si>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</si>
  <si>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</si>
  <si>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</si>
  <si>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</si>
  <si>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</si>
  <si>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</si>
  <si>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</si>
  <si>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</si>
  <si>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</si>
  <si>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</si>
  <si>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</si>
  <si>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</si>
  <si>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</si>
  <si>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</si>
  <si>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</si>
  <si>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</si>
  <si>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</si>
  <si>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</si>
  <si>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</si>
  <si>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</si>
  <si>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</si>
  <si>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</si>
  <si>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</si>
  <si>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</si>
  <si>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</si>
  <si>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</si>
  <si>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</si>
  <si>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</si>
  <si>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</si>
  <si>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</si>
  <si>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</si>
  <si>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</si>
  <si>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</si>
  <si>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</si>
  <si>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</si>
  <si>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</si>
  <si>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</si>
  <si>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</si>
  <si>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</si>
  <si>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</si>
  <si>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</si>
  <si>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</si>
  <si>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</si>
  <si>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</si>
  <si>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</si>
  <si>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</si>
  <si>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</si>
  <si>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</si>
  <si>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</si>
  <si>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</si>
  <si>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</si>
  <si>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</si>
  <si>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</si>
  <si>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</si>
  <si>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</si>
  <si>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</si>
  <si>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</si>
  <si>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</si>
  <si>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</si>
  <si>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</si>
  <si>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</si>
  <si>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</si>
  <si>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</si>
  <si>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</si>
  <si>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</si>
  <si>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</si>
  <si>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</si>
  <si>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</si>
  <si>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</si>
  <si>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</si>
  <si>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</si>
  <si>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</si>
  <si>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</si>
  <si>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</si>
  <si>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</si>
  <si>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</si>
  <si>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</si>
  <si>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</si>
  <si>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</si>
  <si>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</si>
  <si>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</si>
  <si>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</si>
  <si>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</si>
  <si>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</si>
  <si>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</si>
  <si>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</si>
  <si>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</si>
  <si>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</si>
  <si>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</si>
  <si>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</si>
  <si>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</si>
  <si>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</si>
  <si>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</si>
  <si>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</si>
  <si>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</si>
  <si>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</si>
  <si>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</si>
  <si>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</si>
  <si>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</si>
  <si>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</si>
  <si>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</si>
  <si>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</si>
  <si>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</si>
  <si>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</si>
  <si>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</si>
  <si>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</si>
  <si>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</si>
  <si>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</si>
  <si>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</si>
  <si>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</si>
  <si>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</si>
  <si>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</si>
  <si>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</si>
  <si>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</si>
  <si>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</si>
  <si>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</si>
  <si>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</si>
  <si>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</si>
  <si>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</si>
  <si>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</si>
  <si>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</si>
  <si>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</si>
  <si>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</si>
  <si>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</si>
  <si>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</si>
  <si>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</si>
  <si>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</si>
  <si>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</si>
  <si>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</si>
  <si>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</si>
  <si>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</si>
  <si>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</si>
  <si>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</si>
  <si>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</si>
  <si>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</si>
  <si>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</si>
  <si>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</si>
  <si>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</si>
  <si>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</si>
  <si>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</si>
  <si>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</si>
  <si>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</si>
  <si>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</si>
  <si>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</si>
  <si>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</si>
  <si>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</si>
  <si>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</si>
  <si>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</si>
  <si>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</si>
  <si>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</si>
  <si>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</si>
  <si>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</si>
  <si>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</si>
  <si>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</si>
  <si>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</si>
  <si>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</si>
  <si>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</si>
  <si>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</si>
  <si>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</si>
  <si>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</si>
  <si>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</si>
  <si>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</si>
  <si>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</si>
  <si>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</si>
  <si>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</si>
  <si>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</si>
  <si>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</si>
  <si>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</si>
  <si>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</si>
  <si>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</si>
  <si>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</si>
  <si>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</si>
  <si>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</si>
  <si>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</si>
  <si>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</si>
  <si>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</si>
  <si>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</si>
  <si>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</si>
  <si>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</si>
  <si>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</si>
  <si>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</si>
  <si>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</si>
  <si>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</si>
  <si>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</si>
  <si>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</si>
  <si>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</si>
  <si>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</si>
  <si>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</si>
  <si>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</si>
  <si>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</si>
  <si>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</si>
  <si>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</si>
  <si>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</si>
  <si>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</si>
  <si>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</si>
  <si>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</si>
  <si>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</si>
  <si>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</si>
  <si>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</si>
  <si>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</si>
  <si>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</si>
  <si>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</si>
  <si>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</si>
  <si>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</si>
  <si>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</si>
  <si>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</si>
  <si>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</si>
  <si>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</si>
  <si>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</si>
  <si>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</si>
  <si>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</si>
  <si>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</si>
  <si>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</si>
  <si>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</si>
  <si>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</si>
  <si>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</si>
  <si>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</si>
  <si>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</si>
  <si>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</si>
  <si>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</si>
  <si>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</si>
  <si>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</si>
  <si>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</si>
  <si>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</si>
  <si>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</si>
  <si>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</si>
  <si>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</si>
  <si>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</si>
  <si>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</si>
  <si>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</si>
  <si>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</si>
  <si>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</si>
  <si>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</si>
  <si>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</si>
  <si>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</si>
  <si>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</si>
  <si>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</si>
  <si>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</si>
  <si>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</si>
  <si>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</si>
  <si>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</si>
  <si>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</si>
  <si>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</si>
  <si>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</si>
  <si>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</si>
  <si>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</si>
  <si>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</si>
  <si>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</si>
  <si>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</si>
  <si>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</si>
  <si>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</si>
  <si>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</si>
  <si>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</si>
  <si>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</si>
  <si>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</si>
  <si>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</si>
  <si>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</si>
  <si>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</si>
  <si>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</si>
  <si>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</si>
  <si>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</si>
  <si>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</si>
  <si>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</si>
  <si>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</si>
  <si>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</si>
  <si>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</si>
  <si>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</si>
  <si>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</si>
  <si>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</si>
  <si>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</si>
  <si>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</si>
  <si>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</si>
  <si>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</si>
  <si>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</si>
  <si>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</si>
  <si>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</si>
  <si>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</si>
  <si>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</si>
  <si>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</si>
  <si>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</si>
  <si>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</si>
  <si>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</si>
  <si>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</si>
  <si>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</si>
  <si>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</si>
  <si>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</si>
  <si>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</si>
  <si>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</si>
  <si>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</si>
  <si>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</si>
  <si>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</si>
  <si>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</si>
  <si>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</si>
  <si>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</si>
  <si>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</si>
  <si>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</si>
  <si>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</si>
  <si>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</si>
  <si>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</si>
  <si>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</si>
  <si>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</si>
  <si>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</si>
  <si>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</si>
  <si>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</si>
  <si>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</si>
  <si>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</si>
  <si>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</si>
  <si>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</si>
  <si>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</si>
  <si>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</si>
  <si>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</si>
  <si>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</si>
  <si>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</si>
  <si>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</si>
  <si>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</si>
  <si>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</si>
  <si>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</si>
  <si>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</si>
  <si>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</si>
  <si>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</si>
  <si>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</si>
  <si>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</si>
  <si>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</si>
  <si>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</si>
  <si>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</si>
  <si>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</si>
  <si>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</si>
  <si>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</si>
  <si>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</si>
  <si>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</si>
  <si>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</si>
  <si>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</si>
  <si>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</si>
  <si>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</si>
  <si>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</si>
  <si>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</si>
  <si>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</si>
  <si>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</si>
  <si>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</si>
  <si>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</si>
  <si>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</si>
  <si>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</si>
  <si>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</si>
  <si>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</si>
  <si>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</si>
  <si>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</si>
  <si>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</si>
  <si>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</si>
  <si>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</si>
  <si>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</si>
  <si>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</si>
  <si>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</si>
  <si>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</si>
  <si>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</si>
  <si>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</si>
  <si>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</si>
  <si>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</si>
  <si>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</si>
  <si>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</si>
  <si>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</si>
  <si>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</si>
  <si>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</si>
  <si>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</si>
  <si>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</si>
  <si>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</si>
  <si>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</si>
  <si>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</si>
  <si>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</si>
  <si>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</si>
  <si>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</si>
  <si>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</si>
  <si>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</si>
  <si>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</si>
  <si>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</si>
  <si>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</si>
  <si>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</si>
  <si>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</si>
  <si>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</si>
  <si>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</si>
  <si>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</si>
  <si>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</si>
  <si>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</si>
  <si>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</si>
  <si>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</si>
  <si>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</si>
  <si>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</si>
  <si>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</si>
  <si>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</si>
  <si>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</si>
  <si>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</si>
  <si>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</si>
  <si>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</si>
  <si>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</si>
  <si>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</si>
  <si>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</si>
  <si>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</si>
  <si>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</si>
  <si>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</si>
  <si>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</si>
  <si>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</si>
  <si>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</si>
  <si>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</si>
  <si>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</si>
  <si>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</si>
  <si>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</si>
  <si>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</si>
  <si>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</si>
  <si>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</si>
  <si>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</si>
  <si>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</si>
  <si>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</si>
  <si>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</si>
  <si>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</si>
  <si>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</si>
  <si>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</si>
  <si>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</si>
  <si>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</si>
  <si>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</si>
  <si>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</si>
  <si>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</si>
  <si>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</si>
  <si>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</si>
  <si>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</si>
  <si>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</si>
  <si>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</si>
  <si>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</si>
  <si>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</si>
  <si>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</si>
  <si>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</si>
  <si>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</si>
  <si>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</si>
  <si>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</si>
  <si>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</si>
  <si>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</si>
  <si>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</si>
  <si>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</si>
  <si>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</si>
  <si>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</si>
  <si>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</si>
  <si>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</si>
  <si>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</si>
  <si>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</si>
  <si>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</si>
  <si>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</si>
  <si>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</si>
  <si>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</si>
  <si>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</si>
  <si>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</si>
  <si>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</si>
  <si>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</si>
  <si>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</si>
  <si>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</si>
  <si>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</si>
  <si>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</si>
  <si>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</si>
  <si>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</si>
  <si>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</si>
  <si>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</si>
  <si>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</si>
  <si>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</si>
  <si>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</si>
  <si>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</si>
  <si>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</si>
  <si>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</si>
  <si>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</si>
  <si>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</si>
  <si>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</si>
  <si>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</si>
  <si>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</si>
  <si>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</si>
  <si>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</si>
  <si>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</si>
  <si>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</si>
  <si>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</si>
  <si>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</si>
  <si>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</si>
  <si>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</si>
  <si>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</si>
  <si>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</si>
  <si>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</si>
  <si>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</si>
  <si>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</si>
  <si>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</si>
  <si>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</si>
  <si>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</si>
  <si>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</si>
  <si>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</si>
  <si>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</si>
  <si>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</si>
  <si>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</si>
  <si>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</si>
  <si>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</si>
  <si>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</si>
  <si>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</si>
  <si>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</si>
  <si>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</si>
  <si>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</si>
  <si>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</si>
  <si>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</si>
  <si>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</si>
  <si>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</si>
  <si>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</si>
  <si>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</si>
  <si>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</si>
  <si>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</si>
  <si>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1. Ressources humaines</t>
  </si>
  <si>
    <t>Act 1.1.1 : Renforcement des compétences des femmes et jeunes femmes, des hommes et jeunes hommes de la société civile de la région AA en leadership, conception et facilitation de dialogues communautaires</t>
  </si>
  <si>
    <t>Act 1.2.1 : Focus group de conscientisation avec les chefs traditionnels et coutumiers, les femmes et les jeunes dans les communes cibles</t>
  </si>
  <si>
    <t xml:space="preserve">Act 2.1.1 : Renforcement des compétences des maires et des conseillers municipaux en gestion communale et mécanismes de redevabilité et d’inclusivité </t>
  </si>
  <si>
    <t>Act 2.1.2 : Plateforme d’échanges entre les gouvernements locaux et les OSC locales</t>
  </si>
  <si>
    <t xml:space="preserve">Act 3.1.1 : Formation des représentants des OSCs, y compris les hommes et les jeunes sur la sensibilisation à la masculinité positive </t>
  </si>
  <si>
    <t xml:space="preserve">Act 3.1.2 : Sensibilisation des hommes à l’égalité hommes-femmes </t>
  </si>
  <si>
    <t>Act 3.1.3 : Accompagnement pour la création d’un réseau Gender Champion</t>
  </si>
  <si>
    <t xml:space="preserve">Act 3.1.4 : Campagne de plaidoyer du réseau Gender Champion auprès des décideurs pour une meilleure représentation des femmes dans les instances démocratiques </t>
  </si>
  <si>
    <t xml:space="preserve">Act 3.2.1 : Cérémonie de récompense en faveur des gender champions </t>
  </si>
  <si>
    <t>P 1.1 : Les femmes et les jeunes femmes activistes de la société civile de la région AA disposent de compétences en matière de prévention des conflits</t>
  </si>
  <si>
    <t>R1: La participation des femmes et des jeunes aux efforts de prévention des conflits communautaires est renforcée</t>
  </si>
  <si>
    <t>P1.2 : Les femmes, les jeunes et les hommes des communes cibles sont conscientisés sur l’importance de l’inclusivité dans les mécanismes de prise de décision pour une cohésion sociale</t>
  </si>
  <si>
    <t>Act 1.2.2 : Organisations de sessions de dialogues intergénérationnels mixtes. Mission Préparatoire</t>
  </si>
  <si>
    <t>R2 : La contribution et l’influence des femmes et jeunes femmes sont renforcées au niveau des communes</t>
  </si>
  <si>
    <t xml:space="preserve">P2.1 : Les femmes élues assurent leurs rôles et responsabilités de manière efficace et effective </t>
  </si>
  <si>
    <t>R3 : Les hommes et les femmes sont engagés dans la promotion d’une meilleure participation des femmes aux processus de prise de décision</t>
  </si>
  <si>
    <t xml:space="preserve">P3.1 : Les citoyens sont sensibilisés sur la masculinité positive </t>
  </si>
  <si>
    <t xml:space="preserve">P 3.2 : Le rôle des hommes dans la promotion de l’égalité hommes-femmes est reconnu </t>
  </si>
  <si>
    <t>Operation Costs 3-4-5-6-7-8</t>
  </si>
  <si>
    <t>Monitoring</t>
  </si>
  <si>
    <t>Evaluation</t>
  </si>
  <si>
    <t>Audit</t>
  </si>
  <si>
    <t>Act. 2.2.1 : Promotion de la contribution positive des femmes à travers des programmes médiatiques et culturels</t>
  </si>
  <si>
    <t>EISA</t>
  </si>
  <si>
    <t>MPTFO project number</t>
  </si>
  <si>
    <t>NUNO</t>
  </si>
  <si>
    <t>UNDG expense category</t>
  </si>
  <si>
    <t>Expenses USD</t>
  </si>
  <si>
    <r>
      <t>project reference</t>
    </r>
    <r>
      <rPr>
        <sz val="10"/>
        <color rgb="FF000000"/>
        <rFont val="Myriad Pro"/>
      </rPr>
      <t xml:space="preserve"> </t>
    </r>
  </si>
  <si>
    <t>00126020</t>
  </si>
  <si>
    <t>Organisation : MDG-EISA</t>
  </si>
  <si>
    <t>Country : Madagascar</t>
  </si>
  <si>
    <t>Project decription: PBF/IRF- 415: Promouvoir la ré</t>
  </si>
  <si>
    <t>Voucher ID</t>
  </si>
  <si>
    <t>Bank reference</t>
  </si>
  <si>
    <t>Description</t>
  </si>
  <si>
    <t>Organization</t>
  </si>
  <si>
    <t>Transfer date</t>
  </si>
  <si>
    <t>Transfer amount</t>
  </si>
  <si>
    <t>00013724</t>
  </si>
  <si>
    <t>1088011429</t>
  </si>
  <si>
    <t>PBF/IRF-415_MDG_126020_EISA_tr</t>
  </si>
  <si>
    <t>MDG-EISA</t>
  </si>
  <si>
    <t>8. Indirect support costs</t>
  </si>
  <si>
    <t>9. Total Received funds</t>
  </si>
  <si>
    <t>10. Agency Earned Interest Income</t>
  </si>
  <si>
    <t>11. Refunds (end project)</t>
  </si>
  <si>
    <t>Balance</t>
  </si>
  <si>
    <t>PBF/IRF-415</t>
  </si>
  <si>
    <t>% expenditure from total budget</t>
  </si>
  <si>
    <t xml:space="preserve">Total Budget </t>
  </si>
  <si>
    <t>1$:</t>
  </si>
  <si>
    <t>Ars</t>
  </si>
  <si>
    <t>Acronymes</t>
  </si>
  <si>
    <t>RUNO/NUNO</t>
  </si>
  <si>
    <t>Budget Approuvé</t>
  </si>
  <si>
    <t xml:space="preserve"> Taux de décaissement  </t>
  </si>
  <si>
    <t xml:space="preserve"> Dépenses + Engagement </t>
  </si>
  <si>
    <t xml:space="preserve"> Durée </t>
  </si>
  <si>
    <t>TALILY RAIKE</t>
  </si>
  <si>
    <t xml:space="preserve">    300 000,00 </t>
  </si>
  <si>
    <t>18 mois</t>
  </si>
  <si>
    <t xml:space="preserve">    300 000,00 </t>
  </si>
  <si>
    <t>OQK5507/D</t>
  </si>
  <si>
    <t xml:space="preserve">Information financière 29/11/21 </t>
  </si>
  <si>
    <t>PYW6966</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</si>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</sst>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R&quot;* #,##0.00_-;\-&quot;R&quot;* #,##0.00_-;_-&quot;R&quot;* &quot;-&quot;??_-;_-@_-"/>
    <numFmt numFmtId="165" formatCode="_(&quot;$&quot;* #,##0.00_);_(&quot;$&quot;* \(#,##0.00\);_(&quot;$&quot;* &quot;-&quot;??_);_(@_)"/>
    <numFmt numFmtId="166" formatCode="_(* #,##0.00_);_(* \(#,##0.00\);_(* &quot;-&quot;??_);_(@_)"/>
    <numFmt numFmtId="167" formatCode="_-* #,##0_-;\-* #,##0_-;_-* &quot;-&quot;??_-;_-@_-"/>
    <numFmt numFmtId="168" formatCode="_(&quot;$&quot;* #,##0_);_(&quot;$&quot;* \(#,##0\);_(&quot;$&quot;* &quot;-&quot;??_);_(@_)"/>
    <numFmt numFmtId="169" formatCode="_-* #,##0.00\ _€_-;\-* #,##0.00\ _€_-;_-* &quot;-&quot;??\ _€_-;_-@_-"/>
    <numFmt numFmtId="170" formatCode="_-[$$-409]* #,##0.00_ ;_-[$$-409]* \-#,##0.00\ ;_-[$$-409]* &quot;-&quot;??_ ;_-@_ "/>
    <numFmt numFmtId="171" formatCode="_-[$ARS]\ * #,##0.00_-;\-[$ARS]\ * #,##0.00_-;_-[$ARS]\ * &quot;-&quot;??_-;_-@_-"/>
  </numFmts>
  <fonts count="37">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9"/>
      <name val="Book Antiqua"/>
      <family val="1"/>
    </font>
    <font>
      <b/>
      <sz val="10"/>
      <color theme="1"/>
      <name val="Myriad Pro"/>
    </font>
    <font>
      <b/>
      <sz val="10"/>
      <color rgb="FF000000"/>
      <name val="Myriad Pro"/>
    </font>
    <font>
      <sz val="10"/>
      <color rgb="FF000000"/>
      <name val="Myriad Pro"/>
    </font>
    <font>
      <b/>
      <sz val="10"/>
      <name val="Arial"/>
      <family val="2"/>
    </font>
    <font>
      <sz val="10"/>
      <color theme="1"/>
      <name val="Calibri"/>
      <family val="2"/>
    </font>
    <font>
      <b/>
      <sz val="10"/>
      <color theme="1"/>
      <name val="Century Gothic"/>
      <family val="2"/>
    </font>
    <font>
      <b/>
      <sz val="10"/>
      <color rgb="FF000000"/>
      <name val="Century Gothic"/>
      <family val="2"/>
    </font>
    <font>
      <sz val="10"/>
      <color rgb="FF000000"/>
      <name val="Century Gothic"/>
      <family val="2"/>
    </font>
    <font>
      <sz val="12"/>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indexed="22"/>
        <bgColor indexed="64"/>
      </patternFill>
    </fill>
    <fill>
      <patternFill patternType="solid">
        <fgColor theme="9" tint="0.39994506668294322"/>
        <bgColor indexed="64"/>
      </patternFill>
    </fill>
    <fill>
      <patternFill patternType="solid">
        <fgColor rgb="FFEEECE1"/>
        <bgColor indexed="64"/>
      </patternFill>
    </fill>
    <fill>
      <patternFill patternType="solid">
        <fgColor theme="0" tint="-0.249977111117893"/>
        <bgColor indexed="64"/>
      </patternFill>
    </fill>
    <fill>
      <patternFill patternType="solid">
        <fgColor rgb="FFD9E1F2"/>
        <bgColor indexed="64"/>
      </patternFill>
    </fill>
    <fill>
      <patternFill patternType="solid">
        <fgColor rgb="FFFFFFFF"/>
        <bgColor indexed="64"/>
      </patternFill>
    </fill>
    <fill>
      <patternFill patternType="solid">
        <fgColor rgb="FFFCE4D6"/>
        <bgColor indexed="64"/>
      </patternFill>
    </fill>
    <fill>
      <patternFill patternType="solid">
        <fgColor rgb="FFD0CECE"/>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bottom style="medium">
        <color rgb="FF000000"/>
      </bottom>
      <diagonal/>
    </border>
  </borders>
  <cellStyleXfs count="8">
    <xf numFmtId="0" fontId="0"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43" fontId="5" fillId="0" borderId="0" applyFont="0" applyFill="0" applyBorder="0" applyAlignment="0" applyProtection="0"/>
    <xf numFmtId="4" fontId="27" fillId="12" borderId="4" applyBorder="0" applyAlignment="0">
      <alignment horizontal="left"/>
      <protection locked="0"/>
    </xf>
    <xf numFmtId="169" fontId="5" fillId="0" borderId="0" applyFont="0" applyFill="0" applyBorder="0" applyAlignment="0" applyProtection="0"/>
  </cellStyleXfs>
  <cellXfs count="337">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4" fillId="0" borderId="6" xfId="0" applyFont="1" applyBorder="1"/>
    <xf numFmtId="165"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3" xfId="0"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5" fontId="8" fillId="3" borderId="0" xfId="1" applyFont="1" applyFill="1" applyBorder="1" applyAlignment="1" applyProtection="1">
      <alignment vertical="center" wrapText="1"/>
    </xf>
    <xf numFmtId="165" fontId="3" fillId="2" borderId="5" xfId="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165"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5" fontId="6" fillId="0" borderId="3" xfId="1" applyFont="1" applyBorder="1" applyAlignment="1" applyProtection="1">
      <alignment vertical="center" wrapText="1"/>
      <protection locked="0"/>
    </xf>
    <xf numFmtId="0" fontId="8" fillId="2" borderId="13" xfId="0" applyFont="1" applyFill="1" applyBorder="1" applyAlignment="1">
      <alignment vertical="center" wrapText="1"/>
    </xf>
    <xf numFmtId="0" fontId="8" fillId="2" borderId="8" xfId="0" applyFont="1" applyFill="1" applyBorder="1" applyAlignment="1" applyProtection="1">
      <alignment vertical="center" wrapText="1"/>
      <protection locked="0"/>
    </xf>
    <xf numFmtId="165" fontId="3"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5"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5" fontId="3" fillId="0" borderId="0" xfId="1" applyFont="1" applyFill="1" applyBorder="1" applyAlignment="1" applyProtection="1">
      <alignment vertical="center" wrapText="1"/>
    </xf>
    <xf numFmtId="165" fontId="6" fillId="0" borderId="0" xfId="1" applyFont="1" applyFill="1" applyBorder="1" applyAlignment="1" applyProtection="1">
      <alignment horizontal="center"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5" fontId="3" fillId="2" borderId="3" xfId="0" applyNumberFormat="1" applyFont="1" applyFill="1" applyBorder="1" applyAlignment="1">
      <alignment horizontal="center" wrapText="1"/>
    </xf>
    <xf numFmtId="0" fontId="6" fillId="3" borderId="0" xfId="0" applyFont="1" applyFill="1" applyAlignment="1">
      <alignment wrapText="1"/>
    </xf>
    <xf numFmtId="165" fontId="3" fillId="4" borderId="3" xfId="1" applyFont="1" applyFill="1" applyBorder="1" applyAlignment="1" applyProtection="1">
      <alignment wrapText="1"/>
    </xf>
    <xf numFmtId="165" fontId="6" fillId="3" borderId="0" xfId="0" applyNumberFormat="1" applyFont="1" applyFill="1" applyAlignment="1">
      <alignment vertical="center" wrapText="1"/>
    </xf>
    <xf numFmtId="165" fontId="3" fillId="0" borderId="0" xfId="0" applyNumberFormat="1" applyFont="1" applyAlignment="1">
      <alignment wrapText="1"/>
    </xf>
    <xf numFmtId="165" fontId="7" fillId="0" borderId="0" xfId="1" applyFont="1" applyFill="1" applyBorder="1" applyAlignment="1">
      <alignment horizontal="right" vertical="center" wrapText="1"/>
    </xf>
    <xf numFmtId="0" fontId="3" fillId="2" borderId="40" xfId="0" applyFont="1" applyFill="1" applyBorder="1" applyAlignment="1">
      <alignment horizontal="center" wrapText="1"/>
    </xf>
    <xf numFmtId="165" fontId="3" fillId="2" borderId="3" xfId="0" applyNumberFormat="1" applyFont="1" applyFill="1" applyBorder="1" applyAlignment="1">
      <alignment wrapText="1"/>
    </xf>
    <xf numFmtId="0" fontId="7" fillId="2" borderId="40" xfId="0" applyFont="1" applyFill="1" applyBorder="1" applyAlignment="1">
      <alignment vertical="center" wrapText="1"/>
    </xf>
    <xf numFmtId="165" fontId="3" fillId="2" borderId="40" xfId="0" applyNumberFormat="1" applyFont="1" applyFill="1" applyBorder="1" applyAlignment="1">
      <alignment wrapText="1"/>
    </xf>
    <xf numFmtId="0" fontId="3" fillId="2" borderId="14" xfId="0" applyFont="1" applyFill="1" applyBorder="1" applyAlignment="1">
      <alignment horizontal="left" wrapText="1"/>
    </xf>
    <xf numFmtId="165" fontId="3" fillId="2" borderId="14" xfId="0" applyNumberFormat="1" applyFont="1" applyFill="1" applyBorder="1" applyAlignment="1">
      <alignment horizontal="center" wrapText="1"/>
    </xf>
    <xf numFmtId="165" fontId="3" fillId="2" borderId="14" xfId="0" applyNumberFormat="1" applyFont="1" applyFill="1" applyBorder="1" applyAlignment="1">
      <alignment wrapText="1"/>
    </xf>
    <xf numFmtId="165" fontId="3" fillId="4" borderId="3" xfId="1" applyFont="1" applyFill="1" applyBorder="1" applyAlignment="1">
      <alignment wrapText="1"/>
    </xf>
    <xf numFmtId="165" fontId="3" fillId="3" borderId="4" xfId="1" applyFont="1" applyFill="1" applyBorder="1" applyAlignment="1" applyProtection="1">
      <alignment wrapText="1"/>
    </xf>
    <xf numFmtId="165" fontId="3" fillId="3" borderId="1" xfId="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5" fontId="3" fillId="2" borderId="39" xfId="0" applyNumberFormat="1" applyFont="1" applyFill="1" applyBorder="1" applyAlignment="1">
      <alignment wrapText="1"/>
    </xf>
    <xf numFmtId="0" fontId="3" fillId="2" borderId="11" xfId="0" applyFont="1" applyFill="1" applyBorder="1" applyAlignment="1">
      <alignment horizontal="center" wrapText="1"/>
    </xf>
    <xf numFmtId="165" fontId="6" fillId="2" borderId="40" xfId="0" applyNumberFormat="1" applyFont="1" applyFill="1" applyBorder="1" applyAlignment="1">
      <alignment wrapText="1"/>
    </xf>
    <xf numFmtId="165" fontId="3" fillId="2" borderId="33" xfId="1" applyFont="1" applyFill="1" applyBorder="1" applyAlignment="1">
      <alignment wrapText="1"/>
    </xf>
    <xf numFmtId="165" fontId="3" fillId="2" borderId="34" xfId="0"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0" borderId="40" xfId="0" applyNumberFormat="1" applyFont="1" applyBorder="1" applyAlignment="1" applyProtection="1">
      <alignment wrapText="1"/>
      <protection locked="0"/>
    </xf>
    <xf numFmtId="165" fontId="6" fillId="3" borderId="40" xfId="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5" fontId="6" fillId="2" borderId="3" xfId="0" applyNumberFormat="1" applyFont="1" applyFill="1" applyBorder="1" applyAlignment="1">
      <alignment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4" xfId="1" applyFont="1" applyFill="1" applyBorder="1" applyAlignment="1" applyProtection="1">
      <alignment vertical="center" wrapText="1"/>
    </xf>
    <xf numFmtId="165" fontId="3" fillId="2" borderId="38" xfId="1" applyFont="1" applyFill="1" applyBorder="1" applyAlignment="1" applyProtection="1">
      <alignment vertical="center" wrapText="1"/>
    </xf>
    <xf numFmtId="9" fontId="3" fillId="2" borderId="15" xfId="2" applyFont="1" applyFill="1" applyBorder="1" applyAlignment="1" applyProtection="1">
      <alignment vertical="center" wrapText="1"/>
    </xf>
    <xf numFmtId="0" fontId="4" fillId="2" borderId="29" xfId="0" applyFont="1" applyFill="1" applyBorder="1" applyAlignment="1">
      <alignment horizontal="left" vertical="center" wrapText="1"/>
    </xf>
    <xf numFmtId="165" fontId="3" fillId="2" borderId="17" xfId="0" applyNumberFormat="1" applyFont="1" applyFill="1" applyBorder="1" applyAlignment="1">
      <alignment vertical="center" wrapText="1"/>
    </xf>
    <xf numFmtId="0" fontId="4" fillId="2" borderId="8" xfId="0" applyFont="1" applyFill="1" applyBorder="1" applyAlignment="1">
      <alignment horizontal="lef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5"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5" fontId="6" fillId="2" borderId="9" xfId="0" applyNumberFormat="1"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3" fillId="2" borderId="40"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5" fontId="3" fillId="2" borderId="5" xfId="1" applyFont="1" applyFill="1" applyBorder="1" applyAlignment="1" applyProtection="1">
      <alignment vertical="center" wrapText="1"/>
    </xf>
    <xf numFmtId="165" fontId="3" fillId="2" borderId="4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4" xfId="0" applyNumberFormat="1" applyFont="1" applyFill="1" applyBorder="1" applyAlignment="1">
      <alignment vertical="center" wrapText="1"/>
    </xf>
    <xf numFmtId="165" fontId="6" fillId="2" borderId="3" xfId="1" applyFont="1" applyFill="1" applyBorder="1" applyAlignment="1" applyProtection="1">
      <alignment horizontal="center" vertical="center" wrapText="1"/>
    </xf>
    <xf numFmtId="165"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0" fontId="3" fillId="4" borderId="43" xfId="0" applyFont="1" applyFill="1" applyBorder="1" applyAlignment="1">
      <alignment vertical="center" wrapText="1"/>
    </xf>
    <xf numFmtId="165"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5" fontId="6" fillId="2" borderId="2" xfId="0" applyNumberFormat="1" applyFont="1" applyFill="1" applyBorder="1" applyAlignment="1">
      <alignment vertical="center" wrapText="1"/>
    </xf>
    <xf numFmtId="165" fontId="3" fillId="2" borderId="50" xfId="1" applyFont="1" applyFill="1" applyBorder="1" applyAlignment="1" applyProtection="1">
      <alignment vertical="center" wrapText="1"/>
    </xf>
    <xf numFmtId="165" fontId="3" fillId="2" borderId="0" xfId="1" applyFont="1" applyFill="1" applyBorder="1" applyAlignment="1">
      <alignment wrapText="1"/>
    </xf>
    <xf numFmtId="165" fontId="6" fillId="2" borderId="52" xfId="0" applyNumberFormat="1" applyFont="1" applyFill="1" applyBorder="1" applyAlignment="1">
      <alignment wrapText="1"/>
    </xf>
    <xf numFmtId="165" fontId="6" fillId="2" borderId="50" xfId="0" applyNumberFormat="1" applyFont="1" applyFill="1" applyBorder="1" applyAlignment="1">
      <alignment wrapText="1"/>
    </xf>
    <xf numFmtId="165" fontId="3" fillId="2" borderId="53" xfId="1" applyFont="1" applyFill="1" applyBorder="1" applyAlignment="1">
      <alignment wrapText="1"/>
    </xf>
    <xf numFmtId="0" fontId="8" fillId="2" borderId="35" xfId="0" applyFont="1" applyFill="1" applyBorder="1" applyAlignment="1">
      <alignment vertical="center" wrapText="1"/>
    </xf>
    <xf numFmtId="165" fontId="6" fillId="2" borderId="3" xfId="0" applyNumberFormat="1" applyFont="1" applyFill="1" applyBorder="1" applyAlignment="1">
      <alignment wrapText="1"/>
    </xf>
    <xf numFmtId="165" fontId="3" fillId="2" borderId="12" xfId="0" applyNumberFormat="1" applyFont="1" applyFill="1" applyBorder="1" applyAlignment="1">
      <alignment wrapText="1"/>
    </xf>
    <xf numFmtId="165" fontId="3" fillId="2" borderId="13" xfId="1" applyFont="1" applyFill="1" applyBorder="1" applyAlignment="1" applyProtection="1">
      <alignment wrapText="1"/>
    </xf>
    <xf numFmtId="165" fontId="3" fillId="2" borderId="14" xfId="1" applyFont="1" applyFill="1" applyBorder="1" applyAlignment="1">
      <alignment wrapText="1"/>
    </xf>
    <xf numFmtId="165" fontId="3" fillId="2" borderId="26" xfId="1" applyFont="1" applyFill="1" applyBorder="1" applyAlignment="1">
      <alignment wrapText="1"/>
    </xf>
    <xf numFmtId="165" fontId="3" fillId="2" borderId="21" xfId="0" applyNumberFormat="1" applyFont="1" applyFill="1" applyBorder="1" applyAlignment="1">
      <alignment wrapText="1"/>
    </xf>
    <xf numFmtId="165" fontId="6" fillId="2" borderId="8" xfId="1" applyFont="1" applyFill="1" applyBorder="1" applyAlignment="1" applyProtection="1">
      <alignment wrapText="1"/>
    </xf>
    <xf numFmtId="165" fontId="6" fillId="2" borderId="3" xfId="1" applyFont="1" applyFill="1" applyBorder="1" applyAlignment="1">
      <alignment wrapText="1"/>
    </xf>
    <xf numFmtId="0" fontId="3" fillId="2" borderId="28" xfId="0" applyFont="1" applyFill="1" applyBorder="1" applyAlignment="1">
      <alignment wrapText="1"/>
    </xf>
    <xf numFmtId="0" fontId="3" fillId="2" borderId="52" xfId="0" applyFont="1" applyFill="1" applyBorder="1" applyAlignment="1">
      <alignment horizontal="center" wrapText="1"/>
    </xf>
    <xf numFmtId="165" fontId="3" fillId="2" borderId="2" xfId="0" applyNumberFormat="1" applyFont="1" applyFill="1" applyBorder="1" applyAlignment="1">
      <alignment horizontal="center" wrapText="1"/>
    </xf>
    <xf numFmtId="165" fontId="6" fillId="2" borderId="39" xfId="0" applyNumberFormat="1" applyFont="1" applyFill="1" applyBorder="1" applyAlignment="1">
      <alignment wrapText="1"/>
    </xf>
    <xf numFmtId="165" fontId="6" fillId="2" borderId="15" xfId="0" applyNumberFormat="1" applyFont="1" applyFill="1" applyBorder="1" applyAlignment="1">
      <alignment wrapText="1"/>
    </xf>
    <xf numFmtId="0" fontId="17" fillId="0" borderId="0" xfId="0" applyFont="1" applyAlignment="1">
      <alignment wrapText="1"/>
    </xf>
    <xf numFmtId="0" fontId="6" fillId="2" borderId="3" xfId="0" applyFont="1" applyFill="1" applyBorder="1" applyAlignment="1">
      <alignment vertical="center" wrapText="1"/>
    </xf>
    <xf numFmtId="165" fontId="3" fillId="2" borderId="15" xfId="1" applyFont="1" applyFill="1" applyBorder="1" applyAlignment="1">
      <alignment wrapText="1"/>
    </xf>
    <xf numFmtId="165" fontId="6" fillId="2" borderId="54" xfId="1" applyFont="1" applyFill="1" applyBorder="1" applyAlignment="1" applyProtection="1">
      <alignment wrapText="1"/>
    </xf>
    <xf numFmtId="165" fontId="6" fillId="2" borderId="30" xfId="1" applyFont="1" applyFill="1" applyBorder="1" applyAlignment="1">
      <alignment wrapText="1"/>
    </xf>
    <xf numFmtId="165" fontId="6" fillId="2" borderId="9" xfId="1" applyFont="1" applyFill="1" applyBorder="1" applyAlignment="1">
      <alignment wrapText="1"/>
    </xf>
    <xf numFmtId="10" fontId="3" fillId="2" borderId="9" xfId="2" applyNumberFormat="1" applyFont="1" applyFill="1" applyBorder="1" applyAlignment="1" applyProtection="1">
      <alignment wrapText="1"/>
    </xf>
    <xf numFmtId="165" fontId="3"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3" fillId="3" borderId="0" xfId="1" applyFont="1" applyFill="1" applyBorder="1" applyAlignment="1">
      <alignment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3" fillId="0" borderId="0" xfId="1" applyFont="1" applyFill="1" applyBorder="1" applyAlignment="1">
      <alignment vertical="center" wrapText="1"/>
    </xf>
    <xf numFmtId="165" fontId="0" fillId="0" borderId="0" xfId="1" applyFont="1" applyFill="1" applyBorder="1" applyAlignment="1">
      <alignment wrapText="1"/>
    </xf>
    <xf numFmtId="165" fontId="14" fillId="0" borderId="0" xfId="1" applyFont="1" applyBorder="1" applyAlignment="1">
      <alignment wrapText="1"/>
    </xf>
    <xf numFmtId="165" fontId="3" fillId="2" borderId="29" xfId="0" applyNumberFormat="1" applyFont="1" applyFill="1" applyBorder="1" applyAlignment="1">
      <alignment vertical="center" wrapText="1"/>
    </xf>
    <xf numFmtId="165" fontId="0" fillId="2" borderId="17" xfId="1" applyFont="1" applyFill="1" applyBorder="1" applyAlignment="1">
      <alignment vertical="center" wrapText="1"/>
    </xf>
    <xf numFmtId="0" fontId="4" fillId="2" borderId="13" xfId="0" applyFont="1" applyFill="1" applyBorder="1" applyAlignment="1">
      <alignment wrapText="1"/>
    </xf>
    <xf numFmtId="165" fontId="0" fillId="2" borderId="14" xfId="0" applyNumberFormat="1" applyFill="1" applyBorder="1"/>
    <xf numFmtId="0" fontId="0" fillId="2" borderId="14" xfId="0" applyFill="1" applyBorder="1"/>
    <xf numFmtId="0" fontId="0" fillId="2" borderId="15" xfId="0" applyFill="1" applyBorder="1"/>
    <xf numFmtId="165" fontId="2" fillId="2" borderId="3" xfId="1" applyFont="1" applyFill="1" applyBorder="1" applyAlignment="1">
      <alignment vertical="center" wrapText="1"/>
    </xf>
    <xf numFmtId="0" fontId="3"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165" fontId="3" fillId="3" borderId="3" xfId="1" applyFont="1" applyFill="1" applyBorder="1" applyAlignment="1" applyProtection="1">
      <alignment horizontal="center" vertical="center" wrapText="1"/>
    </xf>
    <xf numFmtId="165" fontId="0" fillId="0" borderId="0" xfId="1" applyFont="1" applyFill="1" applyBorder="1" applyAlignment="1">
      <alignment vertical="center" wrapText="1"/>
    </xf>
    <xf numFmtId="0" fontId="12" fillId="6" borderId="6" xfId="0" applyFont="1" applyFill="1" applyBorder="1" applyAlignment="1">
      <alignment vertical="top" wrapText="1"/>
    </xf>
    <xf numFmtId="0" fontId="20" fillId="0" borderId="57" xfId="0" applyFont="1" applyBorder="1" applyAlignment="1">
      <alignment horizontal="left" wrapText="1"/>
    </xf>
    <xf numFmtId="0" fontId="18" fillId="0" borderId="0" xfId="0" applyFont="1" applyAlignment="1">
      <alignment horizontal="left" vertical="top" wrapText="1"/>
    </xf>
    <xf numFmtId="0" fontId="3" fillId="0" borderId="3" xfId="0" applyFont="1" applyBorder="1" applyAlignment="1" applyProtection="1">
      <alignment horizontal="center" vertical="center" wrapText="1"/>
      <protection locked="0"/>
    </xf>
    <xf numFmtId="0" fontId="0" fillId="0" borderId="0" xfId="0"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0" fontId="3" fillId="3" borderId="9" xfId="2" applyNumberFormat="1" applyFont="1" applyFill="1" applyBorder="1" applyAlignment="1" applyProtection="1">
      <alignment vertical="center" wrapText="1"/>
      <protection locked="0"/>
    </xf>
    <xf numFmtId="165" fontId="1" fillId="0" borderId="3" xfId="1" applyFont="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43" fontId="0" fillId="0" borderId="0" xfId="5" applyFont="1"/>
    <xf numFmtId="43" fontId="6" fillId="0" borderId="3" xfId="5" applyFont="1" applyBorder="1" applyAlignment="1" applyProtection="1">
      <alignment vertical="center" wrapText="1"/>
      <protection locked="0"/>
    </xf>
    <xf numFmtId="165" fontId="3" fillId="2" borderId="15" xfId="1" applyFont="1" applyFill="1" applyBorder="1" applyAlignment="1" applyProtection="1">
      <alignment vertical="center" wrapText="1"/>
    </xf>
    <xf numFmtId="168" fontId="6" fillId="0" borderId="3" xfId="1" applyNumberFormat="1" applyFont="1" applyBorder="1" applyAlignment="1" applyProtection="1">
      <alignment horizontal="center" vertical="center" wrapText="1"/>
      <protection locked="0"/>
    </xf>
    <xf numFmtId="165" fontId="6" fillId="0" borderId="40" xfId="5" applyNumberFormat="1" applyFont="1" applyBorder="1" applyAlignment="1" applyProtection="1">
      <alignment wrapText="1"/>
      <protection locked="0"/>
    </xf>
    <xf numFmtId="165" fontId="6" fillId="0" borderId="3" xfId="5" applyNumberFormat="1" applyFont="1" applyBorder="1" applyAlignment="1" applyProtection="1">
      <alignment wrapText="1"/>
      <protection locked="0"/>
    </xf>
    <xf numFmtId="14" fontId="0" fillId="0" borderId="0" xfId="0" applyNumberFormat="1"/>
    <xf numFmtId="0" fontId="0" fillId="10" borderId="0" xfId="0" applyFill="1"/>
    <xf numFmtId="0" fontId="29" fillId="13" borderId="19" xfId="0" applyFont="1" applyFill="1" applyBorder="1" applyAlignment="1">
      <alignment horizontal="center" vertical="center" wrapText="1"/>
    </xf>
    <xf numFmtId="0" fontId="31" fillId="11" borderId="58" xfId="0" applyFont="1" applyFill="1" applyBorder="1"/>
    <xf numFmtId="0" fontId="24" fillId="0" borderId="0" xfId="0" applyFont="1"/>
    <xf numFmtId="43" fontId="31" fillId="11" borderId="58" xfId="5" applyFont="1" applyFill="1" applyBorder="1"/>
    <xf numFmtId="170" fontId="24" fillId="0" borderId="0" xfId="5" applyNumberFormat="1" applyFont="1" applyAlignment="1">
      <alignment horizontal="right"/>
    </xf>
    <xf numFmtId="0" fontId="32" fillId="2" borderId="3" xfId="0" applyFont="1" applyFill="1" applyBorder="1" applyAlignment="1">
      <alignment vertical="center" wrapText="1"/>
    </xf>
    <xf numFmtId="0" fontId="32" fillId="2" borderId="3" xfId="0" applyFont="1" applyFill="1" applyBorder="1" applyAlignment="1" applyProtection="1">
      <alignment vertical="center" wrapText="1"/>
      <protection locked="0"/>
    </xf>
    <xf numFmtId="0" fontId="29" fillId="13" borderId="12" xfId="0" applyFont="1" applyFill="1" applyBorder="1" applyAlignment="1">
      <alignment horizontal="center" vertical="center" wrapText="1"/>
    </xf>
    <xf numFmtId="49" fontId="0" fillId="0" borderId="3" xfId="0" applyNumberFormat="1" applyBorder="1"/>
    <xf numFmtId="0" fontId="0" fillId="0" borderId="3" xfId="0" applyBorder="1"/>
    <xf numFmtId="43" fontId="29" fillId="13" borderId="12" xfId="5" applyFont="1" applyFill="1" applyBorder="1" applyAlignment="1">
      <alignment horizontal="center" vertical="center" wrapText="1"/>
    </xf>
    <xf numFmtId="43" fontId="0" fillId="0" borderId="3" xfId="5" applyFont="1" applyBorder="1"/>
    <xf numFmtId="167" fontId="29" fillId="13" borderId="19" xfId="5" applyNumberFormat="1" applyFont="1" applyFill="1" applyBorder="1" applyAlignment="1">
      <alignment horizontal="center" vertical="center" wrapText="1"/>
    </xf>
    <xf numFmtId="14" fontId="24" fillId="0" borderId="0" xfId="5" applyNumberFormat="1" applyFont="1"/>
    <xf numFmtId="43" fontId="4" fillId="0" borderId="3" xfId="5" applyFont="1" applyBorder="1"/>
    <xf numFmtId="0" fontId="32" fillId="2" borderId="51" xfId="0" applyFont="1" applyFill="1" applyBorder="1" applyAlignment="1">
      <alignment vertical="center" wrapText="1"/>
    </xf>
    <xf numFmtId="0" fontId="32" fillId="7" borderId="3" xfId="0" applyFont="1" applyFill="1" applyBorder="1" applyAlignment="1">
      <alignment vertical="center" wrapText="1"/>
    </xf>
    <xf numFmtId="43" fontId="0" fillId="7" borderId="3" xfId="5" applyFont="1" applyFill="1" applyBorder="1"/>
    <xf numFmtId="165" fontId="6" fillId="14" borderId="0" xfId="1" applyFont="1" applyFill="1" applyBorder="1" applyAlignment="1" applyProtection="1">
      <alignment vertical="center" wrapText="1"/>
      <protection locked="0"/>
    </xf>
    <xf numFmtId="10" fontId="4" fillId="2" borderId="15" xfId="2" applyNumberFormat="1" applyFont="1" applyFill="1" applyBorder="1" applyAlignment="1">
      <alignment wrapText="1"/>
    </xf>
    <xf numFmtId="0" fontId="24" fillId="9" borderId="0" xfId="0" applyFont="1" applyFill="1"/>
    <xf numFmtId="0" fontId="0" fillId="9" borderId="0" xfId="0" applyFill="1"/>
    <xf numFmtId="10" fontId="0" fillId="0" borderId="3" xfId="2" applyNumberFormat="1" applyFont="1" applyFill="1" applyBorder="1"/>
    <xf numFmtId="10" fontId="19" fillId="8" borderId="3" xfId="2" applyNumberFormat="1" applyFont="1" applyFill="1" applyBorder="1" applyAlignment="1">
      <alignment horizontal="center" vertical="center"/>
    </xf>
    <xf numFmtId="43" fontId="23" fillId="0" borderId="3" xfId="5" applyFont="1" applyBorder="1"/>
    <xf numFmtId="0" fontId="33" fillId="15" borderId="23" xfId="0" applyFont="1" applyFill="1" applyBorder="1" applyAlignment="1">
      <alignment horizontal="center" vertical="center" wrapText="1"/>
    </xf>
    <xf numFmtId="0" fontId="34" fillId="15" borderId="16" xfId="0" applyFont="1" applyFill="1" applyBorder="1" applyAlignment="1">
      <alignment horizontal="center" vertical="center" wrapText="1"/>
    </xf>
    <xf numFmtId="0" fontId="34" fillId="15" borderId="6" xfId="0" applyFont="1" applyFill="1" applyBorder="1" applyAlignment="1">
      <alignment horizontal="center" vertical="center" wrapText="1"/>
    </xf>
    <xf numFmtId="0" fontId="34" fillId="15" borderId="19" xfId="0" applyFont="1" applyFill="1" applyBorder="1" applyAlignment="1">
      <alignment horizontal="center" vertical="center" wrapText="1"/>
    </xf>
    <xf numFmtId="0" fontId="35" fillId="17" borderId="19" xfId="0" applyFont="1" applyFill="1" applyBorder="1" applyAlignment="1">
      <alignment vertical="center" wrapText="1"/>
    </xf>
    <xf numFmtId="0" fontId="35" fillId="17" borderId="12" xfId="0" applyFont="1" applyFill="1" applyBorder="1" applyAlignment="1">
      <alignment vertical="center" wrapText="1"/>
    </xf>
    <xf numFmtId="0" fontId="34" fillId="18" borderId="21" xfId="0" applyFont="1" applyFill="1" applyBorder="1" applyAlignment="1">
      <alignment vertical="center" wrapText="1"/>
    </xf>
    <xf numFmtId="0" fontId="34" fillId="18" borderId="21" xfId="0" applyFont="1" applyFill="1" applyBorder="1" applyAlignment="1">
      <alignment horizontal="center" vertical="center" wrapText="1"/>
    </xf>
    <xf numFmtId="0" fontId="34" fillId="18" borderId="26" xfId="0" applyFont="1" applyFill="1" applyBorder="1" applyAlignment="1">
      <alignment horizontal="center" vertical="center" wrapText="1"/>
    </xf>
    <xf numFmtId="167" fontId="0" fillId="9" borderId="0" xfId="5" applyNumberFormat="1" applyFont="1" applyFill="1"/>
    <xf numFmtId="170" fontId="0" fillId="0" borderId="0" xfId="0" applyNumberFormat="1"/>
    <xf numFmtId="10" fontId="35" fillId="17" borderId="19" xfId="0" applyNumberFormat="1" applyFont="1" applyFill="1" applyBorder="1" applyAlignment="1">
      <alignment horizontal="center" vertical="center" wrapText="1"/>
    </xf>
    <xf numFmtId="43" fontId="35" fillId="17" borderId="19" xfId="0" applyNumberFormat="1" applyFont="1" applyFill="1" applyBorder="1" applyAlignment="1">
      <alignment vertical="center" wrapText="1"/>
    </xf>
    <xf numFmtId="43" fontId="35" fillId="17" borderId="0" xfId="5" applyFont="1" applyFill="1" applyAlignment="1">
      <alignment horizontal="center" vertical="center" wrapText="1"/>
    </xf>
    <xf numFmtId="10" fontId="0" fillId="0" borderId="0" xfId="2" applyNumberFormat="1" applyFont="1"/>
    <xf numFmtId="10" fontId="35" fillId="17" borderId="16" xfId="2" applyNumberFormat="1" applyFont="1" applyFill="1" applyBorder="1" applyAlignment="1">
      <alignment horizontal="center" vertical="center" wrapText="1"/>
    </xf>
    <xf numFmtId="167" fontId="0" fillId="0" borderId="0" xfId="0" applyNumberFormat="1"/>
    <xf numFmtId="43" fontId="0" fillId="10" borderId="0" xfId="0" applyNumberFormat="1" applyFill="1"/>
    <xf numFmtId="9" fontId="0" fillId="0" borderId="0" xfId="2" applyFont="1" applyAlignment="1">
      <alignment horizontal="center" vertical="center"/>
    </xf>
    <xf numFmtId="0" fontId="6" fillId="0" borderId="0" xfId="0" applyFont="1" applyAlignment="1" applyProtection="1">
      <alignment wrapText="1"/>
      <protection locked="0"/>
    </xf>
    <xf numFmtId="171" fontId="0" fillId="0" borderId="0" xfId="0" applyNumberFormat="1"/>
    <xf numFmtId="164" fontId="1" fillId="3" borderId="3" xfId="1" applyNumberFormat="1" applyFont="1" applyFill="1" applyBorder="1" applyAlignment="1" applyProtection="1">
      <alignment horizontal="left" wrapText="1"/>
      <protection locked="0"/>
    </xf>
    <xf numFmtId="165" fontId="36" fillId="2" borderId="40" xfId="0" applyNumberFormat="1" applyFont="1" applyFill="1" applyBorder="1" applyAlignment="1">
      <alignment wrapText="1"/>
    </xf>
    <xf numFmtId="165" fontId="36" fillId="2" borderId="52" xfId="0" applyNumberFormat="1" applyFont="1" applyFill="1" applyBorder="1" applyAlignment="1">
      <alignment wrapText="1"/>
    </xf>
    <xf numFmtId="165" fontId="36" fillId="2" borderId="50" xfId="0" applyNumberFormat="1" applyFont="1" applyFill="1" applyBorder="1" applyAlignment="1">
      <alignment wrapText="1"/>
    </xf>
    <xf numFmtId="43" fontId="4" fillId="0" borderId="0" xfId="5" applyFont="1" applyFill="1" applyBorder="1" applyAlignment="1">
      <alignment wrapText="1"/>
    </xf>
    <xf numFmtId="165" fontId="1" fillId="2" borderId="40" xfId="0" applyNumberFormat="1" applyFont="1" applyFill="1" applyBorder="1" applyAlignment="1">
      <alignment wrapText="1"/>
    </xf>
    <xf numFmtId="165" fontId="1" fillId="2" borderId="51" xfId="0" applyNumberFormat="1" applyFont="1" applyFill="1" applyBorder="1" applyAlignment="1">
      <alignment wrapText="1"/>
    </xf>
    <xf numFmtId="0" fontId="18" fillId="0" borderId="0" xfId="0" applyFont="1" applyAlignment="1">
      <alignment horizontal="left" vertical="top" wrapText="1"/>
    </xf>
    <xf numFmtId="0" fontId="28" fillId="13" borderId="23" xfId="0" applyFont="1" applyFill="1" applyBorder="1" applyAlignment="1">
      <alignment horizontal="center" vertical="center" wrapText="1"/>
    </xf>
    <xf numFmtId="0" fontId="28" fillId="13" borderId="24"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9" fillId="13" borderId="24" xfId="0" applyFont="1" applyFill="1" applyBorder="1" applyAlignment="1">
      <alignment horizontal="center" vertical="center" wrapText="1"/>
    </xf>
    <xf numFmtId="0" fontId="35" fillId="16" borderId="23" xfId="0" applyFont="1" applyFill="1" applyBorder="1" applyAlignment="1">
      <alignment horizontal="center" vertical="center" wrapText="1"/>
    </xf>
    <xf numFmtId="0" fontId="35" fillId="16" borderId="59" xfId="0" applyFont="1" applyFill="1" applyBorder="1" applyAlignment="1">
      <alignment horizontal="center" vertical="center" wrapText="1"/>
    </xf>
    <xf numFmtId="0" fontId="35" fillId="0" borderId="23" xfId="0" applyFont="1" applyBorder="1" applyAlignment="1">
      <alignment horizontal="center" vertical="center" wrapText="1"/>
    </xf>
    <xf numFmtId="0" fontId="35" fillId="0" borderId="59" xfId="0"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5" fontId="3" fillId="2" borderId="5" xfId="1" applyFont="1" applyFill="1" applyBorder="1" applyAlignment="1" applyProtection="1">
      <alignment horizontal="center" vertical="center" wrapText="1"/>
    </xf>
    <xf numFmtId="165" fontId="3" fillId="2" borderId="40" xfId="1" applyFont="1" applyFill="1" applyBorder="1" applyAlignment="1" applyProtection="1">
      <alignment horizontal="center" vertical="center" wrapText="1"/>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3" fillId="4" borderId="42" xfId="0" applyFont="1" applyFill="1" applyBorder="1" applyAlignment="1">
      <alignment horizontal="center" vertical="center" wrapText="1"/>
    </xf>
    <xf numFmtId="0" fontId="3" fillId="4" borderId="44" xfId="0" applyFont="1" applyFill="1" applyBorder="1" applyAlignment="1">
      <alignment horizontal="center" vertical="center" wrapText="1"/>
    </xf>
    <xf numFmtId="165" fontId="3" fillId="2" borderId="32" xfId="1" applyFont="1" applyFill="1" applyBorder="1" applyAlignment="1" applyProtection="1">
      <alignment horizontal="center" vertical="center" wrapText="1"/>
      <protection locked="0"/>
    </xf>
    <xf numFmtId="165" fontId="3" fillId="2" borderId="39" xfId="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0" fillId="0" borderId="57" xfId="0" applyFont="1" applyBorder="1" applyAlignment="1">
      <alignment horizontal="left" wrapText="1"/>
    </xf>
    <xf numFmtId="0" fontId="3" fillId="2" borderId="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0" borderId="0" xfId="0" applyFont="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2" borderId="55"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30" xfId="0" applyFont="1" applyFill="1" applyBorder="1" applyAlignment="1">
      <alignment horizontal="center" vertical="center" wrapText="1"/>
    </xf>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3" fillId="2" borderId="22" xfId="0" applyFont="1" applyFill="1" applyBorder="1" applyAlignment="1">
      <alignment horizontal="center" wrapText="1"/>
    </xf>
    <xf numFmtId="165" fontId="4" fillId="2" borderId="4" xfId="0" applyNumberFormat="1" applyFont="1" applyFill="1" applyBorder="1" applyAlignment="1">
      <alignment horizontal="center"/>
    </xf>
    <xf numFmtId="165" fontId="4" fillId="2" borderId="36" xfId="0" applyNumberFormat="1" applyFont="1" applyFill="1" applyBorder="1" applyAlignment="1">
      <alignment horizontal="center"/>
    </xf>
    <xf numFmtId="165" fontId="4" fillId="2" borderId="45" xfId="0" applyNumberFormat="1" applyFont="1" applyFill="1" applyBorder="1" applyAlignment="1">
      <alignment horizontal="center"/>
    </xf>
    <xf numFmtId="165" fontId="4" fillId="2" borderId="46" xfId="0" applyNumberFormat="1" applyFont="1" applyFill="1" applyBorder="1" applyAlignment="1">
      <alignment horizontal="center"/>
    </xf>
    <xf numFmtId="0" fontId="4" fillId="2" borderId="42" xfId="0" applyFont="1" applyFill="1" applyBorder="1" applyAlignment="1">
      <alignment horizontal="left"/>
    </xf>
    <xf numFmtId="0" fontId="4" fillId="2" borderId="43" xfId="0" applyFont="1" applyFill="1" applyBorder="1" applyAlignment="1">
      <alignment horizontal="left"/>
    </xf>
    <xf numFmtId="0" fontId="4"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0" fontId="3" fillId="2" borderId="56" xfId="0" applyFont="1" applyFill="1" applyBorder="1" applyAlignment="1">
      <alignment horizontal="center" vertical="center" wrapText="1"/>
    </xf>
  </cellXfs>
  <cellStyles count="8">
    <cellStyle name="Comma 2" xfId="3" xr:uid="{7FB41E66-F8C8-474C-B35F-0264BA3CA551}"/>
    <cellStyle name="Comma 3" xfId="7" xr:uid="{459D5401-01CA-46CB-A1AD-7639A395A03B}"/>
    <cellStyle name="InputNumber" xfId="6" xr:uid="{377A81AD-1540-4D7B-B65A-5F107D6FC126}"/>
    <cellStyle name="Milliers" xfId="5" builtinId="3"/>
    <cellStyle name="Monétaire" xfId="1" builtinId="4"/>
    <cellStyle name="Normal" xfId="0" builtinId="0"/>
    <cellStyle name="Normal 2 2" xfId="4" xr:uid="{C3EED1CF-90F9-4176-A093-5E0F9966F606}"/>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FINANCE%20REPORT%202021/Field%20Officers%20Monthly%20Report%20Madagascar%2031%20Januar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BUDGET%20UNPBF%202021/division%20salaire/Copy%20of%20Division%20de%20salaire%20juill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aina%20Ramarshon/Documents/EISA%20Madagascar%202021/Documents/NIAINA%202021/BUDGET%20UNPBF%202021/Budget%20up%20date/comparaison%20des%20depe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 Codes"/>
      <sheetName val="BOA BANK"/>
      <sheetName val="BMOI BANK"/>
      <sheetName val="BOA-Jessica"/>
      <sheetName val="Petty cash"/>
      <sheetName val="Sheet1"/>
    </sheetNames>
    <sheetDataSet>
      <sheetData sheetId="0">
        <row r="2">
          <cell r="G2" t="str">
            <v>No Activity</v>
          </cell>
          <cell r="J2" t="str">
            <v>Consulting Income or BES</v>
          </cell>
          <cell r="M2" t="str">
            <v>None</v>
          </cell>
        </row>
        <row r="3">
          <cell r="G3" t="str">
            <v>Activity 1</v>
          </cell>
          <cell r="J3" t="str">
            <v>Administration Fee</v>
          </cell>
          <cell r="M3" t="str">
            <v>Cecile Bassomo</v>
          </cell>
        </row>
        <row r="4">
          <cell r="G4" t="str">
            <v>Activity 2</v>
          </cell>
          <cell r="J4" t="str">
            <v>Angola Recovered</v>
          </cell>
          <cell r="M4" t="str">
            <v>Ebrahim Fakir</v>
          </cell>
        </row>
        <row r="5">
          <cell r="G5" t="str">
            <v>Activity 3</v>
          </cell>
          <cell r="J5" t="str">
            <v>Grants</v>
          </cell>
          <cell r="M5" t="str">
            <v>Grant Masterson</v>
          </cell>
        </row>
        <row r="6">
          <cell r="G6" t="str">
            <v>Activity 4</v>
          </cell>
          <cell r="J6" t="str">
            <v>Interest Received</v>
          </cell>
          <cell r="M6" t="str">
            <v>Lucien Toulou</v>
          </cell>
        </row>
        <row r="7">
          <cell r="G7" t="str">
            <v>Activity 5</v>
          </cell>
          <cell r="J7" t="str">
            <v>Sundry Income</v>
          </cell>
          <cell r="M7" t="str">
            <v>Naphtaly Sekamogeng</v>
          </cell>
        </row>
        <row r="8">
          <cell r="G8" t="str">
            <v>Activity 6</v>
          </cell>
          <cell r="J8" t="str">
            <v>Profit or Loss on Sale of Fixed Asset</v>
          </cell>
          <cell r="M8" t="str">
            <v>Ntokozo Ngidi</v>
          </cell>
        </row>
        <row r="9">
          <cell r="G9" t="str">
            <v>Activity 7</v>
          </cell>
          <cell r="J9" t="str">
            <v>Rent Income</v>
          </cell>
          <cell r="M9" t="str">
            <v>Olufunto Akinduro</v>
          </cell>
        </row>
        <row r="10">
          <cell r="G10" t="str">
            <v>Activity 8</v>
          </cell>
          <cell r="J10" t="str">
            <v>Profit or Loss on Foreign Exchange</v>
          </cell>
          <cell r="M10" t="str">
            <v>Robert Gerenge</v>
          </cell>
        </row>
        <row r="11">
          <cell r="G11" t="str">
            <v>Activity 9</v>
          </cell>
          <cell r="J11" t="str">
            <v>Recovery of Salaries</v>
          </cell>
          <cell r="M11" t="str">
            <v>Vincent Tohbi</v>
          </cell>
        </row>
        <row r="12">
          <cell r="G12" t="str">
            <v>Activity 10</v>
          </cell>
          <cell r="J12" t="str">
            <v>Equipment Rental Recovery</v>
          </cell>
          <cell r="M12" t="str">
            <v>Yvette Walljee</v>
          </cell>
        </row>
        <row r="13">
          <cell r="G13" t="str">
            <v>Activity 11</v>
          </cell>
          <cell r="J13" t="str">
            <v>Insurance (Assets &amp; Indemnity) Recovery</v>
          </cell>
          <cell r="M13" t="str">
            <v>Deane Stuart</v>
          </cell>
        </row>
        <row r="14">
          <cell r="G14" t="str">
            <v>Activity 12</v>
          </cell>
          <cell r="J14" t="str">
            <v>Recovery of Premise Costs</v>
          </cell>
          <cell r="M14" t="str">
            <v>Ilona Tip</v>
          </cell>
        </row>
        <row r="15">
          <cell r="G15" t="str">
            <v>Activity 13</v>
          </cell>
          <cell r="J15" t="str">
            <v>Revaluation of Forex Currencies</v>
          </cell>
          <cell r="M15" t="str">
            <v>Irene Maboea</v>
          </cell>
        </row>
        <row r="16">
          <cell r="G16" t="str">
            <v>Activity 14</v>
          </cell>
          <cell r="J16" t="str">
            <v>Bank Charges</v>
          </cell>
          <cell r="M16" t="str">
            <v>Denis Kadima</v>
          </cell>
        </row>
        <row r="17">
          <cell r="G17" t="str">
            <v>Activity 15</v>
          </cell>
          <cell r="J17" t="str">
            <v>Bad Debts</v>
          </cell>
          <cell r="M17" t="str">
            <v>Zahira Seedat</v>
          </cell>
        </row>
        <row r="18">
          <cell r="G18" t="str">
            <v>Activity 16</v>
          </cell>
          <cell r="J18" t="str">
            <v>Advertising</v>
          </cell>
          <cell r="M18" t="str">
            <v>Dipti Bava</v>
          </cell>
        </row>
        <row r="19">
          <cell r="G19" t="str">
            <v>Activity 17</v>
          </cell>
          <cell r="J19" t="str">
            <v>Audit Fees</v>
          </cell>
          <cell r="M19" t="str">
            <v>Eralda Vahidi</v>
          </cell>
        </row>
        <row r="20">
          <cell r="G20" t="str">
            <v>Activity 18</v>
          </cell>
          <cell r="J20" t="str">
            <v>Company Secretarial Costs</v>
          </cell>
          <cell r="M20" t="str">
            <v>Ivy Pillay</v>
          </cell>
        </row>
        <row r="21">
          <cell r="G21" t="str">
            <v>Activity 19</v>
          </cell>
          <cell r="J21" t="str">
            <v>Consulting &amp; Sitting &amp; Stipent Fees</v>
          </cell>
          <cell r="M21" t="str">
            <v>Maria Hooper</v>
          </cell>
        </row>
        <row r="22">
          <cell r="G22" t="str">
            <v>Activity 20</v>
          </cell>
          <cell r="J22" t="str">
            <v>Depreciation</v>
          </cell>
          <cell r="M22" t="str">
            <v>Mathembi Mehlomekhulu</v>
          </cell>
        </row>
        <row r="23">
          <cell r="G23" t="str">
            <v>HQ staff salaries</v>
          </cell>
          <cell r="J23" t="str">
            <v>Electricity, Water &amp; Rates</v>
          </cell>
          <cell r="M23" t="str">
            <v>Peter Mahlomola Maje</v>
          </cell>
        </row>
        <row r="24">
          <cell r="G24" t="str">
            <v>Project staff salaries</v>
          </cell>
          <cell r="J24" t="str">
            <v>Entertainment</v>
          </cell>
          <cell r="M24" t="str">
            <v>Pontsho Motaung</v>
          </cell>
        </row>
        <row r="25">
          <cell r="G25" t="str">
            <v>Operating cost</v>
          </cell>
          <cell r="J25" t="str">
            <v>Equipment Purchases</v>
          </cell>
          <cell r="M25" t="str">
            <v>Usha Kala</v>
          </cell>
        </row>
        <row r="26">
          <cell r="G26" t="str">
            <v>EISA support</v>
          </cell>
          <cell r="J26" t="str">
            <v>Equipment Rental</v>
          </cell>
          <cell r="M26" t="str">
            <v>Michael Moleffe</v>
          </cell>
        </row>
        <row r="27">
          <cell r="G27" t="str">
            <v>Administration fee</v>
          </cell>
          <cell r="J27" t="str">
            <v>Events Materials</v>
          </cell>
          <cell r="M27" t="str">
            <v>Miguel De Brito</v>
          </cell>
        </row>
        <row r="28">
          <cell r="G28" t="str">
            <v>Income</v>
          </cell>
          <cell r="J28" t="str">
            <v>Furniture Purchases</v>
          </cell>
          <cell r="M28" t="str">
            <v>Francisco Langa</v>
          </cell>
        </row>
        <row r="29">
          <cell r="J29" t="str">
            <v>Insurance (Assets &amp; Indemnity)</v>
          </cell>
          <cell r="M29" t="str">
            <v>Anissa Izidine</v>
          </cell>
        </row>
        <row r="30">
          <cell r="J30" t="str">
            <v>Interest Paid</v>
          </cell>
          <cell r="M30" t="str">
            <v xml:space="preserve">Aime Konan </v>
          </cell>
        </row>
        <row r="31">
          <cell r="J31" t="str">
            <v>IT Expenses</v>
          </cell>
          <cell r="M31" t="str">
            <v>Zaiarivelo Rajaonarisoa</v>
          </cell>
        </row>
        <row r="32">
          <cell r="J32" t="str">
            <v>Legal Expenses</v>
          </cell>
          <cell r="M32" t="str">
            <v>Malala-Tiana Ranovona</v>
          </cell>
        </row>
        <row r="33">
          <cell r="J33" t="str">
            <v>Medical Expenses &amp; Insurance</v>
          </cell>
          <cell r="M33" t="str">
            <v>Niaina Ramaroshon</v>
          </cell>
        </row>
        <row r="34">
          <cell r="J34" t="str">
            <v>Motor Expenses &amp; Insurance</v>
          </cell>
          <cell r="M34" t="str">
            <v>Florent Musakayi Kabongo</v>
          </cell>
        </row>
        <row r="35">
          <cell r="J35" t="str">
            <v>Office Supplies</v>
          </cell>
          <cell r="M35" t="str">
            <v>Hikmat Abramane Adamou</v>
          </cell>
        </row>
        <row r="36">
          <cell r="J36" t="str">
            <v>Postage &amp; Delivery</v>
          </cell>
          <cell r="M36" t="str">
            <v>Baidessou Soukolhue</v>
          </cell>
        </row>
        <row r="37">
          <cell r="J37" t="str">
            <v>Printing &amp; Stationery</v>
          </cell>
          <cell r="M37" t="str">
            <v>Souleymane Ndigua El-Hajd</v>
          </cell>
        </row>
        <row r="38">
          <cell r="J38" t="str">
            <v>Publication - Distribution</v>
          </cell>
          <cell r="M38" t="str">
            <v>Angele Mayangar Mobeti</v>
          </cell>
        </row>
        <row r="39">
          <cell r="J39" t="str">
            <v>Publication - Layout &amp; Design</v>
          </cell>
          <cell r="M39" t="str">
            <v>Lucien Toulou</v>
          </cell>
        </row>
        <row r="40">
          <cell r="J40" t="str">
            <v>Publication - Printing</v>
          </cell>
          <cell r="M40" t="str">
            <v>Gamushirai Matsheza</v>
          </cell>
        </row>
        <row r="41">
          <cell r="J41" t="str">
            <v>Publication - Proof-reading &amp; Editing</v>
          </cell>
          <cell r="M41" t="str">
            <v>Phillip Muziri</v>
          </cell>
        </row>
        <row r="42">
          <cell r="J42" t="str">
            <v>Translation &amp; Intepretation</v>
          </cell>
          <cell r="M42" t="str">
            <v>Victor Shale</v>
          </cell>
        </row>
        <row r="43">
          <cell r="J43" t="str">
            <v>Recruitment &amp; Relocation Costs</v>
          </cell>
          <cell r="M43" t="str">
            <v>Felix Odhiambo Owuor</v>
          </cell>
        </row>
        <row r="44">
          <cell r="J44" t="str">
            <v>Rent</v>
          </cell>
          <cell r="M44" t="str">
            <v>Ange-Marie Grace Nijimbere</v>
          </cell>
        </row>
        <row r="45">
          <cell r="J45" t="str">
            <v>Repairs &amp; Maint.</v>
          </cell>
          <cell r="M45" t="str">
            <v>Willis Evans Otieno K'Ochieng</v>
          </cell>
        </row>
        <row r="46">
          <cell r="J46" t="str">
            <v>Salaries - Salaries</v>
          </cell>
          <cell r="M46" t="str">
            <v>Magdalena Kieti</v>
          </cell>
        </row>
        <row r="47">
          <cell r="J47" t="str">
            <v>Salaries - Temp Staff Pay</v>
          </cell>
          <cell r="M47" t="str">
            <v>Fred Ouma</v>
          </cell>
        </row>
        <row r="48">
          <cell r="J48" t="str">
            <v>Salaries - Non Core</v>
          </cell>
          <cell r="M48" t="str">
            <v>Dito Canazache</v>
          </cell>
        </row>
        <row r="49">
          <cell r="J49" t="str">
            <v>Security</v>
          </cell>
          <cell r="M49" t="str">
            <v>Justin Doua</v>
          </cell>
        </row>
        <row r="50">
          <cell r="J50" t="str">
            <v>Staff Training &amp; Development Fee</v>
          </cell>
          <cell r="M50" t="str">
            <v>Shingirai Mutandwa</v>
          </cell>
        </row>
        <row r="51">
          <cell r="J51" t="str">
            <v>Subscriptions</v>
          </cell>
          <cell r="M51" t="str">
            <v>Nivoarivony</v>
          </cell>
        </row>
        <row r="52">
          <cell r="J52" t="str">
            <v>Telephone &amp; Fax</v>
          </cell>
          <cell r="M52" t="str">
            <v>Jessica Ranohefy</v>
          </cell>
        </row>
        <row r="53">
          <cell r="J53" t="str">
            <v>Travel - Accommodation</v>
          </cell>
          <cell r="M53" t="str">
            <v>Onja Ramiliarijaona</v>
          </cell>
        </row>
        <row r="54">
          <cell r="J54" t="str">
            <v>Travel - Flights, Train, Bus</v>
          </cell>
          <cell r="M54" t="str">
            <v>Randrara Rakotomalala</v>
          </cell>
        </row>
        <row r="55">
          <cell r="J55" t="str">
            <v>Travel - Insurance</v>
          </cell>
        </row>
        <row r="56">
          <cell r="J56" t="str">
            <v>Travel - Perdiem</v>
          </cell>
        </row>
        <row r="57">
          <cell r="J57" t="str">
            <v>Travel - Transfers or Local Transport</v>
          </cell>
        </row>
        <row r="58">
          <cell r="J58" t="str">
            <v>Travel - Visa</v>
          </cell>
        </row>
        <row r="59">
          <cell r="J59" t="str">
            <v>Vehicle Purchases</v>
          </cell>
        </row>
        <row r="60">
          <cell r="J60" t="str">
            <v>Venue &amp; Catering</v>
          </cell>
        </row>
        <row r="61">
          <cell r="J61" t="str">
            <v>Adminstration Charges</v>
          </cell>
        </row>
        <row r="62">
          <cell r="J62" t="str">
            <v>Vehicle Rental</v>
          </cell>
        </row>
        <row r="63">
          <cell r="J63" t="str">
            <v>Sustainability Reserve Fund</v>
          </cell>
        </row>
        <row r="64">
          <cell r="J64" t="str">
            <v>Operating Fund</v>
          </cell>
        </row>
        <row r="65">
          <cell r="J65" t="str">
            <v>Retrenchment Fund</v>
          </cell>
        </row>
        <row r="66">
          <cell r="J66" t="str">
            <v>Revaluation Reserve Fund</v>
          </cell>
        </row>
        <row r="67">
          <cell r="J67" t="str">
            <v>Buildings - Cost</v>
          </cell>
        </row>
        <row r="68">
          <cell r="J68" t="str">
            <v>Buildings - Acc. Depreciation</v>
          </cell>
        </row>
        <row r="69">
          <cell r="J69" t="str">
            <v>Computer Equipment-Acc. Depreciation</v>
          </cell>
        </row>
        <row r="70">
          <cell r="J70" t="str">
            <v>Computer Equipment-Cost</v>
          </cell>
        </row>
        <row r="71">
          <cell r="J71" t="str">
            <v>Furniture &amp; Fittings-Acc. Depreciation</v>
          </cell>
        </row>
        <row r="72">
          <cell r="J72" t="str">
            <v>Furniture &amp; Fittings-Cost</v>
          </cell>
        </row>
        <row r="73">
          <cell r="J73" t="str">
            <v>Motor Vehicles-Acc. Depreciation</v>
          </cell>
        </row>
        <row r="74">
          <cell r="J74" t="str">
            <v>Motor Vehicles-Cost</v>
          </cell>
        </row>
        <row r="75">
          <cell r="J75" t="str">
            <v>Office Equipment-Acc. Depreciation</v>
          </cell>
        </row>
        <row r="76">
          <cell r="J76" t="str">
            <v>Office Equipment-Cost</v>
          </cell>
        </row>
        <row r="77">
          <cell r="J77" t="str">
            <v>Receivables Control</v>
          </cell>
        </row>
        <row r="78">
          <cell r="J78" t="str">
            <v>Staff Personal Advances</v>
          </cell>
        </row>
        <row r="79">
          <cell r="J79" t="str">
            <v>Project Advances</v>
          </cell>
        </row>
        <row r="80">
          <cell r="J80" t="str">
            <v>Deposits</v>
          </cell>
        </row>
        <row r="81">
          <cell r="J81" t="str">
            <v>Travel Insurance Advances</v>
          </cell>
        </row>
        <row r="82">
          <cell r="J82" t="str">
            <v>Accrued Income</v>
          </cell>
        </row>
        <row r="83">
          <cell r="J83" t="str">
            <v>Credit Card</v>
          </cell>
        </row>
        <row r="84">
          <cell r="J84" t="str">
            <v>Chad (XAF)</v>
          </cell>
        </row>
        <row r="85">
          <cell r="J85" t="str">
            <v>DRC (USD)</v>
          </cell>
        </row>
        <row r="86">
          <cell r="J86" t="str">
            <v>Investec (Rands)</v>
          </cell>
        </row>
        <row r="87">
          <cell r="J87" t="str">
            <v>Investec Sida (Rands)</v>
          </cell>
        </row>
        <row r="88">
          <cell r="J88" t="str">
            <v>Investec CRF (Rands)</v>
          </cell>
        </row>
        <row r="89">
          <cell r="J89" t="str">
            <v>Kenya (KES)</v>
          </cell>
        </row>
        <row r="90">
          <cell r="J90" t="str">
            <v>Madagascar(Ariary)</v>
          </cell>
        </row>
        <row r="91">
          <cell r="J91" t="str">
            <v>Mozambique (USD)</v>
          </cell>
        </row>
        <row r="92">
          <cell r="J92" t="str">
            <v>Mozambique (Meticals)</v>
          </cell>
        </row>
        <row r="93">
          <cell r="J93" t="str">
            <v>Nedbank Danida (Rands)</v>
          </cell>
        </row>
        <row r="94">
          <cell r="J94" t="str">
            <v>Nedbank Current (Rands)</v>
          </cell>
        </row>
        <row r="95">
          <cell r="J95" t="str">
            <v>Nedbank CFC (USD)</v>
          </cell>
        </row>
        <row r="96">
          <cell r="J96" t="str">
            <v>Zimbabwe (USD)</v>
          </cell>
        </row>
        <row r="97">
          <cell r="J97" t="str">
            <v>Petty Cash (USD)</v>
          </cell>
        </row>
        <row r="98">
          <cell r="J98" t="str">
            <v>Petty Cash (EUR)</v>
          </cell>
        </row>
        <row r="99">
          <cell r="J99" t="str">
            <v>Petty Cash (GBP)</v>
          </cell>
        </row>
        <row r="100">
          <cell r="J100" t="str">
            <v>Petty Cash (other)</v>
          </cell>
        </row>
        <row r="101">
          <cell r="J101" t="str">
            <v>Petty Cash - Kenya (KES)</v>
          </cell>
        </row>
        <row r="102">
          <cell r="J102" t="str">
            <v>Petty Cash - Chad (XAF)</v>
          </cell>
        </row>
        <row r="103">
          <cell r="J103" t="str">
            <v>Petty Cash - DRC (USD)</v>
          </cell>
        </row>
        <row r="104">
          <cell r="J104" t="str">
            <v>Petty Cash - Mozambique (Meticals)</v>
          </cell>
        </row>
        <row r="105">
          <cell r="J105" t="str">
            <v>Petty Cash - Madagscar (Ariary)</v>
          </cell>
        </row>
        <row r="106">
          <cell r="J106" t="str">
            <v>Petty Cash - Zimbabwe (USD)</v>
          </cell>
        </row>
        <row r="107">
          <cell r="J107" t="str">
            <v>Petty Cash - (Rands)</v>
          </cell>
        </row>
        <row r="108">
          <cell r="J108" t="str">
            <v>Currency Clearing</v>
          </cell>
        </row>
        <row r="109">
          <cell r="J109" t="str">
            <v>Nedbank (Euro)</v>
          </cell>
        </row>
        <row r="110">
          <cell r="J110" t="str">
            <v>Nedbank (GBP)</v>
          </cell>
        </row>
        <row r="111">
          <cell r="J111" t="str">
            <v>Payables Control</v>
          </cell>
        </row>
        <row r="112">
          <cell r="J112" t="str">
            <v>Payroll Liabilities - PAYE</v>
          </cell>
        </row>
        <row r="113">
          <cell r="J113" t="str">
            <v>Payroll Liabilities - UIF</v>
          </cell>
        </row>
        <row r="114">
          <cell r="J114" t="str">
            <v>Payroll Liabilities - Medical Aid</v>
          </cell>
        </row>
        <row r="115">
          <cell r="J115" t="str">
            <v>Payroll Liabilities - Group Life</v>
          </cell>
        </row>
        <row r="116">
          <cell r="J116" t="str">
            <v>Payroll Liabilities - Provident Fund</v>
          </cell>
        </row>
        <row r="117">
          <cell r="J117" t="str">
            <v>Payroll Liabilities - SDL</v>
          </cell>
        </row>
        <row r="118">
          <cell r="J118" t="str">
            <v>Payroll Liabilities - Funeral Cover</v>
          </cell>
        </row>
        <row r="119">
          <cell r="J119" t="str">
            <v>Payroll Liabilities - Salaries</v>
          </cell>
        </row>
        <row r="120">
          <cell r="J120" t="str">
            <v>Payroll Liabilities - Temp Salaries</v>
          </cell>
        </row>
        <row r="121">
          <cell r="J121" t="str">
            <v>Provision - Leave Pay</v>
          </cell>
        </row>
        <row r="122">
          <cell r="J122" t="str">
            <v>Refundables on Projects</v>
          </cell>
        </row>
        <row r="123">
          <cell r="J123" t="str">
            <v>Provisions</v>
          </cell>
        </row>
        <row r="124">
          <cell r="J124" t="str">
            <v>Vat Control</v>
          </cell>
        </row>
        <row r="125">
          <cell r="J125" t="str">
            <v>Deferred Income</v>
          </cell>
        </row>
        <row r="126">
          <cell r="J126" t="str">
            <v>Cost of Sales</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row r="1">
          <cell r="A1" t="str">
            <v>RANOHEFY Jessica</v>
          </cell>
          <cell r="B1" t="str">
            <v>Act 110</v>
          </cell>
          <cell r="C1">
            <v>0.05</v>
          </cell>
        </row>
        <row r="2">
          <cell r="A2" t="str">
            <v>RAZAFIMANJATO Soambolanoro</v>
          </cell>
          <cell r="B2" t="str">
            <v>Act 111</v>
          </cell>
          <cell r="C2">
            <v>0.1</v>
          </cell>
        </row>
        <row r="3">
          <cell r="A3" t="str">
            <v>RAMAROSHON Niaina</v>
          </cell>
          <cell r="B3" t="str">
            <v>Act 121</v>
          </cell>
          <cell r="C3">
            <v>0.15</v>
          </cell>
        </row>
        <row r="4">
          <cell r="A4" t="str">
            <v>HAROMANJAKA Mickael</v>
          </cell>
          <cell r="B4" t="str">
            <v>Act 122</v>
          </cell>
          <cell r="C4">
            <v>0.2</v>
          </cell>
        </row>
        <row r="5">
          <cell r="A5" t="str">
            <v xml:space="preserve"> RAMANANJANAHARY ANDRIAHARIVOLA REINE</v>
          </cell>
          <cell r="B5" t="str">
            <v>Act 211</v>
          </cell>
          <cell r="C5">
            <v>0.25</v>
          </cell>
        </row>
        <row r="6">
          <cell r="A6" t="str">
            <v>ANDRIANARIVONY Tantely</v>
          </cell>
          <cell r="B6" t="str">
            <v>Act 212</v>
          </cell>
          <cell r="C6">
            <v>0.3</v>
          </cell>
        </row>
        <row r="7">
          <cell r="B7" t="str">
            <v>Act 221</v>
          </cell>
          <cell r="C7">
            <v>0.35</v>
          </cell>
        </row>
        <row r="8">
          <cell r="B8" t="str">
            <v>Act 311</v>
          </cell>
          <cell r="C8">
            <v>0.4</v>
          </cell>
        </row>
        <row r="9">
          <cell r="B9" t="str">
            <v>Act 312</v>
          </cell>
          <cell r="C9">
            <v>0.45</v>
          </cell>
        </row>
        <row r="10">
          <cell r="B10" t="str">
            <v>Act 313</v>
          </cell>
          <cell r="C10">
            <v>0.5</v>
          </cell>
        </row>
        <row r="11">
          <cell r="B11" t="str">
            <v>Act 314</v>
          </cell>
          <cell r="C11">
            <v>0.55000000000000004</v>
          </cell>
        </row>
        <row r="12">
          <cell r="B12" t="str">
            <v>Act 321</v>
          </cell>
          <cell r="C12">
            <v>0.6</v>
          </cell>
        </row>
        <row r="13">
          <cell r="B13" t="str">
            <v>Act 316</v>
          </cell>
          <cell r="C13">
            <v>0.65</v>
          </cell>
        </row>
        <row r="14">
          <cell r="B14"/>
          <cell r="C14">
            <v>0.7</v>
          </cell>
        </row>
        <row r="15">
          <cell r="C15">
            <v>0.75</v>
          </cell>
        </row>
        <row r="16">
          <cell r="C16">
            <v>0.8</v>
          </cell>
        </row>
        <row r="17">
          <cell r="C17">
            <v>0.85</v>
          </cell>
        </row>
        <row r="18">
          <cell r="C18">
            <v>0.9</v>
          </cell>
        </row>
        <row r="19">
          <cell r="C19">
            <v>0.95</v>
          </cell>
        </row>
        <row r="20">
          <cell r="C20">
            <v>1</v>
          </cell>
        </row>
        <row r="21">
          <cell r="C21" t="str">
            <v>Achevée</v>
          </cell>
        </row>
        <row r="22">
          <cell r="C22" t="str">
            <v xml:space="preserve">Annulée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Q2 PBF"/>
      <sheetName val="PBF"/>
      <sheetName val="PBF 2021 Budget (2)"/>
      <sheetName val="ADS"/>
      <sheetName val="Verif"/>
      <sheetName val="2020"/>
    </sheetNames>
    <sheetDataSet>
      <sheetData sheetId="0"/>
      <sheetData sheetId="1"/>
      <sheetData sheetId="2">
        <row r="13">
          <cell r="N13">
            <v>5450.81</v>
          </cell>
        </row>
        <row r="16">
          <cell r="K16">
            <v>2057.1428571428573</v>
          </cell>
        </row>
        <row r="17">
          <cell r="K17">
            <v>1649.1428571428569</v>
          </cell>
        </row>
        <row r="18">
          <cell r="K18">
            <v>385.43428571428569</v>
          </cell>
        </row>
        <row r="19">
          <cell r="K19">
            <v>428.57142857142856</v>
          </cell>
        </row>
        <row r="20">
          <cell r="K20">
            <v>669.71428571428567</v>
          </cell>
        </row>
        <row r="21">
          <cell r="K21">
            <v>5917.4242857142854</v>
          </cell>
        </row>
        <row r="22">
          <cell r="K22">
            <v>11107.43</v>
          </cell>
        </row>
        <row r="24">
          <cell r="K24">
            <v>2057.1428571428573</v>
          </cell>
        </row>
        <row r="25">
          <cell r="K25">
            <v>325.71314285714283</v>
          </cell>
        </row>
        <row r="26">
          <cell r="K26">
            <v>1234.2857142857142</v>
          </cell>
        </row>
        <row r="27">
          <cell r="K27">
            <v>308.57142857142856</v>
          </cell>
        </row>
        <row r="28">
          <cell r="K28">
            <v>2468.5714285714284</v>
          </cell>
        </row>
        <row r="29">
          <cell r="K29">
            <v>2271.4285714285716</v>
          </cell>
        </row>
        <row r="30">
          <cell r="K30">
            <v>142.85714285714286</v>
          </cell>
        </row>
        <row r="31">
          <cell r="K31">
            <v>71.428571428571431</v>
          </cell>
        </row>
        <row r="32">
          <cell r="K32">
            <v>171.42857142857142</v>
          </cell>
        </row>
        <row r="33">
          <cell r="K33">
            <v>167.42857142857144</v>
          </cell>
        </row>
        <row r="34">
          <cell r="K34">
            <v>4893.6397200000001</v>
          </cell>
        </row>
        <row r="35">
          <cell r="K35">
            <v>68.571428571428569</v>
          </cell>
        </row>
        <row r="36">
          <cell r="K36">
            <v>205.71428571428572</v>
          </cell>
        </row>
        <row r="37">
          <cell r="K37">
            <v>171.42857142857142</v>
          </cell>
        </row>
        <row r="38">
          <cell r="K38">
            <v>14558.210005714285</v>
          </cell>
        </row>
        <row r="40">
          <cell r="K40">
            <v>1000.8571428571429</v>
          </cell>
        </row>
        <row r="41">
          <cell r="K41">
            <v>873.56571428571431</v>
          </cell>
        </row>
        <row r="42">
          <cell r="K42">
            <v>1902.2785714285715</v>
          </cell>
        </row>
        <row r="43">
          <cell r="K43">
            <v>205.71428571428572</v>
          </cell>
        </row>
        <row r="44">
          <cell r="K44">
            <v>279.42171428571424</v>
          </cell>
        </row>
        <row r="45">
          <cell r="K45">
            <v>514.28571428571433</v>
          </cell>
        </row>
        <row r="46">
          <cell r="K46">
            <v>140.56</v>
          </cell>
        </row>
        <row r="47">
          <cell r="K47">
            <v>137.14285714285714</v>
          </cell>
        </row>
        <row r="48">
          <cell r="K48">
            <v>925.71428571428578</v>
          </cell>
        </row>
        <row r="49">
          <cell r="K49">
            <v>171.42857142857142</v>
          </cell>
        </row>
        <row r="50">
          <cell r="K50">
            <v>6150.9688571428587</v>
          </cell>
        </row>
        <row r="52">
          <cell r="K52">
            <v>1028.5714285714287</v>
          </cell>
        </row>
        <row r="53">
          <cell r="K53">
            <v>873.56571428571431</v>
          </cell>
        </row>
        <row r="54">
          <cell r="K54">
            <v>1902.2811428571429</v>
          </cell>
        </row>
        <row r="55">
          <cell r="K55">
            <v>205.71428571428572</v>
          </cell>
        </row>
        <row r="56">
          <cell r="K56">
            <v>238.43600000000001</v>
          </cell>
        </row>
        <row r="57">
          <cell r="K57">
            <v>114.28571428571429</v>
          </cell>
        </row>
        <row r="58">
          <cell r="K58">
            <v>514.28571428571433</v>
          </cell>
        </row>
        <row r="59">
          <cell r="K59">
            <v>1142.8571428571429</v>
          </cell>
        </row>
        <row r="60">
          <cell r="K60">
            <v>1142.8571428571429</v>
          </cell>
        </row>
        <row r="61">
          <cell r="K61">
            <v>137.14285714285714</v>
          </cell>
        </row>
        <row r="62">
          <cell r="K62">
            <v>925.71428571428578</v>
          </cell>
        </row>
        <row r="63">
          <cell r="K63">
            <v>171.42857142857142</v>
          </cell>
        </row>
        <row r="64">
          <cell r="K64">
            <v>8397.1400000000012</v>
          </cell>
        </row>
        <row r="66">
          <cell r="K66">
            <v>2571.4285714285716</v>
          </cell>
        </row>
        <row r="67">
          <cell r="K67">
            <v>1418.2857142799999</v>
          </cell>
        </row>
        <row r="68">
          <cell r="K68">
            <v>1840.2814285714285</v>
          </cell>
        </row>
        <row r="69">
          <cell r="K69">
            <v>308.57142857142856</v>
          </cell>
        </row>
        <row r="70">
          <cell r="K70">
            <v>20674.285715700003</v>
          </cell>
        </row>
        <row r="71">
          <cell r="K71">
            <v>6541.7142857142862</v>
          </cell>
        </row>
        <row r="72">
          <cell r="K72">
            <v>500</v>
          </cell>
        </row>
        <row r="73">
          <cell r="K73">
            <v>85.714285714285722</v>
          </cell>
        </row>
        <row r="74">
          <cell r="K74">
            <v>121.14999999999999</v>
          </cell>
        </row>
        <row r="75">
          <cell r="K75">
            <v>131.77142857142857</v>
          </cell>
        </row>
        <row r="76">
          <cell r="K76">
            <v>2857.1428559999999</v>
          </cell>
        </row>
        <row r="77">
          <cell r="K77">
            <v>68.571428571428569</v>
          </cell>
        </row>
        <row r="78">
          <cell r="K78">
            <v>205.71428571428572</v>
          </cell>
        </row>
        <row r="79">
          <cell r="K79">
            <v>171.42857142857142</v>
          </cell>
        </row>
        <row r="80">
          <cell r="K80">
            <v>37496.060000265818</v>
          </cell>
        </row>
        <row r="82">
          <cell r="K82">
            <v>2057.1428571428573</v>
          </cell>
        </row>
        <row r="83">
          <cell r="K83">
            <v>22.857142857142858</v>
          </cell>
        </row>
        <row r="84">
          <cell r="K84">
            <v>1901.8285714285714</v>
          </cell>
        </row>
        <row r="85">
          <cell r="K85">
            <v>411.42857142857144</v>
          </cell>
        </row>
        <row r="86">
          <cell r="K86">
            <v>462.85714285714289</v>
          </cell>
        </row>
        <row r="87">
          <cell r="K87">
            <v>938.91999999999985</v>
          </cell>
        </row>
        <row r="88">
          <cell r="K88">
            <v>259.42628571428571</v>
          </cell>
        </row>
        <row r="89">
          <cell r="K89">
            <v>34.285714285714285</v>
          </cell>
        </row>
        <row r="90">
          <cell r="K90">
            <v>462.85714285714289</v>
          </cell>
        </row>
        <row r="91">
          <cell r="K91">
            <v>171.42857142857142</v>
          </cell>
        </row>
        <row r="92">
          <cell r="K92">
            <v>6723.0320000000011</v>
          </cell>
        </row>
        <row r="94">
          <cell r="K94">
            <v>1285.7142857142858</v>
          </cell>
        </row>
        <row r="95">
          <cell r="K95">
            <v>1285.7142857142858</v>
          </cell>
        </row>
        <row r="96">
          <cell r="K96">
            <v>2400</v>
          </cell>
        </row>
        <row r="97">
          <cell r="K97">
            <v>257.14285714285711</v>
          </cell>
        </row>
        <row r="98">
          <cell r="K98">
            <v>1714.2857142857142</v>
          </cell>
        </row>
        <row r="99">
          <cell r="K99">
            <v>1200</v>
          </cell>
        </row>
        <row r="100">
          <cell r="K100">
            <v>130.28571428571428</v>
          </cell>
        </row>
        <row r="101">
          <cell r="K101">
            <v>3714.2857142857142</v>
          </cell>
        </row>
        <row r="102">
          <cell r="K102">
            <v>5142.8571428571431</v>
          </cell>
        </row>
        <row r="103">
          <cell r="K103">
            <v>17130.285714285714</v>
          </cell>
        </row>
        <row r="105">
          <cell r="K105">
            <v>2571.4285714285716</v>
          </cell>
        </row>
        <row r="106">
          <cell r="K106">
            <v>785.82857142857142</v>
          </cell>
        </row>
        <row r="107">
          <cell r="K107">
            <v>1450.574571428572</v>
          </cell>
        </row>
        <row r="108">
          <cell r="K108">
            <v>10285.714285714284</v>
          </cell>
        </row>
        <row r="109">
          <cell r="K109">
            <v>205.71428571428572</v>
          </cell>
        </row>
        <row r="110">
          <cell r="K110">
            <v>4603.4285714285716</v>
          </cell>
        </row>
        <row r="111">
          <cell r="K111">
            <v>262.28571428571428</v>
          </cell>
        </row>
        <row r="112">
          <cell r="K112">
            <v>171.42857142857144</v>
          </cell>
        </row>
        <row r="113">
          <cell r="K113">
            <v>102.85714285714286</v>
          </cell>
        </row>
        <row r="114">
          <cell r="K114">
            <v>133.4757142857143</v>
          </cell>
        </row>
        <row r="115">
          <cell r="K115">
            <v>2857.1428571428573</v>
          </cell>
        </row>
        <row r="116">
          <cell r="K116">
            <v>68.571428571428569</v>
          </cell>
        </row>
        <row r="117">
          <cell r="K117">
            <v>205.71428571428572</v>
          </cell>
        </row>
        <row r="118">
          <cell r="K118">
            <v>171.42857142857142</v>
          </cell>
        </row>
        <row r="119">
          <cell r="K119">
            <v>23875.593142857146</v>
          </cell>
        </row>
        <row r="121">
          <cell r="K121">
            <v>27771.428571428572</v>
          </cell>
        </row>
        <row r="122">
          <cell r="K122">
            <v>1371.4285714285713</v>
          </cell>
        </row>
        <row r="123">
          <cell r="K123">
            <v>894.85856000000001</v>
          </cell>
        </row>
        <row r="124">
          <cell r="K124">
            <v>257.14285714285717</v>
          </cell>
        </row>
        <row r="125">
          <cell r="K125">
            <v>205.71428571428572</v>
          </cell>
        </row>
        <row r="126">
          <cell r="K126">
            <v>771.42857142857156</v>
          </cell>
        </row>
        <row r="127">
          <cell r="K127">
            <v>171.42857142857142</v>
          </cell>
        </row>
        <row r="128">
          <cell r="K128">
            <v>31443.429988571435</v>
          </cell>
        </row>
        <row r="130">
          <cell r="K130">
            <v>928.57142857142867</v>
          </cell>
        </row>
        <row r="131">
          <cell r="K131">
            <v>28.571428571428573</v>
          </cell>
        </row>
        <row r="132">
          <cell r="K132">
            <v>131.77142857142857</v>
          </cell>
        </row>
        <row r="133">
          <cell r="K133">
            <v>171.42857142857142</v>
          </cell>
        </row>
        <row r="134">
          <cell r="K134">
            <v>1260.3428571428572</v>
          </cell>
        </row>
        <row r="136">
          <cell r="K136">
            <v>514.28571428571422</v>
          </cell>
        </row>
        <row r="137">
          <cell r="K137">
            <v>171.42857142857144</v>
          </cell>
        </row>
        <row r="138">
          <cell r="K138">
            <v>428.57142857142856</v>
          </cell>
        </row>
        <row r="139">
          <cell r="K139">
            <v>1428.5714285714287</v>
          </cell>
        </row>
        <row r="140">
          <cell r="K140">
            <v>2542.8571428571431</v>
          </cell>
        </row>
        <row r="142">
          <cell r="K142">
            <v>3600.0000000000005</v>
          </cell>
        </row>
        <row r="143">
          <cell r="K143">
            <v>315</v>
          </cell>
        </row>
        <row r="144">
          <cell r="K144">
            <v>624.51428571428573</v>
          </cell>
        </row>
        <row r="145">
          <cell r="K145">
            <v>249.80571428571432</v>
          </cell>
        </row>
        <row r="146">
          <cell r="K146">
            <v>28.571428571428573</v>
          </cell>
        </row>
        <row r="147">
          <cell r="K147">
            <v>857.14285714285711</v>
          </cell>
        </row>
        <row r="148">
          <cell r="K148">
            <v>1300</v>
          </cell>
        </row>
        <row r="149">
          <cell r="K149">
            <v>857.14285714285711</v>
          </cell>
        </row>
        <row r="150">
          <cell r="K150">
            <v>1428.5714285714287</v>
          </cell>
        </row>
        <row r="151">
          <cell r="K151">
            <v>9260.7485714285722</v>
          </cell>
        </row>
        <row r="182">
          <cell r="K182">
            <v>857.14285714285711</v>
          </cell>
        </row>
        <row r="185">
          <cell r="N185">
            <v>1434.2550831657145</v>
          </cell>
        </row>
        <row r="200">
          <cell r="K200">
            <v>8834.8742857142861</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iaina Ramaroshon" id="{D8B2395E-31ED-4D25-875D-3E73966525FA}" userId="Niaina Ramaroshon"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92" dT="2021-06-01T12:38:31.11" personId="{D8B2395E-31ED-4D25-875D-3E73966525FA}" id="{723E8D57-FDE3-474C-8302-8355DB2D0504}">
    <text>TSY TAFIDITRA AO ANATY % IRY AMBANY ITY REHEFA MANAO CALCUL</text>
  </threadedComment>
  <threadedComment ref="I205" dT="2021-06-01T12:40:19.45" personId="{D8B2395E-31ED-4D25-875D-3E73966525FA}" id="{8E85B8D2-20DD-48F2-AB9A-67F8781D29F9}">
    <text>TSY AMPY LE INDIRECT COST ITY</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B9" sqref="B9"/>
    </sheetView>
  </sheetViews>
  <sheetFormatPr baseColWidth="10" defaultColWidth="8.88671875" defaultRowHeight="14.4"/>
  <cols>
    <col min="2" max="2" width="127.33203125" customWidth="1"/>
  </cols>
  <sheetData>
    <row r="2" spans="2:5" ht="36.75" customHeight="1">
      <c r="B2" s="261" t="s">
        <v>544</v>
      </c>
      <c r="C2" s="261"/>
      <c r="D2" s="261"/>
      <c r="E2" s="261"/>
    </row>
    <row r="3" spans="2:5" ht="21.75" customHeight="1" thickBot="1">
      <c r="B3" s="162" t="s">
        <v>561</v>
      </c>
      <c r="C3" s="191"/>
      <c r="D3" s="191"/>
      <c r="E3" s="191"/>
    </row>
    <row r="4" spans="2:5" ht="300" customHeight="1" thickBot="1">
      <c r="B4" s="189" t="s">
        <v>577</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E621-392A-43C8-9915-5B9E64148FD8}">
  <sheetPr>
    <tabColor theme="5" tint="-0.249977111117893"/>
  </sheetPr>
  <dimension ref="A1:K31"/>
  <sheetViews>
    <sheetView topLeftCell="A22" zoomScale="78" zoomScaleNormal="78" workbookViewId="0">
      <selection activeCell="L24" sqref="L24"/>
    </sheetView>
  </sheetViews>
  <sheetFormatPr baseColWidth="10" defaultColWidth="8.88671875" defaultRowHeight="14.4"/>
  <cols>
    <col min="1" max="1" width="10.6640625" bestFit="1" customWidth="1"/>
    <col min="2" max="2" width="26" bestFit="1" customWidth="1"/>
    <col min="3" max="3" width="21.6640625" customWidth="1"/>
    <col min="4" max="4" width="36.109375" customWidth="1"/>
    <col min="5" max="5" width="19.33203125" style="200" customWidth="1"/>
    <col min="6" max="6" width="15.5546875" style="200" bestFit="1" customWidth="1"/>
    <col min="7" max="7" width="18.33203125" customWidth="1"/>
    <col min="8" max="8" width="14.88671875" bestFit="1" customWidth="1"/>
    <col min="10" max="10" width="15.88671875" bestFit="1" customWidth="1"/>
    <col min="11" max="11" width="14.88671875" bestFit="1" customWidth="1"/>
  </cols>
  <sheetData>
    <row r="1" spans="1:11">
      <c r="B1" t="s">
        <v>609</v>
      </c>
    </row>
    <row r="2" spans="1:11">
      <c r="B2" t="s">
        <v>610</v>
      </c>
    </row>
    <row r="3" spans="1:11">
      <c r="B3" t="s">
        <v>611</v>
      </c>
    </row>
    <row r="5" spans="1:11" ht="30.6" customHeight="1">
      <c r="A5" s="209" t="s">
        <v>612</v>
      </c>
      <c r="B5" s="209" t="s">
        <v>613</v>
      </c>
      <c r="C5" s="209" t="s">
        <v>614</v>
      </c>
      <c r="D5" s="209" t="s">
        <v>615</v>
      </c>
      <c r="E5" s="211" t="s">
        <v>616</v>
      </c>
      <c r="F5" s="211" t="s">
        <v>617</v>
      </c>
    </row>
    <row r="6" spans="1:11">
      <c r="A6" s="210" t="s">
        <v>618</v>
      </c>
      <c r="B6" s="210" t="s">
        <v>619</v>
      </c>
      <c r="C6" s="210" t="s">
        <v>620</v>
      </c>
      <c r="D6" s="210" t="s">
        <v>621</v>
      </c>
      <c r="E6" s="221">
        <v>44245</v>
      </c>
      <c r="F6" s="212">
        <v>100000</v>
      </c>
      <c r="G6" s="228" t="s">
        <v>630</v>
      </c>
      <c r="H6" s="229">
        <v>3746</v>
      </c>
      <c r="I6" s="229" t="s">
        <v>631</v>
      </c>
      <c r="J6" s="243"/>
    </row>
    <row r="7" spans="1:11">
      <c r="A7" s="210"/>
      <c r="B7" s="210" t="s">
        <v>642</v>
      </c>
      <c r="C7" s="210" t="s">
        <v>620</v>
      </c>
      <c r="D7" s="210" t="s">
        <v>621</v>
      </c>
      <c r="E7" s="221">
        <v>44461</v>
      </c>
      <c r="F7" s="212">
        <v>100000</v>
      </c>
      <c r="G7" s="200"/>
      <c r="H7" s="242">
        <v>3876</v>
      </c>
      <c r="I7" s="229" t="s">
        <v>631</v>
      </c>
      <c r="J7" s="243"/>
    </row>
    <row r="8" spans="1:11">
      <c r="A8" s="210"/>
      <c r="B8" s="210" t="s">
        <v>644</v>
      </c>
      <c r="C8" s="210" t="s">
        <v>620</v>
      </c>
      <c r="D8" s="210" t="s">
        <v>621</v>
      </c>
      <c r="E8" s="221">
        <v>44659</v>
      </c>
      <c r="F8" s="212">
        <v>100000</v>
      </c>
      <c r="H8" s="249">
        <v>3975</v>
      </c>
      <c r="I8" t="s">
        <v>631</v>
      </c>
      <c r="J8" s="253"/>
    </row>
    <row r="9" spans="1:11" ht="15" thickBot="1">
      <c r="A9" s="210"/>
      <c r="B9" s="210"/>
      <c r="C9" s="210"/>
      <c r="D9" s="210"/>
      <c r="E9" s="221"/>
      <c r="F9" s="212"/>
      <c r="H9" s="249"/>
      <c r="J9" s="253"/>
    </row>
    <row r="10" spans="1:11">
      <c r="B10" s="262" t="s">
        <v>603</v>
      </c>
      <c r="C10" s="208" t="s">
        <v>604</v>
      </c>
      <c r="D10" s="264" t="s">
        <v>605</v>
      </c>
      <c r="E10" s="220" t="s">
        <v>645</v>
      </c>
    </row>
    <row r="11" spans="1:11">
      <c r="B11" s="263"/>
      <c r="C11" s="215" t="s">
        <v>607</v>
      </c>
      <c r="D11" s="265"/>
      <c r="E11" s="218" t="s">
        <v>606</v>
      </c>
      <c r="G11" s="207"/>
    </row>
    <row r="12" spans="1:11" ht="24.6" customHeight="1">
      <c r="B12" s="216" t="s">
        <v>608</v>
      </c>
      <c r="C12" s="217" t="s">
        <v>627</v>
      </c>
      <c r="D12" s="213" t="s">
        <v>10</v>
      </c>
      <c r="E12" s="200">
        <v>-55918.484903299548</v>
      </c>
      <c r="G12" s="250"/>
      <c r="J12" s="200"/>
      <c r="K12" s="200"/>
    </row>
    <row r="13" spans="1:11" ht="24.6" customHeight="1">
      <c r="B13" s="216" t="s">
        <v>608</v>
      </c>
      <c r="C13" s="217" t="s">
        <v>627</v>
      </c>
      <c r="D13" s="213" t="s">
        <v>11</v>
      </c>
      <c r="E13" s="200">
        <v>-246.28930817610063</v>
      </c>
      <c r="G13" s="250"/>
      <c r="J13" s="200"/>
      <c r="K13" s="200"/>
    </row>
    <row r="14" spans="1:11" ht="24.6" customHeight="1">
      <c r="B14" s="216" t="s">
        <v>608</v>
      </c>
      <c r="C14" s="217" t="s">
        <v>627</v>
      </c>
      <c r="D14" s="213" t="s">
        <v>12</v>
      </c>
      <c r="E14" s="200">
        <v>-649.94169246646027</v>
      </c>
      <c r="G14" s="250"/>
      <c r="J14" s="200"/>
      <c r="K14" s="200"/>
    </row>
    <row r="15" spans="1:11" ht="24.6" customHeight="1">
      <c r="B15" s="216" t="s">
        <v>608</v>
      </c>
      <c r="C15" s="217" t="s">
        <v>627</v>
      </c>
      <c r="D15" s="214" t="s">
        <v>13</v>
      </c>
      <c r="E15" s="200">
        <v>-60294.503848525812</v>
      </c>
      <c r="G15" s="250"/>
      <c r="J15" s="200"/>
      <c r="K15" s="200"/>
    </row>
    <row r="16" spans="1:11" ht="24.6" customHeight="1">
      <c r="B16" s="216" t="s">
        <v>608</v>
      </c>
      <c r="C16" s="217" t="s">
        <v>627</v>
      </c>
      <c r="D16" s="213" t="s">
        <v>17</v>
      </c>
      <c r="E16" s="200">
        <v>-56923.44479081194</v>
      </c>
      <c r="G16" s="250"/>
      <c r="J16" s="200"/>
      <c r="K16" s="200"/>
    </row>
    <row r="17" spans="1:11" ht="24.6" customHeight="1">
      <c r="B17" s="216" t="s">
        <v>608</v>
      </c>
      <c r="C17" s="217" t="s">
        <v>627</v>
      </c>
      <c r="D17" s="213" t="s">
        <v>14</v>
      </c>
      <c r="E17" s="200">
        <v>-74413.165640932741</v>
      </c>
      <c r="G17" s="250"/>
      <c r="J17" s="200"/>
      <c r="K17" s="200"/>
    </row>
    <row r="18" spans="1:11" ht="24.6" customHeight="1">
      <c r="B18" s="216" t="s">
        <v>608</v>
      </c>
      <c r="C18" s="217" t="s">
        <v>627</v>
      </c>
      <c r="D18" s="213" t="s">
        <v>182</v>
      </c>
      <c r="E18" s="200">
        <v>-20062.328972564439</v>
      </c>
      <c r="G18" s="250"/>
      <c r="J18" s="200"/>
      <c r="K18" s="200"/>
    </row>
    <row r="19" spans="1:11" ht="24.6" customHeight="1">
      <c r="B19" s="216" t="s">
        <v>608</v>
      </c>
      <c r="C19" s="217" t="s">
        <v>627</v>
      </c>
      <c r="D19" s="213" t="s">
        <v>622</v>
      </c>
      <c r="E19" s="232">
        <v>-18795.571140974393</v>
      </c>
      <c r="G19" s="250"/>
      <c r="J19" s="200"/>
      <c r="K19" s="200"/>
    </row>
    <row r="20" spans="1:11" ht="24.6" customHeight="1">
      <c r="B20" s="216" t="s">
        <v>608</v>
      </c>
      <c r="C20" s="217" t="s">
        <v>627</v>
      </c>
      <c r="D20" s="213" t="s">
        <v>623</v>
      </c>
      <c r="E20" s="222">
        <v>300000</v>
      </c>
      <c r="F20" s="200">
        <f>SUM(E12:E19)</f>
        <v>-287303.73029775143</v>
      </c>
      <c r="J20" s="200"/>
      <c r="K20" s="200"/>
    </row>
    <row r="21" spans="1:11" ht="24.6" customHeight="1">
      <c r="B21" s="216" t="s">
        <v>608</v>
      </c>
      <c r="C21" s="217" t="s">
        <v>627</v>
      </c>
      <c r="D21" s="213" t="s">
        <v>624</v>
      </c>
      <c r="E21" s="222"/>
      <c r="J21" s="200"/>
      <c r="K21" s="200"/>
    </row>
    <row r="22" spans="1:11" ht="24.6" customHeight="1">
      <c r="B22" s="216" t="s">
        <v>608</v>
      </c>
      <c r="C22" s="217" t="s">
        <v>627</v>
      </c>
      <c r="D22" s="213" t="s">
        <v>625</v>
      </c>
      <c r="E22" s="222"/>
      <c r="J22" s="200"/>
      <c r="K22" s="200"/>
    </row>
    <row r="23" spans="1:11">
      <c r="D23" s="213" t="s">
        <v>626</v>
      </c>
      <c r="E23" s="219">
        <f>SUM(E12:E22)</f>
        <v>12696.269702248566</v>
      </c>
      <c r="F23" s="200">
        <f>+E23*H6</f>
        <v>47560226.304623127</v>
      </c>
      <c r="J23" s="200"/>
      <c r="K23" s="200"/>
    </row>
    <row r="24" spans="1:11" ht="35.4" customHeight="1">
      <c r="D24" s="213" t="s">
        <v>569</v>
      </c>
      <c r="E24" s="219">
        <f>SUM(E12:E19)</f>
        <v>-287303.73029775143</v>
      </c>
      <c r="F24" s="231">
        <f>-E24/E20</f>
        <v>0.95767910099250475</v>
      </c>
      <c r="G24" s="251">
        <f>+F20/E20</f>
        <v>-0.95767910099250475</v>
      </c>
      <c r="J24" s="200"/>
      <c r="K24" s="247"/>
    </row>
    <row r="25" spans="1:11">
      <c r="D25" s="223" t="s">
        <v>629</v>
      </c>
      <c r="E25" s="200">
        <v>300000</v>
      </c>
      <c r="J25" s="200"/>
      <c r="K25" s="247"/>
    </row>
    <row r="26" spans="1:11">
      <c r="D26" s="224" t="s">
        <v>628</v>
      </c>
      <c r="E26" s="225"/>
      <c r="F26" s="230">
        <f>-E24/E25</f>
        <v>0.95767910099250475</v>
      </c>
      <c r="J26" s="200"/>
      <c r="K26" s="247"/>
    </row>
    <row r="27" spans="1:11">
      <c r="D27" s="223" t="s">
        <v>626</v>
      </c>
      <c r="E27" s="200">
        <f>+E25+E24</f>
        <v>12696.269702248566</v>
      </c>
    </row>
    <row r="28" spans="1:11" ht="15" thickBot="1"/>
    <row r="29" spans="1:11" ht="25.8" thickBot="1">
      <c r="B29" s="233" t="s">
        <v>632</v>
      </c>
      <c r="C29" s="234" t="s">
        <v>633</v>
      </c>
      <c r="D29" s="235" t="s">
        <v>634</v>
      </c>
      <c r="E29" s="236" t="s">
        <v>643</v>
      </c>
      <c r="F29" s="234" t="s">
        <v>635</v>
      </c>
      <c r="G29" s="235" t="s">
        <v>636</v>
      </c>
      <c r="H29" s="236" t="s">
        <v>635</v>
      </c>
      <c r="I29" s="236" t="s">
        <v>637</v>
      </c>
    </row>
    <row r="30" spans="1:11">
      <c r="A30" s="206"/>
      <c r="B30" s="266" t="s">
        <v>638</v>
      </c>
      <c r="C30" s="237" t="s">
        <v>602</v>
      </c>
      <c r="D30" s="238" t="s">
        <v>639</v>
      </c>
      <c r="E30" s="245">
        <f>-E24</f>
        <v>287303.73029775143</v>
      </c>
      <c r="F30" s="244">
        <f>F26</f>
        <v>0.95767910099250475</v>
      </c>
      <c r="G30" s="246"/>
      <c r="H30" s="248"/>
      <c r="I30" s="268" t="s">
        <v>640</v>
      </c>
      <c r="J30" s="247"/>
    </row>
    <row r="31" spans="1:11" ht="15" thickBot="1">
      <c r="B31" s="267"/>
      <c r="C31" s="239" t="s">
        <v>62</v>
      </c>
      <c r="D31" s="239" t="s">
        <v>641</v>
      </c>
      <c r="E31" s="239"/>
      <c r="F31" s="240"/>
      <c r="G31" s="241"/>
      <c r="H31" s="241"/>
      <c r="I31" s="269"/>
    </row>
  </sheetData>
  <mergeCells count="4">
    <mergeCell ref="B10:B11"/>
    <mergeCell ref="D10:D11"/>
    <mergeCell ref="B30:B31"/>
    <mergeCell ref="I30:I31"/>
  </mergeCells>
  <dataValidations count="7">
    <dataValidation allowBlank="1" showInputMessage="1" showErrorMessage="1" prompt="Includes all related staff and temporary staff costs including base salary, post adjustment and all staff entitlements." sqref="D12" xr:uid="{DC85EF41-AECE-4513-B5BB-4EACA67A714C}"/>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D13" xr:uid="{29AB4A91-7DE0-4EAA-B71F-4A70CD3FA13A}"/>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D14" xr:uid="{5FFF188B-2AF4-4509-93B4-8645AE5F3485}"/>
    <dataValidation allowBlank="1" showInputMessage="1" showErrorMessage="1" prompt="Includes staff and non-staff travel paid for by the organization directly related to a project." sqref="D16" xr:uid="{B5FA9EE5-5B00-49D6-8910-C2582D73A762}"/>
    <dataValidation allowBlank="1" showInputMessage="1" showErrorMessage="1" prompt="Services contracted by an organization which follow the normal procurement processes." sqref="D15" xr:uid="{75A381DE-C2EB-4720-BD09-383AFCE4912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D17" xr:uid="{13E5122A-054A-4CA4-A38B-561DC1B97918}"/>
    <dataValidation allowBlank="1" showInputMessage="1" showErrorMessage="1" prompt=" Includes all general operating costs for running an office. Examples include telecommunication, rents, finance charges and other costs which cannot be mapped to other expense categories." sqref="D18" xr:uid="{ACBE5C56-CE25-41E5-89F3-8EF453F8D2CE}"/>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3"/>
  <sheetViews>
    <sheetView showGridLines="0" showZeros="0" zoomScale="72" zoomScaleNormal="72" workbookViewId="0">
      <pane ySplit="5" topLeftCell="A201" activePane="bottomLeft" state="frozen"/>
      <selection pane="bottomLeft" activeCell="I206" sqref="I206"/>
    </sheetView>
  </sheetViews>
  <sheetFormatPr baseColWidth="10" defaultColWidth="9.109375" defaultRowHeight="14.4"/>
  <cols>
    <col min="1" max="1" width="9.109375" style="43"/>
    <col min="2" max="2" width="30.6640625" style="43" customWidth="1"/>
    <col min="3" max="3" width="32.44140625" style="43" customWidth="1"/>
    <col min="4" max="4" width="23.109375" style="43" bestFit="1" customWidth="1"/>
    <col min="5" max="6" width="23.109375" style="43" hidden="1" customWidth="1"/>
    <col min="7" max="7" width="13.33203125" style="43" bestFit="1" customWidth="1"/>
    <col min="8" max="8" width="31.44140625" style="43" customWidth="1"/>
    <col min="9" max="9" width="28.109375" style="171" customWidth="1"/>
    <col min="10" max="10" width="33" style="171" customWidth="1"/>
    <col min="11" max="11" width="31.44140625" style="43" customWidth="1"/>
    <col min="12" max="12" width="18.88671875" style="43" customWidth="1"/>
    <col min="13" max="13" width="9.109375" style="43"/>
    <col min="14" max="14" width="17.6640625" style="43" customWidth="1"/>
    <col min="15" max="15" width="26.44140625" style="43" customWidth="1"/>
    <col min="16" max="16" width="22.44140625" style="43" customWidth="1"/>
    <col min="17" max="17" width="29.6640625" style="43" customWidth="1"/>
    <col min="18" max="18" width="23.44140625" style="43" customWidth="1"/>
    <col min="19" max="19" width="18.44140625" style="43" customWidth="1"/>
    <col min="20" max="20" width="17.44140625" style="43" customWidth="1"/>
    <col min="21" max="21" width="25.109375" style="43" customWidth="1"/>
    <col min="22" max="16384" width="9.109375" style="43"/>
  </cols>
  <sheetData>
    <row r="1" spans="1:12" ht="30" customHeight="1">
      <c r="B1" s="261" t="s">
        <v>560</v>
      </c>
      <c r="C1" s="261"/>
      <c r="D1" s="261"/>
      <c r="E1" s="261"/>
      <c r="F1" s="41"/>
      <c r="G1" s="41"/>
      <c r="H1" s="42"/>
      <c r="I1" s="177"/>
      <c r="J1" s="177"/>
      <c r="K1" s="42"/>
    </row>
    <row r="2" spans="1:12" ht="15.6">
      <c r="B2" s="162" t="s">
        <v>561</v>
      </c>
    </row>
    <row r="3" spans="1:12" ht="18">
      <c r="B3" s="286" t="s">
        <v>174</v>
      </c>
      <c r="C3" s="286"/>
      <c r="D3" s="286"/>
      <c r="E3" s="286"/>
    </row>
    <row r="4" spans="1:12" ht="18">
      <c r="B4" s="190"/>
      <c r="C4" s="190"/>
      <c r="D4" s="190"/>
      <c r="E4" s="190"/>
    </row>
    <row r="5" spans="1:12" ht="99.75" customHeight="1">
      <c r="B5" s="51" t="s">
        <v>562</v>
      </c>
      <c r="C5" s="51" t="s">
        <v>563</v>
      </c>
      <c r="D5" s="192" t="s">
        <v>554</v>
      </c>
      <c r="E5" s="51" t="s">
        <v>175</v>
      </c>
      <c r="F5" s="51" t="s">
        <v>176</v>
      </c>
      <c r="G5" s="51" t="s">
        <v>62</v>
      </c>
      <c r="H5" s="186" t="s">
        <v>575</v>
      </c>
      <c r="I5" s="186" t="s">
        <v>574</v>
      </c>
      <c r="J5" s="186" t="s">
        <v>571</v>
      </c>
      <c r="K5" s="186" t="s">
        <v>576</v>
      </c>
      <c r="L5" s="50"/>
    </row>
    <row r="6" spans="1:12" ht="51" customHeight="1">
      <c r="B6" s="105" t="s">
        <v>0</v>
      </c>
      <c r="C6" s="282" t="s">
        <v>589</v>
      </c>
      <c r="D6" s="282"/>
      <c r="E6" s="282"/>
      <c r="F6" s="282"/>
      <c r="G6" s="282"/>
      <c r="H6" s="282"/>
      <c r="I6" s="275"/>
      <c r="J6" s="275"/>
      <c r="K6" s="282"/>
      <c r="L6" s="22"/>
    </row>
    <row r="7" spans="1:12" ht="51" customHeight="1">
      <c r="B7" s="105" t="s">
        <v>1</v>
      </c>
      <c r="C7" s="284" t="s">
        <v>588</v>
      </c>
      <c r="D7" s="285"/>
      <c r="E7" s="285"/>
      <c r="F7" s="285"/>
      <c r="G7" s="285"/>
      <c r="H7" s="285"/>
      <c r="I7" s="277"/>
      <c r="J7" s="277"/>
      <c r="K7" s="285"/>
      <c r="L7" s="53"/>
    </row>
    <row r="8" spans="1:12" ht="124.8">
      <c r="B8" s="163" t="s">
        <v>2</v>
      </c>
      <c r="C8" s="21" t="s">
        <v>579</v>
      </c>
      <c r="D8" s="198">
        <f>+'[3]PBF 2021 Budget (2)'!K22+'[3]PBF 2021 Budget (2)'!K38+'[3]PBF 2021 Budget (2)'!N13+'[3]PBF 2021 Budget (2)'!N185+'[3]PBF 2021 Budget (2)'!K182</f>
        <v>33407.847946022855</v>
      </c>
      <c r="E8" s="23"/>
      <c r="F8" s="23"/>
      <c r="G8" s="134">
        <f>D8</f>
        <v>33407.847946022855</v>
      </c>
      <c r="H8" s="130">
        <v>1</v>
      </c>
      <c r="I8" s="198">
        <v>33217.111588388201</v>
      </c>
      <c r="J8" s="24"/>
      <c r="K8" s="119"/>
      <c r="L8" s="54"/>
    </row>
    <row r="9" spans="1:12" ht="15.6">
      <c r="B9" s="163" t="s">
        <v>3</v>
      </c>
      <c r="C9" s="193"/>
      <c r="D9" s="23"/>
      <c r="E9" s="23"/>
      <c r="F9" s="23"/>
      <c r="G9" s="134">
        <f t="shared" ref="G9:G15" si="0">D9</f>
        <v>0</v>
      </c>
      <c r="H9" s="130"/>
      <c r="I9" s="23"/>
      <c r="J9" s="24"/>
      <c r="K9" s="119"/>
      <c r="L9" s="54"/>
    </row>
    <row r="10" spans="1:12" ht="15.6">
      <c r="B10" s="163" t="s">
        <v>4</v>
      </c>
      <c r="C10" s="21"/>
      <c r="D10" s="23"/>
      <c r="E10" s="23"/>
      <c r="F10" s="23"/>
      <c r="G10" s="134">
        <f t="shared" si="0"/>
        <v>0</v>
      </c>
      <c r="H10" s="130"/>
      <c r="I10" s="23"/>
      <c r="J10" s="24"/>
      <c r="K10" s="119"/>
      <c r="L10" s="54"/>
    </row>
    <row r="11" spans="1:12" ht="15.6">
      <c r="B11" s="163" t="s">
        <v>31</v>
      </c>
      <c r="C11" s="21"/>
      <c r="D11" s="23"/>
      <c r="E11" s="23"/>
      <c r="F11" s="23"/>
      <c r="G11" s="134">
        <f t="shared" si="0"/>
        <v>0</v>
      </c>
      <c r="H11" s="130"/>
      <c r="I11" s="23"/>
      <c r="J11" s="24"/>
      <c r="K11" s="119"/>
      <c r="L11" s="54"/>
    </row>
    <row r="12" spans="1:12" ht="15.6">
      <c r="B12" s="163" t="s">
        <v>32</v>
      </c>
      <c r="C12" s="21"/>
      <c r="D12" s="23"/>
      <c r="E12" s="23"/>
      <c r="F12" s="23"/>
      <c r="G12" s="134">
        <f t="shared" si="0"/>
        <v>0</v>
      </c>
      <c r="H12" s="130"/>
      <c r="I12" s="23"/>
      <c r="J12" s="24"/>
      <c r="K12" s="119"/>
      <c r="L12" s="54"/>
    </row>
    <row r="13" spans="1:12" ht="15.6">
      <c r="B13" s="163" t="s">
        <v>33</v>
      </c>
      <c r="C13" s="21"/>
      <c r="D13" s="23"/>
      <c r="E13" s="23"/>
      <c r="F13" s="23"/>
      <c r="G13" s="134">
        <f t="shared" si="0"/>
        <v>0</v>
      </c>
      <c r="H13" s="130"/>
      <c r="I13" s="23"/>
      <c r="J13" s="24"/>
      <c r="K13" s="119"/>
      <c r="L13" s="54"/>
    </row>
    <row r="14" spans="1:12" ht="15.6">
      <c r="B14" s="163" t="s">
        <v>34</v>
      </c>
      <c r="C14" s="49"/>
      <c r="D14" s="24"/>
      <c r="E14" s="24"/>
      <c r="F14" s="24"/>
      <c r="G14" s="134">
        <f t="shared" si="0"/>
        <v>0</v>
      </c>
      <c r="H14" s="131"/>
      <c r="I14" s="24"/>
      <c r="J14" s="24"/>
      <c r="K14" s="120"/>
      <c r="L14" s="54"/>
    </row>
    <row r="15" spans="1:12" ht="15.6">
      <c r="A15" s="44"/>
      <c r="B15" s="163" t="s">
        <v>35</v>
      </c>
      <c r="C15" s="49"/>
      <c r="D15" s="24"/>
      <c r="E15" s="24"/>
      <c r="F15" s="24"/>
      <c r="G15" s="134">
        <f t="shared" si="0"/>
        <v>0</v>
      </c>
      <c r="H15" s="131"/>
      <c r="I15" s="24"/>
      <c r="J15" s="24"/>
      <c r="K15" s="120"/>
    </row>
    <row r="16" spans="1:12" ht="15.6">
      <c r="A16" s="44"/>
      <c r="C16" s="105" t="s">
        <v>173</v>
      </c>
      <c r="D16" s="25">
        <f>SUM(D8:D15)</f>
        <v>33407.847946022855</v>
      </c>
      <c r="E16" s="25">
        <f>SUM(E8:E15)</f>
        <v>0</v>
      </c>
      <c r="F16" s="25">
        <f>SUM(F8:F15)</f>
        <v>0</v>
      </c>
      <c r="G16" s="25">
        <f>SUM(G8:G15)</f>
        <v>33407.847946022855</v>
      </c>
      <c r="H16" s="25">
        <f>(H8*G8)+(H9*G9)+(H10*G10)+(H11*G11)+(H12*G12)+(H13*G13)+(H14*G14)+(H15*G15)</f>
        <v>33407.847946022855</v>
      </c>
      <c r="I16" s="25">
        <f>SUM(I8:I15)</f>
        <v>33217.111588388201</v>
      </c>
      <c r="J16" s="187"/>
      <c r="K16" s="254"/>
      <c r="L16" s="55"/>
    </row>
    <row r="17" spans="1:12" ht="51" customHeight="1">
      <c r="A17" s="44"/>
      <c r="B17" s="105" t="s">
        <v>5</v>
      </c>
      <c r="C17" s="283" t="s">
        <v>590</v>
      </c>
      <c r="D17" s="276"/>
      <c r="E17" s="276"/>
      <c r="F17" s="276"/>
      <c r="G17" s="276"/>
      <c r="H17" s="276"/>
      <c r="I17" s="277"/>
      <c r="J17" s="277"/>
      <c r="K17" s="276"/>
      <c r="L17" s="53"/>
    </row>
    <row r="18" spans="1:12" ht="78">
      <c r="A18" s="44"/>
      <c r="B18" s="163" t="s">
        <v>42</v>
      </c>
      <c r="C18" s="21" t="s">
        <v>580</v>
      </c>
      <c r="D18" s="23">
        <f>+'[3]PBF 2021 Budget (2)'!K50+'[3]PBF 2021 Budget (2)'!N13+'[3]PBF 2021 Budget (2)'!N185</f>
        <v>13036.033940308575</v>
      </c>
      <c r="E18" s="23"/>
      <c r="F18" s="23"/>
      <c r="G18" s="134">
        <f>D18</f>
        <v>13036.033940308575</v>
      </c>
      <c r="H18" s="130">
        <v>1</v>
      </c>
      <c r="I18" s="198">
        <v>13019.6054085295</v>
      </c>
      <c r="J18" s="23"/>
      <c r="K18" s="119"/>
      <c r="L18" s="54"/>
    </row>
    <row r="19" spans="1:12" ht="62.4">
      <c r="A19" s="44"/>
      <c r="B19" s="163" t="s">
        <v>43</v>
      </c>
      <c r="C19" s="194" t="s">
        <v>591</v>
      </c>
      <c r="D19" s="23">
        <f>+'[3]PBF 2021 Budget (2)'!K64+'[3]PBF 2021 Budget (2)'!N13+'[3]PBF 2021 Budget (2)'!N185</f>
        <v>15282.205083165714</v>
      </c>
      <c r="E19" s="23"/>
      <c r="F19" s="23"/>
      <c r="G19" s="134">
        <f t="shared" ref="G19:G25" si="1">D19</f>
        <v>15282.205083165714</v>
      </c>
      <c r="H19" s="130">
        <v>1</v>
      </c>
      <c r="I19" s="198">
        <v>14997.3892257774</v>
      </c>
      <c r="J19" s="23"/>
      <c r="K19" s="119"/>
      <c r="L19" s="54"/>
    </row>
    <row r="20" spans="1:12" ht="15.6">
      <c r="A20" s="44"/>
      <c r="B20" s="163" t="s">
        <v>36</v>
      </c>
      <c r="C20" s="21"/>
      <c r="D20" s="23"/>
      <c r="E20" s="23"/>
      <c r="F20" s="23"/>
      <c r="G20" s="134">
        <f t="shared" si="1"/>
        <v>0</v>
      </c>
      <c r="H20" s="130"/>
      <c r="I20" s="23"/>
      <c r="J20" s="23"/>
      <c r="K20" s="119"/>
      <c r="L20" s="54"/>
    </row>
    <row r="21" spans="1:12" ht="15.6">
      <c r="A21" s="44"/>
      <c r="B21" s="163" t="s">
        <v>37</v>
      </c>
      <c r="C21" s="21"/>
      <c r="D21" s="23"/>
      <c r="E21" s="23"/>
      <c r="F21" s="23"/>
      <c r="G21" s="134">
        <f t="shared" si="1"/>
        <v>0</v>
      </c>
      <c r="H21" s="130"/>
      <c r="I21" s="23"/>
      <c r="J21" s="23"/>
      <c r="K21" s="119"/>
      <c r="L21" s="54"/>
    </row>
    <row r="22" spans="1:12" ht="15.6">
      <c r="A22" s="44"/>
      <c r="B22" s="163" t="s">
        <v>38</v>
      </c>
      <c r="C22" s="21"/>
      <c r="D22" s="23"/>
      <c r="E22" s="23"/>
      <c r="F22" s="23"/>
      <c r="G22" s="134">
        <f t="shared" si="1"/>
        <v>0</v>
      </c>
      <c r="H22" s="130"/>
      <c r="I22" s="23"/>
      <c r="J22" s="23"/>
      <c r="K22" s="119"/>
      <c r="L22" s="54"/>
    </row>
    <row r="23" spans="1:12" ht="15.6">
      <c r="A23" s="44"/>
      <c r="B23" s="163" t="s">
        <v>39</v>
      </c>
      <c r="C23" s="21"/>
      <c r="D23" s="23"/>
      <c r="E23" s="23"/>
      <c r="F23" s="23"/>
      <c r="G23" s="134">
        <f t="shared" si="1"/>
        <v>0</v>
      </c>
      <c r="H23" s="130"/>
      <c r="I23" s="23"/>
      <c r="J23" s="23"/>
      <c r="K23" s="119"/>
      <c r="L23" s="54"/>
    </row>
    <row r="24" spans="1:12" ht="15.6">
      <c r="A24" s="44"/>
      <c r="B24" s="163" t="s">
        <v>40</v>
      </c>
      <c r="C24" s="49"/>
      <c r="D24" s="24"/>
      <c r="E24" s="24"/>
      <c r="F24" s="24"/>
      <c r="G24" s="134">
        <f t="shared" si="1"/>
        <v>0</v>
      </c>
      <c r="H24" s="131"/>
      <c r="I24" s="24"/>
      <c r="J24" s="24"/>
      <c r="K24" s="120"/>
      <c r="L24" s="54"/>
    </row>
    <row r="25" spans="1:12" ht="15.6">
      <c r="A25" s="44"/>
      <c r="B25" s="163" t="s">
        <v>41</v>
      </c>
      <c r="C25" s="49"/>
      <c r="D25" s="24"/>
      <c r="E25" s="24"/>
      <c r="F25" s="24"/>
      <c r="G25" s="134">
        <f t="shared" si="1"/>
        <v>0</v>
      </c>
      <c r="H25" s="131"/>
      <c r="I25" s="24"/>
      <c r="J25" s="24"/>
      <c r="K25" s="120"/>
      <c r="L25" s="54"/>
    </row>
    <row r="26" spans="1:12" ht="15.6">
      <c r="A26" s="44"/>
      <c r="C26" s="105" t="s">
        <v>173</v>
      </c>
      <c r="D26" s="28">
        <f>SUM(D18:D25)</f>
        <v>28318.239023474289</v>
      </c>
      <c r="E26" s="28">
        <f t="shared" ref="E26:G26" si="2">SUM(E18:E25)</f>
        <v>0</v>
      </c>
      <c r="F26" s="28">
        <f t="shared" si="2"/>
        <v>0</v>
      </c>
      <c r="G26" s="28">
        <f t="shared" si="2"/>
        <v>28318.239023474289</v>
      </c>
      <c r="H26" s="25">
        <f>(H18*G18)+(H19*G19)+(H20*G20)+(H21*G21)+(H22*G22)+(H23*G23)+(H24*G24)+(H25*G25)</f>
        <v>28318.239023474289</v>
      </c>
      <c r="I26" s="25">
        <f>SUM(I18:I25)</f>
        <v>28016.994634306902</v>
      </c>
      <c r="J26" s="187"/>
      <c r="K26" s="120"/>
      <c r="L26" s="55"/>
    </row>
    <row r="27" spans="1:12" ht="51" customHeight="1">
      <c r="A27" s="44"/>
      <c r="B27" s="105" t="s">
        <v>6</v>
      </c>
      <c r="C27" s="276"/>
      <c r="D27" s="276"/>
      <c r="E27" s="276"/>
      <c r="F27" s="276"/>
      <c r="G27" s="276"/>
      <c r="H27" s="276"/>
      <c r="I27" s="277"/>
      <c r="J27" s="277"/>
      <c r="K27" s="276"/>
      <c r="L27" s="53"/>
    </row>
    <row r="28" spans="1:12" ht="15.6">
      <c r="A28" s="44"/>
      <c r="B28" s="163" t="s">
        <v>44</v>
      </c>
      <c r="C28" s="21"/>
      <c r="D28" s="23"/>
      <c r="E28" s="23"/>
      <c r="F28" s="23"/>
      <c r="G28" s="134">
        <f>D28</f>
        <v>0</v>
      </c>
      <c r="H28" s="130"/>
      <c r="I28" s="23"/>
      <c r="J28" s="23"/>
      <c r="K28" s="119"/>
      <c r="L28" s="54"/>
    </row>
    <row r="29" spans="1:12" ht="15.6">
      <c r="A29" s="44"/>
      <c r="B29" s="163" t="s">
        <v>45</v>
      </c>
      <c r="C29" s="21"/>
      <c r="D29" s="23"/>
      <c r="E29" s="23"/>
      <c r="F29" s="23"/>
      <c r="G29" s="134">
        <f t="shared" ref="G29:G35" si="3">D29</f>
        <v>0</v>
      </c>
      <c r="H29" s="130"/>
      <c r="I29" s="23"/>
      <c r="J29" s="23"/>
      <c r="K29" s="119"/>
      <c r="L29" s="54"/>
    </row>
    <row r="30" spans="1:12" ht="15.6">
      <c r="A30" s="44"/>
      <c r="B30" s="163" t="s">
        <v>46</v>
      </c>
      <c r="C30" s="21"/>
      <c r="D30" s="23"/>
      <c r="E30" s="23"/>
      <c r="F30" s="23"/>
      <c r="G30" s="134">
        <f t="shared" si="3"/>
        <v>0</v>
      </c>
      <c r="H30" s="130"/>
      <c r="I30" s="23"/>
      <c r="J30" s="23"/>
      <c r="K30" s="119"/>
      <c r="L30" s="54"/>
    </row>
    <row r="31" spans="1:12" ht="15.6">
      <c r="A31" s="44"/>
      <c r="B31" s="163" t="s">
        <v>47</v>
      </c>
      <c r="C31" s="21"/>
      <c r="D31" s="23"/>
      <c r="E31" s="23"/>
      <c r="F31" s="23"/>
      <c r="G31" s="134">
        <f t="shared" si="3"/>
        <v>0</v>
      </c>
      <c r="H31" s="130"/>
      <c r="I31" s="23"/>
      <c r="J31" s="23"/>
      <c r="K31" s="119"/>
      <c r="L31" s="54"/>
    </row>
    <row r="32" spans="1:12" s="44" customFormat="1" ht="15.6">
      <c r="B32" s="163" t="s">
        <v>48</v>
      </c>
      <c r="C32" s="21"/>
      <c r="D32" s="23"/>
      <c r="E32" s="23"/>
      <c r="F32" s="23"/>
      <c r="G32" s="134">
        <f t="shared" si="3"/>
        <v>0</v>
      </c>
      <c r="H32" s="130"/>
      <c r="I32" s="23"/>
      <c r="J32" s="23"/>
      <c r="K32" s="119"/>
      <c r="L32" s="54"/>
    </row>
    <row r="33" spans="1:12" s="44" customFormat="1" ht="15.6">
      <c r="B33" s="163" t="s">
        <v>49</v>
      </c>
      <c r="C33" s="21"/>
      <c r="D33" s="23"/>
      <c r="E33" s="23"/>
      <c r="F33" s="23"/>
      <c r="G33" s="134">
        <f t="shared" si="3"/>
        <v>0</v>
      </c>
      <c r="H33" s="130"/>
      <c r="I33" s="23"/>
      <c r="J33" s="23"/>
      <c r="K33" s="119"/>
      <c r="L33" s="54"/>
    </row>
    <row r="34" spans="1:12" s="44" customFormat="1" ht="15.6">
      <c r="A34" s="43"/>
      <c r="B34" s="163" t="s">
        <v>50</v>
      </c>
      <c r="C34" s="49"/>
      <c r="D34" s="24"/>
      <c r="E34" s="24"/>
      <c r="F34" s="24"/>
      <c r="G34" s="134">
        <f t="shared" si="3"/>
        <v>0</v>
      </c>
      <c r="H34" s="131"/>
      <c r="I34" s="24"/>
      <c r="J34" s="24"/>
      <c r="K34" s="120"/>
      <c r="L34" s="54"/>
    </row>
    <row r="35" spans="1:12" ht="15.6">
      <c r="B35" s="163" t="s">
        <v>51</v>
      </c>
      <c r="C35" s="49"/>
      <c r="D35" s="24"/>
      <c r="E35" s="24"/>
      <c r="F35" s="24"/>
      <c r="G35" s="134">
        <f t="shared" si="3"/>
        <v>0</v>
      </c>
      <c r="H35" s="131"/>
      <c r="I35" s="24"/>
      <c r="J35" s="24"/>
      <c r="K35" s="120"/>
      <c r="L35" s="54"/>
    </row>
    <row r="36" spans="1:12" ht="15.6">
      <c r="C36" s="105" t="s">
        <v>173</v>
      </c>
      <c r="D36" s="28">
        <f>SUM(D28:D35)</f>
        <v>0</v>
      </c>
      <c r="E36" s="28">
        <f t="shared" ref="E36:G36" si="4">SUM(E28:E35)</f>
        <v>0</v>
      </c>
      <c r="F36" s="28">
        <f t="shared" si="4"/>
        <v>0</v>
      </c>
      <c r="G36" s="28">
        <f t="shared" si="4"/>
        <v>0</v>
      </c>
      <c r="H36" s="25">
        <f>(H28*G28)+(H29*G29)+(H30*G30)+(H31*G31)+(H32*G32)+(H33*G33)+(H34*G34)+(H35*G35)</f>
        <v>0</v>
      </c>
      <c r="I36" s="25">
        <v>0</v>
      </c>
      <c r="J36" s="187"/>
      <c r="K36" s="120"/>
      <c r="L36" s="55"/>
    </row>
    <row r="37" spans="1:12" ht="51" customHeight="1">
      <c r="B37" s="105" t="s">
        <v>52</v>
      </c>
      <c r="C37" s="276"/>
      <c r="D37" s="276"/>
      <c r="E37" s="276"/>
      <c r="F37" s="276"/>
      <c r="G37" s="276"/>
      <c r="H37" s="276"/>
      <c r="I37" s="277"/>
      <c r="J37" s="277"/>
      <c r="K37" s="276"/>
      <c r="L37" s="53"/>
    </row>
    <row r="38" spans="1:12" ht="15.6">
      <c r="B38" s="163" t="s">
        <v>53</v>
      </c>
      <c r="C38" s="21"/>
      <c r="D38" s="23"/>
      <c r="E38" s="23"/>
      <c r="F38" s="23"/>
      <c r="G38" s="134">
        <f>D38</f>
        <v>0</v>
      </c>
      <c r="H38" s="130"/>
      <c r="I38" s="23"/>
      <c r="J38" s="23"/>
      <c r="K38" s="119"/>
      <c r="L38" s="54"/>
    </row>
    <row r="39" spans="1:12" ht="15.6">
      <c r="B39" s="163" t="s">
        <v>54</v>
      </c>
      <c r="C39" s="21"/>
      <c r="D39" s="23"/>
      <c r="E39" s="23"/>
      <c r="F39" s="23"/>
      <c r="G39" s="134">
        <f t="shared" ref="G39:G45" si="5">D39</f>
        <v>0</v>
      </c>
      <c r="H39" s="130"/>
      <c r="I39" s="23"/>
      <c r="J39" s="23"/>
      <c r="K39" s="119"/>
      <c r="L39" s="54"/>
    </row>
    <row r="40" spans="1:12" ht="15.6">
      <c r="B40" s="163" t="s">
        <v>55</v>
      </c>
      <c r="C40" s="21"/>
      <c r="D40" s="23"/>
      <c r="E40" s="23"/>
      <c r="F40" s="23"/>
      <c r="G40" s="134">
        <f t="shared" si="5"/>
        <v>0</v>
      </c>
      <c r="H40" s="130"/>
      <c r="I40" s="23"/>
      <c r="J40" s="23"/>
      <c r="K40" s="119"/>
      <c r="L40" s="54"/>
    </row>
    <row r="41" spans="1:12" ht="15.6">
      <c r="B41" s="163" t="s">
        <v>56</v>
      </c>
      <c r="C41" s="21"/>
      <c r="D41" s="23"/>
      <c r="E41" s="23"/>
      <c r="F41" s="23"/>
      <c r="G41" s="134">
        <f t="shared" si="5"/>
        <v>0</v>
      </c>
      <c r="H41" s="130"/>
      <c r="I41" s="23"/>
      <c r="J41" s="23"/>
      <c r="K41" s="119"/>
      <c r="L41" s="54"/>
    </row>
    <row r="42" spans="1:12" ht="15.6">
      <c r="B42" s="163" t="s">
        <v>57</v>
      </c>
      <c r="C42" s="21"/>
      <c r="D42" s="23"/>
      <c r="E42" s="23"/>
      <c r="F42" s="23"/>
      <c r="G42" s="134">
        <f t="shared" si="5"/>
        <v>0</v>
      </c>
      <c r="H42" s="130"/>
      <c r="I42" s="23"/>
      <c r="J42" s="23"/>
      <c r="K42" s="119"/>
      <c r="L42" s="54"/>
    </row>
    <row r="43" spans="1:12" ht="15.6">
      <c r="A43" s="44"/>
      <c r="B43" s="163" t="s">
        <v>58</v>
      </c>
      <c r="C43" s="21"/>
      <c r="D43" s="23"/>
      <c r="E43" s="23"/>
      <c r="F43" s="23"/>
      <c r="G43" s="134">
        <f t="shared" si="5"/>
        <v>0</v>
      </c>
      <c r="H43" s="130"/>
      <c r="I43" s="23"/>
      <c r="J43" s="23"/>
      <c r="K43" s="119"/>
      <c r="L43" s="54"/>
    </row>
    <row r="44" spans="1:12" s="44" customFormat="1" ht="15.6">
      <c r="A44" s="43"/>
      <c r="B44" s="163" t="s">
        <v>59</v>
      </c>
      <c r="C44" s="49"/>
      <c r="D44" s="24"/>
      <c r="E44" s="24"/>
      <c r="F44" s="24"/>
      <c r="G44" s="134">
        <f t="shared" si="5"/>
        <v>0</v>
      </c>
      <c r="H44" s="131"/>
      <c r="I44" s="24"/>
      <c r="J44" s="24"/>
      <c r="K44" s="120"/>
      <c r="L44" s="54"/>
    </row>
    <row r="45" spans="1:12" ht="15.6">
      <c r="B45" s="163" t="s">
        <v>60</v>
      </c>
      <c r="C45" s="49"/>
      <c r="D45" s="24"/>
      <c r="E45" s="24"/>
      <c r="F45" s="24"/>
      <c r="G45" s="134">
        <f t="shared" si="5"/>
        <v>0</v>
      </c>
      <c r="H45" s="131"/>
      <c r="I45" s="24"/>
      <c r="J45" s="24"/>
      <c r="K45" s="120"/>
      <c r="L45" s="54"/>
    </row>
    <row r="46" spans="1:12" ht="15.6">
      <c r="C46" s="105" t="s">
        <v>173</v>
      </c>
      <c r="D46" s="25">
        <f>SUM(D38:D45)</f>
        <v>0</v>
      </c>
      <c r="E46" s="25">
        <f t="shared" ref="E46:G46" si="6">SUM(E38:E45)</f>
        <v>0</v>
      </c>
      <c r="F46" s="25">
        <f t="shared" si="6"/>
        <v>0</v>
      </c>
      <c r="G46" s="25">
        <f t="shared" si="6"/>
        <v>0</v>
      </c>
      <c r="H46" s="25">
        <f>(H38*G38)+(H39*G39)+(H40*G40)+(H41*G41)+(H42*G42)+(H43*G43)+(H44*G44)+(H45*G45)</f>
        <v>0</v>
      </c>
      <c r="I46" s="25">
        <v>0</v>
      </c>
      <c r="J46" s="187"/>
      <c r="K46" s="120"/>
      <c r="L46" s="55"/>
    </row>
    <row r="47" spans="1:12" ht="15.6">
      <c r="B47" s="15"/>
      <c r="C47" s="16"/>
      <c r="D47" s="14"/>
      <c r="E47" s="14"/>
      <c r="F47" s="14"/>
      <c r="G47" s="14"/>
      <c r="H47" s="14"/>
      <c r="I47" s="14"/>
      <c r="J47" s="14"/>
      <c r="K47" s="14"/>
      <c r="L47" s="54"/>
    </row>
    <row r="48" spans="1:12" ht="51" customHeight="1">
      <c r="B48" s="105" t="s">
        <v>7</v>
      </c>
      <c r="C48" s="274" t="s">
        <v>592</v>
      </c>
      <c r="D48" s="274"/>
      <c r="E48" s="274"/>
      <c r="F48" s="274"/>
      <c r="G48" s="274"/>
      <c r="H48" s="274"/>
      <c r="I48" s="275"/>
      <c r="J48" s="275"/>
      <c r="K48" s="274"/>
      <c r="L48" s="22"/>
    </row>
    <row r="49" spans="1:12" ht="51" customHeight="1">
      <c r="B49" s="105" t="s">
        <v>64</v>
      </c>
      <c r="C49" s="283" t="s">
        <v>593</v>
      </c>
      <c r="D49" s="276"/>
      <c r="E49" s="276"/>
      <c r="F49" s="276"/>
      <c r="G49" s="276"/>
      <c r="H49" s="276"/>
      <c r="I49" s="277"/>
      <c r="J49" s="277"/>
      <c r="K49" s="276"/>
      <c r="L49" s="53"/>
    </row>
    <row r="50" spans="1:12" ht="93.6">
      <c r="B50" s="163" t="s">
        <v>66</v>
      </c>
      <c r="C50" s="21" t="s">
        <v>581</v>
      </c>
      <c r="D50" s="23">
        <f>+'[3]PBF 2021 Budget (2)'!K80+'[3]PBF 2021 Budget (2)'!N13+'[3]PBF 2021 Budget (2)'!N185</f>
        <v>44381.125083431529</v>
      </c>
      <c r="E50" s="23"/>
      <c r="F50" s="23"/>
      <c r="G50" s="134">
        <f>D50</f>
        <v>44381.125083431529</v>
      </c>
      <c r="H50" s="130">
        <v>1</v>
      </c>
      <c r="I50" s="23">
        <v>44266.024789834097</v>
      </c>
      <c r="J50" s="23"/>
      <c r="K50" s="119"/>
      <c r="L50" s="54"/>
    </row>
    <row r="51" spans="1:12" ht="46.8">
      <c r="B51" s="163" t="s">
        <v>65</v>
      </c>
      <c r="C51" s="21" t="s">
        <v>582</v>
      </c>
      <c r="D51" s="23">
        <f>+'[3]PBF 2021 Budget (2)'!K92+'[3]PBF 2021 Budget (2)'!N13+'[3]PBF 2021 Budget (2)'!N185</f>
        <v>13608.097083165714</v>
      </c>
      <c r="E51" s="23"/>
      <c r="F51" s="23"/>
      <c r="G51" s="134">
        <f t="shared" ref="G51:G57" si="7">D51</f>
        <v>13608.097083165714</v>
      </c>
      <c r="H51" s="130">
        <v>1</v>
      </c>
      <c r="I51" s="23">
        <v>13503.542157166899</v>
      </c>
      <c r="J51" s="23"/>
      <c r="K51" s="119"/>
      <c r="L51" s="54"/>
    </row>
    <row r="52" spans="1:12" ht="15.6">
      <c r="B52" s="163" t="s">
        <v>67</v>
      </c>
      <c r="C52" s="21"/>
      <c r="D52" s="23"/>
      <c r="E52" s="23"/>
      <c r="F52" s="23"/>
      <c r="G52" s="134">
        <f t="shared" si="7"/>
        <v>0</v>
      </c>
      <c r="H52" s="130"/>
      <c r="I52" s="23"/>
      <c r="J52" s="23"/>
      <c r="K52" s="119"/>
      <c r="L52" s="54"/>
    </row>
    <row r="53" spans="1:12" ht="15.6">
      <c r="B53" s="163" t="s">
        <v>68</v>
      </c>
      <c r="C53" s="21"/>
      <c r="D53" s="23"/>
      <c r="E53" s="23"/>
      <c r="F53" s="23"/>
      <c r="G53" s="134">
        <f t="shared" si="7"/>
        <v>0</v>
      </c>
      <c r="H53" s="130"/>
      <c r="I53" s="23"/>
      <c r="J53" s="23"/>
      <c r="K53" s="119"/>
      <c r="L53" s="54"/>
    </row>
    <row r="54" spans="1:12" ht="15.6">
      <c r="B54" s="163" t="s">
        <v>69</v>
      </c>
      <c r="C54" s="21"/>
      <c r="D54" s="23"/>
      <c r="E54" s="23"/>
      <c r="F54" s="23"/>
      <c r="G54" s="134">
        <f t="shared" si="7"/>
        <v>0</v>
      </c>
      <c r="H54" s="130"/>
      <c r="I54" s="23"/>
      <c r="J54" s="23"/>
      <c r="K54" s="119"/>
      <c r="L54" s="54"/>
    </row>
    <row r="55" spans="1:12" ht="15.6">
      <c r="B55" s="163" t="s">
        <v>70</v>
      </c>
      <c r="C55" s="21"/>
      <c r="D55" s="23"/>
      <c r="E55" s="23"/>
      <c r="F55" s="23"/>
      <c r="G55" s="134">
        <f t="shared" si="7"/>
        <v>0</v>
      </c>
      <c r="H55" s="130"/>
      <c r="I55" s="23"/>
      <c r="J55" s="23"/>
      <c r="K55" s="119"/>
      <c r="L55" s="54"/>
    </row>
    <row r="56" spans="1:12" ht="15.6">
      <c r="A56" s="44"/>
      <c r="B56" s="163" t="s">
        <v>71</v>
      </c>
      <c r="C56" s="49"/>
      <c r="D56" s="24"/>
      <c r="E56" s="24"/>
      <c r="F56" s="24"/>
      <c r="G56" s="134">
        <f t="shared" si="7"/>
        <v>0</v>
      </c>
      <c r="H56" s="131"/>
      <c r="I56" s="24"/>
      <c r="J56" s="24"/>
      <c r="K56" s="120"/>
      <c r="L56" s="54"/>
    </row>
    <row r="57" spans="1:12" s="44" customFormat="1" ht="15.6">
      <c r="B57" s="163" t="s">
        <v>72</v>
      </c>
      <c r="C57" s="49"/>
      <c r="D57" s="24"/>
      <c r="E57" s="24"/>
      <c r="F57" s="24"/>
      <c r="G57" s="134">
        <f t="shared" si="7"/>
        <v>0</v>
      </c>
      <c r="H57" s="131"/>
      <c r="I57" s="24"/>
      <c r="J57" s="24"/>
      <c r="K57" s="120"/>
      <c r="L57" s="54"/>
    </row>
    <row r="58" spans="1:12" s="44" customFormat="1" ht="15.6">
      <c r="A58" s="43"/>
      <c r="B58" s="43"/>
      <c r="C58" s="105" t="s">
        <v>173</v>
      </c>
      <c r="D58" s="25">
        <f>SUM(D50:D57)</f>
        <v>57989.222166597247</v>
      </c>
      <c r="E58" s="25">
        <f t="shared" ref="E58:G58" si="8">SUM(E50:E57)</f>
        <v>0</v>
      </c>
      <c r="F58" s="25">
        <f t="shared" si="8"/>
        <v>0</v>
      </c>
      <c r="G58" s="28">
        <f t="shared" si="8"/>
        <v>57989.222166597247</v>
      </c>
      <c r="H58" s="25">
        <f>(H50*G50)+(H51*G51)+(H52*G52)+(H53*G53)+(H54*G54)+(H55*G55)+(H56*G56)+(H57*G57)</f>
        <v>57989.222166597247</v>
      </c>
      <c r="I58" s="25">
        <f>SUM(I50:I57)</f>
        <v>57769.566947000996</v>
      </c>
      <c r="J58" s="187"/>
      <c r="K58" s="120"/>
      <c r="L58" s="55"/>
    </row>
    <row r="59" spans="1:12" ht="51" customHeight="1">
      <c r="B59" s="105" t="s">
        <v>73</v>
      </c>
      <c r="C59" s="276"/>
      <c r="D59" s="276"/>
      <c r="E59" s="276"/>
      <c r="F59" s="276"/>
      <c r="G59" s="276"/>
      <c r="H59" s="276"/>
      <c r="I59" s="277"/>
      <c r="J59" s="277"/>
      <c r="K59" s="276"/>
      <c r="L59" s="53"/>
    </row>
    <row r="60" spans="1:12" ht="78">
      <c r="B60" s="163" t="s">
        <v>74</v>
      </c>
      <c r="C60" s="194" t="s">
        <v>601</v>
      </c>
      <c r="D60" s="23">
        <f>+'[3]PBF 2021 Budget (2)'!K103+5450.81+'[3]PBF 2021 Budget (2)'!N185</f>
        <v>24015.350797451429</v>
      </c>
      <c r="E60" s="23"/>
      <c r="F60" s="23"/>
      <c r="G60" s="134">
        <f>D60</f>
        <v>24015.350797451429</v>
      </c>
      <c r="H60" s="130">
        <v>1</v>
      </c>
      <c r="I60" s="23">
        <v>23519.430242791201</v>
      </c>
      <c r="J60" s="23"/>
      <c r="K60" s="119"/>
      <c r="L60" s="54"/>
    </row>
    <row r="61" spans="1:12" ht="15.6">
      <c r="B61" s="163" t="s">
        <v>75</v>
      </c>
      <c r="C61" s="21"/>
      <c r="D61" s="23"/>
      <c r="E61" s="23"/>
      <c r="F61" s="23"/>
      <c r="G61" s="134">
        <f t="shared" ref="G61:G67" si="9">D61</f>
        <v>0</v>
      </c>
      <c r="H61" s="130"/>
      <c r="I61" s="23"/>
      <c r="J61" s="23"/>
      <c r="K61" s="119"/>
      <c r="L61" s="54"/>
    </row>
    <row r="62" spans="1:12" ht="15.6">
      <c r="B62" s="163" t="s">
        <v>76</v>
      </c>
      <c r="C62" s="21"/>
      <c r="D62" s="23"/>
      <c r="E62" s="23"/>
      <c r="F62" s="23"/>
      <c r="G62" s="134">
        <f t="shared" si="9"/>
        <v>0</v>
      </c>
      <c r="H62" s="130"/>
      <c r="I62" s="23"/>
      <c r="J62" s="23"/>
      <c r="K62" s="119"/>
      <c r="L62" s="54"/>
    </row>
    <row r="63" spans="1:12" ht="15.6">
      <c r="B63" s="163" t="s">
        <v>77</v>
      </c>
      <c r="C63" s="21"/>
      <c r="D63" s="23"/>
      <c r="E63" s="23"/>
      <c r="F63" s="23"/>
      <c r="G63" s="134">
        <f t="shared" si="9"/>
        <v>0</v>
      </c>
      <c r="H63" s="130"/>
      <c r="I63" s="23"/>
      <c r="J63" s="23"/>
      <c r="K63" s="119"/>
      <c r="L63" s="54"/>
    </row>
    <row r="64" spans="1:12" ht="15.6">
      <c r="B64" s="163" t="s">
        <v>78</v>
      </c>
      <c r="C64" s="21"/>
      <c r="D64" s="23"/>
      <c r="E64" s="23"/>
      <c r="F64" s="23"/>
      <c r="G64" s="134">
        <f t="shared" si="9"/>
        <v>0</v>
      </c>
      <c r="H64" s="130"/>
      <c r="I64" s="23"/>
      <c r="J64" s="23"/>
      <c r="K64" s="119"/>
      <c r="L64" s="54"/>
    </row>
    <row r="65" spans="1:12" ht="15.6">
      <c r="B65" s="163" t="s">
        <v>79</v>
      </c>
      <c r="C65" s="21"/>
      <c r="D65" s="23"/>
      <c r="E65" s="23"/>
      <c r="F65" s="23"/>
      <c r="G65" s="134">
        <f t="shared" si="9"/>
        <v>0</v>
      </c>
      <c r="H65" s="130"/>
      <c r="I65" s="23"/>
      <c r="J65" s="23"/>
      <c r="K65" s="119"/>
      <c r="L65" s="54"/>
    </row>
    <row r="66" spans="1:12" ht="15.6">
      <c r="B66" s="163" t="s">
        <v>80</v>
      </c>
      <c r="C66" s="49"/>
      <c r="D66" s="24"/>
      <c r="E66" s="24"/>
      <c r="F66" s="24"/>
      <c r="G66" s="134">
        <f t="shared" si="9"/>
        <v>0</v>
      </c>
      <c r="H66" s="131"/>
      <c r="I66" s="24"/>
      <c r="J66" s="24"/>
      <c r="K66" s="120"/>
      <c r="L66" s="54"/>
    </row>
    <row r="67" spans="1:12" ht="15.6">
      <c r="B67" s="163" t="s">
        <v>81</v>
      </c>
      <c r="C67" s="49"/>
      <c r="D67" s="24"/>
      <c r="E67" s="24"/>
      <c r="F67" s="24"/>
      <c r="G67" s="134">
        <f t="shared" si="9"/>
        <v>0</v>
      </c>
      <c r="H67" s="131"/>
      <c r="I67" s="24"/>
      <c r="J67" s="24"/>
      <c r="K67" s="120"/>
      <c r="L67" s="54"/>
    </row>
    <row r="68" spans="1:12" ht="15.6">
      <c r="C68" s="105" t="s">
        <v>173</v>
      </c>
      <c r="D68" s="28">
        <f>SUM(D60:D67)</f>
        <v>24015.350797451429</v>
      </c>
      <c r="E68" s="28">
        <f t="shared" ref="E68:G68" si="10">SUM(E60:E67)</f>
        <v>0</v>
      </c>
      <c r="F68" s="28">
        <f t="shared" si="10"/>
        <v>0</v>
      </c>
      <c r="G68" s="28">
        <f t="shared" si="10"/>
        <v>24015.350797451429</v>
      </c>
      <c r="H68" s="25">
        <f>(H60*G60)+(H61*G61)+(H62*G62)+(H63*G63)+(H64*G64)+(H65*G65)+(H66*G66)+(H67*G67)</f>
        <v>24015.350797451429</v>
      </c>
      <c r="I68" s="25">
        <f>SUM(I60:I67)</f>
        <v>23519.430242791201</v>
      </c>
      <c r="J68" s="187"/>
      <c r="K68" s="120"/>
      <c r="L68" s="55"/>
    </row>
    <row r="69" spans="1:12" ht="51" customHeight="1">
      <c r="B69" s="105" t="s">
        <v>82</v>
      </c>
      <c r="C69" s="276"/>
      <c r="D69" s="276"/>
      <c r="E69" s="276"/>
      <c r="F69" s="276"/>
      <c r="G69" s="276"/>
      <c r="H69" s="276"/>
      <c r="I69" s="277"/>
      <c r="J69" s="277"/>
      <c r="K69" s="276"/>
      <c r="L69" s="53"/>
    </row>
    <row r="70" spans="1:12" ht="15.6">
      <c r="B70" s="163" t="s">
        <v>83</v>
      </c>
      <c r="C70" s="21"/>
      <c r="D70" s="23"/>
      <c r="E70" s="23"/>
      <c r="F70" s="23"/>
      <c r="G70" s="134">
        <f>D70</f>
        <v>0</v>
      </c>
      <c r="H70" s="130"/>
      <c r="I70" s="23"/>
      <c r="J70" s="23"/>
      <c r="K70" s="119"/>
      <c r="L70" s="54"/>
    </row>
    <row r="71" spans="1:12" ht="15.6">
      <c r="B71" s="163" t="s">
        <v>84</v>
      </c>
      <c r="C71" s="21"/>
      <c r="D71" s="23"/>
      <c r="E71" s="23"/>
      <c r="F71" s="23"/>
      <c r="G71" s="134">
        <f t="shared" ref="G71:G77" si="11">D71</f>
        <v>0</v>
      </c>
      <c r="H71" s="130"/>
      <c r="I71" s="23"/>
      <c r="J71" s="23"/>
      <c r="K71" s="119"/>
      <c r="L71" s="54"/>
    </row>
    <row r="72" spans="1:12" ht="15.6">
      <c r="B72" s="163" t="s">
        <v>85</v>
      </c>
      <c r="C72" s="21"/>
      <c r="D72" s="23"/>
      <c r="E72" s="23"/>
      <c r="F72" s="23"/>
      <c r="G72" s="134">
        <f t="shared" si="11"/>
        <v>0</v>
      </c>
      <c r="H72" s="130"/>
      <c r="I72" s="23"/>
      <c r="J72" s="23"/>
      <c r="K72" s="119"/>
      <c r="L72" s="54"/>
    </row>
    <row r="73" spans="1:12" ht="15.6">
      <c r="A73" s="44"/>
      <c r="B73" s="163" t="s">
        <v>86</v>
      </c>
      <c r="C73" s="21"/>
      <c r="D73" s="23"/>
      <c r="E73" s="23"/>
      <c r="F73" s="23"/>
      <c r="G73" s="134">
        <f t="shared" si="11"/>
        <v>0</v>
      </c>
      <c r="H73" s="130"/>
      <c r="I73" s="23"/>
      <c r="J73" s="23"/>
      <c r="K73" s="119"/>
      <c r="L73" s="54"/>
    </row>
    <row r="74" spans="1:12" s="44" customFormat="1" ht="15.6">
      <c r="A74" s="43"/>
      <c r="B74" s="163" t="s">
        <v>87</v>
      </c>
      <c r="C74" s="21"/>
      <c r="D74" s="23"/>
      <c r="E74" s="23"/>
      <c r="F74" s="23"/>
      <c r="G74" s="134">
        <f t="shared" si="11"/>
        <v>0</v>
      </c>
      <c r="H74" s="130"/>
      <c r="I74" s="23"/>
      <c r="J74" s="23"/>
      <c r="K74" s="119"/>
      <c r="L74" s="54"/>
    </row>
    <row r="75" spans="1:12" ht="15.6">
      <c r="B75" s="163" t="s">
        <v>88</v>
      </c>
      <c r="C75" s="21"/>
      <c r="D75" s="23"/>
      <c r="E75" s="23"/>
      <c r="F75" s="23"/>
      <c r="G75" s="134">
        <f t="shared" si="11"/>
        <v>0</v>
      </c>
      <c r="H75" s="130"/>
      <c r="I75" s="23"/>
      <c r="J75" s="23"/>
      <c r="K75" s="119"/>
      <c r="L75" s="54"/>
    </row>
    <row r="76" spans="1:12" ht="15.6">
      <c r="B76" s="163" t="s">
        <v>89</v>
      </c>
      <c r="C76" s="49"/>
      <c r="D76" s="24"/>
      <c r="E76" s="24"/>
      <c r="F76" s="24"/>
      <c r="G76" s="134">
        <f t="shared" si="11"/>
        <v>0</v>
      </c>
      <c r="H76" s="131"/>
      <c r="I76" s="24"/>
      <c r="J76" s="24"/>
      <c r="K76" s="120"/>
      <c r="L76" s="54"/>
    </row>
    <row r="77" spans="1:12" ht="15.6">
      <c r="B77" s="163" t="s">
        <v>90</v>
      </c>
      <c r="C77" s="49"/>
      <c r="D77" s="24"/>
      <c r="E77" s="24"/>
      <c r="F77" s="24"/>
      <c r="G77" s="134">
        <f t="shared" si="11"/>
        <v>0</v>
      </c>
      <c r="H77" s="131"/>
      <c r="I77" s="24"/>
      <c r="J77" s="24"/>
      <c r="K77" s="120"/>
      <c r="L77" s="54"/>
    </row>
    <row r="78" spans="1:12" ht="15.6">
      <c r="C78" s="105" t="s">
        <v>173</v>
      </c>
      <c r="D78" s="28">
        <f>SUM(D70:D77)</f>
        <v>0</v>
      </c>
      <c r="E78" s="28">
        <f t="shared" ref="E78:G78" si="12">SUM(E70:E77)</f>
        <v>0</v>
      </c>
      <c r="F78" s="28">
        <f t="shared" si="12"/>
        <v>0</v>
      </c>
      <c r="G78" s="28">
        <f t="shared" si="12"/>
        <v>0</v>
      </c>
      <c r="H78" s="25">
        <f>(H70*G70)+(H71*G71)+(H72*G72)+(H73*G73)+(H74*G74)+(H75*G75)+(H76*G76)+(H77*G77)</f>
        <v>0</v>
      </c>
      <c r="I78" s="25">
        <v>0</v>
      </c>
      <c r="J78" s="187"/>
      <c r="K78" s="120"/>
      <c r="L78" s="55"/>
    </row>
    <row r="79" spans="1:12" ht="51" customHeight="1">
      <c r="B79" s="105" t="s">
        <v>99</v>
      </c>
      <c r="C79" s="276"/>
      <c r="D79" s="276"/>
      <c r="E79" s="276"/>
      <c r="F79" s="276"/>
      <c r="G79" s="276"/>
      <c r="H79" s="276"/>
      <c r="I79" s="277"/>
      <c r="J79" s="277"/>
      <c r="K79" s="276"/>
      <c r="L79" s="53"/>
    </row>
    <row r="80" spans="1:12" ht="15.6">
      <c r="B80" s="163" t="s">
        <v>91</v>
      </c>
      <c r="C80" s="21"/>
      <c r="D80" s="23"/>
      <c r="E80" s="23"/>
      <c r="F80" s="23"/>
      <c r="G80" s="134">
        <f>D80</f>
        <v>0</v>
      </c>
      <c r="H80" s="130"/>
      <c r="I80" s="23"/>
      <c r="J80" s="23"/>
      <c r="K80" s="119"/>
      <c r="L80" s="54"/>
    </row>
    <row r="81" spans="2:12" ht="15.6">
      <c r="B81" s="163" t="s">
        <v>92</v>
      </c>
      <c r="C81" s="21"/>
      <c r="D81" s="23"/>
      <c r="E81" s="23"/>
      <c r="F81" s="23"/>
      <c r="G81" s="134">
        <f t="shared" ref="G81:G87" si="13">D81</f>
        <v>0</v>
      </c>
      <c r="H81" s="130"/>
      <c r="I81" s="23"/>
      <c r="J81" s="23"/>
      <c r="K81" s="119"/>
      <c r="L81" s="54"/>
    </row>
    <row r="82" spans="2:12" ht="15.6">
      <c r="B82" s="163" t="s">
        <v>93</v>
      </c>
      <c r="C82" s="21"/>
      <c r="D82" s="23"/>
      <c r="E82" s="23"/>
      <c r="F82" s="23"/>
      <c r="G82" s="134">
        <f t="shared" si="13"/>
        <v>0</v>
      </c>
      <c r="H82" s="130"/>
      <c r="I82" s="23"/>
      <c r="J82" s="23"/>
      <c r="K82" s="119"/>
      <c r="L82" s="54"/>
    </row>
    <row r="83" spans="2:12" ht="15.6">
      <c r="B83" s="163" t="s">
        <v>94</v>
      </c>
      <c r="C83" s="21"/>
      <c r="D83" s="23"/>
      <c r="E83" s="23"/>
      <c r="F83" s="23"/>
      <c r="G83" s="134">
        <f t="shared" si="13"/>
        <v>0</v>
      </c>
      <c r="H83" s="130"/>
      <c r="I83" s="23"/>
      <c r="J83" s="23"/>
      <c r="K83" s="119"/>
      <c r="L83" s="54"/>
    </row>
    <row r="84" spans="2:12" ht="15.6">
      <c r="B84" s="163" t="s">
        <v>95</v>
      </c>
      <c r="C84" s="21"/>
      <c r="D84" s="23"/>
      <c r="E84" s="23"/>
      <c r="F84" s="23"/>
      <c r="G84" s="134">
        <f t="shared" si="13"/>
        <v>0</v>
      </c>
      <c r="H84" s="130"/>
      <c r="I84" s="23"/>
      <c r="J84" s="23"/>
      <c r="K84" s="119"/>
      <c r="L84" s="54"/>
    </row>
    <row r="85" spans="2:12" ht="15.6">
      <c r="B85" s="163" t="s">
        <v>96</v>
      </c>
      <c r="C85" s="21"/>
      <c r="D85" s="23"/>
      <c r="E85" s="23"/>
      <c r="F85" s="23"/>
      <c r="G85" s="134">
        <f t="shared" si="13"/>
        <v>0</v>
      </c>
      <c r="H85" s="130"/>
      <c r="I85" s="23"/>
      <c r="J85" s="23"/>
      <c r="K85" s="119"/>
      <c r="L85" s="54"/>
    </row>
    <row r="86" spans="2:12" ht="15.6">
      <c r="B86" s="163" t="s">
        <v>97</v>
      </c>
      <c r="C86" s="49"/>
      <c r="D86" s="24"/>
      <c r="E86" s="24"/>
      <c r="F86" s="24"/>
      <c r="G86" s="134">
        <f t="shared" si="13"/>
        <v>0</v>
      </c>
      <c r="H86" s="131"/>
      <c r="I86" s="24"/>
      <c r="J86" s="24"/>
      <c r="K86" s="120"/>
      <c r="L86" s="54"/>
    </row>
    <row r="87" spans="2:12" ht="15.6">
      <c r="B87" s="163" t="s">
        <v>98</v>
      </c>
      <c r="C87" s="49"/>
      <c r="D87" s="24"/>
      <c r="E87" s="24"/>
      <c r="F87" s="24"/>
      <c r="G87" s="134">
        <f t="shared" si="13"/>
        <v>0</v>
      </c>
      <c r="H87" s="131"/>
      <c r="I87" s="24"/>
      <c r="J87" s="24"/>
      <c r="K87" s="120"/>
      <c r="L87" s="54"/>
    </row>
    <row r="88" spans="2:12" ht="15.6">
      <c r="C88" s="105" t="s">
        <v>173</v>
      </c>
      <c r="D88" s="25">
        <f>SUM(D80:D87)</f>
        <v>0</v>
      </c>
      <c r="E88" s="25">
        <f t="shared" ref="E88:G88" si="14">SUM(E80:E87)</f>
        <v>0</v>
      </c>
      <c r="F88" s="25">
        <f t="shared" si="14"/>
        <v>0</v>
      </c>
      <c r="G88" s="25">
        <f t="shared" si="14"/>
        <v>0</v>
      </c>
      <c r="H88" s="25">
        <f>(H80*G80)+(H81*G81)+(H82*G82)+(H83*G83)+(H84*G84)+(H85*G85)+(H86*G86)+(H87*G87)</f>
        <v>0</v>
      </c>
      <c r="I88" s="25">
        <v>0</v>
      </c>
      <c r="J88" s="187"/>
      <c r="K88" s="120"/>
      <c r="L88" s="55"/>
    </row>
    <row r="89" spans="2:12" ht="15.75" customHeight="1">
      <c r="B89" s="6"/>
      <c r="C89" s="15"/>
      <c r="D89" s="30"/>
      <c r="E89" s="30"/>
      <c r="F89" s="30"/>
      <c r="G89" s="30"/>
      <c r="H89" s="30"/>
      <c r="I89" s="30"/>
      <c r="J89" s="30"/>
      <c r="K89" s="15"/>
      <c r="L89" s="3"/>
    </row>
    <row r="90" spans="2:12" ht="51" customHeight="1">
      <c r="B90" s="105" t="s">
        <v>100</v>
      </c>
      <c r="C90" s="274" t="s">
        <v>594</v>
      </c>
      <c r="D90" s="274"/>
      <c r="E90" s="274"/>
      <c r="F90" s="274"/>
      <c r="G90" s="274"/>
      <c r="H90" s="274"/>
      <c r="I90" s="275"/>
      <c r="J90" s="275"/>
      <c r="K90" s="274"/>
      <c r="L90" s="22"/>
    </row>
    <row r="91" spans="2:12" ht="51" customHeight="1">
      <c r="B91" s="105" t="s">
        <v>101</v>
      </c>
      <c r="C91" s="283" t="s">
        <v>595</v>
      </c>
      <c r="D91" s="276"/>
      <c r="E91" s="276"/>
      <c r="F91" s="276"/>
      <c r="G91" s="276"/>
      <c r="H91" s="276"/>
      <c r="I91" s="277"/>
      <c r="J91" s="277"/>
      <c r="K91" s="276"/>
      <c r="L91" s="53"/>
    </row>
    <row r="92" spans="2:12" ht="78">
      <c r="B92" s="163" t="s">
        <v>102</v>
      </c>
      <c r="C92" s="21" t="s">
        <v>583</v>
      </c>
      <c r="D92" s="23">
        <f>+'[3]PBF 2021 Budget (2)'!K119+5450.81+'[3]PBF 2021 Budget (2)'!N185</f>
        <v>30760.658226022861</v>
      </c>
      <c r="E92" s="23"/>
      <c r="F92" s="23"/>
      <c r="G92" s="134">
        <f>D92</f>
        <v>30760.658226022861</v>
      </c>
      <c r="H92" s="130">
        <v>1</v>
      </c>
      <c r="I92" s="23">
        <v>30264.055557706601</v>
      </c>
      <c r="J92" s="23"/>
      <c r="K92" s="119"/>
      <c r="L92" s="54"/>
    </row>
    <row r="93" spans="2:12" ht="46.8">
      <c r="B93" s="163" t="s">
        <v>103</v>
      </c>
      <c r="C93" s="21" t="s">
        <v>584</v>
      </c>
      <c r="D93" s="23">
        <f>+'[3]PBF 2021 Budget (2)'!K128+5450.81+'[3]PBF 2021 Budget (2)'!N185</f>
        <v>38328.495071737147</v>
      </c>
      <c r="E93" s="23"/>
      <c r="F93" s="23"/>
      <c r="G93" s="134">
        <f t="shared" ref="G93:G99" si="15">D93</f>
        <v>38328.495071737147</v>
      </c>
      <c r="H93" s="130">
        <v>1</v>
      </c>
      <c r="I93" s="23">
        <v>37856.467128446398</v>
      </c>
      <c r="J93" s="23"/>
      <c r="K93" s="119"/>
      <c r="L93" s="54"/>
    </row>
    <row r="94" spans="2:12" ht="46.8">
      <c r="B94" s="163" t="s">
        <v>104</v>
      </c>
      <c r="C94" s="21" t="s">
        <v>585</v>
      </c>
      <c r="D94" s="23">
        <f>+'[3]PBF 2021 Budget (2)'!K134+5450.81+'[3]PBF 2021 Budget (2)'!N185</f>
        <v>8145.4079403085716</v>
      </c>
      <c r="E94" s="23"/>
      <c r="F94" s="23"/>
      <c r="G94" s="134">
        <f t="shared" si="15"/>
        <v>8145.4079403085716</v>
      </c>
      <c r="H94" s="130">
        <v>1</v>
      </c>
      <c r="I94" s="23">
        <v>8064.6744711650199</v>
      </c>
      <c r="J94" s="23"/>
      <c r="K94" s="119"/>
      <c r="L94" s="54"/>
    </row>
    <row r="95" spans="2:12" ht="93.6">
      <c r="B95" s="163" t="s">
        <v>105</v>
      </c>
      <c r="C95" s="21" t="s">
        <v>586</v>
      </c>
      <c r="D95" s="23">
        <f>+'[3]PBF 2021 Budget (2)'!K140+5450.81+'[3]PBF 2021 Budget (2)'!N185</f>
        <v>9427.922226022858</v>
      </c>
      <c r="E95" s="23"/>
      <c r="F95" s="23"/>
      <c r="G95" s="134">
        <f t="shared" si="15"/>
        <v>9427.922226022858</v>
      </c>
      <c r="H95" s="130">
        <v>1</v>
      </c>
      <c r="I95" s="23">
        <v>9422.7559756142691</v>
      </c>
      <c r="J95" s="23"/>
      <c r="K95" s="119"/>
      <c r="L95" s="54"/>
    </row>
    <row r="96" spans="2:12" ht="15.6">
      <c r="B96" s="163" t="s">
        <v>106</v>
      </c>
      <c r="C96" s="21"/>
      <c r="D96" s="23"/>
      <c r="E96" s="23"/>
      <c r="F96" s="23"/>
      <c r="G96" s="134">
        <f t="shared" si="15"/>
        <v>0</v>
      </c>
      <c r="H96" s="130"/>
      <c r="I96" s="23"/>
      <c r="J96" s="23"/>
      <c r="K96" s="119"/>
      <c r="L96" s="54"/>
    </row>
    <row r="97" spans="2:12" ht="15.6">
      <c r="B97" s="163" t="s">
        <v>107</v>
      </c>
      <c r="C97" s="21"/>
      <c r="D97" s="23"/>
      <c r="E97" s="23"/>
      <c r="F97" s="23"/>
      <c r="G97" s="134">
        <f t="shared" si="15"/>
        <v>0</v>
      </c>
      <c r="H97" s="130"/>
      <c r="I97" s="23"/>
      <c r="J97" s="23"/>
      <c r="K97" s="119"/>
      <c r="L97" s="54"/>
    </row>
    <row r="98" spans="2:12" ht="15.6">
      <c r="B98" s="163" t="s">
        <v>108</v>
      </c>
      <c r="C98" s="49"/>
      <c r="D98" s="24"/>
      <c r="E98" s="24"/>
      <c r="F98" s="24"/>
      <c r="G98" s="134">
        <f t="shared" si="15"/>
        <v>0</v>
      </c>
      <c r="H98" s="131"/>
      <c r="I98" s="24"/>
      <c r="J98" s="24"/>
      <c r="K98" s="120"/>
      <c r="L98" s="54"/>
    </row>
    <row r="99" spans="2:12" ht="15.6">
      <c r="B99" s="163" t="s">
        <v>109</v>
      </c>
      <c r="C99" s="49"/>
      <c r="D99" s="24"/>
      <c r="E99" s="24"/>
      <c r="F99" s="24"/>
      <c r="G99" s="134">
        <f t="shared" si="15"/>
        <v>0</v>
      </c>
      <c r="H99" s="131"/>
      <c r="I99" s="24"/>
      <c r="J99" s="24"/>
      <c r="K99" s="120"/>
      <c r="L99" s="54"/>
    </row>
    <row r="100" spans="2:12" ht="15.6">
      <c r="C100" s="105" t="s">
        <v>173</v>
      </c>
      <c r="D100" s="25">
        <f>SUM(D92:D99)</f>
        <v>86662.483464091434</v>
      </c>
      <c r="E100" s="25">
        <f t="shared" ref="E100:G100" si="16">SUM(E92:E99)</f>
        <v>0</v>
      </c>
      <c r="F100" s="25">
        <f t="shared" si="16"/>
        <v>0</v>
      </c>
      <c r="G100" s="28">
        <f t="shared" si="16"/>
        <v>86662.483464091434</v>
      </c>
      <c r="H100" s="25">
        <f>(H92*G92)+(H93*G93)+(H94*G94)+(H95*G95)+(H96*G96)+(H97*G97)+(H98*G98)+(H99*G99)</f>
        <v>86662.483464091434</v>
      </c>
      <c r="I100" s="25">
        <f>SUM(I92:I99)</f>
        <v>85607.953132932293</v>
      </c>
      <c r="J100" s="187"/>
      <c r="K100" s="120"/>
      <c r="L100" s="55"/>
    </row>
    <row r="101" spans="2:12" ht="51" customHeight="1">
      <c r="B101" s="105" t="s">
        <v>8</v>
      </c>
      <c r="C101" s="283" t="s">
        <v>596</v>
      </c>
      <c r="D101" s="276"/>
      <c r="E101" s="276"/>
      <c r="F101" s="276"/>
      <c r="G101" s="276"/>
      <c r="H101" s="276"/>
      <c r="I101" s="277"/>
      <c r="J101" s="277"/>
      <c r="K101" s="276"/>
      <c r="L101" s="53"/>
    </row>
    <row r="102" spans="2:12" ht="46.8">
      <c r="B102" s="163" t="s">
        <v>110</v>
      </c>
      <c r="C102" s="21" t="s">
        <v>587</v>
      </c>
      <c r="D102" s="23">
        <f>+'[3]PBF 2021 Budget (2)'!N13+'[3]PBF 2021 Budget (2)'!K151+'[3]PBF 2021 Budget (2)'!N185</f>
        <v>16145.813654594287</v>
      </c>
      <c r="E102" s="23"/>
      <c r="F102" s="23"/>
      <c r="G102" s="134">
        <f>D102</f>
        <v>16145.813654594287</v>
      </c>
      <c r="H102" s="130">
        <v>1</v>
      </c>
      <c r="I102" s="23">
        <v>11834.239780268001</v>
      </c>
      <c r="J102" s="23"/>
      <c r="K102" s="119"/>
      <c r="L102" s="54"/>
    </row>
    <row r="103" spans="2:12" ht="15.6">
      <c r="B103" s="163" t="s">
        <v>111</v>
      </c>
      <c r="C103" s="21"/>
      <c r="D103" s="203"/>
      <c r="E103" s="23"/>
      <c r="F103" s="23"/>
      <c r="G103" s="134">
        <f t="shared" ref="G103:G109" si="17">D103</f>
        <v>0</v>
      </c>
      <c r="H103" s="130"/>
      <c r="I103" s="23"/>
      <c r="J103" s="23"/>
      <c r="K103" s="119"/>
      <c r="L103" s="54"/>
    </row>
    <row r="104" spans="2:12" ht="15.6">
      <c r="B104" s="163" t="s">
        <v>112</v>
      </c>
      <c r="C104" s="21"/>
      <c r="D104" s="23"/>
      <c r="E104" s="23"/>
      <c r="F104" s="23"/>
      <c r="G104" s="134">
        <f t="shared" si="17"/>
        <v>0</v>
      </c>
      <c r="H104" s="130"/>
      <c r="I104" s="23"/>
      <c r="J104" s="23"/>
      <c r="K104" s="119"/>
      <c r="L104" s="54"/>
    </row>
    <row r="105" spans="2:12" ht="15.6">
      <c r="B105" s="163" t="s">
        <v>113</v>
      </c>
      <c r="C105" s="21"/>
      <c r="D105" s="23"/>
      <c r="E105" s="23"/>
      <c r="F105" s="23"/>
      <c r="G105" s="134">
        <f t="shared" si="17"/>
        <v>0</v>
      </c>
      <c r="H105" s="130"/>
      <c r="I105" s="23"/>
      <c r="J105" s="23"/>
      <c r="K105" s="119"/>
      <c r="L105" s="54"/>
    </row>
    <row r="106" spans="2:12" ht="15.6">
      <c r="B106" s="163" t="s">
        <v>114</v>
      </c>
      <c r="C106" s="21"/>
      <c r="D106" s="23"/>
      <c r="E106" s="23"/>
      <c r="F106" s="23"/>
      <c r="G106" s="134">
        <f t="shared" si="17"/>
        <v>0</v>
      </c>
      <c r="H106" s="130"/>
      <c r="I106" s="23"/>
      <c r="J106" s="23"/>
      <c r="K106" s="119"/>
      <c r="L106" s="54"/>
    </row>
    <row r="107" spans="2:12" ht="15.6">
      <c r="B107" s="163" t="s">
        <v>115</v>
      </c>
      <c r="C107" s="21"/>
      <c r="D107" s="23"/>
      <c r="E107" s="23"/>
      <c r="F107" s="23"/>
      <c r="G107" s="134">
        <f t="shared" si="17"/>
        <v>0</v>
      </c>
      <c r="H107" s="130"/>
      <c r="I107" s="23"/>
      <c r="J107" s="23"/>
      <c r="K107" s="119"/>
      <c r="L107" s="54"/>
    </row>
    <row r="108" spans="2:12" ht="15.6">
      <c r="B108" s="163" t="s">
        <v>116</v>
      </c>
      <c r="C108" s="49"/>
      <c r="D108" s="24"/>
      <c r="E108" s="24"/>
      <c r="F108" s="24"/>
      <c r="G108" s="134">
        <f t="shared" si="17"/>
        <v>0</v>
      </c>
      <c r="H108" s="131"/>
      <c r="I108" s="24"/>
      <c r="J108" s="24"/>
      <c r="K108" s="120"/>
      <c r="L108" s="54"/>
    </row>
    <row r="109" spans="2:12" ht="15.6">
      <c r="B109" s="163" t="s">
        <v>117</v>
      </c>
      <c r="C109" s="49"/>
      <c r="D109" s="24"/>
      <c r="E109" s="24"/>
      <c r="F109" s="24"/>
      <c r="G109" s="134">
        <f t="shared" si="17"/>
        <v>0</v>
      </c>
      <c r="H109" s="131"/>
      <c r="I109" s="24"/>
      <c r="J109" s="24"/>
      <c r="K109" s="120"/>
      <c r="L109" s="54"/>
    </row>
    <row r="110" spans="2:12" ht="15.6">
      <c r="C110" s="105" t="s">
        <v>173</v>
      </c>
      <c r="D110" s="28">
        <f>SUM(D102:D109)</f>
        <v>16145.813654594287</v>
      </c>
      <c r="E110" s="28">
        <f t="shared" ref="E110:G110" si="18">SUM(E102:E109)</f>
        <v>0</v>
      </c>
      <c r="F110" s="28">
        <f t="shared" si="18"/>
        <v>0</v>
      </c>
      <c r="G110" s="28">
        <f t="shared" si="18"/>
        <v>16145.813654594287</v>
      </c>
      <c r="H110" s="25">
        <f>(H102*G102)+(H103*G103)+(H104*G104)+(H105*G105)+(H106*G106)+(H107*G107)+(H108*G108)+(H109*G109)</f>
        <v>16145.813654594287</v>
      </c>
      <c r="I110" s="25">
        <f>SUM(I102:I109)</f>
        <v>11834.239780268001</v>
      </c>
      <c r="J110" s="187"/>
      <c r="K110" s="120"/>
      <c r="L110" s="55"/>
    </row>
    <row r="111" spans="2:12" ht="51" customHeight="1">
      <c r="B111" s="105" t="s">
        <v>118</v>
      </c>
      <c r="C111" s="276"/>
      <c r="D111" s="276"/>
      <c r="E111" s="276"/>
      <c r="F111" s="276"/>
      <c r="G111" s="276"/>
      <c r="H111" s="276"/>
      <c r="I111" s="277"/>
      <c r="J111" s="277"/>
      <c r="K111" s="276"/>
      <c r="L111" s="53"/>
    </row>
    <row r="112" spans="2:12" ht="15.6">
      <c r="B112" s="163" t="s">
        <v>119</v>
      </c>
      <c r="C112" s="21"/>
      <c r="D112" s="23"/>
      <c r="E112" s="23"/>
      <c r="F112" s="23"/>
      <c r="G112" s="134">
        <f>D112</f>
        <v>0</v>
      </c>
      <c r="H112" s="130"/>
      <c r="I112" s="23"/>
      <c r="J112" s="23"/>
      <c r="K112" s="119"/>
      <c r="L112" s="54"/>
    </row>
    <row r="113" spans="2:12" ht="15.6">
      <c r="B113" s="163" t="s">
        <v>120</v>
      </c>
      <c r="C113" s="21"/>
      <c r="D113" s="23"/>
      <c r="E113" s="23"/>
      <c r="F113" s="23"/>
      <c r="G113" s="134">
        <f t="shared" ref="G113:G119" si="19">D113</f>
        <v>0</v>
      </c>
      <c r="H113" s="130"/>
      <c r="I113" s="23"/>
      <c r="J113" s="23"/>
      <c r="K113" s="119"/>
      <c r="L113" s="54"/>
    </row>
    <row r="114" spans="2:12" ht="15.6">
      <c r="B114" s="163" t="s">
        <v>121</v>
      </c>
      <c r="C114" s="21"/>
      <c r="D114" s="23"/>
      <c r="E114" s="23"/>
      <c r="F114" s="23"/>
      <c r="G114" s="134">
        <f t="shared" si="19"/>
        <v>0</v>
      </c>
      <c r="H114" s="130"/>
      <c r="I114" s="23"/>
      <c r="J114" s="23"/>
      <c r="K114" s="119"/>
      <c r="L114" s="54"/>
    </row>
    <row r="115" spans="2:12" ht="15.6">
      <c r="B115" s="163" t="s">
        <v>122</v>
      </c>
      <c r="C115" s="21"/>
      <c r="D115" s="23"/>
      <c r="E115" s="23"/>
      <c r="F115" s="23"/>
      <c r="G115" s="134">
        <f t="shared" si="19"/>
        <v>0</v>
      </c>
      <c r="H115" s="130"/>
      <c r="I115" s="23"/>
      <c r="J115" s="23"/>
      <c r="K115" s="119"/>
      <c r="L115" s="54"/>
    </row>
    <row r="116" spans="2:12" ht="15.6">
      <c r="B116" s="163" t="s">
        <v>123</v>
      </c>
      <c r="C116" s="21"/>
      <c r="D116" s="23"/>
      <c r="E116" s="23"/>
      <c r="F116" s="23"/>
      <c r="G116" s="134">
        <f t="shared" si="19"/>
        <v>0</v>
      </c>
      <c r="H116" s="130"/>
      <c r="I116" s="23"/>
      <c r="J116" s="23"/>
      <c r="K116" s="119"/>
      <c r="L116" s="54"/>
    </row>
    <row r="117" spans="2:12" ht="15.6">
      <c r="B117" s="163" t="s">
        <v>124</v>
      </c>
      <c r="C117" s="21"/>
      <c r="D117" s="23"/>
      <c r="E117" s="23"/>
      <c r="F117" s="23"/>
      <c r="G117" s="134">
        <f t="shared" si="19"/>
        <v>0</v>
      </c>
      <c r="H117" s="130"/>
      <c r="I117" s="23"/>
      <c r="J117" s="23"/>
      <c r="K117" s="119"/>
      <c r="L117" s="54"/>
    </row>
    <row r="118" spans="2:12" ht="15.6">
      <c r="B118" s="163" t="s">
        <v>125</v>
      </c>
      <c r="C118" s="49"/>
      <c r="D118" s="24"/>
      <c r="E118" s="24"/>
      <c r="F118" s="24"/>
      <c r="G118" s="134">
        <f t="shared" si="19"/>
        <v>0</v>
      </c>
      <c r="H118" s="131"/>
      <c r="I118" s="24"/>
      <c r="J118" s="24"/>
      <c r="K118" s="120"/>
      <c r="L118" s="54"/>
    </row>
    <row r="119" spans="2:12" ht="15.6">
      <c r="B119" s="163" t="s">
        <v>126</v>
      </c>
      <c r="C119" s="49"/>
      <c r="D119" s="24"/>
      <c r="E119" s="24"/>
      <c r="F119" s="24"/>
      <c r="G119" s="134">
        <f t="shared" si="19"/>
        <v>0</v>
      </c>
      <c r="H119" s="131"/>
      <c r="I119" s="24"/>
      <c r="J119" s="24"/>
      <c r="K119" s="120"/>
      <c r="L119" s="54"/>
    </row>
    <row r="120" spans="2:12" ht="15.6">
      <c r="C120" s="105" t="s">
        <v>173</v>
      </c>
      <c r="D120" s="28">
        <f>SUM(D112:D119)</f>
        <v>0</v>
      </c>
      <c r="E120" s="28">
        <f t="shared" ref="E120:G120" si="20">SUM(E112:E119)</f>
        <v>0</v>
      </c>
      <c r="F120" s="28">
        <f t="shared" si="20"/>
        <v>0</v>
      </c>
      <c r="G120" s="28">
        <f t="shared" si="20"/>
        <v>0</v>
      </c>
      <c r="H120" s="25">
        <f>(H112*G112)+(H113*G113)+(H114*G114)+(H115*G115)+(H116*G116)+(H117*G117)+(H118*G118)+(H119*G119)</f>
        <v>0</v>
      </c>
      <c r="I120" s="25">
        <v>0</v>
      </c>
      <c r="J120" s="187"/>
      <c r="K120" s="120"/>
      <c r="L120" s="55"/>
    </row>
    <row r="121" spans="2:12" ht="51" customHeight="1">
      <c r="B121" s="105" t="s">
        <v>127</v>
      </c>
      <c r="C121" s="276"/>
      <c r="D121" s="276"/>
      <c r="E121" s="276"/>
      <c r="F121" s="276"/>
      <c r="G121" s="276"/>
      <c r="H121" s="276"/>
      <c r="I121" s="277"/>
      <c r="J121" s="277"/>
      <c r="K121" s="276"/>
      <c r="L121" s="53"/>
    </row>
    <row r="122" spans="2:12" ht="15.6">
      <c r="B122" s="163" t="s">
        <v>128</v>
      </c>
      <c r="C122" s="21"/>
      <c r="D122" s="23"/>
      <c r="E122" s="23"/>
      <c r="F122" s="23"/>
      <c r="G122" s="134">
        <f>D122</f>
        <v>0</v>
      </c>
      <c r="H122" s="130"/>
      <c r="I122" s="23"/>
      <c r="J122" s="23"/>
      <c r="K122" s="119"/>
      <c r="L122" s="54"/>
    </row>
    <row r="123" spans="2:12" ht="15.6">
      <c r="B123" s="163" t="s">
        <v>129</v>
      </c>
      <c r="C123" s="21"/>
      <c r="D123" s="23"/>
      <c r="E123" s="23"/>
      <c r="F123" s="23"/>
      <c r="G123" s="134">
        <f t="shared" ref="G123:G129" si="21">D123</f>
        <v>0</v>
      </c>
      <c r="H123" s="130"/>
      <c r="I123" s="23"/>
      <c r="J123" s="23"/>
      <c r="K123" s="119"/>
      <c r="L123" s="54"/>
    </row>
    <row r="124" spans="2:12" ht="15.6">
      <c r="B124" s="163" t="s">
        <v>130</v>
      </c>
      <c r="C124" s="21"/>
      <c r="D124" s="23"/>
      <c r="E124" s="23"/>
      <c r="F124" s="23"/>
      <c r="G124" s="134">
        <f t="shared" si="21"/>
        <v>0</v>
      </c>
      <c r="H124" s="130"/>
      <c r="I124" s="23"/>
      <c r="J124" s="23"/>
      <c r="K124" s="119"/>
      <c r="L124" s="54"/>
    </row>
    <row r="125" spans="2:12" ht="15.6">
      <c r="B125" s="163" t="s">
        <v>131</v>
      </c>
      <c r="C125" s="21"/>
      <c r="D125" s="23"/>
      <c r="E125" s="23"/>
      <c r="F125" s="23"/>
      <c r="G125" s="134">
        <f t="shared" si="21"/>
        <v>0</v>
      </c>
      <c r="H125" s="130"/>
      <c r="I125" s="23"/>
      <c r="J125" s="23"/>
      <c r="K125" s="119"/>
      <c r="L125" s="54"/>
    </row>
    <row r="126" spans="2:12" ht="15.6">
      <c r="B126" s="163" t="s">
        <v>132</v>
      </c>
      <c r="C126" s="21"/>
      <c r="D126" s="23"/>
      <c r="E126" s="23"/>
      <c r="F126" s="23"/>
      <c r="G126" s="134">
        <f t="shared" si="21"/>
        <v>0</v>
      </c>
      <c r="H126" s="130"/>
      <c r="I126" s="23"/>
      <c r="J126" s="23"/>
      <c r="K126" s="119"/>
      <c r="L126" s="54"/>
    </row>
    <row r="127" spans="2:12" ht="15.6">
      <c r="B127" s="163" t="s">
        <v>133</v>
      </c>
      <c r="C127" s="21"/>
      <c r="D127" s="23"/>
      <c r="E127" s="23"/>
      <c r="F127" s="23"/>
      <c r="G127" s="134">
        <f t="shared" si="21"/>
        <v>0</v>
      </c>
      <c r="H127" s="130"/>
      <c r="I127" s="23"/>
      <c r="J127" s="23"/>
      <c r="K127" s="119"/>
      <c r="L127" s="54"/>
    </row>
    <row r="128" spans="2:12" ht="15.6">
      <c r="B128" s="163" t="s">
        <v>134</v>
      </c>
      <c r="C128" s="49"/>
      <c r="D128" s="24"/>
      <c r="E128" s="24"/>
      <c r="F128" s="24"/>
      <c r="G128" s="134">
        <f t="shared" si="21"/>
        <v>0</v>
      </c>
      <c r="H128" s="131"/>
      <c r="I128" s="24"/>
      <c r="J128" s="24"/>
      <c r="K128" s="120"/>
      <c r="L128" s="54"/>
    </row>
    <row r="129" spans="2:12" ht="15.6">
      <c r="B129" s="163" t="s">
        <v>135</v>
      </c>
      <c r="C129" s="49"/>
      <c r="D129" s="24"/>
      <c r="E129" s="24"/>
      <c r="F129" s="24"/>
      <c r="G129" s="134">
        <f t="shared" si="21"/>
        <v>0</v>
      </c>
      <c r="H129" s="131"/>
      <c r="I129" s="24"/>
      <c r="J129" s="24"/>
      <c r="K129" s="120"/>
      <c r="L129" s="54"/>
    </row>
    <row r="130" spans="2:12" ht="15.6">
      <c r="C130" s="105" t="s">
        <v>173</v>
      </c>
      <c r="D130" s="25">
        <f>SUM(D122:D129)</f>
        <v>0</v>
      </c>
      <c r="E130" s="25">
        <f t="shared" ref="E130:G130" si="22">SUM(E122:E129)</f>
        <v>0</v>
      </c>
      <c r="F130" s="25">
        <f t="shared" si="22"/>
        <v>0</v>
      </c>
      <c r="G130" s="25">
        <f t="shared" si="22"/>
        <v>0</v>
      </c>
      <c r="H130" s="25">
        <f>(H122*G122)+(H123*G123)+(H124*G124)+(H125*G125)+(H126*G126)+(H127*G127)+(H128*G128)+(H129*G129)</f>
        <v>0</v>
      </c>
      <c r="I130" s="25">
        <v>0</v>
      </c>
      <c r="J130" s="187"/>
      <c r="K130" s="120"/>
      <c r="L130" s="55"/>
    </row>
    <row r="131" spans="2:12" ht="15.75" customHeight="1">
      <c r="B131" s="6"/>
      <c r="C131" s="15"/>
      <c r="D131" s="30"/>
      <c r="E131" s="30"/>
      <c r="F131" s="30"/>
      <c r="G131" s="30"/>
      <c r="H131" s="30"/>
      <c r="I131" s="30"/>
      <c r="J131" s="30"/>
      <c r="K131" s="77"/>
      <c r="L131" s="3"/>
    </row>
    <row r="132" spans="2:12" ht="51" customHeight="1">
      <c r="B132" s="105" t="s">
        <v>136</v>
      </c>
      <c r="C132" s="274"/>
      <c r="D132" s="274"/>
      <c r="E132" s="274"/>
      <c r="F132" s="274"/>
      <c r="G132" s="274"/>
      <c r="H132" s="274"/>
      <c r="I132" s="275"/>
      <c r="J132" s="275"/>
      <c r="K132" s="274"/>
      <c r="L132" s="22"/>
    </row>
    <row r="133" spans="2:12" ht="51" customHeight="1">
      <c r="B133" s="105" t="s">
        <v>137</v>
      </c>
      <c r="C133" s="276"/>
      <c r="D133" s="276"/>
      <c r="E133" s="276"/>
      <c r="F133" s="276"/>
      <c r="G133" s="276"/>
      <c r="H133" s="276"/>
      <c r="I133" s="277"/>
      <c r="J133" s="277"/>
      <c r="K133" s="276"/>
      <c r="L133" s="53"/>
    </row>
    <row r="134" spans="2:12" ht="15.6">
      <c r="B134" s="163" t="s">
        <v>138</v>
      </c>
      <c r="C134" s="21"/>
      <c r="D134" s="23"/>
      <c r="E134" s="23"/>
      <c r="F134" s="23"/>
      <c r="G134" s="134">
        <f>D134</f>
        <v>0</v>
      </c>
      <c r="H134" s="130"/>
      <c r="I134" s="23"/>
      <c r="J134" s="23"/>
      <c r="K134" s="119"/>
      <c r="L134" s="54"/>
    </row>
    <row r="135" spans="2:12" ht="15.6">
      <c r="B135" s="163" t="s">
        <v>139</v>
      </c>
      <c r="C135" s="21"/>
      <c r="D135" s="23"/>
      <c r="E135" s="23"/>
      <c r="F135" s="23"/>
      <c r="G135" s="134">
        <f t="shared" ref="G135:G141" si="23">D135</f>
        <v>0</v>
      </c>
      <c r="H135" s="130"/>
      <c r="I135" s="23"/>
      <c r="J135" s="23"/>
      <c r="K135" s="119"/>
      <c r="L135" s="54"/>
    </row>
    <row r="136" spans="2:12" ht="15.6">
      <c r="B136" s="163" t="s">
        <v>140</v>
      </c>
      <c r="C136" s="21"/>
      <c r="D136" s="23"/>
      <c r="E136" s="23"/>
      <c r="F136" s="23"/>
      <c r="G136" s="134">
        <f t="shared" si="23"/>
        <v>0</v>
      </c>
      <c r="H136" s="130"/>
      <c r="I136" s="23"/>
      <c r="J136" s="23"/>
      <c r="K136" s="119"/>
      <c r="L136" s="54"/>
    </row>
    <row r="137" spans="2:12" ht="15.6">
      <c r="B137" s="163" t="s">
        <v>141</v>
      </c>
      <c r="C137" s="21"/>
      <c r="D137" s="23"/>
      <c r="E137" s="23"/>
      <c r="F137" s="23"/>
      <c r="G137" s="134">
        <f t="shared" si="23"/>
        <v>0</v>
      </c>
      <c r="H137" s="130"/>
      <c r="I137" s="23"/>
      <c r="J137" s="23"/>
      <c r="K137" s="119"/>
      <c r="L137" s="54"/>
    </row>
    <row r="138" spans="2:12" ht="15.6">
      <c r="B138" s="163" t="s">
        <v>142</v>
      </c>
      <c r="C138" s="21"/>
      <c r="D138" s="23"/>
      <c r="E138" s="23"/>
      <c r="F138" s="23"/>
      <c r="G138" s="134">
        <f t="shared" si="23"/>
        <v>0</v>
      </c>
      <c r="H138" s="130"/>
      <c r="I138" s="23"/>
      <c r="J138" s="23"/>
      <c r="K138" s="119"/>
      <c r="L138" s="54"/>
    </row>
    <row r="139" spans="2:12" ht="15.6">
      <c r="B139" s="163" t="s">
        <v>143</v>
      </c>
      <c r="C139" s="21"/>
      <c r="D139" s="23"/>
      <c r="E139" s="23"/>
      <c r="F139" s="23"/>
      <c r="G139" s="134">
        <f t="shared" si="23"/>
        <v>0</v>
      </c>
      <c r="H139" s="130"/>
      <c r="I139" s="23"/>
      <c r="J139" s="23"/>
      <c r="K139" s="119"/>
      <c r="L139" s="54"/>
    </row>
    <row r="140" spans="2:12" ht="15.6">
      <c r="B140" s="163" t="s">
        <v>144</v>
      </c>
      <c r="C140" s="49"/>
      <c r="D140" s="24"/>
      <c r="E140" s="24"/>
      <c r="F140" s="24"/>
      <c r="G140" s="134">
        <f t="shared" si="23"/>
        <v>0</v>
      </c>
      <c r="H140" s="131"/>
      <c r="I140" s="24"/>
      <c r="J140" s="24"/>
      <c r="K140" s="120"/>
      <c r="L140" s="54"/>
    </row>
    <row r="141" spans="2:12" ht="15.6">
      <c r="B141" s="163" t="s">
        <v>145</v>
      </c>
      <c r="C141" s="49"/>
      <c r="D141" s="24"/>
      <c r="E141" s="24"/>
      <c r="F141" s="24"/>
      <c r="G141" s="134">
        <f t="shared" si="23"/>
        <v>0</v>
      </c>
      <c r="H141" s="131"/>
      <c r="I141" s="24"/>
      <c r="J141" s="24"/>
      <c r="K141" s="120"/>
      <c r="L141" s="54"/>
    </row>
    <row r="142" spans="2:12" ht="15.6">
      <c r="C142" s="105" t="s">
        <v>173</v>
      </c>
      <c r="D142" s="25">
        <f>SUM(D134:D141)</f>
        <v>0</v>
      </c>
      <c r="E142" s="25">
        <f t="shared" ref="E142:G142" si="24">SUM(E134:E141)</f>
        <v>0</v>
      </c>
      <c r="F142" s="25">
        <f t="shared" si="24"/>
        <v>0</v>
      </c>
      <c r="G142" s="28">
        <f t="shared" si="24"/>
        <v>0</v>
      </c>
      <c r="H142" s="25">
        <f>(H134*G134)+(H135*G135)+(H136*G136)+(H137*G137)+(H138*G138)+(H139*G139)+(H140*G140)+(H141*G141)</f>
        <v>0</v>
      </c>
      <c r="I142" s="25">
        <v>0</v>
      </c>
      <c r="J142" s="187"/>
      <c r="K142" s="120"/>
      <c r="L142" s="55"/>
    </row>
    <row r="143" spans="2:12" ht="51" customHeight="1">
      <c r="B143" s="105" t="s">
        <v>146</v>
      </c>
      <c r="C143" s="276"/>
      <c r="D143" s="276"/>
      <c r="E143" s="276"/>
      <c r="F143" s="276"/>
      <c r="G143" s="276"/>
      <c r="H143" s="276"/>
      <c r="I143" s="277"/>
      <c r="J143" s="277"/>
      <c r="K143" s="276"/>
      <c r="L143" s="53"/>
    </row>
    <row r="144" spans="2:12" ht="15.6">
      <c r="B144" s="163" t="s">
        <v>147</v>
      </c>
      <c r="C144" s="21"/>
      <c r="D144" s="23"/>
      <c r="E144" s="23"/>
      <c r="F144" s="23"/>
      <c r="G144" s="134">
        <f>D144</f>
        <v>0</v>
      </c>
      <c r="H144" s="130"/>
      <c r="I144" s="23"/>
      <c r="J144" s="23"/>
      <c r="K144" s="119"/>
      <c r="L144" s="54"/>
    </row>
    <row r="145" spans="2:12" ht="15.6">
      <c r="B145" s="163" t="s">
        <v>148</v>
      </c>
      <c r="C145" s="21"/>
      <c r="D145" s="23"/>
      <c r="E145" s="23"/>
      <c r="F145" s="23"/>
      <c r="G145" s="134">
        <f t="shared" ref="G145:G151" si="25">D145</f>
        <v>0</v>
      </c>
      <c r="H145" s="130"/>
      <c r="I145" s="23"/>
      <c r="J145" s="23"/>
      <c r="K145" s="119"/>
      <c r="L145" s="54"/>
    </row>
    <row r="146" spans="2:12" ht="15.6">
      <c r="B146" s="163" t="s">
        <v>149</v>
      </c>
      <c r="C146" s="21"/>
      <c r="D146" s="23"/>
      <c r="E146" s="23"/>
      <c r="F146" s="23"/>
      <c r="G146" s="134">
        <f t="shared" si="25"/>
        <v>0</v>
      </c>
      <c r="H146" s="130"/>
      <c r="I146" s="23"/>
      <c r="J146" s="23"/>
      <c r="K146" s="119"/>
      <c r="L146" s="54"/>
    </row>
    <row r="147" spans="2:12" ht="15.6">
      <c r="B147" s="163" t="s">
        <v>150</v>
      </c>
      <c r="C147" s="21"/>
      <c r="D147" s="23"/>
      <c r="E147" s="23"/>
      <c r="F147" s="23"/>
      <c r="G147" s="134">
        <f t="shared" si="25"/>
        <v>0</v>
      </c>
      <c r="H147" s="130"/>
      <c r="I147" s="23"/>
      <c r="J147" s="23"/>
      <c r="K147" s="119"/>
      <c r="L147" s="54"/>
    </row>
    <row r="148" spans="2:12" ht="15.6">
      <c r="B148" s="163" t="s">
        <v>151</v>
      </c>
      <c r="C148" s="21"/>
      <c r="D148" s="23"/>
      <c r="E148" s="23"/>
      <c r="F148" s="23"/>
      <c r="G148" s="134">
        <f t="shared" si="25"/>
        <v>0</v>
      </c>
      <c r="H148" s="130"/>
      <c r="I148" s="23"/>
      <c r="J148" s="23"/>
      <c r="K148" s="119"/>
      <c r="L148" s="54"/>
    </row>
    <row r="149" spans="2:12" ht="15.6">
      <c r="B149" s="163" t="s">
        <v>152</v>
      </c>
      <c r="C149" s="21"/>
      <c r="D149" s="23"/>
      <c r="E149" s="23"/>
      <c r="F149" s="23"/>
      <c r="G149" s="134">
        <f t="shared" si="25"/>
        <v>0</v>
      </c>
      <c r="H149" s="130"/>
      <c r="I149" s="23"/>
      <c r="J149" s="23"/>
      <c r="K149" s="119"/>
      <c r="L149" s="54"/>
    </row>
    <row r="150" spans="2:12" ht="15.6">
      <c r="B150" s="163" t="s">
        <v>153</v>
      </c>
      <c r="C150" s="49"/>
      <c r="D150" s="24"/>
      <c r="E150" s="24"/>
      <c r="F150" s="24"/>
      <c r="G150" s="134">
        <f t="shared" si="25"/>
        <v>0</v>
      </c>
      <c r="H150" s="131"/>
      <c r="I150" s="24"/>
      <c r="J150" s="24"/>
      <c r="K150" s="120"/>
      <c r="L150" s="54"/>
    </row>
    <row r="151" spans="2:12" ht="15.6">
      <c r="B151" s="163" t="s">
        <v>154</v>
      </c>
      <c r="C151" s="49"/>
      <c r="D151" s="24"/>
      <c r="E151" s="24"/>
      <c r="F151" s="24"/>
      <c r="G151" s="134">
        <f t="shared" si="25"/>
        <v>0</v>
      </c>
      <c r="H151" s="131"/>
      <c r="I151" s="24"/>
      <c r="J151" s="24"/>
      <c r="K151" s="120"/>
      <c r="L151" s="54"/>
    </row>
    <row r="152" spans="2:12" ht="15.6">
      <c r="C152" s="105" t="s">
        <v>173</v>
      </c>
      <c r="D152" s="28">
        <f>SUM(D144:D151)</f>
        <v>0</v>
      </c>
      <c r="E152" s="28">
        <f t="shared" ref="E152:G152" si="26">SUM(E144:E151)</f>
        <v>0</v>
      </c>
      <c r="F152" s="28">
        <f t="shared" si="26"/>
        <v>0</v>
      </c>
      <c r="G152" s="28">
        <f t="shared" si="26"/>
        <v>0</v>
      </c>
      <c r="H152" s="25">
        <f>(H144*G144)+(H145*G145)+(H146*G146)+(H147*G147)+(H148*G148)+(H149*G149)+(H150*G150)+(H151*G151)</f>
        <v>0</v>
      </c>
      <c r="I152" s="25">
        <v>0</v>
      </c>
      <c r="J152" s="187"/>
      <c r="K152" s="120"/>
      <c r="L152" s="55"/>
    </row>
    <row r="153" spans="2:12" ht="51" customHeight="1">
      <c r="B153" s="105" t="s">
        <v>155</v>
      </c>
      <c r="C153" s="276"/>
      <c r="D153" s="276"/>
      <c r="E153" s="276"/>
      <c r="F153" s="276"/>
      <c r="G153" s="276"/>
      <c r="H153" s="276"/>
      <c r="I153" s="277"/>
      <c r="J153" s="277"/>
      <c r="K153" s="276"/>
      <c r="L153" s="53"/>
    </row>
    <row r="154" spans="2:12" ht="15.6">
      <c r="B154" s="163" t="s">
        <v>156</v>
      </c>
      <c r="C154" s="21"/>
      <c r="D154" s="23"/>
      <c r="E154" s="23"/>
      <c r="F154" s="23"/>
      <c r="G154" s="134">
        <f>D154</f>
        <v>0</v>
      </c>
      <c r="H154" s="130"/>
      <c r="I154" s="23"/>
      <c r="J154" s="23"/>
      <c r="K154" s="119"/>
      <c r="L154" s="54"/>
    </row>
    <row r="155" spans="2:12" ht="15.6">
      <c r="B155" s="163" t="s">
        <v>157</v>
      </c>
      <c r="C155" s="21"/>
      <c r="D155" s="23"/>
      <c r="E155" s="23"/>
      <c r="F155" s="23"/>
      <c r="G155" s="134">
        <f t="shared" ref="G155:G161" si="27">D155</f>
        <v>0</v>
      </c>
      <c r="H155" s="130"/>
      <c r="I155" s="23"/>
      <c r="J155" s="23"/>
      <c r="K155" s="119"/>
      <c r="L155" s="54"/>
    </row>
    <row r="156" spans="2:12" ht="15.6">
      <c r="B156" s="163" t="s">
        <v>158</v>
      </c>
      <c r="C156" s="21"/>
      <c r="D156" s="23"/>
      <c r="E156" s="23"/>
      <c r="F156" s="23"/>
      <c r="G156" s="134">
        <f t="shared" si="27"/>
        <v>0</v>
      </c>
      <c r="H156" s="130"/>
      <c r="I156" s="23"/>
      <c r="J156" s="23"/>
      <c r="K156" s="119"/>
      <c r="L156" s="54"/>
    </row>
    <row r="157" spans="2:12" ht="15.6">
      <c r="B157" s="163" t="s">
        <v>159</v>
      </c>
      <c r="C157" s="21"/>
      <c r="D157" s="23"/>
      <c r="E157" s="23"/>
      <c r="F157" s="23"/>
      <c r="G157" s="134">
        <f t="shared" si="27"/>
        <v>0</v>
      </c>
      <c r="H157" s="130"/>
      <c r="I157" s="23"/>
      <c r="J157" s="23"/>
      <c r="K157" s="119"/>
      <c r="L157" s="54"/>
    </row>
    <row r="158" spans="2:12" ht="15.6">
      <c r="B158" s="163" t="s">
        <v>160</v>
      </c>
      <c r="C158" s="21"/>
      <c r="D158" s="23"/>
      <c r="E158" s="23"/>
      <c r="F158" s="23"/>
      <c r="G158" s="134">
        <f t="shared" si="27"/>
        <v>0</v>
      </c>
      <c r="H158" s="130"/>
      <c r="I158" s="23"/>
      <c r="J158" s="23"/>
      <c r="K158" s="119"/>
      <c r="L158" s="54"/>
    </row>
    <row r="159" spans="2:12" ht="15.6">
      <c r="B159" s="163" t="s">
        <v>161</v>
      </c>
      <c r="C159" s="21"/>
      <c r="D159" s="23"/>
      <c r="E159" s="23"/>
      <c r="F159" s="23"/>
      <c r="G159" s="134">
        <f t="shared" si="27"/>
        <v>0</v>
      </c>
      <c r="H159" s="130"/>
      <c r="I159" s="23"/>
      <c r="J159" s="23"/>
      <c r="K159" s="119"/>
      <c r="L159" s="54"/>
    </row>
    <row r="160" spans="2:12" ht="15.6">
      <c r="B160" s="163" t="s">
        <v>162</v>
      </c>
      <c r="C160" s="49"/>
      <c r="D160" s="24"/>
      <c r="E160" s="24"/>
      <c r="F160" s="24"/>
      <c r="G160" s="134">
        <f t="shared" si="27"/>
        <v>0</v>
      </c>
      <c r="H160" s="131"/>
      <c r="I160" s="24"/>
      <c r="J160" s="24"/>
      <c r="K160" s="120"/>
      <c r="L160" s="54"/>
    </row>
    <row r="161" spans="2:12" ht="15.6">
      <c r="B161" s="163" t="s">
        <v>163</v>
      </c>
      <c r="C161" s="49"/>
      <c r="D161" s="24"/>
      <c r="E161" s="24"/>
      <c r="F161" s="24"/>
      <c r="G161" s="134">
        <f t="shared" si="27"/>
        <v>0</v>
      </c>
      <c r="H161" s="131"/>
      <c r="I161" s="24"/>
      <c r="J161" s="24"/>
      <c r="K161" s="120"/>
      <c r="L161" s="54"/>
    </row>
    <row r="162" spans="2:12" ht="15.6">
      <c r="C162" s="105" t="s">
        <v>173</v>
      </c>
      <c r="D162" s="28">
        <f>SUM(D154:D161)</f>
        <v>0</v>
      </c>
      <c r="E162" s="28">
        <f t="shared" ref="E162:G162" si="28">SUM(E154:E161)</f>
        <v>0</v>
      </c>
      <c r="F162" s="28">
        <f t="shared" si="28"/>
        <v>0</v>
      </c>
      <c r="G162" s="28">
        <f t="shared" si="28"/>
        <v>0</v>
      </c>
      <c r="H162" s="25">
        <f>(H154*G154)+(H155*G155)+(H156*G156)+(H157*G157)+(H158*G158)+(H159*G159)+(H160*G160)+(H161*G161)</f>
        <v>0</v>
      </c>
      <c r="I162" s="25">
        <v>0</v>
      </c>
      <c r="J162" s="187"/>
      <c r="K162" s="120"/>
      <c r="L162" s="55"/>
    </row>
    <row r="163" spans="2:12" ht="51" customHeight="1">
      <c r="B163" s="105" t="s">
        <v>164</v>
      </c>
      <c r="C163" s="276"/>
      <c r="D163" s="276"/>
      <c r="E163" s="276"/>
      <c r="F163" s="276"/>
      <c r="G163" s="276"/>
      <c r="H163" s="276"/>
      <c r="I163" s="277"/>
      <c r="J163" s="277"/>
      <c r="K163" s="276"/>
      <c r="L163" s="53"/>
    </row>
    <row r="164" spans="2:12" ht="15.6">
      <c r="B164" s="163" t="s">
        <v>165</v>
      </c>
      <c r="C164" s="21"/>
      <c r="D164" s="23"/>
      <c r="E164" s="23"/>
      <c r="F164" s="23"/>
      <c r="G164" s="134">
        <f>D164</f>
        <v>0</v>
      </c>
      <c r="H164" s="130"/>
      <c r="I164" s="23"/>
      <c r="J164" s="23"/>
      <c r="K164" s="119"/>
      <c r="L164" s="54"/>
    </row>
    <row r="165" spans="2:12" ht="15.6">
      <c r="B165" s="163" t="s">
        <v>166</v>
      </c>
      <c r="C165" s="21"/>
      <c r="D165" s="23"/>
      <c r="E165" s="23"/>
      <c r="F165" s="23"/>
      <c r="G165" s="134">
        <f t="shared" ref="G165:G171" si="29">D165</f>
        <v>0</v>
      </c>
      <c r="H165" s="130"/>
      <c r="I165" s="23"/>
      <c r="J165" s="23"/>
      <c r="K165" s="119"/>
      <c r="L165" s="54"/>
    </row>
    <row r="166" spans="2:12" ht="15.6">
      <c r="B166" s="163" t="s">
        <v>167</v>
      </c>
      <c r="C166" s="21"/>
      <c r="D166" s="23"/>
      <c r="E166" s="23"/>
      <c r="F166" s="23"/>
      <c r="G166" s="134">
        <f t="shared" si="29"/>
        <v>0</v>
      </c>
      <c r="H166" s="130"/>
      <c r="I166" s="23"/>
      <c r="J166" s="23"/>
      <c r="K166" s="119"/>
      <c r="L166" s="54"/>
    </row>
    <row r="167" spans="2:12" ht="15.6">
      <c r="B167" s="163" t="s">
        <v>168</v>
      </c>
      <c r="C167" s="21"/>
      <c r="D167" s="23"/>
      <c r="E167" s="23"/>
      <c r="F167" s="23"/>
      <c r="G167" s="134">
        <f t="shared" si="29"/>
        <v>0</v>
      </c>
      <c r="H167" s="130"/>
      <c r="I167" s="23"/>
      <c r="J167" s="23"/>
      <c r="K167" s="119"/>
      <c r="L167" s="54"/>
    </row>
    <row r="168" spans="2:12" ht="15.6">
      <c r="B168" s="163" t="s">
        <v>169</v>
      </c>
      <c r="C168" s="21"/>
      <c r="D168" s="23"/>
      <c r="E168" s="23"/>
      <c r="F168" s="23"/>
      <c r="G168" s="134">
        <f t="shared" si="29"/>
        <v>0</v>
      </c>
      <c r="H168" s="130"/>
      <c r="I168" s="23"/>
      <c r="J168" s="23"/>
      <c r="K168" s="119"/>
      <c r="L168" s="54"/>
    </row>
    <row r="169" spans="2:12" ht="15.6">
      <c r="B169" s="163" t="s">
        <v>170</v>
      </c>
      <c r="C169" s="21"/>
      <c r="D169" s="23"/>
      <c r="E169" s="23"/>
      <c r="F169" s="23"/>
      <c r="G169" s="134">
        <f t="shared" si="29"/>
        <v>0</v>
      </c>
      <c r="H169" s="130"/>
      <c r="I169" s="23"/>
      <c r="J169" s="23"/>
      <c r="K169" s="119"/>
      <c r="L169" s="54"/>
    </row>
    <row r="170" spans="2:12" ht="15.6">
      <c r="B170" s="163" t="s">
        <v>171</v>
      </c>
      <c r="C170" s="49"/>
      <c r="D170" s="24"/>
      <c r="E170" s="24"/>
      <c r="F170" s="24"/>
      <c r="G170" s="134">
        <f t="shared" si="29"/>
        <v>0</v>
      </c>
      <c r="H170" s="131"/>
      <c r="I170" s="24"/>
      <c r="J170" s="24"/>
      <c r="K170" s="120"/>
      <c r="L170" s="54"/>
    </row>
    <row r="171" spans="2:12" ht="15.6">
      <c r="B171" s="163" t="s">
        <v>172</v>
      </c>
      <c r="C171" s="49"/>
      <c r="D171" s="24"/>
      <c r="E171" s="24"/>
      <c r="F171" s="24"/>
      <c r="G171" s="134">
        <f t="shared" si="29"/>
        <v>0</v>
      </c>
      <c r="H171" s="131"/>
      <c r="I171" s="24"/>
      <c r="J171" s="24"/>
      <c r="K171" s="120"/>
      <c r="L171" s="54"/>
    </row>
    <row r="172" spans="2:12" ht="15.6">
      <c r="C172" s="105" t="s">
        <v>173</v>
      </c>
      <c r="D172" s="25">
        <f>SUM(D164:D171)</f>
        <v>0</v>
      </c>
      <c r="E172" s="25">
        <f t="shared" ref="E172:G172" si="30">SUM(E164:E171)</f>
        <v>0</v>
      </c>
      <c r="F172" s="25">
        <f t="shared" si="30"/>
        <v>0</v>
      </c>
      <c r="G172" s="25">
        <f t="shared" si="30"/>
        <v>0</v>
      </c>
      <c r="H172" s="25">
        <f>(H164*G164)+(H165*G165)+(H166*G166)+(H167*G167)+(H168*G168)+(H169*G169)+(H170*G170)+(H171*G171)</f>
        <v>0</v>
      </c>
      <c r="I172" s="25">
        <v>0</v>
      </c>
      <c r="J172" s="187"/>
      <c r="K172" s="120"/>
      <c r="L172" s="55"/>
    </row>
    <row r="173" spans="2:12" ht="15.75" customHeight="1">
      <c r="B173" s="6"/>
      <c r="C173" s="15"/>
      <c r="D173" s="30"/>
      <c r="E173" s="30"/>
      <c r="F173" s="30"/>
      <c r="G173" s="30"/>
      <c r="H173" s="30"/>
      <c r="I173" s="30"/>
      <c r="J173" s="30"/>
      <c r="K173" s="15"/>
      <c r="L173" s="3"/>
    </row>
    <row r="174" spans="2:12" ht="15.75" customHeight="1">
      <c r="B174" s="6"/>
      <c r="C174" s="15"/>
      <c r="D174" s="30"/>
      <c r="E174" s="30"/>
      <c r="F174" s="30"/>
      <c r="G174" s="30"/>
      <c r="H174" s="30"/>
      <c r="I174" s="30"/>
      <c r="J174" s="30"/>
      <c r="K174" s="15"/>
      <c r="L174" s="3"/>
    </row>
    <row r="175" spans="2:12" ht="63.75" customHeight="1">
      <c r="B175" s="105" t="s">
        <v>548</v>
      </c>
      <c r="C175" s="20" t="s">
        <v>578</v>
      </c>
      <c r="D175" s="36"/>
      <c r="E175" s="36"/>
      <c r="F175" s="36"/>
      <c r="G175" s="121">
        <f>D175</f>
        <v>0</v>
      </c>
      <c r="H175" s="132"/>
      <c r="I175" s="36"/>
      <c r="J175" s="36"/>
      <c r="K175" s="124"/>
      <c r="L175" s="55"/>
    </row>
    <row r="176" spans="2:12" ht="69.75" customHeight="1">
      <c r="B176" s="105" t="s">
        <v>572</v>
      </c>
      <c r="C176" s="195" t="s">
        <v>597</v>
      </c>
      <c r="D176" s="36">
        <v>0</v>
      </c>
      <c r="E176" s="36"/>
      <c r="F176" s="36"/>
      <c r="G176" s="121">
        <f t="shared" ref="G176:G177" si="31">D176</f>
        <v>0</v>
      </c>
      <c r="H176" s="132"/>
      <c r="I176" s="36"/>
      <c r="J176" s="36"/>
      <c r="K176" s="124"/>
      <c r="L176" s="55"/>
    </row>
    <row r="177" spans="2:12" ht="57" customHeight="1">
      <c r="B177" s="105" t="s">
        <v>549</v>
      </c>
      <c r="C177" s="196" t="s">
        <v>598</v>
      </c>
      <c r="D177" s="201">
        <f>+'[3]PBF 2021 Budget (2)'!K200</f>
        <v>8834.8742857142861</v>
      </c>
      <c r="E177" s="36"/>
      <c r="F177" s="36"/>
      <c r="G177" s="121">
        <f t="shared" si="31"/>
        <v>8834.8742857142861</v>
      </c>
      <c r="H177" s="132">
        <v>1</v>
      </c>
      <c r="I177" s="36">
        <v>8683.6343828494701</v>
      </c>
      <c r="J177" s="36"/>
      <c r="K177" s="124"/>
      <c r="L177" s="55"/>
    </row>
    <row r="178" spans="2:12" ht="65.25" customHeight="1">
      <c r="B178" s="125" t="s">
        <v>553</v>
      </c>
      <c r="C178" s="195" t="s">
        <v>599</v>
      </c>
      <c r="D178" s="36">
        <v>10000</v>
      </c>
      <c r="E178" s="36"/>
      <c r="F178" s="36"/>
      <c r="G178" s="121">
        <f>D178</f>
        <v>10000</v>
      </c>
      <c r="H178" s="132">
        <v>1</v>
      </c>
      <c r="I178" s="36">
        <v>15316.729559748401</v>
      </c>
      <c r="J178" s="36"/>
      <c r="K178" s="124"/>
      <c r="L178" s="55"/>
    </row>
    <row r="179" spans="2:12" ht="65.25" customHeight="1">
      <c r="B179" s="105" t="s">
        <v>573</v>
      </c>
      <c r="C179" s="195" t="s">
        <v>600</v>
      </c>
      <c r="D179" s="36">
        <v>15000</v>
      </c>
      <c r="E179" s="36"/>
      <c r="F179" s="36"/>
      <c r="G179" s="121">
        <f>D179</f>
        <v>15000</v>
      </c>
      <c r="H179" s="132">
        <v>1</v>
      </c>
      <c r="I179" s="36">
        <v>4542.4927396226403</v>
      </c>
      <c r="J179" s="36"/>
      <c r="K179" s="124"/>
      <c r="L179" s="55"/>
    </row>
    <row r="180" spans="2:12" ht="21.75" customHeight="1">
      <c r="B180" s="6"/>
      <c r="C180" s="126" t="s">
        <v>547</v>
      </c>
      <c r="D180" s="135">
        <f>SUM(D175:D179)</f>
        <v>33834.874285714286</v>
      </c>
      <c r="E180" s="135">
        <f>SUM(E175:E178)</f>
        <v>0</v>
      </c>
      <c r="F180" s="135">
        <f>SUM(F175:F178)</f>
        <v>0</v>
      </c>
      <c r="G180" s="135">
        <f>SUM(G175:G179)</f>
        <v>33834.874285714286</v>
      </c>
      <c r="H180" s="25">
        <f>(H175*G175)+(H176*G176)+(H177*G177)+(H178*G178)+(H179*G179)</f>
        <v>33834.874285714286</v>
      </c>
      <c r="I180" s="25">
        <f>SUM(I175:I179)</f>
        <v>28542.85668222051</v>
      </c>
      <c r="J180" s="187"/>
      <c r="K180" s="20"/>
      <c r="L180" s="18"/>
    </row>
    <row r="181" spans="2:12" ht="15.75" customHeight="1">
      <c r="B181" s="6"/>
      <c r="C181" s="15"/>
      <c r="D181" s="30"/>
      <c r="E181" s="30"/>
      <c r="F181" s="30"/>
      <c r="G181" s="30"/>
      <c r="H181" s="30"/>
      <c r="I181" s="30"/>
      <c r="J181" s="30"/>
      <c r="K181" s="15"/>
      <c r="L181" s="18"/>
    </row>
    <row r="182" spans="2:12" ht="15.75" customHeight="1">
      <c r="B182" s="6"/>
      <c r="C182" s="15"/>
      <c r="D182" s="30"/>
      <c r="E182" s="30"/>
      <c r="F182" s="30"/>
      <c r="G182" s="30"/>
      <c r="H182" s="30"/>
      <c r="I182" s="30"/>
      <c r="J182" s="30"/>
      <c r="K182" s="15"/>
      <c r="L182" s="18"/>
    </row>
    <row r="183" spans="2:12" ht="15.75" customHeight="1">
      <c r="B183" s="6"/>
      <c r="C183" s="15"/>
      <c r="D183" s="30"/>
      <c r="E183" s="30"/>
      <c r="F183" s="30"/>
      <c r="G183" s="30"/>
      <c r="H183" s="30"/>
      <c r="I183" s="30"/>
      <c r="J183" s="30"/>
      <c r="K183" s="15"/>
      <c r="L183" s="18"/>
    </row>
    <row r="184" spans="2:12" ht="15.75" customHeight="1">
      <c r="B184" s="6"/>
      <c r="C184" s="15"/>
      <c r="D184" s="30"/>
      <c r="E184" s="30"/>
      <c r="F184" s="30"/>
      <c r="G184" s="30"/>
      <c r="H184" s="30"/>
      <c r="I184" s="30"/>
      <c r="J184" s="30"/>
      <c r="K184" s="15"/>
      <c r="L184" s="18"/>
    </row>
    <row r="185" spans="2:12" ht="15.75" customHeight="1">
      <c r="B185" s="6"/>
      <c r="C185" s="15"/>
      <c r="D185" s="30"/>
      <c r="E185" s="30"/>
      <c r="F185" s="30"/>
      <c r="G185" s="30"/>
      <c r="H185" s="30"/>
      <c r="I185" s="30"/>
      <c r="J185" s="30"/>
      <c r="K185" s="15"/>
      <c r="L185" s="18"/>
    </row>
    <row r="186" spans="2:12" ht="15.75" customHeight="1">
      <c r="B186" s="6"/>
      <c r="C186" s="15"/>
      <c r="D186" s="30"/>
      <c r="E186" s="30"/>
      <c r="F186" s="30"/>
      <c r="G186" s="30"/>
      <c r="H186" s="30"/>
      <c r="I186" s="30"/>
      <c r="J186" s="30"/>
      <c r="K186" s="15"/>
      <c r="L186" s="18"/>
    </row>
    <row r="187" spans="2:12" ht="15.75" customHeight="1" thickBot="1">
      <c r="B187" s="6"/>
      <c r="C187" s="15"/>
      <c r="D187" s="30"/>
      <c r="E187" s="30"/>
      <c r="F187" s="30"/>
      <c r="G187" s="30"/>
      <c r="H187" s="30"/>
      <c r="I187" s="30"/>
      <c r="J187" s="30"/>
      <c r="K187" s="15"/>
      <c r="L187" s="18"/>
    </row>
    <row r="188" spans="2:12" ht="15.6">
      <c r="B188" s="6"/>
      <c r="C188" s="278" t="s">
        <v>18</v>
      </c>
      <c r="D188" s="279"/>
      <c r="E188" s="139"/>
      <c r="F188" s="139"/>
      <c r="G188" s="139"/>
      <c r="H188" s="18"/>
      <c r="I188" s="169"/>
      <c r="J188" s="169"/>
      <c r="K188" s="18"/>
    </row>
    <row r="189" spans="2:12" ht="40.5" customHeight="1">
      <c r="B189" s="6"/>
      <c r="C189" s="270"/>
      <c r="D189" s="280" t="str">
        <f>D5</f>
        <v>Recipient Organization</v>
      </c>
      <c r="E189" s="140" t="s">
        <v>545</v>
      </c>
      <c r="F189" s="25" t="s">
        <v>546</v>
      </c>
      <c r="G189" s="272" t="s">
        <v>62</v>
      </c>
      <c r="H189" s="15"/>
      <c r="I189" s="30"/>
      <c r="J189" s="30"/>
      <c r="K189" s="18"/>
    </row>
    <row r="190" spans="2:12" ht="24.75" customHeight="1">
      <c r="B190" s="6"/>
      <c r="C190" s="271"/>
      <c r="D190" s="281"/>
      <c r="E190" s="141" t="e">
        <f>#REF!</f>
        <v>#REF!</v>
      </c>
      <c r="F190" s="136" t="e">
        <f>#REF!</f>
        <v>#REF!</v>
      </c>
      <c r="G190" s="273"/>
      <c r="H190" s="15"/>
      <c r="I190" s="30"/>
      <c r="J190" s="30"/>
      <c r="K190" s="18"/>
    </row>
    <row r="191" spans="2:12" ht="41.25" customHeight="1">
      <c r="B191" s="19"/>
      <c r="C191" s="122" t="s">
        <v>61</v>
      </c>
      <c r="D191" s="123">
        <f>SUM(D16,D26,D36,D46,D58,D68,D78,D88,D100,D110,D120,D130,D142,D152,D162,D172,D175,D176,D177,D178,D179)</f>
        <v>280373.83133794589</v>
      </c>
      <c r="E191" s="142">
        <f>SUM(E16,E26,E36,E46,E58,E68,E78,E88,E100,E110,E120,E130,E142,E152,E162,E172,E175,E176,E177)</f>
        <v>0</v>
      </c>
      <c r="F191" s="106">
        <f>SUM(F16,F26,F36,F46,F58,F68,F78,F88,F100,F110,F120,F130,F142,F152,F162,F172,F175,F176,F177)</f>
        <v>0</v>
      </c>
      <c r="G191" s="133">
        <f>SUM(D191:F191)</f>
        <v>280373.83133794589</v>
      </c>
      <c r="H191" s="15"/>
      <c r="I191" s="30"/>
      <c r="J191" s="30"/>
      <c r="K191" s="19"/>
    </row>
    <row r="192" spans="2:12" ht="51.75" customHeight="1">
      <c r="B192" s="4"/>
      <c r="C192" s="122" t="s">
        <v>9</v>
      </c>
      <c r="D192" s="123">
        <f>D191*0.07</f>
        <v>19626.168193656213</v>
      </c>
      <c r="E192" s="142">
        <f t="shared" ref="E192:F192" si="32">E191*0.07</f>
        <v>0</v>
      </c>
      <c r="F192" s="106">
        <f t="shared" si="32"/>
        <v>0</v>
      </c>
      <c r="G192" s="133">
        <f>G191*0.07</f>
        <v>19626.168193656213</v>
      </c>
      <c r="H192" s="4"/>
      <c r="I192" s="226">
        <v>18795.5711409744</v>
      </c>
      <c r="J192" s="170"/>
      <c r="K192" s="1"/>
    </row>
    <row r="193" spans="2:12" ht="51.75" customHeight="1" thickBot="1">
      <c r="B193" s="4"/>
      <c r="C193" s="13" t="s">
        <v>62</v>
      </c>
      <c r="D193" s="202">
        <f>SUM(D191:D192)</f>
        <v>299999.99953160208</v>
      </c>
      <c r="E193" s="143">
        <f t="shared" ref="E193:F193" si="33">SUM(E191:E192)</f>
        <v>0</v>
      </c>
      <c r="F193" s="109">
        <f t="shared" si="33"/>
        <v>0</v>
      </c>
      <c r="G193" s="109">
        <f>SUM(G191:G192)</f>
        <v>299999.99953160208</v>
      </c>
      <c r="H193" s="4"/>
      <c r="I193" s="170"/>
      <c r="J193" s="170"/>
      <c r="K193" s="1"/>
    </row>
    <row r="194" spans="2:12" ht="42" customHeight="1">
      <c r="B194" s="4"/>
      <c r="K194" s="3"/>
      <c r="L194" s="1"/>
    </row>
    <row r="195" spans="2:12" s="44" customFormat="1" ht="29.25" customHeight="1" thickBot="1">
      <c r="B195" s="15"/>
      <c r="C195" s="6"/>
      <c r="D195" s="39"/>
      <c r="E195" s="39"/>
      <c r="F195" s="39"/>
      <c r="G195" s="39"/>
      <c r="H195" s="39"/>
      <c r="I195" s="172"/>
      <c r="J195" s="172"/>
      <c r="K195" s="18"/>
      <c r="L195" s="19"/>
    </row>
    <row r="196" spans="2:12" ht="23.25" customHeight="1">
      <c r="B196" s="1"/>
      <c r="C196" s="294" t="s">
        <v>27</v>
      </c>
      <c r="D196" s="295"/>
      <c r="E196" s="296"/>
      <c r="F196" s="296"/>
      <c r="G196" s="296"/>
      <c r="H196" s="297"/>
      <c r="I196" s="173"/>
      <c r="J196" s="173"/>
      <c r="K196" s="1"/>
    </row>
    <row r="197" spans="2:12" ht="41.25" customHeight="1">
      <c r="B197" s="1"/>
      <c r="C197" s="34"/>
      <c r="D197" s="300" t="str">
        <f>D5</f>
        <v>Recipient Organization</v>
      </c>
      <c r="E197" s="32" t="s">
        <v>545</v>
      </c>
      <c r="F197" s="32" t="s">
        <v>546</v>
      </c>
      <c r="G197" s="287" t="s">
        <v>62</v>
      </c>
      <c r="H197" s="289" t="s">
        <v>29</v>
      </c>
      <c r="I197" s="173"/>
      <c r="J197" s="173"/>
      <c r="K197" s="1"/>
    </row>
    <row r="198" spans="2:12" ht="27.75" customHeight="1">
      <c r="B198" s="1"/>
      <c r="C198" s="34"/>
      <c r="D198" s="301"/>
      <c r="E198" s="32" t="e">
        <f>#REF!</f>
        <v>#REF!</v>
      </c>
      <c r="F198" s="32" t="e">
        <f>#REF!</f>
        <v>#REF!</v>
      </c>
      <c r="G198" s="288"/>
      <c r="H198" s="290"/>
      <c r="I198" s="173"/>
      <c r="J198" s="173"/>
      <c r="K198" s="1"/>
    </row>
    <row r="199" spans="2:12" ht="55.5" customHeight="1">
      <c r="B199" s="1"/>
      <c r="C199" s="33" t="s">
        <v>28</v>
      </c>
      <c r="D199" s="107">
        <f>D193*H199</f>
        <v>99999.998843867361</v>
      </c>
      <c r="E199" s="108">
        <f>SUM(E191:E192)*0.7</f>
        <v>0</v>
      </c>
      <c r="F199" s="108">
        <f>SUM(F191:F192)*0.7</f>
        <v>0</v>
      </c>
      <c r="G199" s="108"/>
      <c r="H199" s="197">
        <v>0.33333332999999998</v>
      </c>
      <c r="I199" s="169"/>
      <c r="J199" s="169"/>
      <c r="K199" s="1"/>
    </row>
    <row r="200" spans="2:12" ht="57.75" customHeight="1">
      <c r="B200" s="293"/>
      <c r="C200" s="127" t="s">
        <v>30</v>
      </c>
      <c r="D200" s="128">
        <f>D193*H200</f>
        <v>99999.998843867361</v>
      </c>
      <c r="E200" s="129">
        <f>SUM(E191:E192)*0.3</f>
        <v>0</v>
      </c>
      <c r="F200" s="129">
        <f>SUM(F191:F192)*0.3</f>
        <v>0</v>
      </c>
      <c r="G200" s="129"/>
      <c r="H200" s="197">
        <v>0.33333332999999998</v>
      </c>
      <c r="I200" s="169"/>
      <c r="J200" s="169"/>
    </row>
    <row r="201" spans="2:12" ht="57.75" customHeight="1">
      <c r="B201" s="293"/>
      <c r="C201" s="127" t="s">
        <v>555</v>
      </c>
      <c r="D201" s="128">
        <f>D193*H201</f>
        <v>99999.998843867361</v>
      </c>
      <c r="E201" s="129"/>
      <c r="F201" s="129"/>
      <c r="G201" s="129"/>
      <c r="H201" s="197">
        <v>0.33333332999999998</v>
      </c>
      <c r="I201" s="169"/>
      <c r="J201" s="169"/>
    </row>
    <row r="202" spans="2:12" ht="38.25" customHeight="1" thickBot="1">
      <c r="B202" s="293"/>
      <c r="C202" s="13" t="s">
        <v>552</v>
      </c>
      <c r="D202" s="109">
        <f>SUM(D199:D201)</f>
        <v>299999.99653160211</v>
      </c>
      <c r="E202" s="109">
        <f t="shared" ref="E202:F202" si="34">SUM(E199:E200)</f>
        <v>0</v>
      </c>
      <c r="F202" s="109">
        <f t="shared" si="34"/>
        <v>0</v>
      </c>
      <c r="G202" s="110"/>
      <c r="H202" s="111"/>
      <c r="I202" s="174"/>
      <c r="J202" s="174"/>
    </row>
    <row r="203" spans="2:12" ht="21.75" customHeight="1" thickBot="1">
      <c r="B203" s="293"/>
      <c r="C203" s="2"/>
      <c r="D203" s="11"/>
      <c r="E203" s="11"/>
      <c r="F203" s="11"/>
      <c r="G203" s="11"/>
      <c r="H203" s="11"/>
      <c r="I203" s="175"/>
      <c r="J203" s="175"/>
    </row>
    <row r="204" spans="2:12" ht="49.5" customHeight="1">
      <c r="B204" s="293"/>
      <c r="C204" s="112" t="s">
        <v>568</v>
      </c>
      <c r="D204" s="113">
        <f>SUM(H16,H26,H36,H46,H58,H68,H78,H88,H100,H110,H120,H130,H142,H152,H162,H172,H180)*1.07</f>
        <v>299999.99953160208</v>
      </c>
      <c r="E204" s="39"/>
      <c r="F204" s="39"/>
      <c r="G204" s="39"/>
      <c r="H204" s="178" t="s">
        <v>569</v>
      </c>
      <c r="I204" s="179">
        <v>268508.15300790803</v>
      </c>
      <c r="J204" s="188"/>
    </row>
    <row r="205" spans="2:12" ht="28.5" customHeight="1" thickBot="1">
      <c r="B205" s="293"/>
      <c r="C205" s="114" t="s">
        <v>15</v>
      </c>
      <c r="D205" s="168">
        <f>D204/D193</f>
        <v>1</v>
      </c>
      <c r="E205" s="46"/>
      <c r="F205" s="46"/>
      <c r="G205" s="46"/>
      <c r="H205" s="180" t="s">
        <v>570</v>
      </c>
      <c r="I205" s="227">
        <v>0.95767908055678896</v>
      </c>
      <c r="J205" s="258"/>
    </row>
    <row r="206" spans="2:12" ht="28.5" customHeight="1">
      <c r="B206" s="293"/>
      <c r="C206" s="291"/>
      <c r="D206" s="292"/>
      <c r="E206" s="47"/>
      <c r="F206" s="47"/>
      <c r="G206" s="47"/>
    </row>
    <row r="207" spans="2:12" ht="28.5" customHeight="1">
      <c r="B207" s="293"/>
      <c r="C207" s="114" t="s">
        <v>567</v>
      </c>
      <c r="D207" s="115">
        <f>SUM(D177:D178)*1.07</f>
        <v>20153.315485714287</v>
      </c>
      <c r="E207" s="48"/>
      <c r="F207" s="48"/>
      <c r="G207" s="48"/>
    </row>
    <row r="208" spans="2:12" ht="23.25" customHeight="1">
      <c r="B208" s="293"/>
      <c r="C208" s="114" t="s">
        <v>16</v>
      </c>
      <c r="D208" s="168">
        <f>D207/D193</f>
        <v>6.7177718390600633E-2</v>
      </c>
      <c r="E208" s="48"/>
      <c r="F208" s="48"/>
      <c r="G208" s="48"/>
    </row>
    <row r="209" spans="2:12" ht="68.25" customHeight="1" thickBot="1">
      <c r="B209" s="293"/>
      <c r="C209" s="298" t="s">
        <v>564</v>
      </c>
      <c r="D209" s="299"/>
      <c r="E209" s="40"/>
      <c r="F209" s="40"/>
      <c r="G209" s="40"/>
      <c r="I209" s="176"/>
      <c r="J209" s="176"/>
    </row>
    <row r="210" spans="2:12" ht="55.5" customHeight="1">
      <c r="B210" s="293"/>
      <c r="L210" s="44"/>
    </row>
    <row r="211" spans="2:12" ht="42.75" customHeight="1">
      <c r="B211" s="293"/>
    </row>
    <row r="212" spans="2:12" ht="21.75" customHeight="1">
      <c r="B212" s="293"/>
    </row>
    <row r="213" spans="2:12" ht="21.75" customHeight="1">
      <c r="B213" s="293"/>
    </row>
    <row r="214" spans="2:12" ht="23.25" customHeight="1">
      <c r="B214" s="293"/>
    </row>
    <row r="215" spans="2:12" ht="23.25" customHeight="1"/>
    <row r="216" spans="2:12" ht="21.75" customHeight="1"/>
    <row r="217" spans="2:12" ht="16.5" customHeight="1"/>
    <row r="218" spans="2:12" ht="29.25" customHeight="1"/>
    <row r="219" spans="2:12" ht="24.75" customHeight="1"/>
    <row r="220" spans="2:12" ht="33" customHeight="1"/>
    <row r="222" spans="2:12" ht="15" customHeight="1"/>
    <row r="223" spans="2:12" ht="25.5" customHeight="1"/>
  </sheetData>
  <sheetProtection formatCells="0" formatColumns="0" formatRows="0"/>
  <mergeCells count="33">
    <mergeCell ref="G197:G198"/>
    <mergeCell ref="H197:H198"/>
    <mergeCell ref="C206:D206"/>
    <mergeCell ref="B200:B214"/>
    <mergeCell ref="C196:H196"/>
    <mergeCell ref="C209:D209"/>
    <mergeCell ref="D197:D198"/>
    <mergeCell ref="C48:K48"/>
    <mergeCell ref="C49:K49"/>
    <mergeCell ref="C59:K59"/>
    <mergeCell ref="C69:K69"/>
    <mergeCell ref="C79:K79"/>
    <mergeCell ref="C90:K90"/>
    <mergeCell ref="C91:K91"/>
    <mergeCell ref="C101:K101"/>
    <mergeCell ref="C111:K111"/>
    <mergeCell ref="C121:K121"/>
    <mergeCell ref="C37:K37"/>
    <mergeCell ref="C6:K6"/>
    <mergeCell ref="B1:E1"/>
    <mergeCell ref="C17:K17"/>
    <mergeCell ref="C7:K7"/>
    <mergeCell ref="C27:K27"/>
    <mergeCell ref="B3:E3"/>
    <mergeCell ref="C189:C190"/>
    <mergeCell ref="G189:G190"/>
    <mergeCell ref="C132:K132"/>
    <mergeCell ref="C143:K143"/>
    <mergeCell ref="C133:K133"/>
    <mergeCell ref="C153:K153"/>
    <mergeCell ref="C188:D188"/>
    <mergeCell ref="C163:K163"/>
    <mergeCell ref="D189:D190"/>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2" right="0.2" top="0.28000000000000003" bottom="0.31" header="0.24" footer="0.24"/>
  <pageSetup scale="74" orientation="portrait" r:id="rId1"/>
  <rowBreaks count="1" manualBreakCount="1">
    <brk id="5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9"/>
  <sheetViews>
    <sheetView showGridLines="0" showZeros="0" topLeftCell="A195" zoomScale="73" zoomScaleNormal="73" workbookViewId="0">
      <selection activeCell="E210" sqref="E210"/>
    </sheetView>
  </sheetViews>
  <sheetFormatPr baseColWidth="10" defaultColWidth="9.109375" defaultRowHeight="15.6"/>
  <cols>
    <col min="1" max="1" width="4.44140625" style="58" customWidth="1"/>
    <col min="2" max="2" width="3.33203125" style="58" customWidth="1"/>
    <col min="3" max="3" width="51.44140625" style="58" customWidth="1"/>
    <col min="4" max="4" width="23.44140625" style="60" bestFit="1" customWidth="1"/>
    <col min="5" max="5" width="24.44140625" style="60" customWidth="1"/>
    <col min="6" max="6" width="24.44140625" style="60" bestFit="1" customWidth="1"/>
    <col min="7" max="7" width="19" style="58" bestFit="1" customWidth="1"/>
    <col min="8" max="8" width="21.44140625" style="58" customWidth="1"/>
    <col min="9" max="9" width="16.88671875" style="58" customWidth="1"/>
    <col min="10" max="10" width="19.44140625" style="58" customWidth="1"/>
    <col min="11" max="11" width="19" style="58" customWidth="1"/>
    <col min="12" max="12" width="26" style="58" customWidth="1"/>
    <col min="13" max="13" width="21.109375" style="58" customWidth="1"/>
    <col min="14" max="14" width="7" style="58" customWidth="1"/>
    <col min="15" max="15" width="24.33203125" style="58" customWidth="1"/>
    <col min="16" max="16" width="26.44140625" style="58" customWidth="1"/>
    <col min="17" max="17" width="30.109375" style="58" customWidth="1"/>
    <col min="18" max="18" width="33" style="58" customWidth="1"/>
    <col min="19" max="20" width="22.6640625" style="58" customWidth="1"/>
    <col min="21" max="21" width="23.44140625" style="58" customWidth="1"/>
    <col min="22" max="22" width="32.109375" style="58" customWidth="1"/>
    <col min="23" max="23" width="9.109375" style="58"/>
    <col min="24" max="24" width="17.6640625" style="58" customWidth="1"/>
    <col min="25" max="25" width="26.44140625" style="58" customWidth="1"/>
    <col min="26" max="26" width="22.44140625" style="58" customWidth="1"/>
    <col min="27" max="27" width="29.6640625" style="58" customWidth="1"/>
    <col min="28" max="28" width="23.44140625" style="58" customWidth="1"/>
    <col min="29" max="29" width="18.44140625" style="58" customWidth="1"/>
    <col min="30" max="30" width="17.44140625" style="58" customWidth="1"/>
    <col min="31" max="31" width="25.109375" style="58" customWidth="1"/>
    <col min="32" max="16384" width="9.109375" style="58"/>
  </cols>
  <sheetData>
    <row r="1" spans="2:13" ht="24" customHeight="1">
      <c r="L1" s="27"/>
      <c r="M1" s="5"/>
    </row>
    <row r="2" spans="2:13" ht="26.25" customHeight="1">
      <c r="C2" s="261" t="s">
        <v>544</v>
      </c>
      <c r="D2" s="261"/>
      <c r="E2" s="261"/>
      <c r="F2" s="261"/>
      <c r="G2" s="41"/>
      <c r="H2" s="42"/>
      <c r="I2" s="42"/>
      <c r="L2" s="27"/>
      <c r="M2" s="5"/>
    </row>
    <row r="3" spans="2:13" ht="15" customHeight="1">
      <c r="C3" s="162" t="s">
        <v>561</v>
      </c>
      <c r="D3" s="43"/>
      <c r="E3" s="43"/>
      <c r="F3" s="43"/>
      <c r="G3" s="43"/>
      <c r="H3" s="43"/>
      <c r="I3" s="43"/>
      <c r="L3" s="27"/>
      <c r="M3" s="5"/>
    </row>
    <row r="4" spans="2:13" ht="17.25" customHeight="1">
      <c r="C4" s="286" t="s">
        <v>177</v>
      </c>
      <c r="D4" s="286"/>
      <c r="E4" s="286"/>
      <c r="F4" s="43"/>
      <c r="G4" s="43"/>
      <c r="H4" s="43"/>
      <c r="I4" s="43"/>
      <c r="L4" s="27"/>
      <c r="M4" s="5"/>
    </row>
    <row r="5" spans="2:13" ht="13.5" customHeight="1">
      <c r="C5" s="52"/>
      <c r="D5" s="52"/>
      <c r="E5" s="52"/>
      <c r="F5" s="52"/>
      <c r="L5" s="27"/>
      <c r="M5" s="5"/>
    </row>
    <row r="6" spans="2:13" ht="24" customHeight="1">
      <c r="C6" s="52"/>
      <c r="D6" s="28" t="str">
        <f>'1) Budget Tables'!D5</f>
        <v>Recipient Organization</v>
      </c>
      <c r="E6" s="28" t="s">
        <v>178</v>
      </c>
      <c r="F6" s="28" t="s">
        <v>179</v>
      </c>
      <c r="G6" s="185" t="s">
        <v>62</v>
      </c>
      <c r="L6" s="27"/>
      <c r="M6" s="5"/>
    </row>
    <row r="7" spans="2:13" ht="24" customHeight="1">
      <c r="B7" s="306" t="s">
        <v>187</v>
      </c>
      <c r="C7" s="306"/>
      <c r="D7" s="306"/>
      <c r="E7" s="306"/>
      <c r="F7" s="306"/>
      <c r="G7" s="306"/>
      <c r="L7" s="27"/>
      <c r="M7" s="5"/>
    </row>
    <row r="8" spans="2:13" ht="22.5" customHeight="1">
      <c r="C8" s="306" t="s">
        <v>184</v>
      </c>
      <c r="D8" s="306"/>
      <c r="E8" s="306"/>
      <c r="F8" s="306"/>
      <c r="G8" s="306"/>
      <c r="L8" s="27"/>
      <c r="M8" s="5"/>
    </row>
    <row r="9" spans="2:13" ht="24.75" customHeight="1" thickBot="1">
      <c r="C9" s="69" t="s">
        <v>183</v>
      </c>
      <c r="D9" s="70">
        <f>'1) Budget Tables'!D16</f>
        <v>33407.847946022855</v>
      </c>
      <c r="E9" s="70">
        <v>0</v>
      </c>
      <c r="F9" s="70">
        <f>'1) Budget Tables'!F16</f>
        <v>0</v>
      </c>
      <c r="G9" s="71">
        <f>SUM(D9:F9)</f>
        <v>33407.847946022855</v>
      </c>
      <c r="L9" s="27"/>
      <c r="M9" s="5"/>
    </row>
    <row r="10" spans="2:13" ht="21.75" customHeight="1">
      <c r="C10" s="67" t="s">
        <v>10</v>
      </c>
      <c r="D10" s="102">
        <f>5450.81</f>
        <v>5450.81</v>
      </c>
      <c r="E10" s="103">
        <v>5450.81</v>
      </c>
      <c r="F10" s="103"/>
      <c r="G10" s="68">
        <f>+D10-E10</f>
        <v>0</v>
      </c>
    </row>
    <row r="11" spans="2:13">
      <c r="C11" s="56" t="s">
        <v>11</v>
      </c>
      <c r="D11" s="104"/>
      <c r="E11" s="24"/>
      <c r="F11" s="24"/>
      <c r="G11" s="68">
        <f t="shared" ref="G11:G16" si="0">+D11-E11</f>
        <v>0</v>
      </c>
    </row>
    <row r="12" spans="2:13" ht="15.75" customHeight="1">
      <c r="C12" s="56" t="s">
        <v>12</v>
      </c>
      <c r="D12" s="104">
        <f>+'[3]PBF 2021 Budget (2)'!K182</f>
        <v>857.14285714285711</v>
      </c>
      <c r="E12" s="104">
        <v>840.86016511867899</v>
      </c>
      <c r="F12" s="104"/>
      <c r="G12" s="68">
        <f t="shared" si="0"/>
        <v>16.282692024178118</v>
      </c>
    </row>
    <row r="13" spans="2:13">
      <c r="C13" s="57" t="s">
        <v>13</v>
      </c>
      <c r="D13" s="104">
        <f>+'[3]PBF 2021 Budget (2)'!K21+'[3]PBF 2021 Budget (2)'!K34+'[3]PBF 2021 Budget (2)'!K35+'[3]PBF 2021 Budget (2)'!K36+'[3]PBF 2021 Budget (2)'!K37</f>
        <v>11256.778291428571</v>
      </c>
      <c r="E13" s="104">
        <v>11253.483819753899</v>
      </c>
      <c r="F13" s="104"/>
      <c r="G13" s="68">
        <f t="shared" si="0"/>
        <v>3.294471674671513</v>
      </c>
    </row>
    <row r="14" spans="2:13">
      <c r="C14" s="56" t="s">
        <v>17</v>
      </c>
      <c r="D14" s="199">
        <f>+'[3]PBF 2021 Budget (2)'!K16+'[3]PBF 2021 Budget (2)'!K17+'[3]PBF 2021 Budget (2)'!K18+'[3]PBF 2021 Budget (2)'!K24+'[3]PBF 2021 Budget (2)'!K25+'[3]PBF 2021 Budget (2)'!K26+'[3]PBF 2021 Budget (2)'!K29+'[3]PBF 2021 Budget (2)'!K31</f>
        <v>10051.718857142858</v>
      </c>
      <c r="E14" s="104">
        <v>10048.8149722615</v>
      </c>
      <c r="F14" s="104"/>
      <c r="G14" s="68">
        <f t="shared" si="0"/>
        <v>2.9038848813579534</v>
      </c>
    </row>
    <row r="15" spans="2:13" ht="21.75" customHeight="1">
      <c r="C15" s="56" t="s">
        <v>14</v>
      </c>
      <c r="D15" s="104">
        <f>+'[3]PBF 2021 Budget (2)'!K27+'[3]PBF 2021 Budget (2)'!K28</f>
        <v>2777.1428571428569</v>
      </c>
      <c r="E15" s="104">
        <v>2649.0007091155198</v>
      </c>
      <c r="F15" s="104"/>
      <c r="G15" s="68">
        <f t="shared" si="0"/>
        <v>128.14214802733704</v>
      </c>
    </row>
    <row r="16" spans="2:13" ht="21.75" customHeight="1">
      <c r="C16" s="56" t="s">
        <v>182</v>
      </c>
      <c r="D16" s="104">
        <f>+'[3]PBF 2021 Budget (2)'!K19+'[3]PBF 2021 Budget (2)'!K20+'[3]PBF 2021 Budget (2)'!K30+'[3]PBF 2021 Budget (2)'!K32+'[3]PBF 2021 Budget (2)'!K33+'[3]PBF 2021 Budget (2)'!N185</f>
        <v>3014.2550831657145</v>
      </c>
      <c r="E16" s="104">
        <v>2974.14192213866</v>
      </c>
      <c r="F16" s="104"/>
      <c r="G16" s="68">
        <f t="shared" si="0"/>
        <v>40.113161027054502</v>
      </c>
    </row>
    <row r="17" spans="3:7" ht="15.75" customHeight="1">
      <c r="C17" s="61" t="s">
        <v>185</v>
      </c>
      <c r="D17" s="72">
        <f>SUM(D10:D16)</f>
        <v>33407.847946022855</v>
      </c>
      <c r="E17" s="72">
        <v>33217.111588388201</v>
      </c>
      <c r="F17" s="72">
        <f t="shared" ref="F17" si="1">SUM(F10:F16)</f>
        <v>0</v>
      </c>
      <c r="G17" s="137">
        <f>+D17-E17</f>
        <v>190.73635763465427</v>
      </c>
    </row>
    <row r="18" spans="3:7" s="60" customFormat="1">
      <c r="C18" s="73"/>
      <c r="D18" s="74"/>
      <c r="E18" s="74"/>
      <c r="F18" s="74"/>
      <c r="G18" s="138"/>
    </row>
    <row r="19" spans="3:7">
      <c r="C19" s="306" t="s">
        <v>188</v>
      </c>
      <c r="D19" s="306"/>
      <c r="E19" s="306"/>
      <c r="F19" s="306"/>
      <c r="G19" s="306"/>
    </row>
    <row r="20" spans="3:7" ht="27" customHeight="1" thickBot="1">
      <c r="C20" s="69" t="s">
        <v>183</v>
      </c>
      <c r="D20" s="70">
        <f>'1) Budget Tables'!D26</f>
        <v>28318.239023474289</v>
      </c>
      <c r="E20" s="70">
        <v>0</v>
      </c>
      <c r="F20" s="70">
        <f>'1) Budget Tables'!F26</f>
        <v>0</v>
      </c>
      <c r="G20" s="71">
        <f t="shared" ref="G20" si="2">SUM(D20:F20)</f>
        <v>28318.239023474289</v>
      </c>
    </row>
    <row r="21" spans="3:7">
      <c r="C21" s="67" t="s">
        <v>10</v>
      </c>
      <c r="D21" s="102">
        <f>5450.81*2</f>
        <v>10901.62</v>
      </c>
      <c r="E21" s="103">
        <v>10901.62</v>
      </c>
      <c r="F21" s="103"/>
      <c r="G21" s="68">
        <f>+D21-E21</f>
        <v>0</v>
      </c>
    </row>
    <row r="22" spans="3:7">
      <c r="C22" s="56" t="s">
        <v>11</v>
      </c>
      <c r="D22" s="104"/>
      <c r="E22" s="24"/>
      <c r="F22" s="24"/>
      <c r="G22" s="68">
        <f t="shared" ref="G22:G27" si="3">+D22-E22</f>
        <v>0</v>
      </c>
    </row>
    <row r="23" spans="3:7" ht="31.2">
      <c r="C23" s="56" t="s">
        <v>12</v>
      </c>
      <c r="D23" s="104"/>
      <c r="E23" s="104"/>
      <c r="F23" s="104"/>
      <c r="G23" s="68">
        <f t="shared" si="3"/>
        <v>0</v>
      </c>
    </row>
    <row r="24" spans="3:7">
      <c r="C24" s="57" t="s">
        <v>13</v>
      </c>
      <c r="D24" s="104">
        <f>+'[3]PBF 2021 Budget (2)'!K47+'[3]PBF 2021 Budget (2)'!K48+'[3]PBF 2021 Budget (2)'!K49+'[3]PBF 2021 Budget (2)'!K59+'[3]PBF 2021 Budget (2)'!K60+'[3]PBF 2021 Budget (2)'!K61+'[3]PBF 2021 Budget (2)'!K62+'[3]PBF 2021 Budget (2)'!K63</f>
        <v>4754.2857142857147</v>
      </c>
      <c r="E24" s="104">
        <v>4743.4735850959096</v>
      </c>
      <c r="F24" s="104"/>
      <c r="G24" s="68">
        <f t="shared" si="3"/>
        <v>10.812129189805091</v>
      </c>
    </row>
    <row r="25" spans="3:7">
      <c r="C25" s="56" t="s">
        <v>17</v>
      </c>
      <c r="D25" s="104">
        <f>+'[3]PBF 2021 Budget (2)'!K40+'[3]PBF 2021 Budget (2)'!K41+'[3]PBF 2021 Budget (2)'!K42+'[3]PBF 2021 Budget (2)'!K44+'[3]PBF 2021 Budget (2)'!K52+'[3]PBF 2021 Budget (2)'!K53+'[3]PBF 2021 Budget (2)'!K54+'[3]PBF 2021 Budget (2)'!K56</f>
        <v>8098.9774285714284</v>
      </c>
      <c r="E25" s="104">
        <v>7825.0283630277499</v>
      </c>
      <c r="F25" s="104"/>
      <c r="G25" s="68">
        <f t="shared" si="3"/>
        <v>273.94906554367844</v>
      </c>
    </row>
    <row r="26" spans="3:7">
      <c r="C26" s="56" t="s">
        <v>14</v>
      </c>
      <c r="D26" s="104">
        <f>+'[3]PBF 2021 Budget (2)'!K43+'[3]PBF 2021 Budget (2)'!K45+'[3]PBF 2021 Budget (2)'!K55+'[3]PBF 2021 Budget (2)'!K58</f>
        <v>1440</v>
      </c>
      <c r="E26" s="104">
        <v>1425.6733857106401</v>
      </c>
      <c r="F26" s="104"/>
      <c r="G26" s="68">
        <f t="shared" si="3"/>
        <v>14.326614289359895</v>
      </c>
    </row>
    <row r="27" spans="3:7">
      <c r="C27" s="56" t="s">
        <v>182</v>
      </c>
      <c r="D27" s="104">
        <f>+'[3]PBF 2021 Budget (2)'!K46+'[3]PBF 2021 Budget (2)'!K57+'[3]PBF 2021 Budget (2)'!N185*2</f>
        <v>3123.3558806171432</v>
      </c>
      <c r="E27" s="104">
        <v>3121.1993004726301</v>
      </c>
      <c r="F27" s="104"/>
      <c r="G27" s="68">
        <f t="shared" si="3"/>
        <v>2.1565801445131001</v>
      </c>
    </row>
    <row r="28" spans="3:7">
      <c r="C28" s="61" t="s">
        <v>185</v>
      </c>
      <c r="D28" s="72">
        <f t="shared" ref="D28" si="4">SUM(D21:D27)</f>
        <v>28318.239023474285</v>
      </c>
      <c r="E28" s="72">
        <v>28016.994634306899</v>
      </c>
      <c r="F28" s="72">
        <f t="shared" ref="F28" si="5">SUM(F21:F27)</f>
        <v>0</v>
      </c>
      <c r="G28" s="66">
        <f>+D28-E28</f>
        <v>301.24438916738654</v>
      </c>
    </row>
    <row r="29" spans="3:7" s="60" customFormat="1">
      <c r="C29" s="73"/>
      <c r="D29" s="74"/>
      <c r="E29" s="74"/>
      <c r="F29" s="74"/>
      <c r="G29" s="75"/>
    </row>
    <row r="30" spans="3:7">
      <c r="C30" s="303" t="s">
        <v>189</v>
      </c>
      <c r="D30" s="304"/>
      <c r="E30" s="304"/>
      <c r="F30" s="304"/>
      <c r="G30" s="305"/>
    </row>
    <row r="31" spans="3:7" ht="21.75" customHeight="1" thickBot="1">
      <c r="C31" s="69" t="s">
        <v>183</v>
      </c>
      <c r="D31" s="70">
        <f>'1) Budget Tables'!D36</f>
        <v>0</v>
      </c>
      <c r="E31" s="70">
        <v>0</v>
      </c>
      <c r="F31" s="70">
        <f>'1) Budget Tables'!F36</f>
        <v>0</v>
      </c>
      <c r="G31" s="71">
        <f t="shared" ref="G31:G39" si="6">SUM(D31:F31)</f>
        <v>0</v>
      </c>
    </row>
    <row r="32" spans="3:7">
      <c r="C32" s="67" t="s">
        <v>10</v>
      </c>
      <c r="D32" s="102"/>
      <c r="E32" s="103"/>
      <c r="F32" s="103"/>
      <c r="G32" s="68">
        <f t="shared" si="6"/>
        <v>0</v>
      </c>
    </row>
    <row r="33" spans="3:7" s="60" customFormat="1" ht="15.75" customHeight="1">
      <c r="C33" s="56" t="s">
        <v>11</v>
      </c>
      <c r="D33" s="104"/>
      <c r="E33" s="24"/>
      <c r="F33" s="24"/>
      <c r="G33" s="66">
        <f t="shared" si="6"/>
        <v>0</v>
      </c>
    </row>
    <row r="34" spans="3:7" s="60" customFormat="1" ht="31.2">
      <c r="C34" s="56" t="s">
        <v>12</v>
      </c>
      <c r="D34" s="104"/>
      <c r="E34" s="104"/>
      <c r="F34" s="104"/>
      <c r="G34" s="66">
        <f t="shared" si="6"/>
        <v>0</v>
      </c>
    </row>
    <row r="35" spans="3:7" s="60" customFormat="1">
      <c r="C35" s="57" t="s">
        <v>13</v>
      </c>
      <c r="D35" s="104"/>
      <c r="E35" s="104"/>
      <c r="F35" s="104"/>
      <c r="G35" s="66">
        <f t="shared" si="6"/>
        <v>0</v>
      </c>
    </row>
    <row r="36" spans="3:7">
      <c r="C36" s="56" t="s">
        <v>17</v>
      </c>
      <c r="D36" s="104"/>
      <c r="E36" s="104"/>
      <c r="F36" s="104"/>
      <c r="G36" s="66">
        <f t="shared" si="6"/>
        <v>0</v>
      </c>
    </row>
    <row r="37" spans="3:7">
      <c r="C37" s="56" t="s">
        <v>14</v>
      </c>
      <c r="D37" s="104"/>
      <c r="E37" s="104"/>
      <c r="F37" s="104"/>
      <c r="G37" s="66">
        <f t="shared" si="6"/>
        <v>0</v>
      </c>
    </row>
    <row r="38" spans="3:7">
      <c r="C38" s="56" t="s">
        <v>182</v>
      </c>
      <c r="D38" s="104"/>
      <c r="E38" s="104"/>
      <c r="F38" s="104"/>
      <c r="G38" s="66">
        <f t="shared" si="6"/>
        <v>0</v>
      </c>
    </row>
    <row r="39" spans="3:7">
      <c r="C39" s="61" t="s">
        <v>185</v>
      </c>
      <c r="D39" s="72">
        <f t="shared" ref="D39" si="7">SUM(D32:D38)</f>
        <v>0</v>
      </c>
      <c r="E39" s="72">
        <v>0</v>
      </c>
      <c r="F39" s="72">
        <f t="shared" ref="F39" si="8">SUM(F32:F38)</f>
        <v>0</v>
      </c>
      <c r="G39" s="66">
        <f t="shared" si="6"/>
        <v>0</v>
      </c>
    </row>
    <row r="40" spans="3:7" s="60" customFormat="1">
      <c r="C40" s="73"/>
      <c r="D40" s="74"/>
      <c r="E40" s="74"/>
      <c r="F40" s="74"/>
      <c r="G40" s="75"/>
    </row>
    <row r="41" spans="3:7">
      <c r="C41" s="303" t="s">
        <v>190</v>
      </c>
      <c r="D41" s="304"/>
      <c r="E41" s="304"/>
      <c r="F41" s="304"/>
      <c r="G41" s="305"/>
    </row>
    <row r="42" spans="3:7" ht="20.25" customHeight="1" thickBot="1">
      <c r="C42" s="69" t="s">
        <v>183</v>
      </c>
      <c r="D42" s="70">
        <f>'1) Budget Tables'!D46</f>
        <v>0</v>
      </c>
      <c r="E42" s="70">
        <v>0</v>
      </c>
      <c r="F42" s="70">
        <f>'1) Budget Tables'!F46</f>
        <v>0</v>
      </c>
      <c r="G42" s="71">
        <f t="shared" ref="G42:G50" si="9">SUM(D42:F42)</f>
        <v>0</v>
      </c>
    </row>
    <row r="43" spans="3:7">
      <c r="C43" s="67" t="s">
        <v>10</v>
      </c>
      <c r="D43" s="102"/>
      <c r="E43" s="103"/>
      <c r="F43" s="103"/>
      <c r="G43" s="68">
        <f t="shared" si="9"/>
        <v>0</v>
      </c>
    </row>
    <row r="44" spans="3:7" ht="15.75" customHeight="1">
      <c r="C44" s="56" t="s">
        <v>11</v>
      </c>
      <c r="D44" s="104"/>
      <c r="E44" s="24"/>
      <c r="F44" s="24"/>
      <c r="G44" s="66">
        <f t="shared" si="9"/>
        <v>0</v>
      </c>
    </row>
    <row r="45" spans="3:7" ht="32.25" customHeight="1">
      <c r="C45" s="56" t="s">
        <v>12</v>
      </c>
      <c r="D45" s="104"/>
      <c r="E45" s="104"/>
      <c r="F45" s="104"/>
      <c r="G45" s="66">
        <f t="shared" si="9"/>
        <v>0</v>
      </c>
    </row>
    <row r="46" spans="3:7" s="60" customFormat="1">
      <c r="C46" s="57" t="s">
        <v>13</v>
      </c>
      <c r="D46" s="104"/>
      <c r="E46" s="104"/>
      <c r="F46" s="104"/>
      <c r="G46" s="66">
        <f t="shared" si="9"/>
        <v>0</v>
      </c>
    </row>
    <row r="47" spans="3:7">
      <c r="C47" s="56" t="s">
        <v>17</v>
      </c>
      <c r="D47" s="104"/>
      <c r="E47" s="104"/>
      <c r="F47" s="104"/>
      <c r="G47" s="66">
        <f t="shared" si="9"/>
        <v>0</v>
      </c>
    </row>
    <row r="48" spans="3:7">
      <c r="C48" s="56" t="s">
        <v>14</v>
      </c>
      <c r="D48" s="104"/>
      <c r="E48" s="104"/>
      <c r="F48" s="104"/>
      <c r="G48" s="66">
        <f t="shared" si="9"/>
        <v>0</v>
      </c>
    </row>
    <row r="49" spans="2:7">
      <c r="C49" s="56" t="s">
        <v>182</v>
      </c>
      <c r="D49" s="104"/>
      <c r="E49" s="104"/>
      <c r="F49" s="104"/>
      <c r="G49" s="66">
        <f t="shared" si="9"/>
        <v>0</v>
      </c>
    </row>
    <row r="50" spans="2:7" ht="21" customHeight="1">
      <c r="C50" s="61" t="s">
        <v>185</v>
      </c>
      <c r="D50" s="72">
        <f t="shared" ref="D50" si="10">SUM(D43:D49)</f>
        <v>0</v>
      </c>
      <c r="E50" s="72">
        <v>0</v>
      </c>
      <c r="F50" s="72">
        <f t="shared" ref="F50" si="11">SUM(F43:F49)</f>
        <v>0</v>
      </c>
      <c r="G50" s="66">
        <f t="shared" si="9"/>
        <v>0</v>
      </c>
    </row>
    <row r="51" spans="2:7" s="60" customFormat="1" ht="22.5" customHeight="1">
      <c r="C51" s="76"/>
      <c r="D51" s="74"/>
      <c r="E51" s="74"/>
      <c r="F51" s="74"/>
      <c r="G51" s="75"/>
    </row>
    <row r="52" spans="2:7">
      <c r="B52" s="303" t="s">
        <v>191</v>
      </c>
      <c r="C52" s="304"/>
      <c r="D52" s="304"/>
      <c r="E52" s="304"/>
      <c r="F52" s="304"/>
      <c r="G52" s="305"/>
    </row>
    <row r="53" spans="2:7">
      <c r="C53" s="303" t="s">
        <v>192</v>
      </c>
      <c r="D53" s="304"/>
      <c r="E53" s="304"/>
      <c r="F53" s="304"/>
      <c r="G53" s="305"/>
    </row>
    <row r="54" spans="2:7" ht="24" customHeight="1" thickBot="1">
      <c r="C54" s="69" t="s">
        <v>183</v>
      </c>
      <c r="D54" s="70">
        <f>'1) Budget Tables'!D58</f>
        <v>57989.222166597247</v>
      </c>
      <c r="E54" s="70">
        <v>0</v>
      </c>
      <c r="F54" s="70">
        <f>'1) Budget Tables'!F58</f>
        <v>0</v>
      </c>
      <c r="G54" s="71">
        <f>SUM(D54:F54)</f>
        <v>57989.222166597247</v>
      </c>
    </row>
    <row r="55" spans="2:7" ht="15.75" customHeight="1">
      <c r="C55" s="67" t="s">
        <v>10</v>
      </c>
      <c r="D55" s="204">
        <f>+'[3]PBF 2021 Budget (2)'!N13*2</f>
        <v>10901.62</v>
      </c>
      <c r="E55" s="103">
        <v>10901.62</v>
      </c>
      <c r="F55" s="103"/>
      <c r="G55" s="68">
        <f>+D55-E55</f>
        <v>0</v>
      </c>
    </row>
    <row r="56" spans="2:7" ht="15.75" customHeight="1">
      <c r="C56" s="56" t="s">
        <v>11</v>
      </c>
      <c r="D56" s="104"/>
      <c r="E56" s="24"/>
      <c r="F56" s="24"/>
      <c r="G56" s="68">
        <f t="shared" ref="G56:G61" si="12">+D56-E56</f>
        <v>0</v>
      </c>
    </row>
    <row r="57" spans="2:7" ht="15.75" customHeight="1">
      <c r="C57" s="56" t="s">
        <v>12</v>
      </c>
      <c r="D57" s="104"/>
      <c r="E57" s="104"/>
      <c r="F57" s="104"/>
      <c r="G57" s="68">
        <f t="shared" si="12"/>
        <v>0</v>
      </c>
    </row>
    <row r="58" spans="2:7" ht="18.75" customHeight="1">
      <c r="C58" s="57" t="s">
        <v>13</v>
      </c>
      <c r="D58" s="104">
        <f>+'[3]PBF 2021 Budget (2)'!K76+'[3]PBF 2021 Budget (2)'!K77+'[3]PBF 2021 Budget (2)'!K78+'[3]PBF 2021 Budget (2)'!K79+'[3]PBF 2021 Budget (2)'!K89+'[3]PBF 2021 Budget (2)'!K90+'[3]PBF 2021 Budget (2)'!K91</f>
        <v>3971.4285702857142</v>
      </c>
      <c r="E58" s="104">
        <v>3932.0855214258099</v>
      </c>
      <c r="F58" s="104"/>
      <c r="G58" s="68">
        <f t="shared" si="12"/>
        <v>39.343048859904229</v>
      </c>
    </row>
    <row r="59" spans="2:7">
      <c r="C59" s="56" t="s">
        <v>17</v>
      </c>
      <c r="D59" s="205">
        <f>+'[3]PBF 2021 Budget (2)'!K66+'[3]PBF 2021 Budget (2)'!K68+'[3]PBF 2021 Budget (2)'!K71+'[3]PBF 2021 Budget (2)'!K73+'[3]PBF 2021 Budget (2)'!K82+'[3]PBF 2021 Budget (2)'!K83+'[3]PBF 2021 Budget (2)'!K84+'[3]PBF 2021 Budget (2)'!K87+'[3]PBF 2021 Budget (2)'!K88</f>
        <v>16219.31342857143</v>
      </c>
      <c r="E59" s="104">
        <v>16189.737277472999</v>
      </c>
      <c r="F59" s="104"/>
      <c r="G59" s="68">
        <f t="shared" si="12"/>
        <v>29.576151098430273</v>
      </c>
    </row>
    <row r="60" spans="2:7" s="60" customFormat="1" ht="21.75" customHeight="1">
      <c r="B60" s="58"/>
      <c r="C60" s="56" t="s">
        <v>14</v>
      </c>
      <c r="D60" s="104">
        <f>+'[3]PBF 2021 Budget (2)'!K67+'[3]PBF 2021 Budget (2)'!K69+'[3]PBF 2021 Budget (2)'!K70+'[3]PBF 2021 Budget (2)'!K85+'[3]PBF 2021 Budget (2)'!K86</f>
        <v>23275.428572837147</v>
      </c>
      <c r="E60" s="104">
        <v>23179.045244400098</v>
      </c>
      <c r="F60" s="104"/>
      <c r="G60" s="68">
        <f t="shared" si="12"/>
        <v>96.383328437048476</v>
      </c>
    </row>
    <row r="61" spans="2:7" s="60" customFormat="1">
      <c r="B61" s="58"/>
      <c r="C61" s="56" t="s">
        <v>182</v>
      </c>
      <c r="D61" s="104">
        <f>+'[3]PBF 2021 Budget (2)'!K72+'[3]PBF 2021 Budget (2)'!K74+'[3]PBF 2021 Budget (2)'!K75+'[3]PBF 2021 Budget (2)'!N185*2</f>
        <v>3621.4315949028578</v>
      </c>
      <c r="E61" s="104">
        <v>3567.0789037020199</v>
      </c>
      <c r="F61" s="104"/>
      <c r="G61" s="68">
        <f t="shared" si="12"/>
        <v>54.352691200837853</v>
      </c>
    </row>
    <row r="62" spans="2:7">
      <c r="C62" s="61" t="s">
        <v>185</v>
      </c>
      <c r="D62" s="72">
        <f>SUM(D55:D61)</f>
        <v>57989.222166597152</v>
      </c>
      <c r="E62" s="72">
        <v>57769.566947001003</v>
      </c>
      <c r="F62" s="72">
        <f t="shared" ref="F62" si="13">SUM(F55:F61)</f>
        <v>0</v>
      </c>
      <c r="G62" s="66">
        <f>+D62-E62</f>
        <v>219.65521959614853</v>
      </c>
    </row>
    <row r="63" spans="2:7" s="60" customFormat="1">
      <c r="C63" s="73"/>
      <c r="D63" s="74"/>
      <c r="E63" s="74"/>
      <c r="F63" s="74"/>
      <c r="G63" s="75"/>
    </row>
    <row r="64" spans="2:7">
      <c r="B64" s="60"/>
      <c r="C64" s="303" t="s">
        <v>73</v>
      </c>
      <c r="D64" s="304"/>
      <c r="E64" s="304"/>
      <c r="F64" s="304"/>
      <c r="G64" s="305"/>
    </row>
    <row r="65" spans="2:7" ht="21.75" customHeight="1" thickBot="1">
      <c r="C65" s="69" t="s">
        <v>183</v>
      </c>
      <c r="D65" s="70">
        <f>'1) Budget Tables'!D68</f>
        <v>24015.350797451429</v>
      </c>
      <c r="E65" s="70">
        <v>0</v>
      </c>
      <c r="F65" s="70">
        <f>'1) Budget Tables'!F68</f>
        <v>0</v>
      </c>
      <c r="G65" s="71">
        <f t="shared" ref="G65" si="14">SUM(D65:F65)</f>
        <v>24015.350797451429</v>
      </c>
    </row>
    <row r="66" spans="2:7" ht="15.75" customHeight="1">
      <c r="C66" s="67" t="s">
        <v>10</v>
      </c>
      <c r="D66" s="102">
        <f>+'[3]PBF 2021 Budget (2)'!N13</f>
        <v>5450.81</v>
      </c>
      <c r="E66" s="103">
        <v>5450.81</v>
      </c>
      <c r="F66" s="103"/>
      <c r="G66" s="68">
        <f>+D66-E66</f>
        <v>0</v>
      </c>
    </row>
    <row r="67" spans="2:7" ht="15.75" customHeight="1">
      <c r="C67" s="56" t="s">
        <v>11</v>
      </c>
      <c r="D67" s="104"/>
      <c r="E67" s="24"/>
      <c r="F67" s="24"/>
      <c r="G67" s="68">
        <f t="shared" ref="G67:G72" si="15">+D67-E67</f>
        <v>0</v>
      </c>
    </row>
    <row r="68" spans="2:7" ht="15.75" customHeight="1">
      <c r="C68" s="56" t="s">
        <v>12</v>
      </c>
      <c r="D68" s="104"/>
      <c r="E68" s="104"/>
      <c r="F68" s="104"/>
      <c r="G68" s="68">
        <f t="shared" si="15"/>
        <v>0</v>
      </c>
    </row>
    <row r="69" spans="2:7">
      <c r="C69" s="57" t="s">
        <v>13</v>
      </c>
      <c r="D69" s="104">
        <f>+'[3]PBF 2021 Budget (2)'!K94+'[3]PBF 2021 Budget (2)'!K97+'[3]PBF 2021 Budget (2)'!K98+'[3]PBF 2021 Budget (2)'!K99+'[3]PBF 2021 Budget (2)'!K102</f>
        <v>9600</v>
      </c>
      <c r="E69" s="104">
        <v>9598.4949271648402</v>
      </c>
      <c r="F69" s="104"/>
      <c r="G69" s="68">
        <f t="shared" si="15"/>
        <v>1.5050728351598082</v>
      </c>
    </row>
    <row r="70" spans="2:7">
      <c r="C70" s="56" t="s">
        <v>17</v>
      </c>
      <c r="D70" s="104"/>
      <c r="E70" s="104">
        <v>0</v>
      </c>
      <c r="F70" s="104"/>
      <c r="G70" s="68">
        <f t="shared" si="15"/>
        <v>0</v>
      </c>
    </row>
    <row r="71" spans="2:7">
      <c r="C71" s="56" t="s">
        <v>14</v>
      </c>
      <c r="D71" s="104">
        <f>+'[3]PBF 2021 Budget (2)'!K95+'[3]PBF 2021 Budget (2)'!K96+'[3]PBF 2021 Budget (2)'!K101</f>
        <v>7400</v>
      </c>
      <c r="E71" s="104">
        <v>6910.9643123430396</v>
      </c>
      <c r="F71" s="104"/>
      <c r="G71" s="68">
        <f t="shared" si="15"/>
        <v>489.03568765696036</v>
      </c>
    </row>
    <row r="72" spans="2:7">
      <c r="C72" s="56" t="s">
        <v>182</v>
      </c>
      <c r="D72" s="104">
        <f>+'[3]PBF 2021 Budget (2)'!K100+'[3]PBF 2021 Budget (2)'!N185</f>
        <v>1564.5407974514287</v>
      </c>
      <c r="E72" s="104">
        <v>1559.16100328333</v>
      </c>
      <c r="F72" s="104"/>
      <c r="G72" s="68">
        <f t="shared" si="15"/>
        <v>5.3797941680986696</v>
      </c>
    </row>
    <row r="73" spans="2:7">
      <c r="C73" s="61" t="s">
        <v>185</v>
      </c>
      <c r="D73" s="72">
        <f t="shared" ref="D73" si="16">SUM(D66:D72)</f>
        <v>24015.350797451429</v>
      </c>
      <c r="E73" s="72">
        <v>23519.430242791201</v>
      </c>
      <c r="F73" s="72">
        <f t="shared" ref="F73" si="17">SUM(F66:F72)</f>
        <v>0</v>
      </c>
      <c r="G73" s="66">
        <f>+D73-E73</f>
        <v>495.92055466022794</v>
      </c>
    </row>
    <row r="74" spans="2:7" s="60" customFormat="1">
      <c r="C74" s="73"/>
      <c r="D74" s="74"/>
      <c r="E74" s="74"/>
      <c r="F74" s="74"/>
      <c r="G74" s="75"/>
    </row>
    <row r="75" spans="2:7">
      <c r="C75" s="303" t="s">
        <v>82</v>
      </c>
      <c r="D75" s="304"/>
      <c r="E75" s="304"/>
      <c r="F75" s="304"/>
      <c r="G75" s="305"/>
    </row>
    <row r="76" spans="2:7" ht="21.75" customHeight="1" thickBot="1">
      <c r="B76" s="60"/>
      <c r="C76" s="69" t="s">
        <v>183</v>
      </c>
      <c r="D76" s="70">
        <f>'1) Budget Tables'!D78</f>
        <v>0</v>
      </c>
      <c r="E76" s="70">
        <v>0</v>
      </c>
      <c r="F76" s="70">
        <f>'1) Budget Tables'!F78</f>
        <v>0</v>
      </c>
      <c r="G76" s="71">
        <f t="shared" ref="G76:G84" si="18">SUM(D76:F76)</f>
        <v>0</v>
      </c>
    </row>
    <row r="77" spans="2:7" ht="18" customHeight="1">
      <c r="C77" s="67" t="s">
        <v>10</v>
      </c>
      <c r="D77" s="102"/>
      <c r="E77" s="103"/>
      <c r="F77" s="103"/>
      <c r="G77" s="68">
        <f t="shared" si="18"/>
        <v>0</v>
      </c>
    </row>
    <row r="78" spans="2:7" ht="15.75" customHeight="1">
      <c r="C78" s="56" t="s">
        <v>11</v>
      </c>
      <c r="D78" s="104"/>
      <c r="E78" s="24"/>
      <c r="F78" s="24"/>
      <c r="G78" s="66">
        <f t="shared" si="18"/>
        <v>0</v>
      </c>
    </row>
    <row r="79" spans="2:7" s="60" customFormat="1" ht="15.75" customHeight="1">
      <c r="B79" s="58"/>
      <c r="C79" s="56" t="s">
        <v>12</v>
      </c>
      <c r="D79" s="104"/>
      <c r="E79" s="104"/>
      <c r="F79" s="104"/>
      <c r="G79" s="66">
        <f t="shared" si="18"/>
        <v>0</v>
      </c>
    </row>
    <row r="80" spans="2:7">
      <c r="B80" s="60"/>
      <c r="C80" s="57" t="s">
        <v>13</v>
      </c>
      <c r="D80" s="104"/>
      <c r="E80" s="104"/>
      <c r="F80" s="104"/>
      <c r="G80" s="66">
        <f t="shared" si="18"/>
        <v>0</v>
      </c>
    </row>
    <row r="81" spans="2:7">
      <c r="B81" s="60"/>
      <c r="C81" s="56" t="s">
        <v>17</v>
      </c>
      <c r="D81" s="104"/>
      <c r="E81" s="104"/>
      <c r="F81" s="104"/>
      <c r="G81" s="66">
        <f t="shared" si="18"/>
        <v>0</v>
      </c>
    </row>
    <row r="82" spans="2:7">
      <c r="B82" s="60"/>
      <c r="C82" s="56" t="s">
        <v>14</v>
      </c>
      <c r="D82" s="104"/>
      <c r="E82" s="104"/>
      <c r="F82" s="104"/>
      <c r="G82" s="66">
        <f t="shared" si="18"/>
        <v>0</v>
      </c>
    </row>
    <row r="83" spans="2:7">
      <c r="C83" s="56" t="s">
        <v>182</v>
      </c>
      <c r="D83" s="104"/>
      <c r="E83" s="104"/>
      <c r="F83" s="104"/>
      <c r="G83" s="66">
        <f t="shared" si="18"/>
        <v>0</v>
      </c>
    </row>
    <row r="84" spans="2:7">
      <c r="C84" s="61" t="s">
        <v>185</v>
      </c>
      <c r="D84" s="72">
        <f t="shared" ref="D84" si="19">SUM(D77:D83)</f>
        <v>0</v>
      </c>
      <c r="E84" s="72">
        <v>0</v>
      </c>
      <c r="F84" s="72">
        <f t="shared" ref="F84" si="20">SUM(F77:F83)</f>
        <v>0</v>
      </c>
      <c r="G84" s="66">
        <f t="shared" si="18"/>
        <v>0</v>
      </c>
    </row>
    <row r="85" spans="2:7" s="60" customFormat="1">
      <c r="C85" s="73"/>
      <c r="D85" s="74"/>
      <c r="E85" s="74"/>
      <c r="F85" s="74"/>
      <c r="G85" s="75"/>
    </row>
    <row r="86" spans="2:7">
      <c r="C86" s="303" t="s">
        <v>99</v>
      </c>
      <c r="D86" s="304"/>
      <c r="E86" s="304"/>
      <c r="F86" s="304"/>
      <c r="G86" s="305"/>
    </row>
    <row r="87" spans="2:7" ht="21.75" customHeight="1" thickBot="1">
      <c r="C87" s="69" t="s">
        <v>183</v>
      </c>
      <c r="D87" s="70">
        <f>'1) Budget Tables'!D88</f>
        <v>0</v>
      </c>
      <c r="E87" s="70">
        <v>0</v>
      </c>
      <c r="F87" s="70">
        <f>'1) Budget Tables'!F88</f>
        <v>0</v>
      </c>
      <c r="G87" s="71">
        <f t="shared" ref="G87:G95" si="21">SUM(D87:F87)</f>
        <v>0</v>
      </c>
    </row>
    <row r="88" spans="2:7" ht="15.75" customHeight="1">
      <c r="C88" s="67" t="s">
        <v>10</v>
      </c>
      <c r="D88" s="102"/>
      <c r="E88" s="103"/>
      <c r="F88" s="103"/>
      <c r="G88" s="68">
        <f t="shared" si="21"/>
        <v>0</v>
      </c>
    </row>
    <row r="89" spans="2:7" ht="15.75" customHeight="1">
      <c r="B89" s="60"/>
      <c r="C89" s="56" t="s">
        <v>11</v>
      </c>
      <c r="D89" s="104"/>
      <c r="E89" s="24"/>
      <c r="F89" s="24"/>
      <c r="G89" s="66">
        <f t="shared" si="21"/>
        <v>0</v>
      </c>
    </row>
    <row r="90" spans="2:7" ht="15.75" customHeight="1">
      <c r="C90" s="56" t="s">
        <v>12</v>
      </c>
      <c r="D90" s="104"/>
      <c r="E90" s="104"/>
      <c r="F90" s="104"/>
      <c r="G90" s="66">
        <f t="shared" si="21"/>
        <v>0</v>
      </c>
    </row>
    <row r="91" spans="2:7">
      <c r="C91" s="57" t="s">
        <v>13</v>
      </c>
      <c r="D91" s="104"/>
      <c r="E91" s="104"/>
      <c r="F91" s="104"/>
      <c r="G91" s="66">
        <f t="shared" si="21"/>
        <v>0</v>
      </c>
    </row>
    <row r="92" spans="2:7">
      <c r="C92" s="56" t="s">
        <v>17</v>
      </c>
      <c r="D92" s="104"/>
      <c r="E92" s="104"/>
      <c r="F92" s="104"/>
      <c r="G92" s="66">
        <f t="shared" si="21"/>
        <v>0</v>
      </c>
    </row>
    <row r="93" spans="2:7" ht="25.5" customHeight="1">
      <c r="C93" s="56" t="s">
        <v>14</v>
      </c>
      <c r="D93" s="104"/>
      <c r="E93" s="104"/>
      <c r="F93" s="104"/>
      <c r="G93" s="66">
        <f t="shared" si="21"/>
        <v>0</v>
      </c>
    </row>
    <row r="94" spans="2:7">
      <c r="B94" s="60"/>
      <c r="C94" s="56" t="s">
        <v>182</v>
      </c>
      <c r="D94" s="104"/>
      <c r="E94" s="104"/>
      <c r="F94" s="104"/>
      <c r="G94" s="66">
        <f t="shared" si="21"/>
        <v>0</v>
      </c>
    </row>
    <row r="95" spans="2:7" ht="15.75" customHeight="1">
      <c r="C95" s="61" t="s">
        <v>185</v>
      </c>
      <c r="D95" s="72">
        <f t="shared" ref="D95" si="22">SUM(D88:D94)</f>
        <v>0</v>
      </c>
      <c r="E95" s="72">
        <v>0</v>
      </c>
      <c r="F95" s="72">
        <f t="shared" ref="F95" si="23">SUM(F88:F94)</f>
        <v>0</v>
      </c>
      <c r="G95" s="66">
        <f t="shared" si="21"/>
        <v>0</v>
      </c>
    </row>
    <row r="96" spans="2:7" ht="25.5" customHeight="1">
      <c r="D96" s="58"/>
      <c r="E96" s="58"/>
      <c r="F96" s="58"/>
    </row>
    <row r="97" spans="2:7">
      <c r="B97" s="303" t="s">
        <v>193</v>
      </c>
      <c r="C97" s="304"/>
      <c r="D97" s="304"/>
      <c r="E97" s="304"/>
      <c r="F97" s="304"/>
      <c r="G97" s="305"/>
    </row>
    <row r="98" spans="2:7">
      <c r="C98" s="303" t="s">
        <v>101</v>
      </c>
      <c r="D98" s="304"/>
      <c r="E98" s="304"/>
      <c r="F98" s="304"/>
      <c r="G98" s="305"/>
    </row>
    <row r="99" spans="2:7" ht="22.5" customHeight="1" thickBot="1">
      <c r="C99" s="69" t="s">
        <v>183</v>
      </c>
      <c r="D99" s="70">
        <f>'1) Budget Tables'!D100</f>
        <v>86662.483464091434</v>
      </c>
      <c r="E99" s="70">
        <v>0</v>
      </c>
      <c r="F99" s="70">
        <f>'1) Budget Tables'!F100</f>
        <v>0</v>
      </c>
      <c r="G99" s="71">
        <f>SUM(D99:F99)</f>
        <v>86662.483464091434</v>
      </c>
    </row>
    <row r="100" spans="2:7">
      <c r="C100" s="67" t="s">
        <v>10</v>
      </c>
      <c r="D100" s="102">
        <f>5450.81*4</f>
        <v>21803.24</v>
      </c>
      <c r="E100" s="103">
        <v>21803.24</v>
      </c>
      <c r="F100" s="103"/>
      <c r="G100" s="68">
        <f>+D100-E100</f>
        <v>0</v>
      </c>
    </row>
    <row r="101" spans="2:7">
      <c r="C101" s="56" t="s">
        <v>11</v>
      </c>
      <c r="D101" s="104">
        <f>+'[3]PBF 2021 Budget (2)'!K124</f>
        <v>257.14285714285717</v>
      </c>
      <c r="E101" s="24">
        <v>246.289308176101</v>
      </c>
      <c r="F101" s="24"/>
      <c r="G101" s="68">
        <f t="shared" ref="G101:G106" si="24">+D101-E101</f>
        <v>10.853548966756165</v>
      </c>
    </row>
    <row r="102" spans="2:7" ht="15.75" customHeight="1">
      <c r="C102" s="56" t="s">
        <v>12</v>
      </c>
      <c r="D102" s="104"/>
      <c r="E102" s="104"/>
      <c r="F102" s="104"/>
      <c r="G102" s="68">
        <f t="shared" si="24"/>
        <v>0</v>
      </c>
    </row>
    <row r="103" spans="2:7">
      <c r="C103" s="57" t="s">
        <v>13</v>
      </c>
      <c r="D103" s="104">
        <f>+'[3]PBF 2021 Budget (2)'!K139+'[3]PBF 2021 Budget (2)'!K133+'[3]PBF 2021 Budget (2)'!K127+'[3]PBF 2021 Budget (2)'!K126+'[3]PBF 2021 Budget (2)'!K125+'[3]PBF 2021 Budget (2)'!K123+'[3]PBF 2021 Budget (2)'!K118+'[3]PBF 2021 Budget (2)'!K117+'[3]PBF 2021 Budget (2)'!K116+'[3]PBF 2021 Budget (2)'!K115</f>
        <v>6946.2871314285721</v>
      </c>
      <c r="E103" s="104">
        <v>6035.8432506571598</v>
      </c>
      <c r="F103" s="104"/>
      <c r="G103" s="68">
        <f t="shared" si="24"/>
        <v>910.4438807714123</v>
      </c>
    </row>
    <row r="104" spans="2:7">
      <c r="C104" s="56" t="s">
        <v>17</v>
      </c>
      <c r="D104" s="104">
        <f>+'[3]PBF 2021 Budget (2)'!K105+'[3]PBF 2021 Budget (2)'!K106+'[3]PBF 2021 Budget (2)'!K107+'[3]PBF 2021 Budget (2)'!K110+'[3]PBF 2021 Budget (2)'!K112+'[3]PBF 2021 Budget (2)'!K130+'[3]PBF 2021 Budget (2)'!K131+'[3]PBF 2021 Budget (2)'!K136+'[3]PBF 2021 Budget (2)'!K137+'[3]PBF 2021 Budget (2)'!K138</f>
        <v>11654.11742857143</v>
      </c>
      <c r="E104" s="104">
        <v>11625.952500965799</v>
      </c>
      <c r="F104" s="104"/>
      <c r="G104" s="68">
        <f t="shared" si="24"/>
        <v>28.16492760563051</v>
      </c>
    </row>
    <row r="105" spans="2:7">
      <c r="C105" s="56" t="s">
        <v>14</v>
      </c>
      <c r="D105" s="104">
        <f>+'[3]PBF 2021 Budget (2)'!K122+'[3]PBF 2021 Budget (2)'!K121+'[3]PBF 2021 Budget (2)'!K109+'[3]PBF 2021 Budget (2)'!K108</f>
        <v>39634.285714285717</v>
      </c>
      <c r="E105" s="104">
        <v>39595.370974311903</v>
      </c>
      <c r="F105" s="104"/>
      <c r="G105" s="68">
        <f t="shared" si="24"/>
        <v>38.914739973813994</v>
      </c>
    </row>
    <row r="106" spans="2:7">
      <c r="C106" s="56" t="s">
        <v>182</v>
      </c>
      <c r="D106" s="104">
        <f>+'[3]PBF 2021 Budget (2)'!K111+'[3]PBF 2021 Budget (2)'!K113+'[3]PBF 2021 Budget (2)'!K114+'[3]PBF 2021 Budget (2)'!K132+'[3]PBF 2021 Budget (2)'!N185*4</f>
        <v>6367.4103326628583</v>
      </c>
      <c r="E106" s="104">
        <v>6301.2570988214102</v>
      </c>
      <c r="F106" s="104"/>
      <c r="G106" s="68">
        <f t="shared" si="24"/>
        <v>66.153233841448127</v>
      </c>
    </row>
    <row r="107" spans="2:7">
      <c r="C107" s="61" t="s">
        <v>185</v>
      </c>
      <c r="D107" s="72">
        <f>SUM(D100:D106)</f>
        <v>86662.483464091434</v>
      </c>
      <c r="E107" s="72">
        <v>85607.953132932307</v>
      </c>
      <c r="F107" s="72">
        <f t="shared" ref="F107" si="25">SUM(F100:F106)</f>
        <v>0</v>
      </c>
      <c r="G107" s="66">
        <f>+D107-E107</f>
        <v>1054.5303311591269</v>
      </c>
    </row>
    <row r="108" spans="2:7" s="60" customFormat="1">
      <c r="C108" s="73"/>
      <c r="D108" s="74"/>
      <c r="E108" s="74"/>
      <c r="F108" s="74"/>
      <c r="G108" s="75"/>
    </row>
    <row r="109" spans="2:7" ht="15.75" customHeight="1">
      <c r="C109" s="303" t="s">
        <v>194</v>
      </c>
      <c r="D109" s="304"/>
      <c r="E109" s="304"/>
      <c r="F109" s="304"/>
      <c r="G109" s="305"/>
    </row>
    <row r="110" spans="2:7" ht="21.75" customHeight="1" thickBot="1">
      <c r="C110" s="69" t="s">
        <v>183</v>
      </c>
      <c r="D110" s="70">
        <f>'1) Budget Tables'!D110</f>
        <v>16145.813654594287</v>
      </c>
      <c r="E110" s="70">
        <v>0</v>
      </c>
      <c r="F110" s="70">
        <f>'1) Budget Tables'!F110</f>
        <v>0</v>
      </c>
      <c r="G110" s="71">
        <f t="shared" ref="G110" si="26">SUM(D110:F110)</f>
        <v>16145.813654594287</v>
      </c>
    </row>
    <row r="111" spans="2:7">
      <c r="C111" s="67" t="s">
        <v>10</v>
      </c>
      <c r="D111" s="102">
        <v>5450.81</v>
      </c>
      <c r="E111" s="103">
        <v>1410.38</v>
      </c>
      <c r="F111" s="103"/>
      <c r="G111" s="68">
        <f>+D111-E111</f>
        <v>4040.4300000000003</v>
      </c>
    </row>
    <row r="112" spans="2:7">
      <c r="C112" s="56" t="s">
        <v>11</v>
      </c>
      <c r="D112" s="104"/>
      <c r="E112" s="24"/>
      <c r="F112" s="24"/>
      <c r="G112" s="68">
        <f t="shared" ref="G112:G117" si="27">+D112-E112</f>
        <v>0</v>
      </c>
    </row>
    <row r="113" spans="3:7" ht="31.2">
      <c r="C113" s="56" t="s">
        <v>12</v>
      </c>
      <c r="D113" s="104"/>
      <c r="E113" s="104"/>
      <c r="F113" s="104"/>
      <c r="G113" s="68">
        <f t="shared" si="27"/>
        <v>0</v>
      </c>
    </row>
    <row r="114" spans="3:7">
      <c r="C114" s="57" t="s">
        <v>13</v>
      </c>
      <c r="D114" s="104">
        <f>+'[3]PBF 2021 Budget (2)'!K149+'[3]PBF 2021 Budget (2)'!K150</f>
        <v>2285.7142857142858</v>
      </c>
      <c r="E114" s="104">
        <v>2207.2495698113198</v>
      </c>
      <c r="F114" s="104"/>
      <c r="G114" s="68">
        <f t="shared" si="27"/>
        <v>78.464715902965963</v>
      </c>
    </row>
    <row r="115" spans="3:7">
      <c r="C115" s="56" t="s">
        <v>17</v>
      </c>
      <c r="D115" s="104">
        <f>+'[3]PBF 2021 Budget (2)'!K142+'[3]PBF 2021 Budget (2)'!K143+'[3]PBF 2021 Budget (2)'!K146+'[3]PBF 2021 Budget (2)'!K148</f>
        <v>5243.5714285714294</v>
      </c>
      <c r="E115" s="104">
        <v>5261.3677979632803</v>
      </c>
      <c r="F115" s="104"/>
      <c r="G115" s="68">
        <f t="shared" si="27"/>
        <v>-17.796369391850931</v>
      </c>
    </row>
    <row r="116" spans="3:7">
      <c r="C116" s="56" t="s">
        <v>14</v>
      </c>
      <c r="D116" s="104">
        <f>+'[3]PBF 2021 Budget (2)'!K145+'[3]PBF 2021 Budget (2)'!K144</f>
        <v>874.32</v>
      </c>
      <c r="E116" s="104">
        <v>750.06761298362403</v>
      </c>
      <c r="F116" s="104"/>
      <c r="G116" s="68">
        <f t="shared" si="27"/>
        <v>124.25238701637602</v>
      </c>
    </row>
    <row r="117" spans="3:7">
      <c r="C117" s="56" t="s">
        <v>182</v>
      </c>
      <c r="D117" s="104">
        <f>+'[3]PBF 2021 Budget (2)'!K147+'[3]PBF 2021 Budget (2)'!N185</f>
        <v>2291.3979403085714</v>
      </c>
      <c r="E117" s="104">
        <v>2205.1747995097498</v>
      </c>
      <c r="F117" s="104"/>
      <c r="G117" s="68">
        <f t="shared" si="27"/>
        <v>86.223140798821532</v>
      </c>
    </row>
    <row r="118" spans="3:7">
      <c r="C118" s="61" t="s">
        <v>185</v>
      </c>
      <c r="D118" s="72">
        <f t="shared" ref="D118" si="28">SUM(D111:D117)</f>
        <v>16145.813654594287</v>
      </c>
      <c r="E118" s="72">
        <v>11834.239780268001</v>
      </c>
      <c r="F118" s="72">
        <f t="shared" ref="F118" si="29">SUM(F111:F117)</f>
        <v>0</v>
      </c>
      <c r="G118" s="66">
        <f>+D118-E118</f>
        <v>4311.5738743262864</v>
      </c>
    </row>
    <row r="119" spans="3:7" s="60" customFormat="1">
      <c r="C119" s="73"/>
      <c r="D119" s="74"/>
      <c r="E119" s="74"/>
      <c r="F119" s="74"/>
      <c r="G119" s="75"/>
    </row>
    <row r="120" spans="3:7">
      <c r="C120" s="303" t="s">
        <v>118</v>
      </c>
      <c r="D120" s="304"/>
      <c r="E120" s="304"/>
      <c r="F120" s="304"/>
      <c r="G120" s="305"/>
    </row>
    <row r="121" spans="3:7" ht="21" customHeight="1" thickBot="1">
      <c r="C121" s="69" t="s">
        <v>183</v>
      </c>
      <c r="D121" s="70">
        <f>'1) Budget Tables'!D120</f>
        <v>0</v>
      </c>
      <c r="E121" s="70">
        <v>0</v>
      </c>
      <c r="F121" s="70">
        <f>'1) Budget Tables'!F120</f>
        <v>0</v>
      </c>
      <c r="G121" s="71">
        <f t="shared" ref="G121:G129" si="30">SUM(D121:F121)</f>
        <v>0</v>
      </c>
    </row>
    <row r="122" spans="3:7">
      <c r="C122" s="67" t="s">
        <v>10</v>
      </c>
      <c r="D122" s="102"/>
      <c r="E122" s="103"/>
      <c r="F122" s="103"/>
      <c r="G122" s="68">
        <f t="shared" si="30"/>
        <v>0</v>
      </c>
    </row>
    <row r="123" spans="3:7">
      <c r="C123" s="56" t="s">
        <v>11</v>
      </c>
      <c r="D123" s="104"/>
      <c r="E123" s="24"/>
      <c r="F123" s="24"/>
      <c r="G123" s="66">
        <f t="shared" si="30"/>
        <v>0</v>
      </c>
    </row>
    <row r="124" spans="3:7" ht="31.2">
      <c r="C124" s="56" t="s">
        <v>12</v>
      </c>
      <c r="D124" s="104"/>
      <c r="E124" s="104"/>
      <c r="F124" s="104"/>
      <c r="G124" s="66">
        <f t="shared" si="30"/>
        <v>0</v>
      </c>
    </row>
    <row r="125" spans="3:7">
      <c r="C125" s="57" t="s">
        <v>13</v>
      </c>
      <c r="D125" s="104"/>
      <c r="E125" s="104"/>
      <c r="F125" s="104"/>
      <c r="G125" s="66">
        <f t="shared" si="30"/>
        <v>0</v>
      </c>
    </row>
    <row r="126" spans="3:7">
      <c r="C126" s="56" t="s">
        <v>17</v>
      </c>
      <c r="D126" s="104"/>
      <c r="E126" s="104"/>
      <c r="F126" s="104"/>
      <c r="G126" s="66">
        <f t="shared" si="30"/>
        <v>0</v>
      </c>
    </row>
    <row r="127" spans="3:7">
      <c r="C127" s="56" t="s">
        <v>14</v>
      </c>
      <c r="D127" s="104"/>
      <c r="E127" s="104"/>
      <c r="F127" s="104"/>
      <c r="G127" s="66">
        <f t="shared" si="30"/>
        <v>0</v>
      </c>
    </row>
    <row r="128" spans="3:7">
      <c r="C128" s="56" t="s">
        <v>182</v>
      </c>
      <c r="D128" s="104"/>
      <c r="E128" s="104"/>
      <c r="F128" s="104"/>
      <c r="G128" s="66">
        <f t="shared" si="30"/>
        <v>0</v>
      </c>
    </row>
    <row r="129" spans="2:7">
      <c r="C129" s="61" t="s">
        <v>185</v>
      </c>
      <c r="D129" s="72">
        <f t="shared" ref="D129" si="31">SUM(D122:D128)</f>
        <v>0</v>
      </c>
      <c r="E129" s="72">
        <v>0</v>
      </c>
      <c r="F129" s="72">
        <f t="shared" ref="F129" si="32">SUM(F122:F128)</f>
        <v>0</v>
      </c>
      <c r="G129" s="66">
        <f t="shared" si="30"/>
        <v>0</v>
      </c>
    </row>
    <row r="130" spans="2:7" s="60" customFormat="1">
      <c r="C130" s="73"/>
      <c r="D130" s="74"/>
      <c r="E130" s="74"/>
      <c r="F130" s="74"/>
      <c r="G130" s="75"/>
    </row>
    <row r="131" spans="2:7">
      <c r="C131" s="303" t="s">
        <v>127</v>
      </c>
      <c r="D131" s="304"/>
      <c r="E131" s="304"/>
      <c r="F131" s="304"/>
      <c r="G131" s="305"/>
    </row>
    <row r="132" spans="2:7" ht="24" customHeight="1" thickBot="1">
      <c r="C132" s="69" t="s">
        <v>183</v>
      </c>
      <c r="D132" s="70">
        <f>'1) Budget Tables'!D130</f>
        <v>0</v>
      </c>
      <c r="E132" s="70">
        <v>0</v>
      </c>
      <c r="F132" s="70">
        <f>'1) Budget Tables'!F130</f>
        <v>0</v>
      </c>
      <c r="G132" s="71">
        <f t="shared" ref="G132:G140" si="33">SUM(D132:F132)</f>
        <v>0</v>
      </c>
    </row>
    <row r="133" spans="2:7" ht="15.75" customHeight="1">
      <c r="C133" s="67" t="s">
        <v>10</v>
      </c>
      <c r="D133" s="102"/>
      <c r="E133" s="103"/>
      <c r="F133" s="103"/>
      <c r="G133" s="68">
        <f t="shared" si="33"/>
        <v>0</v>
      </c>
    </row>
    <row r="134" spans="2:7">
      <c r="C134" s="56" t="s">
        <v>11</v>
      </c>
      <c r="D134" s="104"/>
      <c r="E134" s="24"/>
      <c r="F134" s="24"/>
      <c r="G134" s="66">
        <f t="shared" si="33"/>
        <v>0</v>
      </c>
    </row>
    <row r="135" spans="2:7" ht="15.75" customHeight="1">
      <c r="C135" s="56" t="s">
        <v>12</v>
      </c>
      <c r="D135" s="104"/>
      <c r="E135" s="104"/>
      <c r="F135" s="104"/>
      <c r="G135" s="66">
        <f t="shared" si="33"/>
        <v>0</v>
      </c>
    </row>
    <row r="136" spans="2:7">
      <c r="C136" s="57" t="s">
        <v>13</v>
      </c>
      <c r="D136" s="104"/>
      <c r="E136" s="104"/>
      <c r="F136" s="104"/>
      <c r="G136" s="66">
        <f t="shared" si="33"/>
        <v>0</v>
      </c>
    </row>
    <row r="137" spans="2:7">
      <c r="C137" s="56" t="s">
        <v>17</v>
      </c>
      <c r="D137" s="104"/>
      <c r="E137" s="104"/>
      <c r="F137" s="104"/>
      <c r="G137" s="66">
        <f t="shared" si="33"/>
        <v>0</v>
      </c>
    </row>
    <row r="138" spans="2:7" ht="15.75" customHeight="1">
      <c r="C138" s="56" t="s">
        <v>14</v>
      </c>
      <c r="D138" s="104"/>
      <c r="E138" s="104"/>
      <c r="F138" s="104"/>
      <c r="G138" s="66">
        <f t="shared" si="33"/>
        <v>0</v>
      </c>
    </row>
    <row r="139" spans="2:7">
      <c r="C139" s="56" t="s">
        <v>182</v>
      </c>
      <c r="D139" s="104"/>
      <c r="E139" s="104"/>
      <c r="F139" s="104"/>
      <c r="G139" s="66">
        <f t="shared" si="33"/>
        <v>0</v>
      </c>
    </row>
    <row r="140" spans="2:7">
      <c r="C140" s="61" t="s">
        <v>185</v>
      </c>
      <c r="D140" s="72">
        <f t="shared" ref="D140" si="34">SUM(D133:D139)</f>
        <v>0</v>
      </c>
      <c r="E140" s="72">
        <v>0</v>
      </c>
      <c r="F140" s="72">
        <f t="shared" ref="F140" si="35">SUM(F133:F139)</f>
        <v>0</v>
      </c>
      <c r="G140" s="66">
        <f t="shared" si="33"/>
        <v>0</v>
      </c>
    </row>
    <row r="142" spans="2:7">
      <c r="B142" s="303" t="s">
        <v>195</v>
      </c>
      <c r="C142" s="304"/>
      <c r="D142" s="304"/>
      <c r="E142" s="304"/>
      <c r="F142" s="304"/>
      <c r="G142" s="305"/>
    </row>
    <row r="143" spans="2:7">
      <c r="C143" s="303" t="s">
        <v>137</v>
      </c>
      <c r="D143" s="304"/>
      <c r="E143" s="304"/>
      <c r="F143" s="304"/>
      <c r="G143" s="305"/>
    </row>
    <row r="144" spans="2:7" ht="24" customHeight="1" thickBot="1">
      <c r="C144" s="69" t="s">
        <v>183</v>
      </c>
      <c r="D144" s="70">
        <f>'1) Budget Tables'!D142</f>
        <v>0</v>
      </c>
      <c r="E144" s="70">
        <v>0</v>
      </c>
      <c r="F144" s="70">
        <f>'1) Budget Tables'!F142</f>
        <v>0</v>
      </c>
      <c r="G144" s="71">
        <f>SUM(D144:F144)</f>
        <v>0</v>
      </c>
    </row>
    <row r="145" spans="3:7" ht="24.75" customHeight="1">
      <c r="C145" s="67" t="s">
        <v>10</v>
      </c>
      <c r="D145" s="102"/>
      <c r="E145" s="103"/>
      <c r="F145" s="103"/>
      <c r="G145" s="68">
        <f t="shared" ref="G145:G152" si="36">SUM(D145:F145)</f>
        <v>0</v>
      </c>
    </row>
    <row r="146" spans="3:7" ht="15.75" customHeight="1">
      <c r="C146" s="56" t="s">
        <v>11</v>
      </c>
      <c r="D146" s="104"/>
      <c r="E146" s="24"/>
      <c r="F146" s="24"/>
      <c r="G146" s="66">
        <f t="shared" si="36"/>
        <v>0</v>
      </c>
    </row>
    <row r="147" spans="3:7" ht="15.75" customHeight="1">
      <c r="C147" s="56" t="s">
        <v>12</v>
      </c>
      <c r="D147" s="104"/>
      <c r="E147" s="104"/>
      <c r="F147" s="104"/>
      <c r="G147" s="66">
        <f t="shared" si="36"/>
        <v>0</v>
      </c>
    </row>
    <row r="148" spans="3:7" ht="15.75" customHeight="1">
      <c r="C148" s="57" t="s">
        <v>13</v>
      </c>
      <c r="D148" s="104"/>
      <c r="E148" s="104"/>
      <c r="F148" s="104"/>
      <c r="G148" s="66">
        <f t="shared" si="36"/>
        <v>0</v>
      </c>
    </row>
    <row r="149" spans="3:7" ht="15.75" customHeight="1">
      <c r="C149" s="56" t="s">
        <v>17</v>
      </c>
      <c r="D149" s="104"/>
      <c r="E149" s="104"/>
      <c r="F149" s="104"/>
      <c r="G149" s="66">
        <f t="shared" si="36"/>
        <v>0</v>
      </c>
    </row>
    <row r="150" spans="3:7" ht="15.75" customHeight="1">
      <c r="C150" s="56" t="s">
        <v>14</v>
      </c>
      <c r="D150" s="104"/>
      <c r="E150" s="104"/>
      <c r="F150" s="104"/>
      <c r="G150" s="66">
        <f t="shared" si="36"/>
        <v>0</v>
      </c>
    </row>
    <row r="151" spans="3:7" ht="15.75" customHeight="1">
      <c r="C151" s="56" t="s">
        <v>182</v>
      </c>
      <c r="D151" s="104"/>
      <c r="E151" s="104"/>
      <c r="F151" s="104"/>
      <c r="G151" s="66">
        <f t="shared" si="36"/>
        <v>0</v>
      </c>
    </row>
    <row r="152" spans="3:7" ht="15.75" customHeight="1">
      <c r="C152" s="61" t="s">
        <v>185</v>
      </c>
      <c r="D152" s="72">
        <f>SUM(D145:D151)</f>
        <v>0</v>
      </c>
      <c r="E152" s="72">
        <v>0</v>
      </c>
      <c r="F152" s="72">
        <f t="shared" ref="F152" si="37">SUM(F145:F151)</f>
        <v>0</v>
      </c>
      <c r="G152" s="66">
        <f t="shared" si="36"/>
        <v>0</v>
      </c>
    </row>
    <row r="153" spans="3:7" s="60" customFormat="1" ht="15.75" customHeight="1">
      <c r="C153" s="73"/>
      <c r="D153" s="74"/>
      <c r="E153" s="74"/>
      <c r="F153" s="74"/>
      <c r="G153" s="75"/>
    </row>
    <row r="154" spans="3:7" ht="15.75" customHeight="1">
      <c r="C154" s="303" t="s">
        <v>146</v>
      </c>
      <c r="D154" s="304"/>
      <c r="E154" s="304"/>
      <c r="F154" s="304"/>
      <c r="G154" s="305"/>
    </row>
    <row r="155" spans="3:7" ht="21" customHeight="1" thickBot="1">
      <c r="C155" s="69" t="s">
        <v>183</v>
      </c>
      <c r="D155" s="70">
        <f>'1) Budget Tables'!D152</f>
        <v>0</v>
      </c>
      <c r="E155" s="70">
        <v>0</v>
      </c>
      <c r="F155" s="70">
        <f>'1) Budget Tables'!F152</f>
        <v>0</v>
      </c>
      <c r="G155" s="71">
        <f t="shared" ref="G155:G163" si="38">SUM(D155:F155)</f>
        <v>0</v>
      </c>
    </row>
    <row r="156" spans="3:7" ht="15.75" customHeight="1">
      <c r="C156" s="67" t="s">
        <v>10</v>
      </c>
      <c r="D156" s="102"/>
      <c r="E156" s="103"/>
      <c r="F156" s="103"/>
      <c r="G156" s="68">
        <f t="shared" si="38"/>
        <v>0</v>
      </c>
    </row>
    <row r="157" spans="3:7" ht="15.75" customHeight="1">
      <c r="C157" s="56" t="s">
        <v>11</v>
      </c>
      <c r="D157" s="104"/>
      <c r="E157" s="24"/>
      <c r="F157" s="24"/>
      <c r="G157" s="66">
        <f t="shared" si="38"/>
        <v>0</v>
      </c>
    </row>
    <row r="158" spans="3:7" ht="15.75" customHeight="1">
      <c r="C158" s="56" t="s">
        <v>12</v>
      </c>
      <c r="D158" s="104"/>
      <c r="E158" s="104"/>
      <c r="F158" s="104"/>
      <c r="G158" s="66">
        <f t="shared" si="38"/>
        <v>0</v>
      </c>
    </row>
    <row r="159" spans="3:7" ht="15.75" customHeight="1">
      <c r="C159" s="57" t="s">
        <v>13</v>
      </c>
      <c r="D159" s="104"/>
      <c r="E159" s="104"/>
      <c r="F159" s="104"/>
      <c r="G159" s="66">
        <f t="shared" si="38"/>
        <v>0</v>
      </c>
    </row>
    <row r="160" spans="3:7" ht="15.75" customHeight="1">
      <c r="C160" s="56" t="s">
        <v>17</v>
      </c>
      <c r="D160" s="104"/>
      <c r="E160" s="104"/>
      <c r="F160" s="104"/>
      <c r="G160" s="66">
        <f t="shared" si="38"/>
        <v>0</v>
      </c>
    </row>
    <row r="161" spans="3:7" ht="15.75" customHeight="1">
      <c r="C161" s="56" t="s">
        <v>14</v>
      </c>
      <c r="D161" s="104"/>
      <c r="E161" s="104"/>
      <c r="F161" s="104"/>
      <c r="G161" s="66">
        <f t="shared" si="38"/>
        <v>0</v>
      </c>
    </row>
    <row r="162" spans="3:7" ht="15.75" customHeight="1">
      <c r="C162" s="56" t="s">
        <v>182</v>
      </c>
      <c r="D162" s="104"/>
      <c r="E162" s="104"/>
      <c r="F162" s="104"/>
      <c r="G162" s="66">
        <f t="shared" si="38"/>
        <v>0</v>
      </c>
    </row>
    <row r="163" spans="3:7" ht="15.75" customHeight="1">
      <c r="C163" s="61" t="s">
        <v>185</v>
      </c>
      <c r="D163" s="72">
        <f t="shared" ref="D163" si="39">SUM(D156:D162)</f>
        <v>0</v>
      </c>
      <c r="E163" s="72">
        <v>0</v>
      </c>
      <c r="F163" s="72">
        <f t="shared" ref="F163" si="40">SUM(F156:F162)</f>
        <v>0</v>
      </c>
      <c r="G163" s="66">
        <f t="shared" si="38"/>
        <v>0</v>
      </c>
    </row>
    <row r="164" spans="3:7" s="60" customFormat="1" ht="15.75" customHeight="1">
      <c r="C164" s="73"/>
      <c r="D164" s="74"/>
      <c r="E164" s="74"/>
      <c r="F164" s="74"/>
      <c r="G164" s="75"/>
    </row>
    <row r="165" spans="3:7" ht="15.75" customHeight="1">
      <c r="C165" s="303" t="s">
        <v>155</v>
      </c>
      <c r="D165" s="304"/>
      <c r="E165" s="304"/>
      <c r="F165" s="304"/>
      <c r="G165" s="305"/>
    </row>
    <row r="166" spans="3:7" ht="19.5" customHeight="1" thickBot="1">
      <c r="C166" s="69" t="s">
        <v>183</v>
      </c>
      <c r="D166" s="70">
        <f>'1) Budget Tables'!D162</f>
        <v>0</v>
      </c>
      <c r="E166" s="70">
        <v>0</v>
      </c>
      <c r="F166" s="70">
        <f>'1) Budget Tables'!F162</f>
        <v>0</v>
      </c>
      <c r="G166" s="71">
        <f t="shared" ref="G166:G174" si="41">SUM(D166:F166)</f>
        <v>0</v>
      </c>
    </row>
    <row r="167" spans="3:7" ht="15.75" customHeight="1">
      <c r="C167" s="67" t="s">
        <v>10</v>
      </c>
      <c r="D167" s="102"/>
      <c r="E167" s="103"/>
      <c r="F167" s="103"/>
      <c r="G167" s="68">
        <f t="shared" si="41"/>
        <v>0</v>
      </c>
    </row>
    <row r="168" spans="3:7" ht="15.75" customHeight="1">
      <c r="C168" s="56" t="s">
        <v>11</v>
      </c>
      <c r="D168" s="104"/>
      <c r="E168" s="24"/>
      <c r="F168" s="24"/>
      <c r="G168" s="66">
        <f t="shared" si="41"/>
        <v>0</v>
      </c>
    </row>
    <row r="169" spans="3:7" ht="15.75" customHeight="1">
      <c r="C169" s="56" t="s">
        <v>12</v>
      </c>
      <c r="D169" s="104"/>
      <c r="E169" s="104"/>
      <c r="F169" s="104"/>
      <c r="G169" s="66">
        <f t="shared" si="41"/>
        <v>0</v>
      </c>
    </row>
    <row r="170" spans="3:7" ht="15.75" customHeight="1">
      <c r="C170" s="57" t="s">
        <v>13</v>
      </c>
      <c r="D170" s="104"/>
      <c r="E170" s="104"/>
      <c r="F170" s="104"/>
      <c r="G170" s="66">
        <f t="shared" si="41"/>
        <v>0</v>
      </c>
    </row>
    <row r="171" spans="3:7" ht="15.75" customHeight="1">
      <c r="C171" s="56" t="s">
        <v>17</v>
      </c>
      <c r="D171" s="104"/>
      <c r="E171" s="104"/>
      <c r="F171" s="104"/>
      <c r="G171" s="66">
        <f t="shared" si="41"/>
        <v>0</v>
      </c>
    </row>
    <row r="172" spans="3:7" ht="15.75" customHeight="1">
      <c r="C172" s="56" t="s">
        <v>14</v>
      </c>
      <c r="D172" s="104"/>
      <c r="E172" s="104"/>
      <c r="F172" s="104"/>
      <c r="G172" s="66">
        <f t="shared" si="41"/>
        <v>0</v>
      </c>
    </row>
    <row r="173" spans="3:7" ht="15.75" customHeight="1">
      <c r="C173" s="56" t="s">
        <v>182</v>
      </c>
      <c r="D173" s="104"/>
      <c r="E173" s="104"/>
      <c r="F173" s="104"/>
      <c r="G173" s="66">
        <f t="shared" si="41"/>
        <v>0</v>
      </c>
    </row>
    <row r="174" spans="3:7" ht="15.75" customHeight="1">
      <c r="C174" s="61" t="s">
        <v>185</v>
      </c>
      <c r="D174" s="72">
        <f t="shared" ref="D174" si="42">SUM(D167:D173)</f>
        <v>0</v>
      </c>
      <c r="E174" s="72">
        <v>0</v>
      </c>
      <c r="F174" s="72">
        <f t="shared" ref="F174" si="43">SUM(F167:F173)</f>
        <v>0</v>
      </c>
      <c r="G174" s="66">
        <f t="shared" si="41"/>
        <v>0</v>
      </c>
    </row>
    <row r="175" spans="3:7" s="60" customFormat="1" ht="15.75" customHeight="1">
      <c r="C175" s="73"/>
      <c r="D175" s="74"/>
      <c r="E175" s="74"/>
      <c r="F175" s="74"/>
      <c r="G175" s="75"/>
    </row>
    <row r="176" spans="3:7" ht="15.75" customHeight="1">
      <c r="C176" s="303" t="s">
        <v>164</v>
      </c>
      <c r="D176" s="304"/>
      <c r="E176" s="304"/>
      <c r="F176" s="304"/>
      <c r="G176" s="305"/>
    </row>
    <row r="177" spans="3:7" ht="22.5" customHeight="1" thickBot="1">
      <c r="C177" s="69" t="s">
        <v>183</v>
      </c>
      <c r="D177" s="70">
        <f>'1) Budget Tables'!D172</f>
        <v>0</v>
      </c>
      <c r="E177" s="70">
        <v>0</v>
      </c>
      <c r="F177" s="70">
        <f>'1) Budget Tables'!F172</f>
        <v>0</v>
      </c>
      <c r="G177" s="71">
        <f t="shared" ref="G177:G185" si="44">SUM(D177:F177)</f>
        <v>0</v>
      </c>
    </row>
    <row r="178" spans="3:7" ht="15.75" customHeight="1">
      <c r="C178" s="67" t="s">
        <v>10</v>
      </c>
      <c r="D178" s="102"/>
      <c r="E178" s="103"/>
      <c r="F178" s="103"/>
      <c r="G178" s="68">
        <f t="shared" si="44"/>
        <v>0</v>
      </c>
    </row>
    <row r="179" spans="3:7" ht="15.75" customHeight="1">
      <c r="C179" s="56" t="s">
        <v>11</v>
      </c>
      <c r="D179" s="104"/>
      <c r="E179" s="24"/>
      <c r="F179" s="24"/>
      <c r="G179" s="66">
        <f t="shared" si="44"/>
        <v>0</v>
      </c>
    </row>
    <row r="180" spans="3:7" ht="15.75" customHeight="1">
      <c r="C180" s="56" t="s">
        <v>12</v>
      </c>
      <c r="D180" s="104"/>
      <c r="E180" s="104"/>
      <c r="F180" s="104"/>
      <c r="G180" s="66">
        <f t="shared" si="44"/>
        <v>0</v>
      </c>
    </row>
    <row r="181" spans="3:7" ht="15.75" customHeight="1">
      <c r="C181" s="57" t="s">
        <v>13</v>
      </c>
      <c r="D181" s="104"/>
      <c r="E181" s="104"/>
      <c r="F181" s="104"/>
      <c r="G181" s="66">
        <f t="shared" si="44"/>
        <v>0</v>
      </c>
    </row>
    <row r="182" spans="3:7" ht="15.75" customHeight="1">
      <c r="C182" s="56" t="s">
        <v>17</v>
      </c>
      <c r="D182" s="104"/>
      <c r="E182" s="104"/>
      <c r="F182" s="104"/>
      <c r="G182" s="66">
        <f t="shared" si="44"/>
        <v>0</v>
      </c>
    </row>
    <row r="183" spans="3:7" ht="15.75" customHeight="1">
      <c r="C183" s="56" t="s">
        <v>14</v>
      </c>
      <c r="D183" s="104"/>
      <c r="E183" s="104"/>
      <c r="F183" s="104"/>
      <c r="G183" s="66">
        <f t="shared" si="44"/>
        <v>0</v>
      </c>
    </row>
    <row r="184" spans="3:7" ht="15.75" customHeight="1">
      <c r="C184" s="56" t="s">
        <v>182</v>
      </c>
      <c r="D184" s="104"/>
      <c r="E184" s="104"/>
      <c r="F184" s="104"/>
      <c r="G184" s="66">
        <f t="shared" si="44"/>
        <v>0</v>
      </c>
    </row>
    <row r="185" spans="3:7" ht="15.75" customHeight="1">
      <c r="C185" s="61" t="s">
        <v>185</v>
      </c>
      <c r="D185" s="72">
        <f t="shared" ref="D185" si="45">SUM(D178:D184)</f>
        <v>0</v>
      </c>
      <c r="E185" s="72">
        <v>0</v>
      </c>
      <c r="F185" s="72">
        <f t="shared" ref="F185" si="46">SUM(F178:F184)</f>
        <v>0</v>
      </c>
      <c r="G185" s="66">
        <f t="shared" si="44"/>
        <v>0</v>
      </c>
    </row>
    <row r="186" spans="3:7" ht="15.75" customHeight="1"/>
    <row r="187" spans="3:7" ht="15.75" customHeight="1">
      <c r="C187" s="303" t="s">
        <v>550</v>
      </c>
      <c r="D187" s="304"/>
      <c r="E187" s="304"/>
      <c r="F187" s="304"/>
      <c r="G187" s="305"/>
    </row>
    <row r="188" spans="3:7" ht="19.5" customHeight="1" thickBot="1">
      <c r="C188" s="69" t="s">
        <v>551</v>
      </c>
      <c r="D188" s="70">
        <f>'1) Budget Tables'!D180</f>
        <v>33834.874285714286</v>
      </c>
      <c r="E188" s="70">
        <v>0</v>
      </c>
      <c r="F188" s="70">
        <f>'1) Budget Tables'!F180</f>
        <v>0</v>
      </c>
      <c r="G188" s="71">
        <f t="shared" ref="G188" si="47">SUM(D188:F188)</f>
        <v>33834.874285714286</v>
      </c>
    </row>
    <row r="189" spans="3:7" ht="15.75" customHeight="1">
      <c r="C189" s="67" t="s">
        <v>10</v>
      </c>
      <c r="D189" s="102">
        <f>'1) Budget Tables'!D175</f>
        <v>0</v>
      </c>
      <c r="E189" s="103"/>
      <c r="F189" s="103"/>
      <c r="G189" s="68">
        <f>+D189-E189</f>
        <v>0</v>
      </c>
    </row>
    <row r="190" spans="3:7" ht="15.75" customHeight="1">
      <c r="C190" s="56" t="s">
        <v>11</v>
      </c>
      <c r="D190" s="104"/>
      <c r="E190" s="24"/>
      <c r="F190" s="24"/>
      <c r="G190" s="68">
        <f t="shared" ref="G190:G195" si="48">+D190-E190</f>
        <v>0</v>
      </c>
    </row>
    <row r="191" spans="3:7" ht="15.75" customHeight="1">
      <c r="C191" s="56" t="s">
        <v>12</v>
      </c>
      <c r="D191" s="104"/>
      <c r="E191" s="104"/>
      <c r="F191" s="104"/>
      <c r="G191" s="68">
        <f t="shared" si="48"/>
        <v>0</v>
      </c>
    </row>
    <row r="192" spans="3:7" ht="15.75" customHeight="1">
      <c r="C192" s="57" t="s">
        <v>13</v>
      </c>
      <c r="D192" s="104" t="e">
        <f>+#REF!+#REF!+#REF!</f>
        <v>#REF!</v>
      </c>
      <c r="E192" s="104">
        <v>22523.8731746169</v>
      </c>
      <c r="F192" s="252"/>
      <c r="G192" s="68" t="e">
        <f t="shared" si="48"/>
        <v>#REF!</v>
      </c>
    </row>
    <row r="193" spans="3:13" ht="15.75" customHeight="1">
      <c r="C193" s="56" t="s">
        <v>17</v>
      </c>
      <c r="D193" s="104" t="e">
        <f>+#REF!+#REF!+#REF!</f>
        <v>#REF!</v>
      </c>
      <c r="E193" s="104">
        <v>6018.9835076036397</v>
      </c>
      <c r="F193" s="252"/>
      <c r="G193" s="68" t="e">
        <f t="shared" si="48"/>
        <v>#REF!</v>
      </c>
    </row>
    <row r="194" spans="3:13" ht="15.75" customHeight="1">
      <c r="C194" s="56" t="s">
        <v>14</v>
      </c>
      <c r="D194" s="104"/>
      <c r="E194" s="104"/>
      <c r="F194" s="104"/>
      <c r="G194" s="68">
        <f t="shared" si="48"/>
        <v>0</v>
      </c>
    </row>
    <row r="195" spans="3:13" ht="15.75" customHeight="1">
      <c r="C195" s="56" t="s">
        <v>182</v>
      </c>
      <c r="D195" s="104">
        <f>'1) Budget Tables'!D176</f>
        <v>0</v>
      </c>
      <c r="E195" s="104"/>
      <c r="F195" s="104"/>
      <c r="G195" s="68">
        <f t="shared" si="48"/>
        <v>0</v>
      </c>
    </row>
    <row r="196" spans="3:13" ht="15.75" customHeight="1">
      <c r="C196" s="61" t="s">
        <v>185</v>
      </c>
      <c r="D196" s="72" t="e">
        <f t="shared" ref="D196:F196" si="49">SUM(D189:D195)</f>
        <v>#REF!</v>
      </c>
      <c r="E196" s="72">
        <v>28542.856682220499</v>
      </c>
      <c r="F196" s="72">
        <f t="shared" si="49"/>
        <v>0</v>
      </c>
      <c r="G196" s="66" t="e">
        <f>+D196-E196</f>
        <v>#REF!</v>
      </c>
    </row>
    <row r="197" spans="3:13" ht="15.75" customHeight="1" thickBot="1"/>
    <row r="198" spans="3:13" ht="19.5" customHeight="1" thickBot="1">
      <c r="C198" s="308" t="s">
        <v>18</v>
      </c>
      <c r="D198" s="309"/>
      <c r="E198" s="309"/>
      <c r="F198" s="309"/>
      <c r="G198" s="310"/>
    </row>
    <row r="199" spans="3:13" ht="19.5" customHeight="1">
      <c r="C199" s="79"/>
      <c r="D199" s="302" t="str">
        <f>'1) Budget Tables'!D5</f>
        <v>Recipient Organization</v>
      </c>
      <c r="E199" s="65" t="s">
        <v>545</v>
      </c>
      <c r="F199" s="65" t="s">
        <v>546</v>
      </c>
      <c r="G199" s="307" t="s">
        <v>18</v>
      </c>
    </row>
    <row r="200" spans="3:13" ht="19.5" customHeight="1">
      <c r="C200" s="79"/>
      <c r="D200" s="288"/>
      <c r="E200" s="59"/>
      <c r="F200" s="59"/>
      <c r="G200" s="290"/>
    </row>
    <row r="201" spans="3:13" ht="19.5" customHeight="1">
      <c r="C201" s="26" t="s">
        <v>10</v>
      </c>
      <c r="D201" s="80">
        <f>SUM(D178,D167,D156,D145,D133,D122,D111,D100,D88,D77,D66,D55,D43,D32,D21,D10,D189)</f>
        <v>59958.91</v>
      </c>
      <c r="E201" s="80">
        <v>55918.48</v>
      </c>
      <c r="F201" s="80">
        <f t="shared" ref="F201:F207" si="50">SUM(F178,F167,F156,F145,F133,F122,F111,F100,F88,F77,F66,F55,F43,F32,F21,F10)</f>
        <v>0</v>
      </c>
      <c r="G201" s="78">
        <f>+D201-E201</f>
        <v>4040.4300000000003</v>
      </c>
    </row>
    <row r="202" spans="3:13" ht="34.5" customHeight="1">
      <c r="C202" s="26" t="s">
        <v>11</v>
      </c>
      <c r="D202" s="80">
        <f t="shared" ref="D202:D203" si="51">SUM(D179,D168,D157,D146,D134,D123,D112,D101,D89,D78,D67,D56,D44,D33,D22,D11,D190)</f>
        <v>257.14285714285717</v>
      </c>
      <c r="E202" s="255">
        <v>246.289308176101</v>
      </c>
      <c r="F202" s="80">
        <f t="shared" si="50"/>
        <v>0</v>
      </c>
      <c r="G202" s="78">
        <f t="shared" ref="G202:G207" si="52">+D202-E202</f>
        <v>10.853548966756165</v>
      </c>
    </row>
    <row r="203" spans="3:13" ht="48" customHeight="1">
      <c r="C203" s="26" t="s">
        <v>12</v>
      </c>
      <c r="D203" s="80">
        <f t="shared" si="51"/>
        <v>857.14285714285711</v>
      </c>
      <c r="E203" s="255">
        <v>840.86016511867899</v>
      </c>
      <c r="F203" s="80">
        <f t="shared" si="50"/>
        <v>0</v>
      </c>
      <c r="G203" s="78">
        <f t="shared" si="52"/>
        <v>16.282692024178118</v>
      </c>
    </row>
    <row r="204" spans="3:13" ht="33" customHeight="1">
      <c r="C204" s="38" t="s">
        <v>13</v>
      </c>
      <c r="D204" s="259">
        <v>66539.653993142856</v>
      </c>
      <c r="E204" s="255">
        <v>60294.503848525797</v>
      </c>
      <c r="F204" s="80">
        <f t="shared" si="50"/>
        <v>0</v>
      </c>
      <c r="G204" s="78">
        <f t="shared" si="52"/>
        <v>6245.1501446170587</v>
      </c>
    </row>
    <row r="205" spans="3:13" ht="21" customHeight="1">
      <c r="C205" s="148" t="s">
        <v>17</v>
      </c>
      <c r="D205" s="260">
        <v>57377.412857142859</v>
      </c>
      <c r="E205" s="255">
        <v>56969.884419294904</v>
      </c>
      <c r="F205" s="80">
        <f t="shared" si="50"/>
        <v>0</v>
      </c>
      <c r="G205" s="78">
        <f t="shared" si="52"/>
        <v>407.5284378479555</v>
      </c>
      <c r="H205" s="30"/>
      <c r="I205" s="30"/>
      <c r="J205" s="30"/>
      <c r="K205" s="30"/>
      <c r="L205" s="30"/>
      <c r="M205" s="29"/>
    </row>
    <row r="206" spans="3:13" ht="39.75" customHeight="1">
      <c r="C206" s="26" t="s">
        <v>14</v>
      </c>
      <c r="D206" s="149">
        <f>SUM(D183,D172,D161,D150,D138,D127,D116,D105,D93,D82,D71,D60,D48,D37,D26,D15,D194)</f>
        <v>75401.177144265719</v>
      </c>
      <c r="E206" s="256">
        <v>74510.122238864904</v>
      </c>
      <c r="F206" s="80">
        <f t="shared" si="50"/>
        <v>0</v>
      </c>
      <c r="G206" s="78">
        <f t="shared" si="52"/>
        <v>891.05490540081519</v>
      </c>
      <c r="H206" s="30"/>
      <c r="I206" s="30"/>
      <c r="J206" s="30"/>
      <c r="K206" s="30"/>
      <c r="L206" s="30"/>
      <c r="M206" s="29"/>
    </row>
    <row r="207" spans="3:13" ht="23.25" customHeight="1" thickBot="1">
      <c r="C207" s="26" t="s">
        <v>182</v>
      </c>
      <c r="D207" s="149">
        <f>SUM(D184,D173,D162,D151,D139,D128,D117,D106,D94,D83,D72,D61,D49,D38,D27,D16,D195)</f>
        <v>19982.391629108573</v>
      </c>
      <c r="E207" s="257">
        <v>19728.013027927798</v>
      </c>
      <c r="F207" s="83">
        <f t="shared" si="50"/>
        <v>0</v>
      </c>
      <c r="G207" s="78">
        <f t="shared" si="52"/>
        <v>254.37860118077515</v>
      </c>
      <c r="H207" s="30"/>
      <c r="I207" s="30"/>
      <c r="J207" s="30"/>
      <c r="K207" s="30"/>
      <c r="L207" s="30"/>
      <c r="M207" s="29"/>
    </row>
    <row r="208" spans="3:13" ht="22.5" customHeight="1" thickBot="1">
      <c r="C208" s="155" t="s">
        <v>557</v>
      </c>
      <c r="D208" s="156">
        <f>SUM(D201:D207)</f>
        <v>280373.83133794571</v>
      </c>
      <c r="E208" s="147">
        <v>268508.15300790803</v>
      </c>
      <c r="F208" s="81">
        <f t="shared" ref="F208" si="53">SUM(F201:F207)</f>
        <v>0</v>
      </c>
      <c r="G208" s="82">
        <f>+D208-E208</f>
        <v>11865.678330037685</v>
      </c>
      <c r="H208" s="30"/>
      <c r="I208" s="30"/>
      <c r="J208" s="30"/>
      <c r="K208" s="30"/>
      <c r="L208" s="30"/>
      <c r="M208" s="29"/>
    </row>
    <row r="209" spans="3:13" ht="22.5" customHeight="1">
      <c r="C209" s="155" t="s">
        <v>558</v>
      </c>
      <c r="D209" s="156">
        <f>D208*0.07</f>
        <v>19626.168193656202</v>
      </c>
      <c r="E209" s="144"/>
      <c r="F209" s="144"/>
      <c r="G209" s="150"/>
      <c r="H209" s="30"/>
      <c r="I209" s="30"/>
      <c r="J209" s="30"/>
      <c r="K209" s="30"/>
      <c r="L209" s="30"/>
      <c r="M209" s="29"/>
    </row>
    <row r="210" spans="3:13" ht="22.5" customHeight="1" thickBot="1">
      <c r="C210" s="151" t="s">
        <v>559</v>
      </c>
      <c r="D210" s="152">
        <f>SUM(D208:D209)</f>
        <v>299999.9995316019</v>
      </c>
      <c r="E210" s="153"/>
      <c r="F210" s="153"/>
      <c r="G210" s="154"/>
      <c r="H210" s="30"/>
      <c r="I210" s="30"/>
      <c r="J210" s="30"/>
      <c r="K210" s="30"/>
      <c r="L210" s="30"/>
      <c r="M210" s="29"/>
    </row>
    <row r="211" spans="3:13" ht="15.75" customHeight="1">
      <c r="H211" s="39"/>
      <c r="I211" s="39"/>
      <c r="J211" s="39"/>
      <c r="K211" s="39"/>
      <c r="L211" s="62"/>
      <c r="M211" s="60"/>
    </row>
    <row r="212" spans="3:13" ht="15.75" customHeight="1">
      <c r="H212" s="39"/>
      <c r="I212" s="39"/>
      <c r="J212" s="39"/>
      <c r="K212" s="39"/>
      <c r="L212" s="62"/>
      <c r="M212" s="60"/>
    </row>
    <row r="213" spans="3:13" ht="15.75" customHeight="1">
      <c r="L213" s="63"/>
    </row>
    <row r="214" spans="3:13" ht="15.75" customHeight="1">
      <c r="H214" s="45"/>
      <c r="I214" s="45"/>
      <c r="L214" s="63"/>
    </row>
    <row r="215" spans="3:13" ht="15.75" customHeight="1">
      <c r="H215" s="45"/>
      <c r="I215" s="45"/>
    </row>
    <row r="216" spans="3:13" ht="40.5" customHeight="1">
      <c r="H216" s="45"/>
      <c r="I216" s="45"/>
      <c r="L216" s="64"/>
    </row>
    <row r="217" spans="3:13" ht="24.75" customHeight="1">
      <c r="H217" s="45"/>
      <c r="I217" s="45"/>
      <c r="L217" s="64"/>
    </row>
    <row r="218" spans="3:13" ht="41.25" customHeight="1">
      <c r="H218" s="17"/>
      <c r="I218" s="45"/>
      <c r="L218" s="64"/>
    </row>
    <row r="219" spans="3:13" ht="51.75" customHeight="1">
      <c r="H219" s="17"/>
      <c r="I219" s="45"/>
      <c r="L219" s="64"/>
    </row>
    <row r="220" spans="3:13" ht="42" customHeight="1">
      <c r="H220" s="45"/>
      <c r="I220" s="45"/>
      <c r="L220" s="64"/>
    </row>
    <row r="221" spans="3:13" s="60" customFormat="1" ht="42" customHeight="1">
      <c r="C221" s="58"/>
      <c r="G221" s="58"/>
      <c r="H221" s="58"/>
      <c r="I221" s="45"/>
      <c r="J221" s="58"/>
      <c r="K221" s="58"/>
      <c r="L221" s="64"/>
      <c r="M221" s="58"/>
    </row>
    <row r="222" spans="3:13" s="60" customFormat="1" ht="42" customHeight="1">
      <c r="C222" s="58"/>
      <c r="G222" s="58"/>
      <c r="H222" s="58"/>
      <c r="I222" s="45"/>
      <c r="J222" s="58"/>
      <c r="K222" s="58"/>
      <c r="L222" s="58"/>
      <c r="M222" s="58"/>
    </row>
    <row r="223" spans="3:13" s="60" customFormat="1" ht="63.75" customHeight="1">
      <c r="C223" s="58"/>
      <c r="G223" s="58"/>
      <c r="H223" s="58"/>
      <c r="I223" s="63"/>
      <c r="J223" s="58"/>
      <c r="K223" s="58"/>
      <c r="L223" s="58"/>
      <c r="M223" s="58"/>
    </row>
    <row r="224" spans="3:13" s="60" customFormat="1" ht="42" customHeight="1">
      <c r="C224" s="58"/>
      <c r="G224" s="58"/>
      <c r="H224" s="58"/>
      <c r="I224" s="58"/>
      <c r="J224" s="58"/>
      <c r="K224" s="58"/>
      <c r="L224" s="58"/>
      <c r="M224" s="63"/>
    </row>
    <row r="225" spans="14:14" ht="23.25" customHeight="1"/>
    <row r="226" spans="14:14" ht="27.75" customHeight="1"/>
    <row r="227" spans="14:14" ht="55.5" customHeight="1"/>
    <row r="228" spans="14:14" ht="57.75" customHeight="1"/>
    <row r="229" spans="14:14" ht="21.75" customHeight="1"/>
    <row r="230" spans="14:14" ht="49.5" customHeight="1"/>
    <row r="231" spans="14:14" ht="28.5" customHeight="1"/>
    <row r="232" spans="14:14" ht="28.5" customHeight="1"/>
    <row r="233" spans="14:14" ht="28.5" customHeight="1"/>
    <row r="234" spans="14:14" ht="23.25" customHeight="1">
      <c r="N234" s="63"/>
    </row>
    <row r="235" spans="14:14" ht="43.5" customHeight="1">
      <c r="N235" s="63"/>
    </row>
    <row r="236" spans="14:14" ht="55.5" customHeight="1"/>
    <row r="237" spans="14:14" ht="42.75" customHeight="1">
      <c r="N237" s="63"/>
    </row>
    <row r="238" spans="14:14" ht="21.75" customHeight="1">
      <c r="N238" s="63"/>
    </row>
    <row r="239" spans="14:14" ht="21.75" customHeight="1">
      <c r="N239" s="63"/>
    </row>
    <row r="240" spans="14:14" ht="23.25" customHeight="1"/>
    <row r="241" ht="23.25" customHeight="1"/>
    <row r="242" ht="21.75" customHeight="1"/>
    <row r="243" ht="16.5" customHeight="1"/>
    <row r="244" ht="29.25" customHeight="1"/>
    <row r="245" ht="24.75" customHeight="1"/>
    <row r="246" ht="33" customHeight="1"/>
    <row r="248" ht="15" customHeight="1"/>
    <row r="249" ht="25.5" customHeight="1"/>
  </sheetData>
  <sheetProtection formatCells="0" formatColumns="0" formatRows="0"/>
  <mergeCells count="26">
    <mergeCell ref="C53:G53"/>
    <mergeCell ref="C98:G98"/>
    <mergeCell ref="C109:G109"/>
    <mergeCell ref="C120:G120"/>
    <mergeCell ref="C198:G198"/>
    <mergeCell ref="C131:G131"/>
    <mergeCell ref="B142:G142"/>
    <mergeCell ref="C143:G143"/>
    <mergeCell ref="C64:G64"/>
    <mergeCell ref="C75:G75"/>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xWindow="178" yWindow="592"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 allowBlank="1" showInputMessage="1" showErrorMessage="1" prompt="Output totals must match the original total from Table 1, and will show as red if not. " sqref="G17" xr:uid="{CB4E1972-F42E-40FE-9670-1760DDE11E59}"/>
  </dataValidations>
  <pageMargins left="0.2" right="0.2" top="0.28000000000000003" bottom="0.35" header="0.2" footer="0.3"/>
  <pageSetup scale="74" orientation="portrait" r:id="rId1"/>
  <rowBreaks count="1" manualBreakCount="1">
    <brk id="6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B16"/>
  <sheetViews>
    <sheetView showGridLines="0" topLeftCell="A9" workbookViewId="0">
      <selection activeCell="B2" sqref="B2:B16"/>
    </sheetView>
  </sheetViews>
  <sheetFormatPr baseColWidth="10" defaultColWidth="8.88671875" defaultRowHeight="14.4"/>
  <cols>
    <col min="2" max="2" width="73.33203125" customWidth="1"/>
  </cols>
  <sheetData>
    <row r="1" spans="2:2" ht="15" thickBot="1"/>
    <row r="2" spans="2:2" ht="15" thickBot="1">
      <c r="B2" s="10" t="s">
        <v>26</v>
      </c>
    </row>
    <row r="3" spans="2:2">
      <c r="B3" s="7"/>
    </row>
    <row r="4" spans="2:2" ht="30.75" customHeight="1">
      <c r="B4" s="8" t="s">
        <v>19</v>
      </c>
    </row>
    <row r="5" spans="2:2" ht="30.75" customHeight="1">
      <c r="B5" s="8"/>
    </row>
    <row r="6" spans="2:2" ht="43.2">
      <c r="B6" s="8" t="s">
        <v>20</v>
      </c>
    </row>
    <row r="7" spans="2:2">
      <c r="B7" s="8"/>
    </row>
    <row r="8" spans="2:2" ht="57.6">
      <c r="B8" s="8" t="s">
        <v>21</v>
      </c>
    </row>
    <row r="9" spans="2:2">
      <c r="B9" s="8"/>
    </row>
    <row r="10" spans="2:2" ht="57.6">
      <c r="B10" s="8" t="s">
        <v>22</v>
      </c>
    </row>
    <row r="11" spans="2:2">
      <c r="B11" s="8"/>
    </row>
    <row r="12" spans="2:2" ht="28.8">
      <c r="B12" s="8" t="s">
        <v>23</v>
      </c>
    </row>
    <row r="13" spans="2:2">
      <c r="B13" s="8"/>
    </row>
    <row r="14" spans="2:2" ht="57.6">
      <c r="B14" s="8" t="s">
        <v>24</v>
      </c>
    </row>
    <row r="15" spans="2:2">
      <c r="B15" s="8"/>
    </row>
    <row r="16" spans="2:2" ht="43.8" thickBot="1">
      <c r="B16" s="9" t="s">
        <v>25</v>
      </c>
    </row>
  </sheetData>
  <sheetProtection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abSelected="1" topLeftCell="A28" zoomScale="80" zoomScaleNormal="80" zoomScaleSheetLayoutView="70" workbookViewId="0"/>
  </sheetViews>
  <sheetFormatPr baseColWidth="10" defaultColWidth="8.88671875" defaultRowHeight="14.4"/>
  <cols>
    <col min="2" max="2" width="61.88671875" customWidth="1"/>
    <col min="4" max="4" width="17.88671875" customWidth="1"/>
  </cols>
  <sheetData>
    <row r="1" spans="2:4" ht="15" thickBot="1"/>
    <row r="2" spans="2:4">
      <c r="B2" s="324" t="s">
        <v>565</v>
      </c>
      <c r="C2" s="325"/>
      <c r="D2" s="326"/>
    </row>
    <row r="3" spans="2:4" ht="15" thickBot="1">
      <c r="B3" s="327"/>
      <c r="C3" s="328"/>
      <c r="D3" s="329"/>
    </row>
    <row r="4" spans="2:4" ht="15" thickBot="1"/>
    <row r="5" spans="2:4">
      <c r="B5" s="315" t="s">
        <v>186</v>
      </c>
      <c r="C5" s="316"/>
      <c r="D5" s="317"/>
    </row>
    <row r="6" spans="2:4" ht="15" thickBot="1">
      <c r="B6" s="318"/>
      <c r="C6" s="319"/>
      <c r="D6" s="320"/>
    </row>
    <row r="7" spans="2:4">
      <c r="B7" s="90" t="s">
        <v>196</v>
      </c>
      <c r="C7" s="313">
        <f>SUM('1) Budget Tables'!D16:F16,'1) Budget Tables'!D26:F26,'1) Budget Tables'!D36:F36,'1) Budget Tables'!D46:F46)</f>
        <v>61726.086969497148</v>
      </c>
      <c r="D7" s="314"/>
    </row>
    <row r="8" spans="2:4">
      <c r="B8" s="90" t="s">
        <v>543</v>
      </c>
      <c r="C8" s="311">
        <f>SUM(D10:D14)</f>
        <v>0</v>
      </c>
      <c r="D8" s="312"/>
    </row>
    <row r="9" spans="2:4">
      <c r="B9" s="91" t="s">
        <v>537</v>
      </c>
      <c r="C9" s="92" t="s">
        <v>538</v>
      </c>
      <c r="D9" s="93" t="s">
        <v>539</v>
      </c>
    </row>
    <row r="10" spans="2:4" ht="35.1" customHeight="1">
      <c r="B10" s="116"/>
      <c r="C10" s="95"/>
      <c r="D10" s="96">
        <f>$C$7*C10</f>
        <v>0</v>
      </c>
    </row>
    <row r="11" spans="2:4" ht="35.1" customHeight="1">
      <c r="B11" s="116"/>
      <c r="C11" s="95"/>
      <c r="D11" s="96">
        <f>C7*C11</f>
        <v>0</v>
      </c>
    </row>
    <row r="12" spans="2:4" ht="35.1" customHeight="1">
      <c r="B12" s="117"/>
      <c r="C12" s="95"/>
      <c r="D12" s="96">
        <f>C7*C12</f>
        <v>0</v>
      </c>
    </row>
    <row r="13" spans="2:4" ht="35.1" customHeight="1">
      <c r="B13" s="117"/>
      <c r="C13" s="95"/>
      <c r="D13" s="96">
        <f>C7*C13</f>
        <v>0</v>
      </c>
    </row>
    <row r="14" spans="2:4" ht="35.1" customHeight="1" thickBot="1">
      <c r="B14" s="118"/>
      <c r="C14" s="100"/>
      <c r="D14" s="101">
        <f>C7*C14</f>
        <v>0</v>
      </c>
    </row>
    <row r="15" spans="2:4" ht="15" thickBot="1"/>
    <row r="16" spans="2:4">
      <c r="B16" s="315" t="s">
        <v>540</v>
      </c>
      <c r="C16" s="316"/>
      <c r="D16" s="317"/>
    </row>
    <row r="17" spans="2:4" ht="15" thickBot="1">
      <c r="B17" s="321"/>
      <c r="C17" s="322"/>
      <c r="D17" s="323"/>
    </row>
    <row r="18" spans="2:4">
      <c r="B18" s="90" t="s">
        <v>196</v>
      </c>
      <c r="C18" s="313">
        <f>SUM('1) Budget Tables'!D58:F58,'1) Budget Tables'!D68:F68,'1) Budget Tables'!D78:F78,'1) Budget Tables'!D88:F88)</f>
        <v>82004.572964048682</v>
      </c>
      <c r="D18" s="314"/>
    </row>
    <row r="19" spans="2:4">
      <c r="B19" s="90" t="s">
        <v>543</v>
      </c>
      <c r="C19" s="311">
        <f>SUM(D21:D25)</f>
        <v>0</v>
      </c>
      <c r="D19" s="312"/>
    </row>
    <row r="20" spans="2:4">
      <c r="B20" s="91" t="s">
        <v>537</v>
      </c>
      <c r="C20" s="92" t="s">
        <v>538</v>
      </c>
      <c r="D20" s="93" t="s">
        <v>539</v>
      </c>
    </row>
    <row r="21" spans="2:4" ht="35.1" customHeight="1">
      <c r="B21" s="94"/>
      <c r="C21" s="95"/>
      <c r="D21" s="96">
        <f>$C$18*C21</f>
        <v>0</v>
      </c>
    </row>
    <row r="22" spans="2:4" ht="35.1" customHeight="1">
      <c r="B22" s="97"/>
      <c r="C22" s="95"/>
      <c r="D22" s="96">
        <f t="shared" ref="D22:D25" si="0">$C$18*C22</f>
        <v>0</v>
      </c>
    </row>
    <row r="23" spans="2:4" ht="35.1" customHeight="1">
      <c r="B23" s="98"/>
      <c r="C23" s="95"/>
      <c r="D23" s="96">
        <f t="shared" si="0"/>
        <v>0</v>
      </c>
    </row>
    <row r="24" spans="2:4" ht="35.1" customHeight="1">
      <c r="B24" s="98"/>
      <c r="C24" s="95"/>
      <c r="D24" s="96">
        <f t="shared" si="0"/>
        <v>0</v>
      </c>
    </row>
    <row r="25" spans="2:4" ht="35.1" customHeight="1" thickBot="1">
      <c r="B25" s="99"/>
      <c r="C25" s="100"/>
      <c r="D25" s="96">
        <f t="shared" si="0"/>
        <v>0</v>
      </c>
    </row>
    <row r="26" spans="2:4" ht="15" thickBot="1"/>
    <row r="27" spans="2:4">
      <c r="B27" s="315" t="s">
        <v>541</v>
      </c>
      <c r="C27" s="316"/>
      <c r="D27" s="317"/>
    </row>
    <row r="28" spans="2:4" ht="15" thickBot="1">
      <c r="B28" s="318"/>
      <c r="C28" s="319"/>
      <c r="D28" s="320"/>
    </row>
    <row r="29" spans="2:4">
      <c r="B29" s="90" t="s">
        <v>196</v>
      </c>
      <c r="C29" s="313">
        <f>SUM('1) Budget Tables'!D100:F100,'1) Budget Tables'!D110:F110,'1) Budget Tables'!D120:F120,'1) Budget Tables'!D130:F130)</f>
        <v>102808.29711868572</v>
      </c>
      <c r="D29" s="314"/>
    </row>
    <row r="30" spans="2:4">
      <c r="B30" s="90" t="s">
        <v>543</v>
      </c>
      <c r="C30" s="311">
        <f>SUM(D32:D36)</f>
        <v>0</v>
      </c>
      <c r="D30" s="312"/>
    </row>
    <row r="31" spans="2:4">
      <c r="B31" s="91" t="s">
        <v>537</v>
      </c>
      <c r="C31" s="92" t="s">
        <v>538</v>
      </c>
      <c r="D31" s="93" t="s">
        <v>539</v>
      </c>
    </row>
    <row r="32" spans="2:4" ht="35.1" customHeight="1">
      <c r="B32" s="94"/>
      <c r="C32" s="95"/>
      <c r="D32" s="96">
        <f>$C$29*C32</f>
        <v>0</v>
      </c>
    </row>
    <row r="33" spans="2:4" ht="35.1" customHeight="1">
      <c r="B33" s="97"/>
      <c r="C33" s="95"/>
      <c r="D33" s="96">
        <f t="shared" ref="D33:D36" si="1">$C$29*C33</f>
        <v>0</v>
      </c>
    </row>
    <row r="34" spans="2:4" ht="35.1" customHeight="1">
      <c r="B34" s="98"/>
      <c r="C34" s="95"/>
      <c r="D34" s="96">
        <f t="shared" si="1"/>
        <v>0</v>
      </c>
    </row>
    <row r="35" spans="2:4" ht="35.1" customHeight="1">
      <c r="B35" s="98"/>
      <c r="C35" s="95"/>
      <c r="D35" s="96">
        <f t="shared" si="1"/>
        <v>0</v>
      </c>
    </row>
    <row r="36" spans="2:4" ht="35.1" customHeight="1" thickBot="1">
      <c r="B36" s="99"/>
      <c r="C36" s="100"/>
      <c r="D36" s="96">
        <f t="shared" si="1"/>
        <v>0</v>
      </c>
    </row>
    <row r="37" spans="2:4" ht="15" thickBot="1"/>
    <row r="38" spans="2:4">
      <c r="B38" s="315" t="s">
        <v>542</v>
      </c>
      <c r="C38" s="316"/>
      <c r="D38" s="317"/>
    </row>
    <row r="39" spans="2:4" ht="15" thickBot="1">
      <c r="B39" s="318"/>
      <c r="C39" s="319"/>
      <c r="D39" s="320"/>
    </row>
    <row r="40" spans="2:4">
      <c r="B40" s="90" t="s">
        <v>196</v>
      </c>
      <c r="C40" s="313">
        <f>SUM('1) Budget Tables'!D142:F142,'1) Budget Tables'!D152:F152,'1) Budget Tables'!D162:F162,'1) Budget Tables'!D172:F172)</f>
        <v>0</v>
      </c>
      <c r="D40" s="314"/>
    </row>
    <row r="41" spans="2:4">
      <c r="B41" s="90" t="s">
        <v>543</v>
      </c>
      <c r="C41" s="311">
        <f>SUM(D43:D47)</f>
        <v>0</v>
      </c>
      <c r="D41" s="312"/>
    </row>
    <row r="42" spans="2:4">
      <c r="B42" s="91" t="s">
        <v>537</v>
      </c>
      <c r="C42" s="92" t="s">
        <v>538</v>
      </c>
      <c r="D42" s="93" t="s">
        <v>539</v>
      </c>
    </row>
    <row r="43" spans="2:4" ht="35.1" customHeight="1">
      <c r="B43" s="94"/>
      <c r="C43" s="95"/>
      <c r="D43" s="96">
        <f>$C$40*C43</f>
        <v>0</v>
      </c>
    </row>
    <row r="44" spans="2:4" ht="35.1" customHeight="1">
      <c r="B44" s="97"/>
      <c r="C44" s="95"/>
      <c r="D44" s="96">
        <f t="shared" ref="D44:D47" si="2">$C$40*C44</f>
        <v>0</v>
      </c>
    </row>
    <row r="45" spans="2:4" ht="35.1" customHeight="1">
      <c r="B45" s="98"/>
      <c r="C45" s="95"/>
      <c r="D45" s="96">
        <f t="shared" si="2"/>
        <v>0</v>
      </c>
    </row>
    <row r="46" spans="2:4" ht="35.1" customHeight="1">
      <c r="B46" s="98"/>
      <c r="C46" s="95"/>
      <c r="D46" s="96">
        <f t="shared" si="2"/>
        <v>0</v>
      </c>
    </row>
    <row r="47" spans="2:4" ht="35.1" customHeight="1" thickBot="1">
      <c r="B47" s="99"/>
      <c r="C47" s="100"/>
      <c r="D47" s="101">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topLeftCell="A10" zoomScale="80" zoomScaleNormal="80" workbookViewId="0">
      <selection activeCell="C11" sqref="C11"/>
    </sheetView>
  </sheetViews>
  <sheetFormatPr baseColWidth="10" defaultColWidth="8.88671875" defaultRowHeight="14.4"/>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row r="2" spans="2:6" s="84" customFormat="1" ht="15.6">
      <c r="B2" s="330" t="s">
        <v>63</v>
      </c>
      <c r="C2" s="331"/>
      <c r="D2" s="331"/>
      <c r="E2" s="331"/>
      <c r="F2" s="332"/>
    </row>
    <row r="3" spans="2:6" s="84" customFormat="1" ht="16.2" thickBot="1">
      <c r="B3" s="333"/>
      <c r="C3" s="334"/>
      <c r="D3" s="334"/>
      <c r="E3" s="334"/>
      <c r="F3" s="335"/>
    </row>
    <row r="4" spans="2:6" s="84" customFormat="1" ht="16.2" thickBot="1"/>
    <row r="5" spans="2:6" s="84" customFormat="1" ht="16.2" thickBot="1">
      <c r="B5" s="308" t="s">
        <v>18</v>
      </c>
      <c r="C5" s="310"/>
      <c r="D5" s="157"/>
      <c r="E5" s="157"/>
    </row>
    <row r="6" spans="2:6" s="84" customFormat="1" ht="15.6">
      <c r="B6" s="79"/>
      <c r="C6" s="336" t="str">
        <f>'1) Budget Tables'!D5</f>
        <v>Recipient Organization</v>
      </c>
      <c r="D6" s="158" t="s">
        <v>178</v>
      </c>
      <c r="E6" s="65" t="s">
        <v>179</v>
      </c>
    </row>
    <row r="7" spans="2:6" s="84" customFormat="1" ht="15.6">
      <c r="B7" s="79"/>
      <c r="C7" s="290"/>
      <c r="D7" s="159"/>
      <c r="E7" s="59"/>
    </row>
    <row r="8" spans="2:6" s="84" customFormat="1" ht="31.2">
      <c r="B8" s="26" t="s">
        <v>10</v>
      </c>
      <c r="C8" s="160">
        <f>'2) By Category'!D201</f>
        <v>59958.91</v>
      </c>
      <c r="D8" s="145">
        <f>'2) By Category'!E201</f>
        <v>55918.48</v>
      </c>
      <c r="E8" s="80">
        <f>'2) By Category'!F201</f>
        <v>0</v>
      </c>
    </row>
    <row r="9" spans="2:6" s="84" customFormat="1" ht="46.8">
      <c r="B9" s="26" t="s">
        <v>11</v>
      </c>
      <c r="C9" s="160">
        <f>'2) By Category'!D202</f>
        <v>257.14285714285717</v>
      </c>
      <c r="D9" s="145">
        <f>'2) By Category'!E202</f>
        <v>246.289308176101</v>
      </c>
      <c r="E9" s="80">
        <f>'2) By Category'!F202</f>
        <v>0</v>
      </c>
    </row>
    <row r="10" spans="2:6" s="84" customFormat="1" ht="62.4">
      <c r="B10" s="26" t="s">
        <v>12</v>
      </c>
      <c r="C10" s="160">
        <f>'2) By Category'!D203</f>
        <v>857.14285714285711</v>
      </c>
      <c r="D10" s="145">
        <f>'2) By Category'!E203</f>
        <v>840.86016511867899</v>
      </c>
      <c r="E10" s="80">
        <f>'2) By Category'!F203</f>
        <v>0</v>
      </c>
    </row>
    <row r="11" spans="2:6" s="84" customFormat="1" ht="31.2">
      <c r="B11" s="38" t="s">
        <v>13</v>
      </c>
      <c r="C11" s="160">
        <f>'2) By Category'!D204</f>
        <v>66539.653993142856</v>
      </c>
      <c r="D11" s="145">
        <f>'2) By Category'!E204</f>
        <v>60294.503848525797</v>
      </c>
      <c r="E11" s="80">
        <f>'2) By Category'!F204</f>
        <v>0</v>
      </c>
    </row>
    <row r="12" spans="2:6" s="84" customFormat="1" ht="15.6">
      <c r="B12" s="26" t="s">
        <v>17</v>
      </c>
      <c r="C12" s="160">
        <f>'2) By Category'!D205</f>
        <v>57377.412857142859</v>
      </c>
      <c r="D12" s="145">
        <f>'2) By Category'!E205</f>
        <v>56969.884419294904</v>
      </c>
      <c r="E12" s="80">
        <f>'2) By Category'!F205</f>
        <v>0</v>
      </c>
    </row>
    <row r="13" spans="2:6" s="84" customFormat="1" ht="46.8">
      <c r="B13" s="26" t="s">
        <v>14</v>
      </c>
      <c r="C13" s="160">
        <f>'2) By Category'!D206</f>
        <v>75401.177144265719</v>
      </c>
      <c r="D13" s="145">
        <f>'2) By Category'!E206</f>
        <v>74510.122238864904</v>
      </c>
      <c r="E13" s="80">
        <f>'2) By Category'!F206</f>
        <v>0</v>
      </c>
    </row>
    <row r="14" spans="2:6" s="84" customFormat="1" ht="47.4" thickBot="1">
      <c r="B14" s="37" t="s">
        <v>182</v>
      </c>
      <c r="C14" s="161">
        <f>'2) By Category'!D207</f>
        <v>19982.391629108573</v>
      </c>
      <c r="D14" s="146">
        <f>'2) By Category'!E207</f>
        <v>19728.013027927798</v>
      </c>
      <c r="E14" s="83">
        <f>'2) By Category'!F207</f>
        <v>0</v>
      </c>
    </row>
    <row r="15" spans="2:6" s="84" customFormat="1" ht="30" customHeight="1" thickBot="1">
      <c r="B15" s="165" t="s">
        <v>566</v>
      </c>
      <c r="C15" s="166">
        <f>SUM(C8:C14)</f>
        <v>280373.83133794571</v>
      </c>
      <c r="D15" s="147">
        <f t="shared" ref="D15:E15" si="0">SUM(D8:D14)</f>
        <v>268508.15300790814</v>
      </c>
      <c r="E15" s="81">
        <f t="shared" si="0"/>
        <v>0</v>
      </c>
    </row>
    <row r="16" spans="2:6" s="84" customFormat="1" ht="30" customHeight="1">
      <c r="B16" s="155" t="s">
        <v>558</v>
      </c>
      <c r="C16" s="167">
        <f>C15*0.07</f>
        <v>19626.168193656202</v>
      </c>
      <c r="D16" s="144"/>
      <c r="E16" s="144"/>
    </row>
    <row r="17" spans="2:6" s="84" customFormat="1" ht="30" customHeight="1" thickBot="1">
      <c r="B17" s="151" t="s">
        <v>62</v>
      </c>
      <c r="C17" s="164">
        <f>SUM(C15:C16)</f>
        <v>299999.9995316019</v>
      </c>
      <c r="D17" s="144"/>
      <c r="E17" s="144"/>
    </row>
    <row r="18" spans="2:6" s="84" customFormat="1" ht="16.2" thickBot="1"/>
    <row r="19" spans="2:6" s="84" customFormat="1" ht="15.6">
      <c r="B19" s="294" t="s">
        <v>27</v>
      </c>
      <c r="C19" s="295"/>
      <c r="D19" s="295"/>
      <c r="E19" s="295"/>
      <c r="F19" s="297"/>
    </row>
    <row r="20" spans="2:6" ht="15.6">
      <c r="B20" s="34"/>
      <c r="C20" s="287" t="str">
        <f>'1) Budget Tables'!D5</f>
        <v>Recipient Organization</v>
      </c>
      <c r="D20" s="32" t="s">
        <v>180</v>
      </c>
      <c r="E20" s="32" t="s">
        <v>181</v>
      </c>
      <c r="F20" s="35" t="s">
        <v>29</v>
      </c>
    </row>
    <row r="21" spans="2:6" ht="15.6">
      <c r="B21" s="34"/>
      <c r="C21" s="288"/>
      <c r="D21" s="32"/>
      <c r="E21" s="32"/>
      <c r="F21" s="35"/>
    </row>
    <row r="22" spans="2:6" ht="23.25" customHeight="1">
      <c r="B22" s="33" t="s">
        <v>28</v>
      </c>
      <c r="C22" s="184">
        <f>'1) Budget Tables'!D199</f>
        <v>99999.998843867361</v>
      </c>
      <c r="D22" s="31">
        <f>'1) Budget Tables'!E199</f>
        <v>0</v>
      </c>
      <c r="E22" s="31">
        <f>'1) Budget Tables'!F199</f>
        <v>0</v>
      </c>
      <c r="F22" s="12">
        <f>'1) Budget Tables'!H199</f>
        <v>0.33333332999999998</v>
      </c>
    </row>
    <row r="23" spans="2:6" ht="24.75" customHeight="1">
      <c r="B23" s="33" t="s">
        <v>30</v>
      </c>
      <c r="C23" s="184">
        <f>'1) Budget Tables'!D200</f>
        <v>99999.998843867361</v>
      </c>
      <c r="D23" s="31">
        <f>'1) Budget Tables'!E200</f>
        <v>0</v>
      </c>
      <c r="E23" s="31">
        <f>'1) Budget Tables'!F200</f>
        <v>0</v>
      </c>
      <c r="F23" s="12">
        <f>'1) Budget Tables'!H200</f>
        <v>0.33333332999999998</v>
      </c>
    </row>
    <row r="24" spans="2:6" ht="24.75" customHeight="1">
      <c r="B24" s="33" t="s">
        <v>556</v>
      </c>
      <c r="C24" s="184">
        <f>'1) Budget Tables'!D201</f>
        <v>99999.998843867361</v>
      </c>
      <c r="D24" s="31"/>
      <c r="E24" s="31"/>
      <c r="F24" s="12">
        <f>'1) Budget Tables'!H201</f>
        <v>0.33333332999999998</v>
      </c>
    </row>
    <row r="25" spans="2:6" ht="16.2" thickBot="1">
      <c r="B25" s="13" t="s">
        <v>559</v>
      </c>
      <c r="C25" s="181">
        <f>'1) Budget Tables'!D202</f>
        <v>299999.99653160211</v>
      </c>
      <c r="D25" s="182"/>
      <c r="E25" s="182"/>
      <c r="F25" s="183"/>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sheetData>
    <row r="1" spans="1:2">
      <c r="A1" s="85" t="s">
        <v>197</v>
      </c>
      <c r="B1" s="86" t="s">
        <v>198</v>
      </c>
    </row>
    <row r="2" spans="1:2">
      <c r="A2" s="87" t="s">
        <v>199</v>
      </c>
      <c r="B2" s="88" t="s">
        <v>200</v>
      </c>
    </row>
    <row r="3" spans="1:2">
      <c r="A3" s="87" t="s">
        <v>201</v>
      </c>
      <c r="B3" s="88" t="s">
        <v>202</v>
      </c>
    </row>
    <row r="4" spans="1:2">
      <c r="A4" s="87" t="s">
        <v>203</v>
      </c>
      <c r="B4" s="88" t="s">
        <v>204</v>
      </c>
    </row>
    <row r="5" spans="1:2">
      <c r="A5" s="87" t="s">
        <v>205</v>
      </c>
      <c r="B5" s="88" t="s">
        <v>206</v>
      </c>
    </row>
    <row r="6" spans="1:2">
      <c r="A6" s="87" t="s">
        <v>207</v>
      </c>
      <c r="B6" s="88" t="s">
        <v>208</v>
      </c>
    </row>
    <row r="7" spans="1:2">
      <c r="A7" s="87" t="s">
        <v>209</v>
      </c>
      <c r="B7" s="88" t="s">
        <v>210</v>
      </c>
    </row>
    <row r="8" spans="1:2">
      <c r="A8" s="87" t="s">
        <v>211</v>
      </c>
      <c r="B8" s="88" t="s">
        <v>212</v>
      </c>
    </row>
    <row r="9" spans="1:2">
      <c r="A9" s="87" t="s">
        <v>213</v>
      </c>
      <c r="B9" s="88" t="s">
        <v>214</v>
      </c>
    </row>
    <row r="10" spans="1:2">
      <c r="A10" s="87" t="s">
        <v>215</v>
      </c>
      <c r="B10" s="88" t="s">
        <v>216</v>
      </c>
    </row>
    <row r="11" spans="1:2">
      <c r="A11" s="87" t="s">
        <v>217</v>
      </c>
      <c r="B11" s="88" t="s">
        <v>218</v>
      </c>
    </row>
    <row r="12" spans="1:2">
      <c r="A12" s="87" t="s">
        <v>219</v>
      </c>
      <c r="B12" s="88" t="s">
        <v>220</v>
      </c>
    </row>
    <row r="13" spans="1:2">
      <c r="A13" s="87" t="s">
        <v>221</v>
      </c>
      <c r="B13" s="88" t="s">
        <v>222</v>
      </c>
    </row>
    <row r="14" spans="1:2">
      <c r="A14" s="87" t="s">
        <v>223</v>
      </c>
      <c r="B14" s="88" t="s">
        <v>224</v>
      </c>
    </row>
    <row r="15" spans="1:2">
      <c r="A15" s="87" t="s">
        <v>225</v>
      </c>
      <c r="B15" s="88" t="s">
        <v>226</v>
      </c>
    </row>
    <row r="16" spans="1:2">
      <c r="A16" s="87" t="s">
        <v>227</v>
      </c>
      <c r="B16" s="88" t="s">
        <v>228</v>
      </c>
    </row>
    <row r="17" spans="1:2">
      <c r="A17" s="87" t="s">
        <v>229</v>
      </c>
      <c r="B17" s="88" t="s">
        <v>230</v>
      </c>
    </row>
    <row r="18" spans="1:2">
      <c r="A18" s="87" t="s">
        <v>231</v>
      </c>
      <c r="B18" s="88" t="s">
        <v>232</v>
      </c>
    </row>
    <row r="19" spans="1:2">
      <c r="A19" s="87" t="s">
        <v>233</v>
      </c>
      <c r="B19" s="88" t="s">
        <v>234</v>
      </c>
    </row>
    <row r="20" spans="1:2">
      <c r="A20" s="87" t="s">
        <v>235</v>
      </c>
      <c r="B20" s="88" t="s">
        <v>236</v>
      </c>
    </row>
    <row r="21" spans="1:2">
      <c r="A21" s="87" t="s">
        <v>237</v>
      </c>
      <c r="B21" s="88" t="s">
        <v>238</v>
      </c>
    </row>
    <row r="22" spans="1:2">
      <c r="A22" s="87" t="s">
        <v>239</v>
      </c>
      <c r="B22" s="88" t="s">
        <v>240</v>
      </c>
    </row>
    <row r="23" spans="1:2">
      <c r="A23" s="87" t="s">
        <v>241</v>
      </c>
      <c r="B23" s="88" t="s">
        <v>242</v>
      </c>
    </row>
    <row r="24" spans="1:2">
      <c r="A24" s="87" t="s">
        <v>243</v>
      </c>
      <c r="B24" s="88" t="s">
        <v>244</v>
      </c>
    </row>
    <row r="25" spans="1:2">
      <c r="A25" s="87" t="s">
        <v>245</v>
      </c>
      <c r="B25" s="88" t="s">
        <v>246</v>
      </c>
    </row>
    <row r="26" spans="1:2">
      <c r="A26" s="87" t="s">
        <v>247</v>
      </c>
      <c r="B26" s="88" t="s">
        <v>248</v>
      </c>
    </row>
    <row r="27" spans="1:2">
      <c r="A27" s="87" t="s">
        <v>249</v>
      </c>
      <c r="B27" s="88" t="s">
        <v>250</v>
      </c>
    </row>
    <row r="28" spans="1:2">
      <c r="A28" s="87" t="s">
        <v>251</v>
      </c>
      <c r="B28" s="88" t="s">
        <v>252</v>
      </c>
    </row>
    <row r="29" spans="1:2">
      <c r="A29" s="87" t="s">
        <v>253</v>
      </c>
      <c r="B29" s="88" t="s">
        <v>254</v>
      </c>
    </row>
    <row r="30" spans="1:2">
      <c r="A30" s="87" t="s">
        <v>255</v>
      </c>
      <c r="B30" s="88" t="s">
        <v>256</v>
      </c>
    </row>
    <row r="31" spans="1:2">
      <c r="A31" s="87" t="s">
        <v>257</v>
      </c>
      <c r="B31" s="88" t="s">
        <v>258</v>
      </c>
    </row>
    <row r="32" spans="1:2">
      <c r="A32" s="87" t="s">
        <v>259</v>
      </c>
      <c r="B32" s="88" t="s">
        <v>260</v>
      </c>
    </row>
    <row r="33" spans="1:2">
      <c r="A33" s="87" t="s">
        <v>261</v>
      </c>
      <c r="B33" s="88" t="s">
        <v>262</v>
      </c>
    </row>
    <row r="34" spans="1:2">
      <c r="A34" s="87" t="s">
        <v>263</v>
      </c>
      <c r="B34" s="88" t="s">
        <v>264</v>
      </c>
    </row>
    <row r="35" spans="1:2">
      <c r="A35" s="87" t="s">
        <v>265</v>
      </c>
      <c r="B35" s="88" t="s">
        <v>266</v>
      </c>
    </row>
    <row r="36" spans="1:2">
      <c r="A36" s="87" t="s">
        <v>267</v>
      </c>
      <c r="B36" s="88" t="s">
        <v>268</v>
      </c>
    </row>
    <row r="37" spans="1:2">
      <c r="A37" s="87" t="s">
        <v>269</v>
      </c>
      <c r="B37" s="88" t="s">
        <v>270</v>
      </c>
    </row>
    <row r="38" spans="1:2">
      <c r="A38" s="87" t="s">
        <v>271</v>
      </c>
      <c r="B38" s="88" t="s">
        <v>272</v>
      </c>
    </row>
    <row r="39" spans="1:2">
      <c r="A39" s="87" t="s">
        <v>273</v>
      </c>
      <c r="B39" s="88" t="s">
        <v>274</v>
      </c>
    </row>
    <row r="40" spans="1:2">
      <c r="A40" s="87" t="s">
        <v>275</v>
      </c>
      <c r="B40" s="88" t="s">
        <v>276</v>
      </c>
    </row>
    <row r="41" spans="1:2">
      <c r="A41" s="87" t="s">
        <v>277</v>
      </c>
      <c r="B41" s="88" t="s">
        <v>278</v>
      </c>
    </row>
    <row r="42" spans="1:2">
      <c r="A42" s="87" t="s">
        <v>279</v>
      </c>
      <c r="B42" s="88" t="s">
        <v>280</v>
      </c>
    </row>
    <row r="43" spans="1:2">
      <c r="A43" s="87" t="s">
        <v>281</v>
      </c>
      <c r="B43" s="88" t="s">
        <v>282</v>
      </c>
    </row>
    <row r="44" spans="1:2">
      <c r="A44" s="87" t="s">
        <v>283</v>
      </c>
      <c r="B44" s="88" t="s">
        <v>284</v>
      </c>
    </row>
    <row r="45" spans="1:2">
      <c r="A45" s="87" t="s">
        <v>285</v>
      </c>
      <c r="B45" s="88" t="s">
        <v>286</v>
      </c>
    </row>
    <row r="46" spans="1:2">
      <c r="A46" s="87" t="s">
        <v>287</v>
      </c>
      <c r="B46" s="88" t="s">
        <v>288</v>
      </c>
    </row>
    <row r="47" spans="1:2">
      <c r="A47" s="87" t="s">
        <v>289</v>
      </c>
      <c r="B47" s="88" t="s">
        <v>290</v>
      </c>
    </row>
    <row r="48" spans="1:2">
      <c r="A48" s="87" t="s">
        <v>291</v>
      </c>
      <c r="B48" s="88" t="s">
        <v>292</v>
      </c>
    </row>
    <row r="49" spans="1:2">
      <c r="A49" s="87" t="s">
        <v>293</v>
      </c>
      <c r="B49" s="88" t="s">
        <v>294</v>
      </c>
    </row>
    <row r="50" spans="1:2">
      <c r="A50" s="87" t="s">
        <v>295</v>
      </c>
      <c r="B50" s="88" t="s">
        <v>296</v>
      </c>
    </row>
    <row r="51" spans="1:2">
      <c r="A51" s="87" t="s">
        <v>297</v>
      </c>
      <c r="B51" s="88" t="s">
        <v>298</v>
      </c>
    </row>
    <row r="52" spans="1:2">
      <c r="A52" s="87" t="s">
        <v>299</v>
      </c>
      <c r="B52" s="88" t="s">
        <v>300</v>
      </c>
    </row>
    <row r="53" spans="1:2">
      <c r="A53" s="87" t="s">
        <v>301</v>
      </c>
      <c r="B53" s="88" t="s">
        <v>302</v>
      </c>
    </row>
    <row r="54" spans="1:2">
      <c r="A54" s="87" t="s">
        <v>303</v>
      </c>
      <c r="B54" s="88" t="s">
        <v>304</v>
      </c>
    </row>
    <row r="55" spans="1:2">
      <c r="A55" s="87" t="s">
        <v>305</v>
      </c>
      <c r="B55" s="88" t="s">
        <v>306</v>
      </c>
    </row>
    <row r="56" spans="1:2">
      <c r="A56" s="87" t="s">
        <v>307</v>
      </c>
      <c r="B56" s="88" t="s">
        <v>308</v>
      </c>
    </row>
    <row r="57" spans="1:2">
      <c r="A57" s="87" t="s">
        <v>309</v>
      </c>
      <c r="B57" s="88" t="s">
        <v>310</v>
      </c>
    </row>
    <row r="58" spans="1:2">
      <c r="A58" s="87" t="s">
        <v>311</v>
      </c>
      <c r="B58" s="88" t="s">
        <v>312</v>
      </c>
    </row>
    <row r="59" spans="1:2">
      <c r="A59" s="87" t="s">
        <v>313</v>
      </c>
      <c r="B59" s="88" t="s">
        <v>314</v>
      </c>
    </row>
    <row r="60" spans="1:2">
      <c r="A60" s="87" t="s">
        <v>315</v>
      </c>
      <c r="B60" s="88" t="s">
        <v>316</v>
      </c>
    </row>
    <row r="61" spans="1:2">
      <c r="A61" s="87" t="s">
        <v>317</v>
      </c>
      <c r="B61" s="88" t="s">
        <v>318</v>
      </c>
    </row>
    <row r="62" spans="1:2">
      <c r="A62" s="87" t="s">
        <v>319</v>
      </c>
      <c r="B62" s="88" t="s">
        <v>320</v>
      </c>
    </row>
    <row r="63" spans="1:2">
      <c r="A63" s="87" t="s">
        <v>321</v>
      </c>
      <c r="B63" s="88" t="s">
        <v>322</v>
      </c>
    </row>
    <row r="64" spans="1:2">
      <c r="A64" s="87" t="s">
        <v>323</v>
      </c>
      <c r="B64" s="88" t="s">
        <v>324</v>
      </c>
    </row>
    <row r="65" spans="1:2">
      <c r="A65" s="87" t="s">
        <v>325</v>
      </c>
      <c r="B65" s="88" t="s">
        <v>326</v>
      </c>
    </row>
    <row r="66" spans="1:2">
      <c r="A66" s="87" t="s">
        <v>327</v>
      </c>
      <c r="B66" s="88" t="s">
        <v>328</v>
      </c>
    </row>
    <row r="67" spans="1:2">
      <c r="A67" s="87" t="s">
        <v>329</v>
      </c>
      <c r="B67" s="88" t="s">
        <v>330</v>
      </c>
    </row>
    <row r="68" spans="1:2">
      <c r="A68" s="87" t="s">
        <v>331</v>
      </c>
      <c r="B68" s="88" t="s">
        <v>332</v>
      </c>
    </row>
    <row r="69" spans="1:2">
      <c r="A69" s="87" t="s">
        <v>333</v>
      </c>
      <c r="B69" s="88" t="s">
        <v>334</v>
      </c>
    </row>
    <row r="70" spans="1:2">
      <c r="A70" s="87" t="s">
        <v>335</v>
      </c>
      <c r="B70" s="88" t="s">
        <v>336</v>
      </c>
    </row>
    <row r="71" spans="1:2">
      <c r="A71" s="87" t="s">
        <v>337</v>
      </c>
      <c r="B71" s="88" t="s">
        <v>338</v>
      </c>
    </row>
    <row r="72" spans="1:2">
      <c r="A72" s="87" t="s">
        <v>339</v>
      </c>
      <c r="B72" s="88" t="s">
        <v>340</v>
      </c>
    </row>
    <row r="73" spans="1:2">
      <c r="A73" s="87" t="s">
        <v>341</v>
      </c>
      <c r="B73" s="88" t="s">
        <v>342</v>
      </c>
    </row>
    <row r="74" spans="1:2">
      <c r="A74" s="87" t="s">
        <v>343</v>
      </c>
      <c r="B74" s="88" t="s">
        <v>344</v>
      </c>
    </row>
    <row r="75" spans="1:2">
      <c r="A75" s="87" t="s">
        <v>345</v>
      </c>
      <c r="B75" s="89" t="s">
        <v>346</v>
      </c>
    </row>
    <row r="76" spans="1:2">
      <c r="A76" s="87" t="s">
        <v>347</v>
      </c>
      <c r="B76" s="89" t="s">
        <v>348</v>
      </c>
    </row>
    <row r="77" spans="1:2">
      <c r="A77" s="87" t="s">
        <v>349</v>
      </c>
      <c r="B77" s="89" t="s">
        <v>350</v>
      </c>
    </row>
    <row r="78" spans="1:2">
      <c r="A78" s="87" t="s">
        <v>351</v>
      </c>
      <c r="B78" s="89" t="s">
        <v>352</v>
      </c>
    </row>
    <row r="79" spans="1:2">
      <c r="A79" s="87" t="s">
        <v>353</v>
      </c>
      <c r="B79" s="89" t="s">
        <v>354</v>
      </c>
    </row>
    <row r="80" spans="1:2">
      <c r="A80" s="87" t="s">
        <v>355</v>
      </c>
      <c r="B80" s="89" t="s">
        <v>356</v>
      </c>
    </row>
    <row r="81" spans="1:2">
      <c r="A81" s="87" t="s">
        <v>357</v>
      </c>
      <c r="B81" s="89" t="s">
        <v>358</v>
      </c>
    </row>
    <row r="82" spans="1:2">
      <c r="A82" s="87" t="s">
        <v>359</v>
      </c>
      <c r="B82" s="89" t="s">
        <v>360</v>
      </c>
    </row>
    <row r="83" spans="1:2">
      <c r="A83" s="87" t="s">
        <v>361</v>
      </c>
      <c r="B83" s="89" t="s">
        <v>362</v>
      </c>
    </row>
    <row r="84" spans="1:2">
      <c r="A84" s="87" t="s">
        <v>363</v>
      </c>
      <c r="B84" s="89" t="s">
        <v>364</v>
      </c>
    </row>
    <row r="85" spans="1:2">
      <c r="A85" s="87" t="s">
        <v>365</v>
      </c>
      <c r="B85" s="89" t="s">
        <v>366</v>
      </c>
    </row>
    <row r="86" spans="1:2">
      <c r="A86" s="87" t="s">
        <v>367</v>
      </c>
      <c r="B86" s="89" t="s">
        <v>368</v>
      </c>
    </row>
    <row r="87" spans="1:2">
      <c r="A87" s="87" t="s">
        <v>369</v>
      </c>
      <c r="B87" s="89" t="s">
        <v>370</v>
      </c>
    </row>
    <row r="88" spans="1:2">
      <c r="A88" s="87" t="s">
        <v>371</v>
      </c>
      <c r="B88" s="89" t="s">
        <v>372</v>
      </c>
    </row>
    <row r="89" spans="1:2">
      <c r="A89" s="87" t="s">
        <v>373</v>
      </c>
      <c r="B89" s="89" t="s">
        <v>374</v>
      </c>
    </row>
    <row r="90" spans="1:2">
      <c r="A90" s="87" t="s">
        <v>375</v>
      </c>
      <c r="B90" s="89" t="s">
        <v>376</v>
      </c>
    </row>
    <row r="91" spans="1:2">
      <c r="A91" s="87" t="s">
        <v>377</v>
      </c>
      <c r="B91" s="89" t="s">
        <v>378</v>
      </c>
    </row>
    <row r="92" spans="1:2">
      <c r="A92" s="87" t="s">
        <v>379</v>
      </c>
      <c r="B92" s="89" t="s">
        <v>380</v>
      </c>
    </row>
    <row r="93" spans="1:2">
      <c r="A93" s="87" t="s">
        <v>381</v>
      </c>
      <c r="B93" s="89" t="s">
        <v>382</v>
      </c>
    </row>
    <row r="94" spans="1:2">
      <c r="A94" s="87" t="s">
        <v>383</v>
      </c>
      <c r="B94" s="89" t="s">
        <v>384</v>
      </c>
    </row>
    <row r="95" spans="1:2">
      <c r="A95" s="87" t="s">
        <v>385</v>
      </c>
      <c r="B95" s="89" t="s">
        <v>386</v>
      </c>
    </row>
    <row r="96" spans="1:2">
      <c r="A96" s="87" t="s">
        <v>387</v>
      </c>
      <c r="B96" s="89" t="s">
        <v>388</v>
      </c>
    </row>
    <row r="97" spans="1:2">
      <c r="A97" s="87" t="s">
        <v>389</v>
      </c>
      <c r="B97" s="89" t="s">
        <v>390</v>
      </c>
    </row>
    <row r="98" spans="1:2">
      <c r="A98" s="87" t="s">
        <v>391</v>
      </c>
      <c r="B98" s="89" t="s">
        <v>392</v>
      </c>
    </row>
    <row r="99" spans="1:2">
      <c r="A99" s="87" t="s">
        <v>393</v>
      </c>
      <c r="B99" s="89" t="s">
        <v>394</v>
      </c>
    </row>
    <row r="100" spans="1:2">
      <c r="A100" s="87" t="s">
        <v>395</v>
      </c>
      <c r="B100" s="89" t="s">
        <v>396</v>
      </c>
    </row>
    <row r="101" spans="1:2">
      <c r="A101" s="87" t="s">
        <v>397</v>
      </c>
      <c r="B101" s="89" t="s">
        <v>398</v>
      </c>
    </row>
    <row r="102" spans="1:2">
      <c r="A102" s="87" t="s">
        <v>399</v>
      </c>
      <c r="B102" s="89" t="s">
        <v>400</v>
      </c>
    </row>
    <row r="103" spans="1:2">
      <c r="A103" s="87" t="s">
        <v>401</v>
      </c>
      <c r="B103" s="89" t="s">
        <v>402</v>
      </c>
    </row>
    <row r="104" spans="1:2">
      <c r="A104" s="87" t="s">
        <v>403</v>
      </c>
      <c r="B104" s="89" t="s">
        <v>404</v>
      </c>
    </row>
    <row r="105" spans="1:2">
      <c r="A105" s="87" t="s">
        <v>405</v>
      </c>
      <c r="B105" s="89" t="s">
        <v>406</v>
      </c>
    </row>
    <row r="106" spans="1:2">
      <c r="A106" s="87" t="s">
        <v>407</v>
      </c>
      <c r="B106" s="89" t="s">
        <v>408</v>
      </c>
    </row>
    <row r="107" spans="1:2">
      <c r="A107" s="87" t="s">
        <v>409</v>
      </c>
      <c r="B107" s="89" t="s">
        <v>410</v>
      </c>
    </row>
    <row r="108" spans="1:2">
      <c r="A108" s="87" t="s">
        <v>411</v>
      </c>
      <c r="B108" s="89" t="s">
        <v>412</v>
      </c>
    </row>
    <row r="109" spans="1:2">
      <c r="A109" s="87" t="s">
        <v>413</v>
      </c>
      <c r="B109" s="89" t="s">
        <v>414</v>
      </c>
    </row>
    <row r="110" spans="1:2">
      <c r="A110" s="87" t="s">
        <v>415</v>
      </c>
      <c r="B110" s="89" t="s">
        <v>416</v>
      </c>
    </row>
    <row r="111" spans="1:2">
      <c r="A111" s="87" t="s">
        <v>417</v>
      </c>
      <c r="B111" s="89" t="s">
        <v>418</v>
      </c>
    </row>
    <row r="112" spans="1:2">
      <c r="A112" s="87" t="s">
        <v>419</v>
      </c>
      <c r="B112" s="89" t="s">
        <v>420</v>
      </c>
    </row>
    <row r="113" spans="1:2">
      <c r="A113" s="87" t="s">
        <v>421</v>
      </c>
      <c r="B113" s="89" t="s">
        <v>422</v>
      </c>
    </row>
    <row r="114" spans="1:2">
      <c r="A114" s="87" t="s">
        <v>423</v>
      </c>
      <c r="B114" s="89" t="s">
        <v>424</v>
      </c>
    </row>
    <row r="115" spans="1:2">
      <c r="A115" s="87" t="s">
        <v>425</v>
      </c>
      <c r="B115" s="89" t="s">
        <v>426</v>
      </c>
    </row>
    <row r="116" spans="1:2">
      <c r="A116" s="87" t="s">
        <v>427</v>
      </c>
      <c r="B116" s="89" t="s">
        <v>428</v>
      </c>
    </row>
    <row r="117" spans="1:2">
      <c r="A117" s="87" t="s">
        <v>429</v>
      </c>
      <c r="B117" s="89" t="s">
        <v>430</v>
      </c>
    </row>
    <row r="118" spans="1:2">
      <c r="A118" s="87" t="s">
        <v>431</v>
      </c>
      <c r="B118" s="89" t="s">
        <v>432</v>
      </c>
    </row>
    <row r="119" spans="1:2">
      <c r="A119" s="87" t="s">
        <v>433</v>
      </c>
      <c r="B119" s="89" t="s">
        <v>434</v>
      </c>
    </row>
    <row r="120" spans="1:2">
      <c r="A120" s="87" t="s">
        <v>435</v>
      </c>
      <c r="B120" s="89" t="s">
        <v>436</v>
      </c>
    </row>
    <row r="121" spans="1:2">
      <c r="A121" s="87" t="s">
        <v>437</v>
      </c>
      <c r="B121" s="89" t="s">
        <v>438</v>
      </c>
    </row>
    <row r="122" spans="1:2">
      <c r="A122" s="87" t="s">
        <v>439</v>
      </c>
      <c r="B122" s="89" t="s">
        <v>440</v>
      </c>
    </row>
    <row r="123" spans="1:2">
      <c r="A123" s="87" t="s">
        <v>441</v>
      </c>
      <c r="B123" s="89" t="s">
        <v>442</v>
      </c>
    </row>
    <row r="124" spans="1:2">
      <c r="A124" s="87" t="s">
        <v>443</v>
      </c>
      <c r="B124" s="89" t="s">
        <v>444</v>
      </c>
    </row>
    <row r="125" spans="1:2">
      <c r="A125" s="87" t="s">
        <v>445</v>
      </c>
      <c r="B125" s="89" t="s">
        <v>446</v>
      </c>
    </row>
    <row r="126" spans="1:2">
      <c r="A126" s="87" t="s">
        <v>447</v>
      </c>
      <c r="B126" s="89" t="s">
        <v>448</v>
      </c>
    </row>
    <row r="127" spans="1:2">
      <c r="A127" s="87" t="s">
        <v>449</v>
      </c>
      <c r="B127" s="89" t="s">
        <v>450</v>
      </c>
    </row>
    <row r="128" spans="1:2">
      <c r="A128" s="87" t="s">
        <v>451</v>
      </c>
      <c r="B128" s="89" t="s">
        <v>452</v>
      </c>
    </row>
    <row r="129" spans="1:2">
      <c r="A129" s="87" t="s">
        <v>453</v>
      </c>
      <c r="B129" s="89" t="s">
        <v>454</v>
      </c>
    </row>
    <row r="130" spans="1:2">
      <c r="A130" s="87" t="s">
        <v>455</v>
      </c>
      <c r="B130" s="89" t="s">
        <v>456</v>
      </c>
    </row>
    <row r="131" spans="1:2">
      <c r="A131" s="87" t="s">
        <v>457</v>
      </c>
      <c r="B131" s="89" t="s">
        <v>458</v>
      </c>
    </row>
    <row r="132" spans="1:2">
      <c r="A132" s="87" t="s">
        <v>459</v>
      </c>
      <c r="B132" s="89" t="s">
        <v>460</v>
      </c>
    </row>
    <row r="133" spans="1:2">
      <c r="A133" s="87" t="s">
        <v>461</v>
      </c>
      <c r="B133" s="89" t="s">
        <v>462</v>
      </c>
    </row>
    <row r="134" spans="1:2">
      <c r="A134" s="87" t="s">
        <v>463</v>
      </c>
      <c r="B134" s="89" t="s">
        <v>464</v>
      </c>
    </row>
    <row r="135" spans="1:2">
      <c r="A135" s="87" t="s">
        <v>465</v>
      </c>
      <c r="B135" s="89" t="s">
        <v>466</v>
      </c>
    </row>
    <row r="136" spans="1:2">
      <c r="A136" s="87" t="s">
        <v>467</v>
      </c>
      <c r="B136" s="89" t="s">
        <v>468</v>
      </c>
    </row>
    <row r="137" spans="1:2">
      <c r="A137" s="87" t="s">
        <v>469</v>
      </c>
      <c r="B137" s="89" t="s">
        <v>470</v>
      </c>
    </row>
    <row r="138" spans="1:2">
      <c r="A138" s="87" t="s">
        <v>471</v>
      </c>
      <c r="B138" s="89" t="s">
        <v>472</v>
      </c>
    </row>
    <row r="139" spans="1:2">
      <c r="A139" s="87" t="s">
        <v>473</v>
      </c>
      <c r="B139" s="89" t="s">
        <v>474</v>
      </c>
    </row>
    <row r="140" spans="1:2">
      <c r="A140" s="87" t="s">
        <v>475</v>
      </c>
      <c r="B140" s="89" t="s">
        <v>476</v>
      </c>
    </row>
    <row r="141" spans="1:2">
      <c r="A141" s="87" t="s">
        <v>477</v>
      </c>
      <c r="B141" s="89" t="s">
        <v>478</v>
      </c>
    </row>
    <row r="142" spans="1:2">
      <c r="A142" s="87" t="s">
        <v>479</v>
      </c>
      <c r="B142" s="89" t="s">
        <v>480</v>
      </c>
    </row>
    <row r="143" spans="1:2">
      <c r="A143" s="87" t="s">
        <v>481</v>
      </c>
      <c r="B143" s="89" t="s">
        <v>482</v>
      </c>
    </row>
    <row r="144" spans="1:2">
      <c r="A144" s="87" t="s">
        <v>483</v>
      </c>
      <c r="B144" s="89" t="s">
        <v>484</v>
      </c>
    </row>
    <row r="145" spans="1:2">
      <c r="A145" s="87" t="s">
        <v>485</v>
      </c>
      <c r="B145" s="89" t="s">
        <v>486</v>
      </c>
    </row>
    <row r="146" spans="1:2">
      <c r="A146" s="87" t="s">
        <v>487</v>
      </c>
      <c r="B146" s="89" t="s">
        <v>488</v>
      </c>
    </row>
    <row r="147" spans="1:2">
      <c r="A147" s="87" t="s">
        <v>489</v>
      </c>
      <c r="B147" s="89" t="s">
        <v>490</v>
      </c>
    </row>
    <row r="148" spans="1:2">
      <c r="A148" s="87" t="s">
        <v>491</v>
      </c>
      <c r="B148" s="89" t="s">
        <v>492</v>
      </c>
    </row>
    <row r="149" spans="1:2">
      <c r="A149" s="87" t="s">
        <v>493</v>
      </c>
      <c r="B149" s="89" t="s">
        <v>494</v>
      </c>
    </row>
    <row r="150" spans="1:2">
      <c r="A150" s="87" t="s">
        <v>495</v>
      </c>
      <c r="B150" s="89" t="s">
        <v>496</v>
      </c>
    </row>
    <row r="151" spans="1:2">
      <c r="A151" s="87" t="s">
        <v>497</v>
      </c>
      <c r="B151" s="89" t="s">
        <v>498</v>
      </c>
    </row>
    <row r="152" spans="1:2">
      <c r="A152" s="87" t="s">
        <v>499</v>
      </c>
      <c r="B152" s="89" t="s">
        <v>500</v>
      </c>
    </row>
    <row r="153" spans="1:2">
      <c r="A153" s="87" t="s">
        <v>501</v>
      </c>
      <c r="B153" s="89" t="s">
        <v>502</v>
      </c>
    </row>
    <row r="154" spans="1:2">
      <c r="A154" s="87" t="s">
        <v>503</v>
      </c>
      <c r="B154" s="89" t="s">
        <v>504</v>
      </c>
    </row>
    <row r="155" spans="1:2">
      <c r="A155" s="87" t="s">
        <v>505</v>
      </c>
      <c r="B155" s="89" t="s">
        <v>506</v>
      </c>
    </row>
    <row r="156" spans="1:2">
      <c r="A156" s="87" t="s">
        <v>507</v>
      </c>
      <c r="B156" s="89" t="s">
        <v>508</v>
      </c>
    </row>
    <row r="157" spans="1:2">
      <c r="A157" s="87" t="s">
        <v>509</v>
      </c>
      <c r="B157" s="89" t="s">
        <v>510</v>
      </c>
    </row>
    <row r="158" spans="1:2">
      <c r="A158" s="87" t="s">
        <v>511</v>
      </c>
      <c r="B158" s="89" t="s">
        <v>512</v>
      </c>
    </row>
    <row r="159" spans="1:2">
      <c r="A159" s="87" t="s">
        <v>513</v>
      </c>
      <c r="B159" s="89" t="s">
        <v>514</v>
      </c>
    </row>
    <row r="160" spans="1:2">
      <c r="A160" s="87" t="s">
        <v>515</v>
      </c>
      <c r="B160" s="89" t="s">
        <v>516</v>
      </c>
    </row>
    <row r="161" spans="1:2">
      <c r="A161" s="87" t="s">
        <v>517</v>
      </c>
      <c r="B161" s="89" t="s">
        <v>518</v>
      </c>
    </row>
    <row r="162" spans="1:2">
      <c r="A162" s="87" t="s">
        <v>519</v>
      </c>
      <c r="B162" s="89" t="s">
        <v>520</v>
      </c>
    </row>
    <row r="163" spans="1:2">
      <c r="A163" s="87" t="s">
        <v>521</v>
      </c>
      <c r="B163" s="89" t="s">
        <v>522</v>
      </c>
    </row>
    <row r="164" spans="1:2">
      <c r="A164" s="87" t="s">
        <v>523</v>
      </c>
      <c r="B164" s="89" t="s">
        <v>524</v>
      </c>
    </row>
    <row r="165" spans="1:2">
      <c r="A165" s="87" t="s">
        <v>525</v>
      </c>
      <c r="B165" s="89" t="s">
        <v>526</v>
      </c>
    </row>
    <row r="166" spans="1:2">
      <c r="A166" s="87" t="s">
        <v>527</v>
      </c>
      <c r="B166" s="89" t="s">
        <v>528</v>
      </c>
    </row>
    <row r="167" spans="1:2">
      <c r="A167" s="87" t="s">
        <v>529</v>
      </c>
      <c r="B167" s="89" t="s">
        <v>530</v>
      </c>
    </row>
    <row r="168" spans="1:2">
      <c r="A168" s="87" t="s">
        <v>531</v>
      </c>
      <c r="B168" s="89" t="s">
        <v>532</v>
      </c>
    </row>
    <row r="169" spans="1:2">
      <c r="A169" s="87" t="s">
        <v>533</v>
      </c>
      <c r="B169" s="89" t="s">
        <v>534</v>
      </c>
    </row>
    <row r="170" spans="1:2">
      <c r="A170" s="87" t="s">
        <v>535</v>
      </c>
      <c r="B170" s="89"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andrianony.ramahazo.harimisa@one.un.org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MPTF_00006_00808</ProjectId>
    <FundCode xmlns="f9695bc1-6109-4dcd-a27a-f8a0370b00e2">MPTF_00006</FundCode>
    <Comments xmlns="f9695bc1-6109-4dcd-a27a-f8a0370b00e2">Rapport financier final</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39DBD92D-FB08-46B4-BF04-F5D46747DA91}"/>
</file>

<file path=customXml/itemProps3.xml><?xml version="1.0" encoding="utf-8"?>
<ds:datastoreItem xmlns:ds="http://schemas.openxmlformats.org/officeDocument/2006/customXml" ds:itemID="{8F654EB7-5DB4-40A6-AEE8-186D72BF95CC}">
  <ds:schemaRefs>
    <ds:schemaRef ds:uri="http://purl.org/dc/term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3352a50b-fe51-4c0c-a9ac-ac90f8281031"/>
    <ds:schemaRef ds:uri="http://schemas.microsoft.com/office/2006/documentManagement/types"/>
    <ds:schemaRef ds:uri="9dc44b34-9e2b-42ea-86f7-9ee7f71036f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Expenditure report</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EISA GPI 2020_project__annex_d_project_budget Final_cso_.xlsx</dc:title>
  <dc:creator>Jelena Zelenovic</dc:creator>
  <cp:lastModifiedBy>EISA02</cp:lastModifiedBy>
  <cp:lastPrinted>2022-04-14T11:30:46Z</cp:lastPrinted>
  <dcterms:created xsi:type="dcterms:W3CDTF">2017-11-15T21:17:43Z</dcterms:created>
  <dcterms:modified xsi:type="dcterms:W3CDTF">2023-05-05T14:12:53Z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