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simonettarossi/Documents/My Documents/UN SIERRA LEONE/CRS/"/>
    </mc:Choice>
  </mc:AlternateContent>
  <xr:revisionPtr revIDLastSave="0" documentId="8_{B36BBF86-E984-764D-8BBE-3867B64A6F43}" xr6:coauthVersionLast="47" xr6:coauthVersionMax="47" xr10:uidLastSave="{00000000-0000-0000-0000-000000000000}"/>
  <bookViews>
    <workbookView xWindow="0" yWindow="500" windowWidth="20740" windowHeight="11160" activeTab="1" xr2:uid="{182CC11A-8101-431B-A44A-D61C4F6A8E37}"/>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Assumption==&gt;" sheetId="48" state="hidden" r:id="rId7"/>
    <sheet name="Summary" sheetId="45" state="hidden" r:id="rId8"/>
    <sheet name="Outcom 1" sheetId="18" state="hidden" r:id="rId9"/>
    <sheet name="Outcom 2" sheetId="28" state="hidden" r:id="rId10"/>
    <sheet name="Outcom 3" sheetId="29" state="hidden" r:id="rId11"/>
    <sheet name="HR_Natl" sheetId="33" state="hidden" r:id="rId12"/>
    <sheet name="HR_Intl" sheetId="35" state="hidden" r:id="rId13"/>
    <sheet name="Sheet3" sheetId="32" state="hidden" r:id="rId14"/>
    <sheet name="Supervisions" sheetId="41" state="hidden" r:id="rId15"/>
    <sheet name="Operations" sheetId="37" state="hidden" r:id="rId16"/>
    <sheet name="LOE_CRS" sheetId="38" state="hidden" r:id="rId17"/>
    <sheet name="LOE_Partners" sheetId="39" state="hidden" r:id="rId18"/>
    <sheet name="Equipment" sheetId="40" state="hidden" r:id="rId19"/>
    <sheet name="CA_912" sheetId="42" state="hidden" r:id="rId20"/>
    <sheet name="CA_922" sheetId="43" state="hidden" r:id="rId21"/>
    <sheet name="CA_932" sheetId="44" state="hidden" r:id="rId22"/>
    <sheet name="Sheet2" sheetId="7" state="hidden"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8" hidden="1">'Outcom 1'!$A$6:$HX$268</definedName>
    <definedName name="_xlnm._FilterDatabase" localSheetId="9" hidden="1">'Outcom 2'!$A$3:$IK$293</definedName>
    <definedName name="_xlnm._FilterDatabase" localSheetId="10" hidden="1">'Outcom 3'!$A$3:$IJ$275</definedName>
    <definedName name="_xlnm._FilterDatabase" localSheetId="13" hidden="1">Sheet3!$A$1:$E$18</definedName>
    <definedName name="a">#REF!</definedName>
    <definedName name="AssumptionList">[1]Assumptions!$A$2:$A$50</definedName>
    <definedName name="book_name">"FY00 APP WORKBOOK - FIELD EDITION"</definedName>
    <definedName name="BudgetGrandTotal">#REF!</definedName>
    <definedName name="Budgetnotes" localSheetId="14">#REF!</definedName>
    <definedName name="Budgetnotes">#REF!</definedName>
    <definedName name="BudgetTotal">#REF!</definedName>
    <definedName name="BudgetTotalWauY2">#REF!</definedName>
    <definedName name="CODE">[2]Paramétrages!$C$22:$C$26</definedName>
    <definedName name="ConstOH" localSheetId="14">#REF!</definedName>
    <definedName name="ConstOH">#REF!</definedName>
    <definedName name="Construction">[3]Lists!$E$2:$E$6</definedName>
    <definedName name="coor">#REF!</definedName>
    <definedName name="COORDI">#REF!</definedName>
    <definedName name="COORDI_1">#REF!</definedName>
    <definedName name="COORDI_2">#REF!</definedName>
    <definedName name="Currencies">[1]Setup!$B$10:$B$12</definedName>
    <definedName name="_xlnm.Database" localSheetId="14">#REF!</definedName>
    <definedName name="_xlnm.Database">#REF!</definedName>
    <definedName name="date_submitted">'[4]Master info'!$B$17</definedName>
    <definedName name="DEVISES">'[5]0-Summary'!$E$27:$E$32</definedName>
    <definedName name="Equipment">'[6]Forecast Feb 2012'!$B$36:$B$43</definedName>
    <definedName name="exch_dollars">'[7]Price Quotes'!$C$3</definedName>
    <definedName name="exp_budget_1050">'[8]APP 1 USD'!$E$25</definedName>
    <definedName name="FRF">[2]Paramétrages!$C$22</definedName>
    <definedName name="FY08fringe">[9]Reference!#REF!</definedName>
    <definedName name="FY09fringe">[9]Reference!$D$2:$D$8</definedName>
    <definedName name="GenrlOH" localSheetId="14">#REF!</definedName>
    <definedName name="GenrlOH">#REF!</definedName>
    <definedName name="gisella">'[10]Master info'!$B$16</definedName>
    <definedName name="GNF">'[11]Fichier Source'!$AH$1</definedName>
    <definedName name="hq_currency">"US dollars"</definedName>
    <definedName name="lc_per_usd">'[10]Master info'!$B$14</definedName>
    <definedName name="List_EOI_Activities">OFFSET(#REF!,0,0,COUNTA(#REF!)-1,1)</definedName>
    <definedName name="local_currency">'[10]Master info'!$B$13</definedName>
    <definedName name="LocalCurrency">IF(NOT('[11]Fichier Source'!#REF!=""),VLOOKUP('[11]Fichier Source'!#REF!,[12]Currencies!$B$2:$G$250, 6, FALSE),"")</definedName>
    <definedName name="Localtransportation">'[6]Forecast Feb 2012'!$B$28:$B$34</definedName>
    <definedName name="LOV_pol_perdiem_FinExmPolicyPerDiemAdfDiPageDef_CurrencyCode" hidden="1">[13]_ADFDI_LOV!$C$16:$IS$16</definedName>
    <definedName name="m">#REF!</definedName>
    <definedName name="master_preparer">'[4]Master info'!$B$16</definedName>
    <definedName name="MyRange">'[14]Allocation of Pooled Exp-Sch 2'!#REF!</definedName>
    <definedName name="MyRangeWau">'[15]Allocation of Pooled Exp-Sch 2'!#REF!</definedName>
    <definedName name="MyRangeWauY2">'[15]Allocation of Pooled Exp-Sch 2'!#REF!</definedName>
    <definedName name="NbrOfModulesInCmp">COUNT([1]ModInCmp!$A:$A)</definedName>
    <definedName name="Org_name">"CRS-USCCB"</definedName>
    <definedName name="page1_editable">#REF!,#REF!,#REF!,#REF!,#REF!,#REF!,#REF!,#REF!,#REF!,#REF!,#REF!,#REF!,#REF!,#REF!,#REF!,#REF!,#REF!,#REF!,#REF!,#REF!,#REF!,#REF!,#REF!,#REF!,#REF!,#REF!,#REF!,#REF!,#REF!,#REF!,#REF!</definedName>
    <definedName name="page2_editable">#REF!,#REF!,#REF!,#REF!,#REF!,#REF!,#REF!,#REF!,#REF!,#REF!,#REF!,#REF!,#REF!</definedName>
    <definedName name="page3_editable">#REF!,#REF!,#REF!,#REF!,#REF!,#REF!,#REF!,#REF!,#REF!,#REF!,#REF!,#REF!,#REF!,#REF!,#REF!,#REF!,#REF!,#REF!,#REF!,#REF!,#REF!,#REF!</definedName>
    <definedName name="page4_editable">#REF!</definedName>
    <definedName name="PRAcronym">'[1]Budget Lines'!$J$2:INDEX('[1]Budget Lines'!$J$2:$J$41,COUNTIF('[1]Budget Lines'!$J$2:$J$41,"?*"))</definedName>
    <definedName name="_xlnm.Print_Area" localSheetId="1">'1) Budget Tables'!$A$1:$K$214</definedName>
    <definedName name="_xlnm.Print_Area" localSheetId="2">'2) By Category'!$A$1:$F$210</definedName>
    <definedName name="_xlnm.Print_Area" localSheetId="11">HR_Natl!$A$1:$R$29</definedName>
    <definedName name="_xlnm.Print_Area" localSheetId="0">Instructions!$A$1:$B$4</definedName>
    <definedName name="_xlnm.Print_Area" localSheetId="8">'Outcom 1'!$A$1:$K$280</definedName>
    <definedName name="_xlnm.Print_Area" localSheetId="9">'Outcom 2'!$A$1:$M$220</definedName>
    <definedName name="_xlnm.Print_Area" localSheetId="10">'Outcom 3'!$A$1:$M$277</definedName>
    <definedName name="_xlnm.Print_Area" localSheetId="7">Summary!$A$1:$C$14</definedName>
    <definedName name="REGISTRE">[16]Register!$A$3:$AE$15</definedName>
    <definedName name="RegistreDetailsPerso">[16]Register!$A$3:$AE$3</definedName>
    <definedName name="RegistreNum.Employé">[16]Register!$A$3:$A$15</definedName>
    <definedName name="RH">#REF!</definedName>
    <definedName name="Salaries">'[10]Master info'!$B$14</definedName>
    <definedName name="Studentlifefees">'[6]Forecast Feb 2012'!$B$51:$B$59</definedName>
    <definedName name="T6and7CodeRef" localSheetId="14">#REF!</definedName>
    <definedName name="T6and7CodeRef">#REF!</definedName>
    <definedName name="Tauxchange">[2]Paramétrages!$C$22:$F$26</definedName>
    <definedName name="Trainingcenter">'[6]Forecast Feb 2012'!$B$45:$B$49</definedName>
    <definedName name="unit_name">'[4]Master info'!$B$12</definedName>
    <definedName name="unit_number">'[17]Master info'!$B$11</definedName>
    <definedName name="USD">'[18]TB SPEED'!$B$4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 i="38" l="1"/>
  <c r="K13" i="38" l="1"/>
  <c r="G13" i="38"/>
  <c r="E17" i="29"/>
  <c r="D9" i="29"/>
  <c r="D117" i="28"/>
  <c r="D92" i="28"/>
  <c r="E83" i="28"/>
  <c r="E84" i="28"/>
  <c r="D25" i="28" l="1"/>
  <c r="D26" i="28"/>
  <c r="D16" i="28"/>
  <c r="D27" i="28"/>
  <c r="G27" i="28" s="1"/>
  <c r="H27" i="28" s="1"/>
  <c r="I27" i="28" s="1"/>
  <c r="D18" i="28"/>
  <c r="G18" i="28" s="1"/>
  <c r="H18" i="28" s="1"/>
  <c r="I18" i="28" s="1"/>
  <c r="F92" i="28"/>
  <c r="F83" i="28"/>
  <c r="D9" i="28"/>
  <c r="D151" i="18"/>
  <c r="D149" i="18"/>
  <c r="D8" i="18"/>
  <c r="F149" i="18"/>
  <c r="F91" i="18"/>
  <c r="F82" i="18"/>
  <c r="F54" i="18"/>
  <c r="T6" i="42"/>
  <c r="C6" i="38"/>
  <c r="K6" i="38" s="1"/>
  <c r="D17" i="28"/>
  <c r="D43" i="18"/>
  <c r="G6" i="38" l="1"/>
  <c r="D83" i="28"/>
  <c r="D25" i="18"/>
  <c r="D27" i="18"/>
  <c r="D55" i="29"/>
  <c r="D85" i="28"/>
  <c r="L6" i="38" l="1"/>
  <c r="E95" i="28"/>
  <c r="G95" i="28" s="1"/>
  <c r="H95" i="28" s="1"/>
  <c r="I95" i="28" s="1"/>
  <c r="G94" i="28"/>
  <c r="H94" i="28" s="1"/>
  <c r="I94" i="28" s="1"/>
  <c r="E93" i="28"/>
  <c r="D93" i="28"/>
  <c r="E92" i="28"/>
  <c r="D100" i="28"/>
  <c r="G100" i="28"/>
  <c r="H100" i="28" s="1"/>
  <c r="I100" i="28" s="1"/>
  <c r="G92" i="28" l="1"/>
  <c r="H92" i="28" s="1"/>
  <c r="I92" i="28" s="1"/>
  <c r="G93" i="28"/>
  <c r="H93" i="28" s="1"/>
  <c r="I93" i="28" s="1"/>
  <c r="G103" i="28"/>
  <c r="H103" i="28" s="1"/>
  <c r="I103" i="28" s="1"/>
  <c r="G102" i="28"/>
  <c r="H102" i="28" s="1"/>
  <c r="I102" i="28" s="1"/>
  <c r="G101" i="28"/>
  <c r="H101" i="28" s="1"/>
  <c r="I101" i="28" s="1"/>
  <c r="E78" i="28"/>
  <c r="G78" i="28" s="1"/>
  <c r="H78" i="28" s="1"/>
  <c r="I78" i="28" s="1"/>
  <c r="G77" i="28"/>
  <c r="H77" i="28" s="1"/>
  <c r="I77" i="28" s="1"/>
  <c r="D76" i="28"/>
  <c r="G76" i="28" s="1"/>
  <c r="H76" i="28" s="1"/>
  <c r="I76" i="28" s="1"/>
  <c r="E75" i="28"/>
  <c r="D75" i="28"/>
  <c r="G75" i="28" s="1"/>
  <c r="H75" i="28" s="1"/>
  <c r="I75" i="28" s="1"/>
  <c r="F74" i="28"/>
  <c r="E74" i="28"/>
  <c r="G74" i="28"/>
  <c r="H74" i="28" s="1"/>
  <c r="I74" i="28" s="1"/>
  <c r="D57" i="29"/>
  <c r="D56" i="29"/>
  <c r="J32" i="18"/>
  <c r="G31" i="18"/>
  <c r="H31" i="18" s="1"/>
  <c r="I31" i="18" s="1"/>
  <c r="G30" i="18"/>
  <c r="H30" i="18" s="1"/>
  <c r="I30" i="18" s="1"/>
  <c r="G29" i="18"/>
  <c r="H29" i="18" s="1"/>
  <c r="I29" i="18" s="1"/>
  <c r="G28" i="18"/>
  <c r="H28" i="18" s="1"/>
  <c r="I28" i="18" s="1"/>
  <c r="G27" i="18"/>
  <c r="H27" i="18" s="1"/>
  <c r="I27" i="18" s="1"/>
  <c r="D26" i="18"/>
  <c r="G26" i="18" s="1"/>
  <c r="H26" i="18" s="1"/>
  <c r="I26" i="18" s="1"/>
  <c r="G25" i="18"/>
  <c r="J136" i="29"/>
  <c r="G135" i="29"/>
  <c r="H135" i="29" s="1"/>
  <c r="I135" i="29" s="1"/>
  <c r="G134" i="29"/>
  <c r="H134" i="29" s="1"/>
  <c r="I134" i="29" s="1"/>
  <c r="G133" i="29"/>
  <c r="H133" i="29" s="1"/>
  <c r="I133" i="29" s="1"/>
  <c r="G132" i="29"/>
  <c r="H132" i="29" s="1"/>
  <c r="I132" i="29" s="1"/>
  <c r="D131" i="29"/>
  <c r="G131" i="29" s="1"/>
  <c r="H131" i="29" s="1"/>
  <c r="I131" i="29" s="1"/>
  <c r="G130" i="29"/>
  <c r="H130" i="29" s="1"/>
  <c r="I130" i="29" s="1"/>
  <c r="F129" i="29"/>
  <c r="E129" i="29"/>
  <c r="D129" i="29"/>
  <c r="J90" i="28"/>
  <c r="G89" i="28"/>
  <c r="H89" i="28" s="1"/>
  <c r="I89" i="28" s="1"/>
  <c r="G88" i="28"/>
  <c r="H88" i="28" s="1"/>
  <c r="I88" i="28" s="1"/>
  <c r="G87" i="28"/>
  <c r="H87" i="28" s="1"/>
  <c r="I87" i="28" s="1"/>
  <c r="G86" i="28"/>
  <c r="H86" i="28" s="1"/>
  <c r="I86" i="28" s="1"/>
  <c r="G85" i="28"/>
  <c r="H85" i="28" s="1"/>
  <c r="I85" i="28" s="1"/>
  <c r="G84" i="28"/>
  <c r="H84" i="28" s="1"/>
  <c r="I84" i="28" s="1"/>
  <c r="J50" i="18"/>
  <c r="G49" i="18"/>
  <c r="H49" i="18" s="1"/>
  <c r="I49" i="18" s="1"/>
  <c r="G48" i="18"/>
  <c r="H48" i="18" s="1"/>
  <c r="I48" i="18" s="1"/>
  <c r="G47" i="18"/>
  <c r="H47" i="18" s="1"/>
  <c r="I47" i="18" s="1"/>
  <c r="G46" i="18"/>
  <c r="H46" i="18" s="1"/>
  <c r="I46" i="18" s="1"/>
  <c r="D45" i="18"/>
  <c r="G45" i="18" s="1"/>
  <c r="H45" i="18" s="1"/>
  <c r="I45" i="18" s="1"/>
  <c r="D44" i="18"/>
  <c r="G44" i="18" s="1"/>
  <c r="H44" i="18" s="1"/>
  <c r="I44" i="18" s="1"/>
  <c r="G43" i="18"/>
  <c r="J15" i="18"/>
  <c r="J24" i="18"/>
  <c r="J41" i="18"/>
  <c r="J62" i="18"/>
  <c r="J71" i="18"/>
  <c r="J80" i="18"/>
  <c r="J89" i="18"/>
  <c r="J98" i="18"/>
  <c r="J109" i="18"/>
  <c r="J118" i="18"/>
  <c r="J129" i="18"/>
  <c r="J138" i="18"/>
  <c r="J147" i="18"/>
  <c r="J156" i="18"/>
  <c r="J165" i="18"/>
  <c r="J174" i="18"/>
  <c r="J183" i="18"/>
  <c r="J192" i="18"/>
  <c r="J203" i="18"/>
  <c r="J212" i="18"/>
  <c r="J221" i="18"/>
  <c r="J230" i="18"/>
  <c r="J239" i="18"/>
  <c r="J248" i="18"/>
  <c r="J257" i="18"/>
  <c r="J266" i="18"/>
  <c r="M155" i="28"/>
  <c r="M164" i="28"/>
  <c r="M173" i="28"/>
  <c r="M182" i="28"/>
  <c r="M191" i="28"/>
  <c r="M200" i="28"/>
  <c r="M209" i="28"/>
  <c r="J80" i="29"/>
  <c r="G79" i="29"/>
  <c r="H79" i="29" s="1"/>
  <c r="I79" i="29" s="1"/>
  <c r="G78" i="29"/>
  <c r="H78" i="29" s="1"/>
  <c r="I78" i="29" s="1"/>
  <c r="G77" i="29"/>
  <c r="H77" i="29" s="1"/>
  <c r="I77" i="29" s="1"/>
  <c r="G76" i="29"/>
  <c r="H76" i="29" s="1"/>
  <c r="I76" i="29" s="1"/>
  <c r="G75" i="29"/>
  <c r="H75" i="29" s="1"/>
  <c r="I75" i="29" s="1"/>
  <c r="G74" i="29"/>
  <c r="H74" i="29" s="1"/>
  <c r="I74" i="29" s="1"/>
  <c r="G73" i="29"/>
  <c r="J71" i="29"/>
  <c r="G70" i="29"/>
  <c r="H70" i="29" s="1"/>
  <c r="I70" i="29" s="1"/>
  <c r="G69" i="29"/>
  <c r="H69" i="29" s="1"/>
  <c r="I69" i="29" s="1"/>
  <c r="G68" i="29"/>
  <c r="H68" i="29" s="1"/>
  <c r="I68" i="29" s="1"/>
  <c r="G67" i="29"/>
  <c r="H67" i="29" s="1"/>
  <c r="I67" i="29" s="1"/>
  <c r="G66" i="29"/>
  <c r="H66" i="29" s="1"/>
  <c r="I66" i="29" s="1"/>
  <c r="G65" i="29"/>
  <c r="H65" i="29" s="1"/>
  <c r="I65" i="29" s="1"/>
  <c r="G64" i="29"/>
  <c r="G152" i="18"/>
  <c r="H152" i="18" s="1"/>
  <c r="I152" i="18" s="1"/>
  <c r="G151" i="18"/>
  <c r="H151" i="18" s="1"/>
  <c r="I151" i="18" s="1"/>
  <c r="G150" i="18"/>
  <c r="H150" i="18" s="1"/>
  <c r="I150" i="18" s="1"/>
  <c r="J33" i="29"/>
  <c r="G32" i="29"/>
  <c r="H32" i="29" s="1"/>
  <c r="I32" i="29" s="1"/>
  <c r="G31" i="29"/>
  <c r="H31" i="29" s="1"/>
  <c r="I31" i="29" s="1"/>
  <c r="G30" i="29"/>
  <c r="H30" i="29" s="1"/>
  <c r="I30" i="29" s="1"/>
  <c r="G29" i="29"/>
  <c r="H29" i="29" s="1"/>
  <c r="I29" i="29" s="1"/>
  <c r="G28" i="29"/>
  <c r="H28" i="29" s="1"/>
  <c r="I28" i="29" s="1"/>
  <c r="G27" i="29"/>
  <c r="H27" i="29" s="1"/>
  <c r="I27" i="29" s="1"/>
  <c r="J124" i="28"/>
  <c r="G123" i="28"/>
  <c r="H123" i="28" s="1"/>
  <c r="I123" i="28" s="1"/>
  <c r="G122" i="28"/>
  <c r="H122" i="28" s="1"/>
  <c r="I122" i="28" s="1"/>
  <c r="G121" i="28"/>
  <c r="H121" i="28" s="1"/>
  <c r="I121" i="28" s="1"/>
  <c r="G120" i="28"/>
  <c r="H120" i="28" s="1"/>
  <c r="I120" i="28" s="1"/>
  <c r="E119" i="28"/>
  <c r="G119" i="28" s="1"/>
  <c r="H119" i="28" s="1"/>
  <c r="I119" i="28" s="1"/>
  <c r="D118" i="28"/>
  <c r="G118" i="28" s="1"/>
  <c r="H118" i="28" s="1"/>
  <c r="I118" i="28" s="1"/>
  <c r="E117" i="28"/>
  <c r="J115" i="28"/>
  <c r="G114" i="28"/>
  <c r="H114" i="28" s="1"/>
  <c r="I114" i="28" s="1"/>
  <c r="G113" i="28"/>
  <c r="H113" i="28" s="1"/>
  <c r="I113" i="28" s="1"/>
  <c r="G112" i="28"/>
  <c r="H112" i="28" s="1"/>
  <c r="I112" i="28" s="1"/>
  <c r="G111" i="28"/>
  <c r="H111" i="28" s="1"/>
  <c r="I111" i="28" s="1"/>
  <c r="G110" i="28"/>
  <c r="H110" i="28" s="1"/>
  <c r="I110" i="28" s="1"/>
  <c r="D109" i="28"/>
  <c r="G109" i="28" s="1"/>
  <c r="H109" i="28" s="1"/>
  <c r="I109" i="28" s="1"/>
  <c r="D108" i="28"/>
  <c r="G108" i="28" s="1"/>
  <c r="H108" i="28" s="1"/>
  <c r="J106" i="28"/>
  <c r="G105" i="28"/>
  <c r="H105" i="28" s="1"/>
  <c r="I105" i="28" s="1"/>
  <c r="G104" i="28"/>
  <c r="H104" i="28" s="1"/>
  <c r="I104" i="28" s="1"/>
  <c r="J43" i="28"/>
  <c r="G42" i="28"/>
  <c r="H42" i="28" s="1"/>
  <c r="I42" i="28" s="1"/>
  <c r="G41" i="28"/>
  <c r="H41" i="28" s="1"/>
  <c r="I41" i="28" s="1"/>
  <c r="G40" i="28"/>
  <c r="H40" i="28" s="1"/>
  <c r="I40" i="28" s="1"/>
  <c r="G39" i="28"/>
  <c r="H39" i="28" s="1"/>
  <c r="I39" i="28" s="1"/>
  <c r="G38" i="28"/>
  <c r="H38" i="28" s="1"/>
  <c r="I38" i="28" s="1"/>
  <c r="G37" i="28"/>
  <c r="H37" i="28" s="1"/>
  <c r="I37" i="28" s="1"/>
  <c r="G36" i="28"/>
  <c r="G129" i="29" l="1"/>
  <c r="H129" i="29" s="1"/>
  <c r="G83" i="28"/>
  <c r="H83" i="28" s="1"/>
  <c r="G117" i="28"/>
  <c r="H117" i="28" s="1"/>
  <c r="J268" i="18"/>
  <c r="H25" i="18"/>
  <c r="G32" i="18"/>
  <c r="H43" i="18"/>
  <c r="G50" i="18"/>
  <c r="G149" i="18"/>
  <c r="H149" i="18" s="1"/>
  <c r="I149" i="18" s="1"/>
  <c r="I156" i="18" s="1"/>
  <c r="G43" i="28"/>
  <c r="G80" i="29"/>
  <c r="H73" i="29"/>
  <c r="G26" i="29"/>
  <c r="H26" i="29" s="1"/>
  <c r="G71" i="29"/>
  <c r="H64" i="29"/>
  <c r="I108" i="28"/>
  <c r="I115" i="28" s="1"/>
  <c r="H115" i="28"/>
  <c r="M115" i="28" s="1"/>
  <c r="G115" i="28"/>
  <c r="G106" i="28"/>
  <c r="H36" i="28"/>
  <c r="G136" i="29" l="1"/>
  <c r="G124" i="28"/>
  <c r="G90" i="28"/>
  <c r="G33" i="29"/>
  <c r="I25" i="18"/>
  <c r="I32" i="18" s="1"/>
  <c r="H32" i="18"/>
  <c r="I129" i="29"/>
  <c r="I136" i="29" s="1"/>
  <c r="H136" i="29"/>
  <c r="M136" i="29" s="1"/>
  <c r="I83" i="28"/>
  <c r="I90" i="28" s="1"/>
  <c r="H90" i="28"/>
  <c r="I43" i="18"/>
  <c r="I50" i="18" s="1"/>
  <c r="H50" i="18"/>
  <c r="H80" i="29"/>
  <c r="I73" i="29"/>
  <c r="I80" i="29" s="1"/>
  <c r="H71" i="29"/>
  <c r="I64" i="29"/>
  <c r="I71" i="29" s="1"/>
  <c r="I26" i="29"/>
  <c r="I33" i="29" s="1"/>
  <c r="H33" i="29"/>
  <c r="M33" i="29" s="1"/>
  <c r="I117" i="28"/>
  <c r="I124" i="28" s="1"/>
  <c r="H124" i="28"/>
  <c r="M124" i="28" s="1"/>
  <c r="I106" i="28"/>
  <c r="H106" i="28"/>
  <c r="M106" i="28" s="1"/>
  <c r="H43" i="28"/>
  <c r="M43" i="28" s="1"/>
  <c r="I36" i="28"/>
  <c r="I43" i="28" s="1"/>
  <c r="M80" i="29" l="1"/>
  <c r="M71" i="29"/>
  <c r="M90" i="28"/>
  <c r="G142" i="18"/>
  <c r="H142" i="18" s="1"/>
  <c r="I142" i="18" s="1"/>
  <c r="D141" i="18"/>
  <c r="G141" i="18" s="1"/>
  <c r="H141" i="18" s="1"/>
  <c r="I141" i="18" s="1"/>
  <c r="D140" i="18"/>
  <c r="G140" i="18" s="1"/>
  <c r="H140" i="18" s="1"/>
  <c r="I140" i="18" s="1"/>
  <c r="J32" i="28"/>
  <c r="G31" i="28"/>
  <c r="H31" i="28" s="1"/>
  <c r="I31" i="28" s="1"/>
  <c r="G30" i="28"/>
  <c r="H30" i="28" s="1"/>
  <c r="I30" i="28" s="1"/>
  <c r="G29" i="28"/>
  <c r="H29" i="28" s="1"/>
  <c r="I29" i="28" s="1"/>
  <c r="G28" i="28"/>
  <c r="H28" i="28" s="1"/>
  <c r="I28" i="28" s="1"/>
  <c r="G26" i="28"/>
  <c r="H26" i="28" s="1"/>
  <c r="I26" i="28" s="1"/>
  <c r="F25" i="28"/>
  <c r="G25" i="28"/>
  <c r="J23" i="28"/>
  <c r="G22" i="28"/>
  <c r="H22" i="28" s="1"/>
  <c r="I22" i="28" s="1"/>
  <c r="G21" i="28"/>
  <c r="H21" i="28" s="1"/>
  <c r="I21" i="28" s="1"/>
  <c r="G20" i="28"/>
  <c r="H20" i="28" s="1"/>
  <c r="I20" i="28" s="1"/>
  <c r="G19" i="28"/>
  <c r="H19" i="28" s="1"/>
  <c r="I19" i="28" s="1"/>
  <c r="G17" i="28"/>
  <c r="H17" i="28" s="1"/>
  <c r="I17" i="28" s="1"/>
  <c r="F16" i="28"/>
  <c r="E16" i="28"/>
  <c r="J14" i="28"/>
  <c r="G13" i="28"/>
  <c r="H13" i="28" s="1"/>
  <c r="I13" i="28" s="1"/>
  <c r="G12" i="28"/>
  <c r="H12" i="28" s="1"/>
  <c r="I12" i="28" s="1"/>
  <c r="G11" i="28"/>
  <c r="H11" i="28" s="1"/>
  <c r="I11" i="28" s="1"/>
  <c r="G10" i="28"/>
  <c r="H10" i="28" s="1"/>
  <c r="I10" i="28" s="1"/>
  <c r="G9" i="28"/>
  <c r="H9" i="28" s="1"/>
  <c r="I9" i="28" s="1"/>
  <c r="D8" i="28"/>
  <c r="G8" i="28" s="1"/>
  <c r="H8" i="28" s="1"/>
  <c r="I8" i="28" s="1"/>
  <c r="F7" i="28"/>
  <c r="D7" i="28"/>
  <c r="E144" i="18"/>
  <c r="G144" i="18" s="1"/>
  <c r="H144" i="18" s="1"/>
  <c r="I144" i="18" s="1"/>
  <c r="E143" i="18"/>
  <c r="G143" i="18" s="1"/>
  <c r="H143" i="18" s="1"/>
  <c r="I143" i="18" s="1"/>
  <c r="G137" i="18"/>
  <c r="H137" i="18" s="1"/>
  <c r="I137" i="18" s="1"/>
  <c r="G136" i="18"/>
  <c r="H136" i="18" s="1"/>
  <c r="I136" i="18" s="1"/>
  <c r="E135" i="18"/>
  <c r="G135" i="18" s="1"/>
  <c r="H135" i="18" s="1"/>
  <c r="I135" i="18" s="1"/>
  <c r="E134" i="18"/>
  <c r="G134" i="18" s="1"/>
  <c r="H134" i="18" s="1"/>
  <c r="I134" i="18" s="1"/>
  <c r="E133" i="18"/>
  <c r="D133" i="18"/>
  <c r="E132" i="18"/>
  <c r="G132" i="18" s="1"/>
  <c r="H132" i="18" s="1"/>
  <c r="I132" i="18" s="1"/>
  <c r="E131" i="18"/>
  <c r="D131" i="18"/>
  <c r="G128" i="18"/>
  <c r="H128" i="18" s="1"/>
  <c r="I128" i="18" s="1"/>
  <c r="G127" i="18"/>
  <c r="H127" i="18" s="1"/>
  <c r="I127" i="18" s="1"/>
  <c r="E126" i="18"/>
  <c r="G126" i="18" s="1"/>
  <c r="H126" i="18" s="1"/>
  <c r="I126" i="18" s="1"/>
  <c r="E125" i="18"/>
  <c r="G125" i="18" s="1"/>
  <c r="H125" i="18" s="1"/>
  <c r="I125" i="18" s="1"/>
  <c r="E124" i="18"/>
  <c r="D124" i="18"/>
  <c r="E123" i="18"/>
  <c r="G123" i="18" s="1"/>
  <c r="H123" i="18" s="1"/>
  <c r="I123" i="18" s="1"/>
  <c r="E122" i="18"/>
  <c r="D122" i="18"/>
  <c r="G117" i="18"/>
  <c r="H117" i="18" s="1"/>
  <c r="I117" i="18" s="1"/>
  <c r="G116" i="18"/>
  <c r="H116" i="18" s="1"/>
  <c r="I116" i="18" s="1"/>
  <c r="E115" i="18"/>
  <c r="G115" i="18" s="1"/>
  <c r="H115" i="18" s="1"/>
  <c r="I115" i="18" s="1"/>
  <c r="E114" i="18"/>
  <c r="G114" i="18" s="1"/>
  <c r="H114" i="18" s="1"/>
  <c r="I114" i="18" s="1"/>
  <c r="E113" i="18"/>
  <c r="D113" i="18"/>
  <c r="E112" i="18"/>
  <c r="G112" i="18" s="1"/>
  <c r="H112" i="18" s="1"/>
  <c r="I112" i="18" s="1"/>
  <c r="E111" i="18"/>
  <c r="D111" i="18"/>
  <c r="G108" i="18"/>
  <c r="H108" i="18" s="1"/>
  <c r="I108" i="18" s="1"/>
  <c r="G107" i="18"/>
  <c r="H107" i="18" s="1"/>
  <c r="I107" i="18" s="1"/>
  <c r="D106" i="18"/>
  <c r="G106" i="18" s="1"/>
  <c r="H106" i="18" s="1"/>
  <c r="I106" i="18" s="1"/>
  <c r="D105" i="18"/>
  <c r="G105" i="18" s="1"/>
  <c r="H105" i="18" s="1"/>
  <c r="I105" i="18" s="1"/>
  <c r="D104" i="18"/>
  <c r="G104" i="18" s="1"/>
  <c r="H104" i="18" s="1"/>
  <c r="I104" i="18" s="1"/>
  <c r="G103" i="18"/>
  <c r="H103" i="18" s="1"/>
  <c r="I103" i="18" s="1"/>
  <c r="D102" i="18"/>
  <c r="G102" i="18" s="1"/>
  <c r="G79" i="18"/>
  <c r="H79" i="18" s="1"/>
  <c r="I79" i="18" s="1"/>
  <c r="G78" i="18"/>
  <c r="H78" i="18" s="1"/>
  <c r="I78" i="18" s="1"/>
  <c r="G77" i="18"/>
  <c r="H77" i="18" s="1"/>
  <c r="I77" i="18" s="1"/>
  <c r="G76" i="18"/>
  <c r="H76" i="18" s="1"/>
  <c r="I76" i="18" s="1"/>
  <c r="D75" i="18"/>
  <c r="G75" i="18" s="1"/>
  <c r="H75" i="18" s="1"/>
  <c r="I75" i="18" s="1"/>
  <c r="G74" i="18"/>
  <c r="H74" i="18" s="1"/>
  <c r="I74" i="18" s="1"/>
  <c r="F73" i="18"/>
  <c r="D73" i="18"/>
  <c r="G70" i="18"/>
  <c r="H70" i="18" s="1"/>
  <c r="I70" i="18" s="1"/>
  <c r="G69" i="18"/>
  <c r="H69" i="18" s="1"/>
  <c r="I69" i="18" s="1"/>
  <c r="G68" i="18"/>
  <c r="H68" i="18" s="1"/>
  <c r="I68" i="18" s="1"/>
  <c r="G67" i="18"/>
  <c r="H67" i="18" s="1"/>
  <c r="I67" i="18" s="1"/>
  <c r="G66" i="18"/>
  <c r="H66" i="18" s="1"/>
  <c r="I66" i="18" s="1"/>
  <c r="G65" i="18"/>
  <c r="H65" i="18" s="1"/>
  <c r="I65" i="18" s="1"/>
  <c r="D64" i="18"/>
  <c r="G64" i="18" s="1"/>
  <c r="G16" i="28" l="1"/>
  <c r="H16" i="28" s="1"/>
  <c r="G7" i="28"/>
  <c r="H7" i="28" s="1"/>
  <c r="H14" i="28" s="1"/>
  <c r="G73" i="18"/>
  <c r="H73" i="18" s="1"/>
  <c r="I73" i="18" s="1"/>
  <c r="I80" i="18" s="1"/>
  <c r="G131" i="18"/>
  <c r="H131" i="18" s="1"/>
  <c r="I131" i="18" s="1"/>
  <c r="G124" i="18"/>
  <c r="H124" i="18" s="1"/>
  <c r="I124" i="18" s="1"/>
  <c r="G109" i="18"/>
  <c r="G133" i="18"/>
  <c r="H133" i="18" s="1"/>
  <c r="I133" i="18" s="1"/>
  <c r="H25" i="28"/>
  <c r="G32" i="28"/>
  <c r="G111" i="18"/>
  <c r="H111" i="18" s="1"/>
  <c r="I111" i="18" s="1"/>
  <c r="G113" i="18"/>
  <c r="H113" i="18" s="1"/>
  <c r="I113" i="18" s="1"/>
  <c r="G122" i="18"/>
  <c r="H122" i="18" s="1"/>
  <c r="I122" i="18" s="1"/>
  <c r="H102" i="18"/>
  <c r="I102" i="18" s="1"/>
  <c r="I109" i="18" s="1"/>
  <c r="H64" i="18"/>
  <c r="I64" i="18" s="1"/>
  <c r="I71" i="18" s="1"/>
  <c r="G71" i="18"/>
  <c r="G14" i="28" l="1"/>
  <c r="G23" i="28"/>
  <c r="I7" i="28"/>
  <c r="I14" i="28" s="1"/>
  <c r="M14" i="28"/>
  <c r="G80" i="18"/>
  <c r="H80" i="18"/>
  <c r="I118" i="18"/>
  <c r="I129" i="18"/>
  <c r="I138" i="18"/>
  <c r="G138" i="18"/>
  <c r="G118" i="18"/>
  <c r="H32" i="28"/>
  <c r="I25" i="28"/>
  <c r="I32" i="28" s="1"/>
  <c r="I16" i="28"/>
  <c r="I23" i="28" s="1"/>
  <c r="H23" i="28"/>
  <c r="M23" i="28" s="1"/>
  <c r="G129" i="18"/>
  <c r="H138" i="18"/>
  <c r="H129" i="18"/>
  <c r="H118" i="18"/>
  <c r="H109" i="18"/>
  <c r="H71" i="18"/>
  <c r="M32" i="28" l="1"/>
  <c r="D17" i="29"/>
  <c r="D19" i="29" l="1"/>
  <c r="C7" i="41"/>
  <c r="D54" i="18" l="1"/>
  <c r="D6" i="41"/>
  <c r="K19" i="37"/>
  <c r="K20" i="37"/>
  <c r="K22" i="37"/>
  <c r="K23" i="37"/>
  <c r="K24" i="37"/>
  <c r="K25" i="37"/>
  <c r="G145" i="18"/>
  <c r="H145" i="18" s="1"/>
  <c r="I145" i="18" s="1"/>
  <c r="G146" i="18"/>
  <c r="H146" i="18" s="1"/>
  <c r="I146" i="18" s="1"/>
  <c r="G158" i="18"/>
  <c r="H158" i="18" s="1"/>
  <c r="I158" i="18" s="1"/>
  <c r="G159" i="18"/>
  <c r="H159" i="18" s="1"/>
  <c r="I159" i="18" s="1"/>
  <c r="G160" i="18"/>
  <c r="H160" i="18" s="1"/>
  <c r="I160" i="18" s="1"/>
  <c r="G161" i="18"/>
  <c r="H161" i="18" s="1"/>
  <c r="I161" i="18" s="1"/>
  <c r="G162" i="18"/>
  <c r="H162" i="18" s="1"/>
  <c r="I162" i="18" s="1"/>
  <c r="G163" i="18"/>
  <c r="H163" i="18" s="1"/>
  <c r="I163" i="18" s="1"/>
  <c r="G164" i="18"/>
  <c r="H164" i="18" s="1"/>
  <c r="I164" i="18" s="1"/>
  <c r="G168" i="18"/>
  <c r="H168" i="18" s="1"/>
  <c r="I168" i="18" s="1"/>
  <c r="G169" i="18"/>
  <c r="H169" i="18" s="1"/>
  <c r="I169" i="18" s="1"/>
  <c r="G170" i="18"/>
  <c r="H170" i="18" s="1"/>
  <c r="I170" i="18" s="1"/>
  <c r="G171" i="18"/>
  <c r="H171" i="18" s="1"/>
  <c r="I171" i="18" s="1"/>
  <c r="G172" i="18"/>
  <c r="H172" i="18" s="1"/>
  <c r="I172" i="18" s="1"/>
  <c r="G173" i="18"/>
  <c r="H173" i="18" s="1"/>
  <c r="I173" i="18" s="1"/>
  <c r="G177" i="18"/>
  <c r="H177" i="18" s="1"/>
  <c r="I177" i="18" s="1"/>
  <c r="G178" i="18"/>
  <c r="H178" i="18" s="1"/>
  <c r="I178" i="18" s="1"/>
  <c r="G179" i="18"/>
  <c r="H179" i="18" s="1"/>
  <c r="I179" i="18" s="1"/>
  <c r="G180" i="18"/>
  <c r="H180" i="18" s="1"/>
  <c r="I180" i="18" s="1"/>
  <c r="G181" i="18"/>
  <c r="H181" i="18" s="1"/>
  <c r="I181" i="18" s="1"/>
  <c r="G182" i="18"/>
  <c r="H182" i="18" s="1"/>
  <c r="I182" i="18" s="1"/>
  <c r="G186" i="18"/>
  <c r="H186" i="18" s="1"/>
  <c r="I186" i="18" s="1"/>
  <c r="G187" i="18"/>
  <c r="H187" i="18" s="1"/>
  <c r="I187" i="18" s="1"/>
  <c r="G188" i="18"/>
  <c r="G189" i="18"/>
  <c r="H189" i="18" s="1"/>
  <c r="I189" i="18" s="1"/>
  <c r="G190" i="18"/>
  <c r="H190" i="18" s="1"/>
  <c r="I190" i="18" s="1"/>
  <c r="G191" i="18"/>
  <c r="H191" i="18" s="1"/>
  <c r="I191" i="18" s="1"/>
  <c r="G196" i="18"/>
  <c r="H196" i="18" s="1"/>
  <c r="I196" i="18" s="1"/>
  <c r="G197" i="18"/>
  <c r="H197" i="18" s="1"/>
  <c r="I197" i="18" s="1"/>
  <c r="G198" i="18"/>
  <c r="H198" i="18" s="1"/>
  <c r="I198" i="18" s="1"/>
  <c r="G199" i="18"/>
  <c r="H199" i="18" s="1"/>
  <c r="I199" i="18" s="1"/>
  <c r="G200" i="18"/>
  <c r="H200" i="18" s="1"/>
  <c r="I200" i="18" s="1"/>
  <c r="G201" i="18"/>
  <c r="H201" i="18" s="1"/>
  <c r="I201" i="18" s="1"/>
  <c r="G202" i="18"/>
  <c r="H202" i="18" s="1"/>
  <c r="I202" i="18" s="1"/>
  <c r="G205" i="18"/>
  <c r="H205" i="18" s="1"/>
  <c r="I205" i="18" s="1"/>
  <c r="G206" i="18"/>
  <c r="H206" i="18" s="1"/>
  <c r="I206" i="18" s="1"/>
  <c r="G207" i="18"/>
  <c r="H207" i="18" s="1"/>
  <c r="I207" i="18" s="1"/>
  <c r="G208" i="18"/>
  <c r="H208" i="18" s="1"/>
  <c r="I208" i="18" s="1"/>
  <c r="G209" i="18"/>
  <c r="H209" i="18" s="1"/>
  <c r="I209" i="18" s="1"/>
  <c r="G210" i="18"/>
  <c r="H210" i="18" s="1"/>
  <c r="I210" i="18" s="1"/>
  <c r="G211" i="18"/>
  <c r="H211" i="18" s="1"/>
  <c r="I211" i="18" s="1"/>
  <c r="G214" i="18"/>
  <c r="H214" i="18" s="1"/>
  <c r="I214" i="18" s="1"/>
  <c r="G215" i="18"/>
  <c r="G216" i="18"/>
  <c r="H216" i="18" s="1"/>
  <c r="I216" i="18" s="1"/>
  <c r="G217" i="18"/>
  <c r="H217" i="18" s="1"/>
  <c r="I217" i="18" s="1"/>
  <c r="G218" i="18"/>
  <c r="H218" i="18" s="1"/>
  <c r="I218" i="18" s="1"/>
  <c r="G219" i="18"/>
  <c r="H219" i="18" s="1"/>
  <c r="I219" i="18" s="1"/>
  <c r="G220" i="18"/>
  <c r="H220" i="18" s="1"/>
  <c r="I220" i="18" s="1"/>
  <c r="G223" i="18"/>
  <c r="H223" i="18" s="1"/>
  <c r="I223" i="18" s="1"/>
  <c r="G224" i="18"/>
  <c r="H224" i="18" s="1"/>
  <c r="I224" i="18" s="1"/>
  <c r="G225" i="18"/>
  <c r="H225" i="18" s="1"/>
  <c r="I225" i="18" s="1"/>
  <c r="G226" i="18"/>
  <c r="H226" i="18" s="1"/>
  <c r="I226" i="18" s="1"/>
  <c r="G227" i="18"/>
  <c r="H227" i="18" s="1"/>
  <c r="I227" i="18" s="1"/>
  <c r="G228" i="18"/>
  <c r="H228" i="18" s="1"/>
  <c r="I228" i="18" s="1"/>
  <c r="G229" i="18"/>
  <c r="H229" i="18" s="1"/>
  <c r="I229" i="18" s="1"/>
  <c r="G232" i="18"/>
  <c r="H232" i="18" s="1"/>
  <c r="I232" i="18" s="1"/>
  <c r="G233" i="18"/>
  <c r="H233" i="18" s="1"/>
  <c r="I233" i="18" s="1"/>
  <c r="G234" i="18"/>
  <c r="H234" i="18" s="1"/>
  <c r="I234" i="18" s="1"/>
  <c r="G235" i="18"/>
  <c r="H235" i="18" s="1"/>
  <c r="I235" i="18" s="1"/>
  <c r="G236" i="18"/>
  <c r="H236" i="18" s="1"/>
  <c r="I236" i="18" s="1"/>
  <c r="G237" i="18"/>
  <c r="H237" i="18" s="1"/>
  <c r="I237" i="18" s="1"/>
  <c r="G238" i="18"/>
  <c r="H238" i="18" s="1"/>
  <c r="I238" i="18" s="1"/>
  <c r="G241" i="18"/>
  <c r="H241" i="18" s="1"/>
  <c r="I241" i="18" s="1"/>
  <c r="G242" i="18"/>
  <c r="H242" i="18" s="1"/>
  <c r="I242" i="18" s="1"/>
  <c r="G243" i="18"/>
  <c r="H243" i="18" s="1"/>
  <c r="I243" i="18" s="1"/>
  <c r="G244" i="18"/>
  <c r="H244" i="18" s="1"/>
  <c r="I244" i="18" s="1"/>
  <c r="G245" i="18"/>
  <c r="H245" i="18" s="1"/>
  <c r="I245" i="18" s="1"/>
  <c r="G246" i="18"/>
  <c r="H246" i="18" s="1"/>
  <c r="I246" i="18" s="1"/>
  <c r="G247" i="18"/>
  <c r="H247" i="18" s="1"/>
  <c r="I247" i="18" s="1"/>
  <c r="G250" i="18"/>
  <c r="H250" i="18" s="1"/>
  <c r="I250" i="18" s="1"/>
  <c r="G251" i="18"/>
  <c r="H251" i="18" s="1"/>
  <c r="I251" i="18" s="1"/>
  <c r="G252" i="18"/>
  <c r="H252" i="18" s="1"/>
  <c r="I252" i="18" s="1"/>
  <c r="G253" i="18"/>
  <c r="H253" i="18" s="1"/>
  <c r="I253" i="18" s="1"/>
  <c r="G254" i="18"/>
  <c r="H254" i="18" s="1"/>
  <c r="I254" i="18" s="1"/>
  <c r="G255" i="18"/>
  <c r="H255" i="18" s="1"/>
  <c r="I255" i="18" s="1"/>
  <c r="G256" i="18"/>
  <c r="H256" i="18" s="1"/>
  <c r="I256" i="18" s="1"/>
  <c r="G259" i="18"/>
  <c r="H259" i="18" s="1"/>
  <c r="I259" i="18" s="1"/>
  <c r="G260" i="18"/>
  <c r="H260" i="18" s="1"/>
  <c r="I260" i="18" s="1"/>
  <c r="G261" i="18"/>
  <c r="H261" i="18" s="1"/>
  <c r="I261" i="18" s="1"/>
  <c r="G262" i="18"/>
  <c r="G263" i="18"/>
  <c r="H263" i="18" s="1"/>
  <c r="I263" i="18" s="1"/>
  <c r="G264" i="18"/>
  <c r="H264" i="18" s="1"/>
  <c r="I264" i="18" s="1"/>
  <c r="G265" i="18"/>
  <c r="H265" i="18" s="1"/>
  <c r="I265" i="18" s="1"/>
  <c r="G79" i="28"/>
  <c r="H79" i="28" s="1"/>
  <c r="I79" i="28" s="1"/>
  <c r="G80" i="28"/>
  <c r="H80" i="28" s="1"/>
  <c r="I80" i="28" s="1"/>
  <c r="J81" i="28"/>
  <c r="G96" i="28"/>
  <c r="H96" i="28" s="1"/>
  <c r="I96" i="28" s="1"/>
  <c r="G97" i="28"/>
  <c r="H97" i="28" s="1"/>
  <c r="I97" i="28" s="1"/>
  <c r="J98" i="28"/>
  <c r="G126" i="28"/>
  <c r="H126" i="28" s="1"/>
  <c r="G127" i="28"/>
  <c r="H127" i="28" s="1"/>
  <c r="I127" i="28" s="1"/>
  <c r="G128" i="28"/>
  <c r="H128" i="28" s="1"/>
  <c r="I128" i="28" s="1"/>
  <c r="G129" i="28"/>
  <c r="H129" i="28" s="1"/>
  <c r="I129" i="28" s="1"/>
  <c r="G130" i="28"/>
  <c r="H130" i="28" s="1"/>
  <c r="I130" i="28" s="1"/>
  <c r="G131" i="28"/>
  <c r="H131" i="28" s="1"/>
  <c r="I131" i="28" s="1"/>
  <c r="G132" i="28"/>
  <c r="H132" i="28" s="1"/>
  <c r="I132" i="28" s="1"/>
  <c r="J133" i="28"/>
  <c r="G135" i="28"/>
  <c r="H135" i="28" s="1"/>
  <c r="I135" i="28" s="1"/>
  <c r="G136" i="28"/>
  <c r="H136" i="28" s="1"/>
  <c r="G137" i="28"/>
  <c r="H137" i="28" s="1"/>
  <c r="I137" i="28" s="1"/>
  <c r="G138" i="28"/>
  <c r="G139" i="28"/>
  <c r="H139" i="28" s="1"/>
  <c r="I139" i="28" s="1"/>
  <c r="G140" i="28"/>
  <c r="H140" i="28" s="1"/>
  <c r="I140" i="28" s="1"/>
  <c r="G141" i="28"/>
  <c r="H141" i="28" s="1"/>
  <c r="I141" i="28" s="1"/>
  <c r="J142" i="28"/>
  <c r="G146" i="28"/>
  <c r="H146" i="28" s="1"/>
  <c r="G147" i="28"/>
  <c r="H147" i="28" s="1"/>
  <c r="I147" i="28" s="1"/>
  <c r="G148" i="28"/>
  <c r="H148" i="28" s="1"/>
  <c r="I148" i="28" s="1"/>
  <c r="G149" i="28"/>
  <c r="H149" i="28" s="1"/>
  <c r="I149" i="28" s="1"/>
  <c r="G150" i="28"/>
  <c r="H150" i="28" s="1"/>
  <c r="I150" i="28" s="1"/>
  <c r="G151" i="28"/>
  <c r="H151" i="28" s="1"/>
  <c r="I151" i="28" s="1"/>
  <c r="G152" i="28"/>
  <c r="H152" i="28" s="1"/>
  <c r="I152" i="28" s="1"/>
  <c r="J153" i="28"/>
  <c r="G155" i="28"/>
  <c r="H155" i="28" s="1"/>
  <c r="I155" i="28" s="1"/>
  <c r="G156" i="28"/>
  <c r="H156" i="28" s="1"/>
  <c r="G157" i="28"/>
  <c r="H157" i="28" s="1"/>
  <c r="I157" i="28" s="1"/>
  <c r="G158" i="28"/>
  <c r="H158" i="28" s="1"/>
  <c r="I158" i="28" s="1"/>
  <c r="G159" i="28"/>
  <c r="H159" i="28" s="1"/>
  <c r="I159" i="28" s="1"/>
  <c r="G160" i="28"/>
  <c r="H160" i="28" s="1"/>
  <c r="I160" i="28" s="1"/>
  <c r="G161" i="28"/>
  <c r="H161" i="28" s="1"/>
  <c r="I161" i="28" s="1"/>
  <c r="J162" i="28"/>
  <c r="G164" i="28"/>
  <c r="H164" i="28" s="1"/>
  <c r="G165" i="28"/>
  <c r="H165" i="28" s="1"/>
  <c r="I165" i="28" s="1"/>
  <c r="G166" i="28"/>
  <c r="H166" i="28" s="1"/>
  <c r="I166" i="28" s="1"/>
  <c r="G167" i="28"/>
  <c r="H167" i="28" s="1"/>
  <c r="I167" i="28" s="1"/>
  <c r="G168" i="28"/>
  <c r="H168" i="28" s="1"/>
  <c r="I168" i="28" s="1"/>
  <c r="G169" i="28"/>
  <c r="H169" i="28" s="1"/>
  <c r="I169" i="28" s="1"/>
  <c r="G170" i="28"/>
  <c r="H170" i="28" s="1"/>
  <c r="I170" i="28" s="1"/>
  <c r="J171" i="28"/>
  <c r="G173" i="28"/>
  <c r="H173" i="28" s="1"/>
  <c r="G174" i="28"/>
  <c r="H174" i="28" s="1"/>
  <c r="I174" i="28" s="1"/>
  <c r="G175" i="28"/>
  <c r="H175" i="28" s="1"/>
  <c r="I175" i="28" s="1"/>
  <c r="G176" i="28"/>
  <c r="H176" i="28" s="1"/>
  <c r="I176" i="28" s="1"/>
  <c r="G177" i="28"/>
  <c r="H177" i="28" s="1"/>
  <c r="I177" i="28" s="1"/>
  <c r="G178" i="28"/>
  <c r="H178" i="28" s="1"/>
  <c r="I178" i="28" s="1"/>
  <c r="G179" i="28"/>
  <c r="H179" i="28" s="1"/>
  <c r="I179" i="28" s="1"/>
  <c r="J180" i="28"/>
  <c r="G182" i="28"/>
  <c r="H182" i="28" s="1"/>
  <c r="G183" i="28"/>
  <c r="H183" i="28" s="1"/>
  <c r="I183" i="28" s="1"/>
  <c r="G184" i="28"/>
  <c r="H184" i="28" s="1"/>
  <c r="I184" i="28" s="1"/>
  <c r="G185" i="28"/>
  <c r="H185" i="28" s="1"/>
  <c r="I185" i="28" s="1"/>
  <c r="G186" i="28"/>
  <c r="H186" i="28" s="1"/>
  <c r="I186" i="28" s="1"/>
  <c r="G187" i="28"/>
  <c r="H187" i="28" s="1"/>
  <c r="I187" i="28" s="1"/>
  <c r="G188" i="28"/>
  <c r="H188" i="28" s="1"/>
  <c r="I188" i="28" s="1"/>
  <c r="J189" i="28"/>
  <c r="G191" i="28"/>
  <c r="H191" i="28" s="1"/>
  <c r="G192" i="28"/>
  <c r="H192" i="28" s="1"/>
  <c r="I192" i="28" s="1"/>
  <c r="G193" i="28"/>
  <c r="H193" i="28" s="1"/>
  <c r="I193" i="28" s="1"/>
  <c r="G194" i="28"/>
  <c r="H194" i="28" s="1"/>
  <c r="I194" i="28" s="1"/>
  <c r="G195" i="28"/>
  <c r="H195" i="28" s="1"/>
  <c r="I195" i="28" s="1"/>
  <c r="G196" i="28"/>
  <c r="H196" i="28" s="1"/>
  <c r="I196" i="28" s="1"/>
  <c r="G197" i="28"/>
  <c r="H197" i="28" s="1"/>
  <c r="I197" i="28" s="1"/>
  <c r="J198" i="28"/>
  <c r="G200" i="28"/>
  <c r="H200" i="28" s="1"/>
  <c r="G201" i="28"/>
  <c r="H201" i="28" s="1"/>
  <c r="I201" i="28" s="1"/>
  <c r="G202" i="28"/>
  <c r="H202" i="28" s="1"/>
  <c r="I202" i="28" s="1"/>
  <c r="G203" i="28"/>
  <c r="H203" i="28" s="1"/>
  <c r="I203" i="28" s="1"/>
  <c r="G204" i="28"/>
  <c r="H204" i="28" s="1"/>
  <c r="I204" i="28" s="1"/>
  <c r="G205" i="28"/>
  <c r="H205" i="28" s="1"/>
  <c r="I205" i="28" s="1"/>
  <c r="G206" i="28"/>
  <c r="H206" i="28" s="1"/>
  <c r="I206" i="28" s="1"/>
  <c r="J207" i="28"/>
  <c r="G209" i="28"/>
  <c r="H209" i="28" s="1"/>
  <c r="I209" i="28" s="1"/>
  <c r="G210" i="28"/>
  <c r="H210" i="28" s="1"/>
  <c r="I210" i="28" s="1"/>
  <c r="G211" i="28"/>
  <c r="H211" i="28" s="1"/>
  <c r="I211" i="28" s="1"/>
  <c r="G212" i="28"/>
  <c r="H212" i="28" s="1"/>
  <c r="I212" i="28" s="1"/>
  <c r="G213" i="28"/>
  <c r="H213" i="28" s="1"/>
  <c r="I213" i="28" s="1"/>
  <c r="G214" i="28"/>
  <c r="H214" i="28" s="1"/>
  <c r="I214" i="28" s="1"/>
  <c r="G215" i="28"/>
  <c r="H215" i="28" s="1"/>
  <c r="I215" i="28" s="1"/>
  <c r="J216" i="28"/>
  <c r="F55" i="29"/>
  <c r="G56" i="29"/>
  <c r="H56" i="29" s="1"/>
  <c r="I56" i="29" s="1"/>
  <c r="G57" i="29"/>
  <c r="H57" i="29" s="1"/>
  <c r="I57" i="29" s="1"/>
  <c r="G58" i="29"/>
  <c r="H58" i="29" s="1"/>
  <c r="I58" i="29" s="1"/>
  <c r="G59" i="29"/>
  <c r="H59" i="29" s="1"/>
  <c r="I59" i="29" s="1"/>
  <c r="G60" i="29"/>
  <c r="H60" i="29" s="1"/>
  <c r="I60" i="29" s="1"/>
  <c r="G61" i="29"/>
  <c r="H61" i="29" s="1"/>
  <c r="I61" i="29" s="1"/>
  <c r="J62" i="29"/>
  <c r="G82" i="29"/>
  <c r="H82" i="29" s="1"/>
  <c r="G83" i="29"/>
  <c r="H83" i="29" s="1"/>
  <c r="I83" i="29" s="1"/>
  <c r="G84" i="29"/>
  <c r="H84" i="29" s="1"/>
  <c r="I84" i="29" s="1"/>
  <c r="G85" i="29"/>
  <c r="H85" i="29" s="1"/>
  <c r="I85" i="29" s="1"/>
  <c r="G86" i="29"/>
  <c r="H86" i="29" s="1"/>
  <c r="I86" i="29" s="1"/>
  <c r="G87" i="29"/>
  <c r="H87" i="29" s="1"/>
  <c r="I87" i="29" s="1"/>
  <c r="G88" i="29"/>
  <c r="H88" i="29" s="1"/>
  <c r="I88" i="29" s="1"/>
  <c r="J89" i="29"/>
  <c r="M90" i="29"/>
  <c r="G91" i="29"/>
  <c r="H91" i="29" s="1"/>
  <c r="I91" i="29" s="1"/>
  <c r="G92" i="29"/>
  <c r="H92" i="29" s="1"/>
  <c r="I92" i="29" s="1"/>
  <c r="G93" i="29"/>
  <c r="H93" i="29" s="1"/>
  <c r="I93" i="29" s="1"/>
  <c r="G94" i="29"/>
  <c r="H94" i="29" s="1"/>
  <c r="I94" i="29" s="1"/>
  <c r="G95" i="29"/>
  <c r="H95" i="29" s="1"/>
  <c r="I95" i="29" s="1"/>
  <c r="G96" i="29"/>
  <c r="H96" i="29" s="1"/>
  <c r="I96" i="29" s="1"/>
  <c r="G97" i="29"/>
  <c r="H97" i="29" s="1"/>
  <c r="I97" i="29" s="1"/>
  <c r="J98" i="29"/>
  <c r="M99" i="29"/>
  <c r="G100" i="29"/>
  <c r="H100" i="29" s="1"/>
  <c r="I100" i="29" s="1"/>
  <c r="G101" i="29"/>
  <c r="H101" i="29" s="1"/>
  <c r="I101" i="29" s="1"/>
  <c r="G102" i="29"/>
  <c r="H102" i="29" s="1"/>
  <c r="I102" i="29" s="1"/>
  <c r="G103" i="29"/>
  <c r="H103" i="29" s="1"/>
  <c r="I103" i="29" s="1"/>
  <c r="G104" i="29"/>
  <c r="H104" i="29" s="1"/>
  <c r="I104" i="29" s="1"/>
  <c r="G105" i="29"/>
  <c r="H105" i="29" s="1"/>
  <c r="I105" i="29" s="1"/>
  <c r="G106" i="29"/>
  <c r="H106" i="29" s="1"/>
  <c r="I106" i="29" s="1"/>
  <c r="J107" i="29"/>
  <c r="M108" i="29"/>
  <c r="G109" i="29"/>
  <c r="H109" i="29" s="1"/>
  <c r="I109" i="29" s="1"/>
  <c r="G110" i="29"/>
  <c r="H110" i="29" s="1"/>
  <c r="G111" i="29"/>
  <c r="H111" i="29" s="1"/>
  <c r="I111" i="29" s="1"/>
  <c r="G112" i="29"/>
  <c r="H112" i="29" s="1"/>
  <c r="I112" i="29" s="1"/>
  <c r="G113" i="29"/>
  <c r="H113" i="29" s="1"/>
  <c r="I113" i="29" s="1"/>
  <c r="G114" i="29"/>
  <c r="H114" i="29" s="1"/>
  <c r="I114" i="29" s="1"/>
  <c r="G115" i="29"/>
  <c r="H115" i="29" s="1"/>
  <c r="I115" i="29" s="1"/>
  <c r="J116" i="29"/>
  <c r="M117" i="29"/>
  <c r="G118" i="29"/>
  <c r="H118" i="29" s="1"/>
  <c r="I118" i="29" s="1"/>
  <c r="G119" i="29"/>
  <c r="H119" i="29" s="1"/>
  <c r="G120" i="29"/>
  <c r="H120" i="29" s="1"/>
  <c r="I120" i="29" s="1"/>
  <c r="G121" i="29"/>
  <c r="H121" i="29" s="1"/>
  <c r="I121" i="29" s="1"/>
  <c r="G122" i="29"/>
  <c r="H122" i="29" s="1"/>
  <c r="I122" i="29" s="1"/>
  <c r="G123" i="29"/>
  <c r="H123" i="29" s="1"/>
  <c r="I123" i="29" s="1"/>
  <c r="G124" i="29"/>
  <c r="H124" i="29" s="1"/>
  <c r="I124" i="29" s="1"/>
  <c r="J125" i="29"/>
  <c r="M137" i="29"/>
  <c r="G138" i="29"/>
  <c r="H138" i="29" s="1"/>
  <c r="I138" i="29" s="1"/>
  <c r="G139" i="29"/>
  <c r="H139" i="29" s="1"/>
  <c r="G140" i="29"/>
  <c r="H140" i="29" s="1"/>
  <c r="I140" i="29" s="1"/>
  <c r="G141" i="29"/>
  <c r="H141" i="29" s="1"/>
  <c r="I141" i="29" s="1"/>
  <c r="G142" i="29"/>
  <c r="H142" i="29" s="1"/>
  <c r="I142" i="29" s="1"/>
  <c r="G143" i="29"/>
  <c r="H143" i="29" s="1"/>
  <c r="I143" i="29" s="1"/>
  <c r="G144" i="29"/>
  <c r="H144" i="29" s="1"/>
  <c r="I144" i="29" s="1"/>
  <c r="J145" i="29"/>
  <c r="M146" i="29"/>
  <c r="G147" i="29"/>
  <c r="H147" i="29" s="1"/>
  <c r="I147" i="29" s="1"/>
  <c r="G148" i="29"/>
  <c r="H148" i="29" s="1"/>
  <c r="I148" i="29" s="1"/>
  <c r="G149" i="29"/>
  <c r="H149" i="29" s="1"/>
  <c r="I149" i="29" s="1"/>
  <c r="G150" i="29"/>
  <c r="H150" i="29" s="1"/>
  <c r="I150" i="29" s="1"/>
  <c r="G151" i="29"/>
  <c r="H151" i="29" s="1"/>
  <c r="I151" i="29" s="1"/>
  <c r="G152" i="29"/>
  <c r="H152" i="29" s="1"/>
  <c r="I152" i="29" s="1"/>
  <c r="G153" i="29"/>
  <c r="H153" i="29" s="1"/>
  <c r="I153" i="29" s="1"/>
  <c r="J154" i="29"/>
  <c r="M155" i="29"/>
  <c r="G156" i="29"/>
  <c r="H156" i="29" s="1"/>
  <c r="I156" i="29" s="1"/>
  <c r="G157" i="29"/>
  <c r="G158" i="29"/>
  <c r="H158" i="29" s="1"/>
  <c r="I158" i="29" s="1"/>
  <c r="G159" i="29"/>
  <c r="H159" i="29" s="1"/>
  <c r="I159" i="29" s="1"/>
  <c r="G160" i="29"/>
  <c r="H160" i="29" s="1"/>
  <c r="I160" i="29" s="1"/>
  <c r="G161" i="29"/>
  <c r="H161" i="29" s="1"/>
  <c r="I161" i="29" s="1"/>
  <c r="G162" i="29"/>
  <c r="H162" i="29" s="1"/>
  <c r="I162" i="29" s="1"/>
  <c r="J163" i="29"/>
  <c r="M164" i="29"/>
  <c r="G165" i="29"/>
  <c r="H165" i="29" s="1"/>
  <c r="I165" i="29" s="1"/>
  <c r="G166" i="29"/>
  <c r="H166" i="29" s="1"/>
  <c r="G167" i="29"/>
  <c r="H167" i="29" s="1"/>
  <c r="I167" i="29" s="1"/>
  <c r="G168" i="29"/>
  <c r="H168" i="29" s="1"/>
  <c r="I168" i="29" s="1"/>
  <c r="G169" i="29"/>
  <c r="H169" i="29" s="1"/>
  <c r="I169" i="29" s="1"/>
  <c r="G170" i="29"/>
  <c r="H170" i="29" s="1"/>
  <c r="I170" i="29" s="1"/>
  <c r="G171" i="29"/>
  <c r="H171" i="29" s="1"/>
  <c r="I171" i="29" s="1"/>
  <c r="J172" i="29"/>
  <c r="M173" i="29"/>
  <c r="G174" i="29"/>
  <c r="H174" i="29" s="1"/>
  <c r="I174" i="29" s="1"/>
  <c r="G175" i="29"/>
  <c r="H175" i="29" s="1"/>
  <c r="G176" i="29"/>
  <c r="H176" i="29" s="1"/>
  <c r="I176" i="29" s="1"/>
  <c r="G177" i="29"/>
  <c r="H177" i="29" s="1"/>
  <c r="I177" i="29" s="1"/>
  <c r="G178" i="29"/>
  <c r="H178" i="29" s="1"/>
  <c r="I178" i="29" s="1"/>
  <c r="G179" i="29"/>
  <c r="H179" i="29" s="1"/>
  <c r="I179" i="29" s="1"/>
  <c r="G180" i="29"/>
  <c r="H180" i="29" s="1"/>
  <c r="I180" i="29" s="1"/>
  <c r="J181" i="29"/>
  <c r="M182" i="29"/>
  <c r="G183" i="29"/>
  <c r="H183" i="29" s="1"/>
  <c r="I183" i="29" s="1"/>
  <c r="G184" i="29"/>
  <c r="H184" i="29" s="1"/>
  <c r="I184" i="29" s="1"/>
  <c r="G185" i="29"/>
  <c r="H185" i="29" s="1"/>
  <c r="I185" i="29" s="1"/>
  <c r="G186" i="29"/>
  <c r="H186" i="29" s="1"/>
  <c r="I186" i="29" s="1"/>
  <c r="G187" i="29"/>
  <c r="H187" i="29" s="1"/>
  <c r="I187" i="29" s="1"/>
  <c r="G188" i="29"/>
  <c r="G189" i="29"/>
  <c r="H189" i="29" s="1"/>
  <c r="I189" i="29" s="1"/>
  <c r="J190" i="29"/>
  <c r="M191" i="29"/>
  <c r="G192" i="29"/>
  <c r="H192" i="29" s="1"/>
  <c r="G193" i="29"/>
  <c r="H193" i="29" s="1"/>
  <c r="I193" i="29" s="1"/>
  <c r="G194" i="29"/>
  <c r="H194" i="29" s="1"/>
  <c r="I194" i="29" s="1"/>
  <c r="G195" i="29"/>
  <c r="H195" i="29" s="1"/>
  <c r="I195" i="29" s="1"/>
  <c r="G196" i="29"/>
  <c r="H196" i="29" s="1"/>
  <c r="I196" i="29" s="1"/>
  <c r="G197" i="29"/>
  <c r="H197" i="29" s="1"/>
  <c r="I197" i="29" s="1"/>
  <c r="G198" i="29"/>
  <c r="H198" i="29" s="1"/>
  <c r="I198" i="29" s="1"/>
  <c r="J199" i="29"/>
  <c r="M200" i="29"/>
  <c r="G203" i="29"/>
  <c r="H203" i="29" s="1"/>
  <c r="I203" i="29" s="1"/>
  <c r="G204" i="29"/>
  <c r="H204" i="29" s="1"/>
  <c r="I204" i="29" s="1"/>
  <c r="G205" i="29"/>
  <c r="H205" i="29" s="1"/>
  <c r="G206" i="29"/>
  <c r="H206" i="29" s="1"/>
  <c r="I206" i="29" s="1"/>
  <c r="G207" i="29"/>
  <c r="H207" i="29" s="1"/>
  <c r="I207" i="29" s="1"/>
  <c r="G208" i="29"/>
  <c r="H208" i="29" s="1"/>
  <c r="I208" i="29" s="1"/>
  <c r="G209" i="29"/>
  <c r="H209" i="29" s="1"/>
  <c r="I209" i="29" s="1"/>
  <c r="J210" i="29"/>
  <c r="M211" i="29"/>
  <c r="G212" i="29"/>
  <c r="H212" i="29" s="1"/>
  <c r="G213" i="29"/>
  <c r="G214" i="29"/>
  <c r="H214" i="29" s="1"/>
  <c r="I214" i="29" s="1"/>
  <c r="G215" i="29"/>
  <c r="H215" i="29" s="1"/>
  <c r="I215" i="29" s="1"/>
  <c r="G216" i="29"/>
  <c r="H216" i="29" s="1"/>
  <c r="I216" i="29" s="1"/>
  <c r="G217" i="29"/>
  <c r="H217" i="29" s="1"/>
  <c r="I217" i="29" s="1"/>
  <c r="G218" i="29"/>
  <c r="H218" i="29" s="1"/>
  <c r="I218" i="29" s="1"/>
  <c r="J219" i="29"/>
  <c r="M220" i="29"/>
  <c r="G221" i="29"/>
  <c r="G222" i="29"/>
  <c r="H222" i="29" s="1"/>
  <c r="I222" i="29" s="1"/>
  <c r="G223" i="29"/>
  <c r="H223" i="29" s="1"/>
  <c r="I223" i="29" s="1"/>
  <c r="G224" i="29"/>
  <c r="H224" i="29" s="1"/>
  <c r="I224" i="29" s="1"/>
  <c r="G225" i="29"/>
  <c r="H225" i="29" s="1"/>
  <c r="I225" i="29" s="1"/>
  <c r="G226" i="29"/>
  <c r="H226" i="29" s="1"/>
  <c r="I226" i="29" s="1"/>
  <c r="G227" i="29"/>
  <c r="H227" i="29" s="1"/>
  <c r="I227" i="29" s="1"/>
  <c r="J228" i="29"/>
  <c r="M229" i="29"/>
  <c r="G230" i="29"/>
  <c r="H230" i="29" s="1"/>
  <c r="I230" i="29" s="1"/>
  <c r="G231" i="29"/>
  <c r="H231" i="29" s="1"/>
  <c r="I231" i="29" s="1"/>
  <c r="G232" i="29"/>
  <c r="H232" i="29" s="1"/>
  <c r="I232" i="29" s="1"/>
  <c r="G233" i="29"/>
  <c r="H233" i="29" s="1"/>
  <c r="G234" i="29"/>
  <c r="H234" i="29" s="1"/>
  <c r="I234" i="29" s="1"/>
  <c r="G235" i="29"/>
  <c r="H235" i="29" s="1"/>
  <c r="I235" i="29" s="1"/>
  <c r="G236" i="29"/>
  <c r="H236" i="29" s="1"/>
  <c r="I236" i="29" s="1"/>
  <c r="J237" i="29"/>
  <c r="M238" i="29"/>
  <c r="G239" i="29"/>
  <c r="H239" i="29" s="1"/>
  <c r="G240" i="29"/>
  <c r="H240" i="29" s="1"/>
  <c r="I240" i="29" s="1"/>
  <c r="G241" i="29"/>
  <c r="H241" i="29" s="1"/>
  <c r="I241" i="29" s="1"/>
  <c r="G242" i="29"/>
  <c r="H242" i="29" s="1"/>
  <c r="I242" i="29" s="1"/>
  <c r="G243" i="29"/>
  <c r="H243" i="29" s="1"/>
  <c r="I243" i="29" s="1"/>
  <c r="G244" i="29"/>
  <c r="H244" i="29" s="1"/>
  <c r="I244" i="29" s="1"/>
  <c r="G245" i="29"/>
  <c r="H245" i="29" s="1"/>
  <c r="I245" i="29" s="1"/>
  <c r="J246" i="29"/>
  <c r="M247" i="29"/>
  <c r="G248" i="29"/>
  <c r="H248" i="29" s="1"/>
  <c r="G249" i="29"/>
  <c r="H249" i="29" s="1"/>
  <c r="I249" i="29" s="1"/>
  <c r="G250" i="29"/>
  <c r="H250" i="29" s="1"/>
  <c r="I250" i="29" s="1"/>
  <c r="G251" i="29"/>
  <c r="H251" i="29" s="1"/>
  <c r="I251" i="29" s="1"/>
  <c r="G252" i="29"/>
  <c r="H252" i="29" s="1"/>
  <c r="I252" i="29" s="1"/>
  <c r="G253" i="29"/>
  <c r="H253" i="29" s="1"/>
  <c r="I253" i="29" s="1"/>
  <c r="G254" i="29"/>
  <c r="H254" i="29" s="1"/>
  <c r="I254" i="29" s="1"/>
  <c r="J255" i="29"/>
  <c r="M256" i="29"/>
  <c r="G257" i="29"/>
  <c r="H257" i="29" s="1"/>
  <c r="G258" i="29"/>
  <c r="H258" i="29" s="1"/>
  <c r="I258" i="29" s="1"/>
  <c r="G259" i="29"/>
  <c r="H259" i="29" s="1"/>
  <c r="I259" i="29" s="1"/>
  <c r="G260" i="29"/>
  <c r="H260" i="29" s="1"/>
  <c r="I260" i="29" s="1"/>
  <c r="G261" i="29"/>
  <c r="H261" i="29" s="1"/>
  <c r="I261" i="29" s="1"/>
  <c r="G262" i="29"/>
  <c r="H262" i="29" s="1"/>
  <c r="I262" i="29" s="1"/>
  <c r="G263" i="29"/>
  <c r="H263" i="29" s="1"/>
  <c r="I263" i="29" s="1"/>
  <c r="J264" i="29"/>
  <c r="M265" i="29"/>
  <c r="G266" i="29"/>
  <c r="H266" i="29" s="1"/>
  <c r="I266" i="29" s="1"/>
  <c r="G267" i="29"/>
  <c r="H267" i="29" s="1"/>
  <c r="I267" i="29" s="1"/>
  <c r="G268" i="29"/>
  <c r="H268" i="29" s="1"/>
  <c r="I268" i="29" s="1"/>
  <c r="G269" i="29"/>
  <c r="H269" i="29" s="1"/>
  <c r="I269" i="29" s="1"/>
  <c r="G270" i="29"/>
  <c r="H270" i="29" s="1"/>
  <c r="I270" i="29" s="1"/>
  <c r="G271" i="29"/>
  <c r="H271" i="29" s="1"/>
  <c r="I271" i="29" s="1"/>
  <c r="G272" i="29"/>
  <c r="H272" i="29" s="1"/>
  <c r="I272" i="29" s="1"/>
  <c r="J273" i="29"/>
  <c r="M274" i="29"/>
  <c r="I147" i="18" l="1"/>
  <c r="I239" i="18"/>
  <c r="I248" i="18"/>
  <c r="I257" i="18"/>
  <c r="I203" i="18"/>
  <c r="I212" i="18"/>
  <c r="I165" i="18"/>
  <c r="I230" i="18"/>
  <c r="G55" i="29"/>
  <c r="H55" i="29" s="1"/>
  <c r="I55" i="29" s="1"/>
  <c r="I62" i="29" s="1"/>
  <c r="G167" i="18"/>
  <c r="H167" i="18" s="1"/>
  <c r="I167" i="18" s="1"/>
  <c r="I174" i="18" s="1"/>
  <c r="G185" i="18"/>
  <c r="H185" i="18" s="1"/>
  <c r="I185" i="18" s="1"/>
  <c r="G176" i="18"/>
  <c r="H176" i="18" s="1"/>
  <c r="I176" i="18" s="1"/>
  <c r="I183" i="18" s="1"/>
  <c r="G142" i="28"/>
  <c r="G264" i="29"/>
  <c r="G219" i="29"/>
  <c r="G89" i="29"/>
  <c r="G98" i="29"/>
  <c r="H107" i="29"/>
  <c r="G107" i="29"/>
  <c r="G199" i="29"/>
  <c r="G154" i="29"/>
  <c r="G163" i="29"/>
  <c r="G190" i="29"/>
  <c r="H213" i="29"/>
  <c r="I213" i="29" s="1"/>
  <c r="G228" i="29"/>
  <c r="G246" i="29"/>
  <c r="G81" i="28"/>
  <c r="H171" i="28"/>
  <c r="G171" i="28"/>
  <c r="I98" i="28"/>
  <c r="H98" i="28"/>
  <c r="G98" i="28"/>
  <c r="H133" i="28"/>
  <c r="G133" i="28"/>
  <c r="I136" i="28"/>
  <c r="H138" i="28"/>
  <c r="I138" i="28" s="1"/>
  <c r="I146" i="28"/>
  <c r="I153" i="28" s="1"/>
  <c r="H153" i="28"/>
  <c r="G153" i="28"/>
  <c r="I156" i="28"/>
  <c r="I162" i="28" s="1"/>
  <c r="H162" i="28"/>
  <c r="G162" i="28"/>
  <c r="I173" i="28"/>
  <c r="I180" i="28" s="1"/>
  <c r="H180" i="28"/>
  <c r="G180" i="28"/>
  <c r="I182" i="28"/>
  <c r="I189" i="28" s="1"/>
  <c r="H189" i="28"/>
  <c r="G189" i="28"/>
  <c r="I191" i="28"/>
  <c r="I198" i="28" s="1"/>
  <c r="H198" i="28"/>
  <c r="G198" i="28"/>
  <c r="H207" i="28"/>
  <c r="G207" i="28"/>
  <c r="H216" i="28"/>
  <c r="G216" i="28"/>
  <c r="G203" i="18"/>
  <c r="G221" i="18"/>
  <c r="G266" i="18"/>
  <c r="G156" i="18"/>
  <c r="H262" i="18"/>
  <c r="I262" i="18" s="1"/>
  <c r="I266" i="18" s="1"/>
  <c r="H257" i="18"/>
  <c r="G257" i="18"/>
  <c r="H248" i="18"/>
  <c r="G248" i="18"/>
  <c r="G239" i="18"/>
  <c r="G230" i="18"/>
  <c r="H215" i="18"/>
  <c r="I215" i="18" s="1"/>
  <c r="I221" i="18" s="1"/>
  <c r="H212" i="18"/>
  <c r="G212" i="18"/>
  <c r="H188" i="18"/>
  <c r="I188" i="18" s="1"/>
  <c r="H165" i="18"/>
  <c r="G165" i="18"/>
  <c r="H239" i="18"/>
  <c r="H203" i="18"/>
  <c r="H230" i="18"/>
  <c r="I216" i="28"/>
  <c r="I200" i="28"/>
  <c r="I207" i="28" s="1"/>
  <c r="I164" i="28"/>
  <c r="I171" i="28" s="1"/>
  <c r="I126" i="28"/>
  <c r="I133" i="28" s="1"/>
  <c r="I248" i="29"/>
  <c r="I255" i="29" s="1"/>
  <c r="H255" i="29"/>
  <c r="H199" i="29"/>
  <c r="I192" i="29"/>
  <c r="I199" i="29" s="1"/>
  <c r="I205" i="29"/>
  <c r="I210" i="29" s="1"/>
  <c r="H210" i="29"/>
  <c r="I233" i="29"/>
  <c r="I237" i="29" s="1"/>
  <c r="H237" i="29"/>
  <c r="I212" i="29"/>
  <c r="H264" i="29"/>
  <c r="I257" i="29"/>
  <c r="I264" i="29" s="1"/>
  <c r="H116" i="29"/>
  <c r="I110" i="29"/>
  <c r="I116" i="29" s="1"/>
  <c r="I166" i="29"/>
  <c r="I172" i="29" s="1"/>
  <c r="H172" i="29"/>
  <c r="H89" i="29"/>
  <c r="I82" i="29"/>
  <c r="I89" i="29" s="1"/>
  <c r="H246" i="29"/>
  <c r="I239" i="29"/>
  <c r="I246" i="29" s="1"/>
  <c r="I139" i="29"/>
  <c r="I145" i="29" s="1"/>
  <c r="H145" i="29"/>
  <c r="I175" i="29"/>
  <c r="I181" i="29" s="1"/>
  <c r="H181" i="29"/>
  <c r="I119" i="29"/>
  <c r="I125" i="29" s="1"/>
  <c r="H125" i="29"/>
  <c r="I107" i="29"/>
  <c r="G172" i="29"/>
  <c r="G116" i="29"/>
  <c r="G237" i="29"/>
  <c r="G210" i="29"/>
  <c r="I154" i="29"/>
  <c r="G145" i="29"/>
  <c r="G273" i="29"/>
  <c r="H188" i="29"/>
  <c r="I188" i="29" s="1"/>
  <c r="I190" i="29" s="1"/>
  <c r="G181" i="29"/>
  <c r="H157" i="29"/>
  <c r="G125" i="29"/>
  <c r="H221" i="29"/>
  <c r="I221" i="29" s="1"/>
  <c r="I228" i="29" s="1"/>
  <c r="G255" i="29"/>
  <c r="I98" i="29"/>
  <c r="H98" i="29"/>
  <c r="I273" i="29"/>
  <c r="H273" i="29"/>
  <c r="H154" i="29"/>
  <c r="G97" i="18"/>
  <c r="H97" i="18" s="1"/>
  <c r="I97" i="18" s="1"/>
  <c r="G96" i="18"/>
  <c r="H96" i="18" s="1"/>
  <c r="I96" i="18" s="1"/>
  <c r="G95" i="18"/>
  <c r="H95" i="18" s="1"/>
  <c r="I95" i="18" s="1"/>
  <c r="G94" i="18"/>
  <c r="H94" i="18" s="1"/>
  <c r="I94" i="18" s="1"/>
  <c r="G93" i="18"/>
  <c r="H93" i="18" s="1"/>
  <c r="I93" i="18" s="1"/>
  <c r="G92" i="18"/>
  <c r="H92" i="18" s="1"/>
  <c r="I92" i="18" s="1"/>
  <c r="D91" i="18"/>
  <c r="G88" i="18"/>
  <c r="H88" i="18" s="1"/>
  <c r="I88" i="18" s="1"/>
  <c r="G87" i="18"/>
  <c r="H87" i="18" s="1"/>
  <c r="I87" i="18" s="1"/>
  <c r="G86" i="18"/>
  <c r="H86" i="18" s="1"/>
  <c r="I86" i="18" s="1"/>
  <c r="E85" i="18"/>
  <c r="D85" i="18"/>
  <c r="G84" i="18"/>
  <c r="H84" i="18" s="1"/>
  <c r="I84" i="18" s="1"/>
  <c r="G83" i="18"/>
  <c r="H83" i="18" s="1"/>
  <c r="I83" i="18" s="1"/>
  <c r="D82" i="18"/>
  <c r="H62" i="29" l="1"/>
  <c r="G62" i="29"/>
  <c r="I192" i="18"/>
  <c r="G174" i="18"/>
  <c r="G82" i="18"/>
  <c r="H82" i="18" s="1"/>
  <c r="I82" i="18" s="1"/>
  <c r="G91" i="18"/>
  <c r="H91" i="18" s="1"/>
  <c r="I91" i="18" s="1"/>
  <c r="I98" i="18" s="1"/>
  <c r="H228" i="29"/>
  <c r="G192" i="18"/>
  <c r="G147" i="18"/>
  <c r="H147" i="18"/>
  <c r="G183" i="18"/>
  <c r="I219" i="29"/>
  <c r="H219" i="29"/>
  <c r="H190" i="29"/>
  <c r="I142" i="28"/>
  <c r="H81" i="28"/>
  <c r="I81" i="28"/>
  <c r="H142" i="28"/>
  <c r="H266" i="18"/>
  <c r="H221" i="18"/>
  <c r="H192" i="18"/>
  <c r="H156" i="18"/>
  <c r="H174" i="18"/>
  <c r="H183" i="18"/>
  <c r="H163" i="29"/>
  <c r="I157" i="29"/>
  <c r="I163" i="29" s="1"/>
  <c r="G85" i="18"/>
  <c r="H85" i="18" s="1"/>
  <c r="I85" i="18" s="1"/>
  <c r="G58" i="18"/>
  <c r="H58" i="18" s="1"/>
  <c r="I58" i="18" s="1"/>
  <c r="C40" i="38"/>
  <c r="C39" i="38"/>
  <c r="G56" i="18"/>
  <c r="H56" i="18" s="1"/>
  <c r="I56" i="18" s="1"/>
  <c r="C20" i="38"/>
  <c r="G20" i="38" s="1"/>
  <c r="C37" i="38" s="1"/>
  <c r="C19" i="38"/>
  <c r="K19" i="38" s="1"/>
  <c r="F23" i="37"/>
  <c r="G23" i="37" s="1"/>
  <c r="H23" i="37" s="1"/>
  <c r="I23" i="37" s="1"/>
  <c r="F25" i="37"/>
  <c r="G25" i="37" s="1"/>
  <c r="H25" i="37" s="1"/>
  <c r="I25" i="37" s="1"/>
  <c r="E24" i="37"/>
  <c r="E25" i="37"/>
  <c r="E21" i="37"/>
  <c r="E22" i="37"/>
  <c r="E23" i="37"/>
  <c r="E20" i="37"/>
  <c r="D21" i="37"/>
  <c r="D22" i="37"/>
  <c r="F22" i="37" s="1"/>
  <c r="G22" i="37" s="1"/>
  <c r="H22" i="37" s="1"/>
  <c r="I22" i="37" s="1"/>
  <c r="D23" i="37"/>
  <c r="D24" i="37"/>
  <c r="F24" i="37" s="1"/>
  <c r="G24" i="37" s="1"/>
  <c r="H24" i="37" s="1"/>
  <c r="I24" i="37" s="1"/>
  <c r="D25" i="37"/>
  <c r="D20" i="37"/>
  <c r="C20" i="37"/>
  <c r="D19" i="37"/>
  <c r="E19" i="37"/>
  <c r="C19" i="37"/>
  <c r="T8" i="44"/>
  <c r="T9" i="44"/>
  <c r="T10" i="44"/>
  <c r="T6" i="44"/>
  <c r="S6" i="43"/>
  <c r="U6" i="43" s="1"/>
  <c r="V6" i="43" s="1"/>
  <c r="E18" i="37"/>
  <c r="D18" i="37"/>
  <c r="C18" i="37"/>
  <c r="W14" i="42"/>
  <c r="W11" i="42"/>
  <c r="W12" i="42"/>
  <c r="W13" i="42"/>
  <c r="W10" i="42"/>
  <c r="T10" i="42"/>
  <c r="R11" i="44"/>
  <c r="R10" i="44"/>
  <c r="R9" i="44"/>
  <c r="R8" i="44"/>
  <c r="R7" i="44"/>
  <c r="T7" i="44" s="1"/>
  <c r="R6" i="44"/>
  <c r="W6" i="42"/>
  <c r="Y6" i="42" s="1"/>
  <c r="F21" i="37" l="1"/>
  <c r="G21" i="37" s="1"/>
  <c r="H21" i="37" s="1"/>
  <c r="I89" i="18"/>
  <c r="G98" i="18"/>
  <c r="H98" i="18"/>
  <c r="G19" i="38"/>
  <c r="C36" i="38" s="1"/>
  <c r="K20" i="38"/>
  <c r="L20" i="38" s="1"/>
  <c r="F19" i="37"/>
  <c r="G19" i="37" s="1"/>
  <c r="T14" i="42"/>
  <c r="U8" i="44"/>
  <c r="Z6" i="42"/>
  <c r="AA6" i="42" s="1"/>
  <c r="U9" i="44"/>
  <c r="U10" i="44"/>
  <c r="W6" i="43"/>
  <c r="U7" i="44"/>
  <c r="U6" i="44"/>
  <c r="T13" i="44"/>
  <c r="I21" i="37" l="1"/>
  <c r="K21" i="37"/>
  <c r="L19" i="38"/>
  <c r="H19" i="37"/>
  <c r="I19" i="37" s="1"/>
  <c r="V10" i="44"/>
  <c r="V8" i="44"/>
  <c r="V7" i="44"/>
  <c r="V9" i="44"/>
  <c r="U13" i="44"/>
  <c r="V6" i="44" l="1"/>
  <c r="V13" i="44" s="1"/>
  <c r="C32" i="41" l="1"/>
  <c r="F32" i="41" s="1"/>
  <c r="G32" i="41" s="1"/>
  <c r="H32" i="41" s="1"/>
  <c r="C31" i="41"/>
  <c r="F31" i="41" s="1"/>
  <c r="G31" i="41" s="1"/>
  <c r="H31" i="41" s="1"/>
  <c r="C24" i="41"/>
  <c r="F24" i="41" s="1"/>
  <c r="G24" i="41" s="1"/>
  <c r="H24" i="41" s="1"/>
  <c r="C8" i="41"/>
  <c r="F8" i="41" s="1"/>
  <c r="G8" i="41" s="1"/>
  <c r="H8" i="41" s="1"/>
  <c r="E7" i="41"/>
  <c r="F6" i="41"/>
  <c r="G6" i="41" s="1"/>
  <c r="H6" i="41" s="1"/>
  <c r="F23" i="41"/>
  <c r="G23" i="41" s="1"/>
  <c r="H23" i="41" s="1"/>
  <c r="I12" i="41"/>
  <c r="H12" i="41"/>
  <c r="G12" i="41"/>
  <c r="F12" i="41"/>
  <c r="C9" i="41"/>
  <c r="F9" i="41" s="1"/>
  <c r="G9" i="41" s="1"/>
  <c r="H9" i="41" s="1"/>
  <c r="I23" i="41" l="1"/>
  <c r="J23" i="41"/>
  <c r="I24" i="41"/>
  <c r="J24" i="41"/>
  <c r="I32" i="41"/>
  <c r="J32" i="41" s="1"/>
  <c r="I31" i="41"/>
  <c r="J31" i="41"/>
  <c r="J9" i="41"/>
  <c r="I9" i="41"/>
  <c r="I8" i="41"/>
  <c r="J8" i="41" s="1"/>
  <c r="I6" i="41"/>
  <c r="J6" i="41" s="1"/>
  <c r="F7" i="41"/>
  <c r="G7" i="41" s="1"/>
  <c r="F27" i="41"/>
  <c r="G33" i="41"/>
  <c r="F33" i="41"/>
  <c r="J27" i="41" l="1"/>
  <c r="J33" i="41"/>
  <c r="J36" i="41" s="1"/>
  <c r="G10" i="41"/>
  <c r="G13" i="41" s="1"/>
  <c r="H7" i="41"/>
  <c r="F10" i="41"/>
  <c r="F13" i="41" s="1"/>
  <c r="F36" i="41"/>
  <c r="H33" i="41"/>
  <c r="I33" i="41"/>
  <c r="H27" i="41"/>
  <c r="G27" i="41"/>
  <c r="G36" i="41" s="1"/>
  <c r="I7" i="41" l="1"/>
  <c r="J7" i="41" s="1"/>
  <c r="J10" i="41" s="1"/>
  <c r="J13" i="41" s="1"/>
  <c r="H36" i="41"/>
  <c r="H10" i="41"/>
  <c r="H13" i="41" s="1"/>
  <c r="I27" i="41"/>
  <c r="I36" i="41" s="1"/>
  <c r="I10" i="41" l="1"/>
  <c r="I13" i="41" s="1"/>
  <c r="F5" i="40"/>
  <c r="D4" i="39"/>
  <c r="G4" i="39" s="1"/>
  <c r="D5" i="39"/>
  <c r="G5" i="39" s="1"/>
  <c r="D6" i="39"/>
  <c r="G6" i="39" s="1"/>
  <c r="D7" i="39"/>
  <c r="G7" i="39" s="1"/>
  <c r="D8" i="39"/>
  <c r="G8" i="39" s="1"/>
  <c r="C11" i="38"/>
  <c r="G11" i="38" s="1"/>
  <c r="C12" i="38"/>
  <c r="G12" i="38" s="1"/>
  <c r="C13" i="38"/>
  <c r="C14" i="38"/>
  <c r="G14" i="38" s="1"/>
  <c r="F8" i="40"/>
  <c r="G8" i="40" s="1"/>
  <c r="H8" i="40" s="1"/>
  <c r="F7" i="40"/>
  <c r="G7" i="40" s="1"/>
  <c r="H7" i="40" s="1"/>
  <c r="F6" i="40"/>
  <c r="G6" i="40" s="1"/>
  <c r="J45" i="38"/>
  <c r="F25" i="38"/>
  <c r="C25" i="38"/>
  <c r="K25" i="38" s="1"/>
  <c r="C10" i="38"/>
  <c r="G10" i="38" s="1"/>
  <c r="C9" i="38"/>
  <c r="G9" i="38" s="1"/>
  <c r="C8" i="38"/>
  <c r="K8" i="38" s="1"/>
  <c r="F6" i="37"/>
  <c r="G6" i="37" s="1"/>
  <c r="F17" i="29"/>
  <c r="F8" i="18"/>
  <c r="I6" i="40" l="1"/>
  <c r="H6" i="40"/>
  <c r="G9" i="37"/>
  <c r="H6" i="37"/>
  <c r="G8" i="38"/>
  <c r="G31" i="38" s="1"/>
  <c r="K14" i="38"/>
  <c r="L14" i="38" s="1"/>
  <c r="K12" i="38"/>
  <c r="L12" i="38" s="1"/>
  <c r="K11" i="38"/>
  <c r="L11" i="38" s="1"/>
  <c r="K10" i="38"/>
  <c r="L10" i="38" s="1"/>
  <c r="K9" i="38"/>
  <c r="F18" i="37"/>
  <c r="G18" i="37" s="1"/>
  <c r="F20" i="37"/>
  <c r="G20" i="37" s="1"/>
  <c r="H20" i="37" s="1"/>
  <c r="I20" i="37" s="1"/>
  <c r="G11" i="39"/>
  <c r="L13" i="38"/>
  <c r="G25" i="38"/>
  <c r="L25" i="38" s="1"/>
  <c r="F9" i="40"/>
  <c r="G5" i="40"/>
  <c r="G39" i="38"/>
  <c r="K39" i="38"/>
  <c r="F9" i="37"/>
  <c r="D35" i="18"/>
  <c r="D34" i="18"/>
  <c r="D10" i="18"/>
  <c r="D9" i="18"/>
  <c r="G46" i="29"/>
  <c r="H46" i="29" s="1"/>
  <c r="I46" i="29" s="1"/>
  <c r="G44" i="29"/>
  <c r="H44" i="29" s="1"/>
  <c r="I44" i="29" s="1"/>
  <c r="G37" i="29"/>
  <c r="H37" i="29" s="1"/>
  <c r="I37" i="29" s="1"/>
  <c r="G19" i="29"/>
  <c r="H19" i="29" s="1"/>
  <c r="I19" i="29" s="1"/>
  <c r="E11" i="29"/>
  <c r="G11" i="29" s="1"/>
  <c r="H11" i="29" s="1"/>
  <c r="I11" i="29" s="1"/>
  <c r="E9" i="29"/>
  <c r="E8" i="29"/>
  <c r="E10" i="29"/>
  <c r="G10" i="29" s="1"/>
  <c r="H10" i="29" s="1"/>
  <c r="I10" i="29" s="1"/>
  <c r="D46" i="28"/>
  <c r="G46" i="28" s="1"/>
  <c r="H46" i="28" s="1"/>
  <c r="I46" i="28" s="1"/>
  <c r="D45" i="28"/>
  <c r="G45" i="28" s="1"/>
  <c r="H45" i="28" s="1"/>
  <c r="I45" i="28" s="1"/>
  <c r="G57" i="18"/>
  <c r="H57" i="18" s="1"/>
  <c r="I57" i="18" s="1"/>
  <c r="G50" i="29"/>
  <c r="H50" i="29" s="1"/>
  <c r="I50" i="29" s="1"/>
  <c r="G49" i="29"/>
  <c r="H49" i="29" s="1"/>
  <c r="I49" i="29" s="1"/>
  <c r="G48" i="29"/>
  <c r="H48" i="29" s="1"/>
  <c r="I48" i="29" s="1"/>
  <c r="G47" i="29"/>
  <c r="H47" i="29" s="1"/>
  <c r="I47" i="29" s="1"/>
  <c r="G45" i="29"/>
  <c r="H45" i="29" s="1"/>
  <c r="I45" i="29" s="1"/>
  <c r="G36" i="29"/>
  <c r="H36" i="29" s="1"/>
  <c r="I36" i="29" s="1"/>
  <c r="G22" i="29"/>
  <c r="H22" i="29" s="1"/>
  <c r="I22" i="29" s="1"/>
  <c r="G65" i="28"/>
  <c r="H65" i="28" s="1"/>
  <c r="I65" i="28" s="1"/>
  <c r="D64" i="28"/>
  <c r="G64" i="28" s="1"/>
  <c r="H64" i="28" s="1"/>
  <c r="I64" i="28" s="1"/>
  <c r="D63" i="28"/>
  <c r="G63" i="28" s="1"/>
  <c r="H63" i="28" s="1"/>
  <c r="I63" i="28" s="1"/>
  <c r="E56" i="28"/>
  <c r="G56" i="28" s="1"/>
  <c r="H56" i="28" s="1"/>
  <c r="I56" i="28" s="1"/>
  <c r="D55" i="28"/>
  <c r="G55" i="28" s="1"/>
  <c r="H55" i="28" s="1"/>
  <c r="I55" i="28" s="1"/>
  <c r="E54" i="28"/>
  <c r="D54" i="28"/>
  <c r="G48" i="28"/>
  <c r="H48" i="28" s="1"/>
  <c r="I48" i="28" s="1"/>
  <c r="G47" i="28"/>
  <c r="H47" i="28" s="1"/>
  <c r="I47" i="28" s="1"/>
  <c r="G54" i="18"/>
  <c r="G55" i="18"/>
  <c r="H55" i="18" s="1"/>
  <c r="I55" i="18" s="1"/>
  <c r="G59" i="18"/>
  <c r="H59" i="18" s="1"/>
  <c r="I59" i="18" s="1"/>
  <c r="G60" i="18"/>
  <c r="H60" i="18" s="1"/>
  <c r="I60" i="18" s="1"/>
  <c r="G61" i="18"/>
  <c r="H61" i="18" s="1"/>
  <c r="I61" i="18" s="1"/>
  <c r="J24" i="29"/>
  <c r="G23" i="29"/>
  <c r="H23" i="29" s="1"/>
  <c r="I23" i="29" s="1"/>
  <c r="G21" i="29"/>
  <c r="H21" i="29" s="1"/>
  <c r="I21" i="29" s="1"/>
  <c r="G20" i="29"/>
  <c r="H20" i="29" s="1"/>
  <c r="I20" i="29" s="1"/>
  <c r="G18" i="29"/>
  <c r="H18" i="29" s="1"/>
  <c r="I18" i="29" s="1"/>
  <c r="G17" i="29"/>
  <c r="J15" i="29"/>
  <c r="G14" i="29"/>
  <c r="H14" i="29" s="1"/>
  <c r="I14" i="29" s="1"/>
  <c r="G13" i="29"/>
  <c r="H13" i="29" s="1"/>
  <c r="I13" i="29" s="1"/>
  <c r="G12" i="29"/>
  <c r="H12" i="29" s="1"/>
  <c r="I12" i="29" s="1"/>
  <c r="D8" i="29"/>
  <c r="E12" i="18"/>
  <c r="E9" i="18"/>
  <c r="E8" i="18"/>
  <c r="A8" i="33"/>
  <c r="A9" i="33" s="1"/>
  <c r="A10" i="33" s="1"/>
  <c r="A11" i="33" s="1"/>
  <c r="A12" i="33" s="1"/>
  <c r="A13" i="33" s="1"/>
  <c r="I5" i="40" l="1"/>
  <c r="I9" i="40" s="1"/>
  <c r="H5" i="40"/>
  <c r="I6" i="37"/>
  <c r="K6" i="37" s="1"/>
  <c r="K9" i="37" s="1"/>
  <c r="H18" i="37"/>
  <c r="G35" i="29"/>
  <c r="H35" i="29" s="1"/>
  <c r="I35" i="29" s="1"/>
  <c r="G8" i="29"/>
  <c r="H8" i="29" s="1"/>
  <c r="I8" i="29" s="1"/>
  <c r="K31" i="38"/>
  <c r="G16" i="38"/>
  <c r="K26" i="38"/>
  <c r="F28" i="37"/>
  <c r="G12" i="39"/>
  <c r="G13" i="39" s="1"/>
  <c r="K16" i="38"/>
  <c r="L39" i="38"/>
  <c r="G40" i="38"/>
  <c r="K40" i="38"/>
  <c r="G9" i="40"/>
  <c r="H9" i="40"/>
  <c r="L9" i="38"/>
  <c r="K38" i="38"/>
  <c r="G38" i="38"/>
  <c r="H9" i="37"/>
  <c r="L26" i="38"/>
  <c r="G26" i="38"/>
  <c r="L8" i="38"/>
  <c r="G9" i="29"/>
  <c r="H9" i="29" s="1"/>
  <c r="I9" i="29" s="1"/>
  <c r="G54" i="28"/>
  <c r="H54" i="28" s="1"/>
  <c r="I54" i="28" s="1"/>
  <c r="G62" i="18"/>
  <c r="H54" i="18"/>
  <c r="I54" i="18" s="1"/>
  <c r="I62" i="18" s="1"/>
  <c r="G24" i="29"/>
  <c r="H17" i="29"/>
  <c r="G8" i="18"/>
  <c r="L21" i="33"/>
  <c r="L22" i="33"/>
  <c r="L23" i="33"/>
  <c r="L24" i="33"/>
  <c r="I21" i="33"/>
  <c r="I22" i="33"/>
  <c r="I23" i="33"/>
  <c r="I24" i="33"/>
  <c r="H21" i="33"/>
  <c r="H22" i="33"/>
  <c r="H23" i="33"/>
  <c r="H24" i="33"/>
  <c r="M24" i="33" s="1"/>
  <c r="H25" i="33"/>
  <c r="G21" i="33"/>
  <c r="N21" i="33" s="1"/>
  <c r="G22" i="33"/>
  <c r="N22" i="33" s="1"/>
  <c r="G23" i="33"/>
  <c r="I9" i="37" l="1"/>
  <c r="I18" i="37"/>
  <c r="K18" i="37" s="1"/>
  <c r="K28" i="37" s="1"/>
  <c r="K33" i="38"/>
  <c r="G28" i="37"/>
  <c r="G15" i="29"/>
  <c r="L16" i="38"/>
  <c r="L40" i="38"/>
  <c r="L38" i="38"/>
  <c r="L31" i="38"/>
  <c r="L33" i="38" s="1"/>
  <c r="G33" i="38"/>
  <c r="K36" i="38"/>
  <c r="G36" i="38"/>
  <c r="H15" i="29"/>
  <c r="H62" i="18"/>
  <c r="I17" i="29"/>
  <c r="H24" i="29"/>
  <c r="I15" i="29"/>
  <c r="P21" i="33"/>
  <c r="Q21" i="33"/>
  <c r="M23" i="33"/>
  <c r="M22" i="33"/>
  <c r="M21" i="33"/>
  <c r="P22" i="33"/>
  <c r="Q22" i="33"/>
  <c r="N23" i="33"/>
  <c r="N24" i="33"/>
  <c r="P24" i="33" s="1"/>
  <c r="Q24" i="33" s="1"/>
  <c r="M15" i="29" l="1"/>
  <c r="M24" i="29"/>
  <c r="I28" i="37"/>
  <c r="H28" i="37"/>
  <c r="K37" i="38"/>
  <c r="K42" i="38" s="1"/>
  <c r="K44" i="38" s="1"/>
  <c r="G37" i="38"/>
  <c r="L36" i="38"/>
  <c r="I24" i="29"/>
  <c r="R21" i="33"/>
  <c r="R22" i="33"/>
  <c r="P23" i="33"/>
  <c r="Q23" i="33"/>
  <c r="L37" i="38" l="1"/>
  <c r="L42" i="38" s="1"/>
  <c r="L44" i="38" s="1"/>
  <c r="G42" i="38"/>
  <c r="G44" i="38" s="1"/>
  <c r="R23" i="33"/>
  <c r="D11" i="33"/>
  <c r="G27" i="35" l="1"/>
  <c r="E27" i="35"/>
  <c r="D27" i="35"/>
  <c r="C27" i="35"/>
  <c r="G26" i="35"/>
  <c r="E26" i="35"/>
  <c r="D26" i="35"/>
  <c r="C26" i="35"/>
  <c r="I19" i="35"/>
  <c r="E17" i="35"/>
  <c r="D17" i="35"/>
  <c r="C17" i="35"/>
  <c r="G17" i="35" s="1"/>
  <c r="E16" i="35"/>
  <c r="D16" i="35"/>
  <c r="C16" i="35"/>
  <c r="G16" i="35" s="1"/>
  <c r="J12" i="35"/>
  <c r="M12" i="35" s="1"/>
  <c r="G8" i="35"/>
  <c r="C8" i="35"/>
  <c r="AA7" i="35"/>
  <c r="AP7" i="35" s="1"/>
  <c r="Z7" i="35"/>
  <c r="AO7" i="35" s="1"/>
  <c r="Y7" i="35"/>
  <c r="AN7" i="35" s="1"/>
  <c r="X7" i="35"/>
  <c r="AM7" i="35" s="1"/>
  <c r="W7" i="35"/>
  <c r="AL7" i="35" s="1"/>
  <c r="U7" i="35"/>
  <c r="D24" i="35" s="1"/>
  <c r="S7" i="35"/>
  <c r="AH7" i="35" s="1"/>
  <c r="M7" i="35"/>
  <c r="C25" i="35" s="1"/>
  <c r="L7" i="35"/>
  <c r="E7" i="35"/>
  <c r="C24" i="35" s="1"/>
  <c r="W6" i="35"/>
  <c r="AL6" i="35" s="1"/>
  <c r="S6" i="35"/>
  <c r="AH6" i="35" s="1"/>
  <c r="AJ6" i="35" s="1"/>
  <c r="K6" i="35"/>
  <c r="AA6" i="35" s="1"/>
  <c r="AP6" i="35" s="1"/>
  <c r="J6" i="35"/>
  <c r="Z6" i="35" s="1"/>
  <c r="AO6" i="35" s="1"/>
  <c r="I6" i="35"/>
  <c r="Y6" i="35" s="1"/>
  <c r="AN6" i="35" s="1"/>
  <c r="H6" i="35"/>
  <c r="X6" i="35" s="1"/>
  <c r="E6" i="35"/>
  <c r="AL5" i="35"/>
  <c r="W5" i="35"/>
  <c r="S5" i="35"/>
  <c r="AH5" i="35" s="1"/>
  <c r="AJ5" i="35" s="1"/>
  <c r="K5" i="35"/>
  <c r="AA5" i="35" s="1"/>
  <c r="AP5" i="35" s="1"/>
  <c r="J5" i="35"/>
  <c r="Z5" i="35" s="1"/>
  <c r="AO5" i="35" s="1"/>
  <c r="I5" i="35"/>
  <c r="Y5" i="35" s="1"/>
  <c r="AN5" i="35" s="1"/>
  <c r="H5" i="35"/>
  <c r="X5" i="35" s="1"/>
  <c r="AM5" i="35" s="1"/>
  <c r="E5" i="35"/>
  <c r="AP4" i="35"/>
  <c r="AL4" i="35"/>
  <c r="AA4" i="35"/>
  <c r="Y4" i="35"/>
  <c r="AN4" i="35" s="1"/>
  <c r="W4" i="35"/>
  <c r="S4" i="35"/>
  <c r="U4" i="35" s="1"/>
  <c r="O4" i="35"/>
  <c r="L4" i="35"/>
  <c r="K4" i="35"/>
  <c r="J4" i="35"/>
  <c r="Z4" i="35" s="1"/>
  <c r="I4" i="35"/>
  <c r="H4" i="35"/>
  <c r="M4" i="35" s="1"/>
  <c r="E4" i="35"/>
  <c r="K30" i="35" s="1"/>
  <c r="O29" i="33"/>
  <c r="K29" i="33"/>
  <c r="J29" i="33"/>
  <c r="F29" i="33"/>
  <c r="E29" i="33"/>
  <c r="D29" i="33"/>
  <c r="D12" i="33"/>
  <c r="H12" i="33" s="1"/>
  <c r="G20" i="33"/>
  <c r="J13" i="33"/>
  <c r="J12" i="33"/>
  <c r="J11" i="33"/>
  <c r="J10" i="33"/>
  <c r="J9" i="33"/>
  <c r="J8" i="33"/>
  <c r="J7" i="33"/>
  <c r="F13" i="33"/>
  <c r="F12" i="33"/>
  <c r="F11" i="33"/>
  <c r="F10" i="33"/>
  <c r="F9" i="33"/>
  <c r="F8" i="33"/>
  <c r="F7" i="33"/>
  <c r="E13" i="33"/>
  <c r="E12" i="33"/>
  <c r="E11" i="33"/>
  <c r="E10" i="33"/>
  <c r="E9" i="33"/>
  <c r="E8" i="33"/>
  <c r="E7" i="33"/>
  <c r="D13" i="33"/>
  <c r="I11" i="33"/>
  <c r="L10" i="33"/>
  <c r="D9" i="33"/>
  <c r="L9" i="33" s="1"/>
  <c r="D8" i="33"/>
  <c r="K8" i="33" s="1"/>
  <c r="D7" i="33"/>
  <c r="L20" i="33"/>
  <c r="I20" i="33"/>
  <c r="H20" i="33"/>
  <c r="L19" i="33"/>
  <c r="I19" i="33"/>
  <c r="H19" i="33"/>
  <c r="K10" i="33"/>
  <c r="I10" i="33"/>
  <c r="H10" i="33"/>
  <c r="H29" i="33" l="1"/>
  <c r="I8" i="35"/>
  <c r="K8" i="35"/>
  <c r="J8" i="35"/>
  <c r="L8" i="33"/>
  <c r="I29" i="33"/>
  <c r="L29" i="33"/>
  <c r="J14" i="33"/>
  <c r="F14" i="33"/>
  <c r="E14" i="33"/>
  <c r="D14" i="33"/>
  <c r="AQ7" i="35"/>
  <c r="AJ7" i="35"/>
  <c r="E24" i="35" s="1"/>
  <c r="G24" i="35" s="1"/>
  <c r="P4" i="35"/>
  <c r="C15" i="35"/>
  <c r="K19" i="35"/>
  <c r="AR7" i="35"/>
  <c r="AN8" i="35"/>
  <c r="AA8" i="35"/>
  <c r="AO4" i="35"/>
  <c r="AO8" i="35" s="1"/>
  <c r="Z8" i="35"/>
  <c r="AR5" i="35"/>
  <c r="AT5" i="35" s="1"/>
  <c r="C28" i="35"/>
  <c r="AP8" i="35"/>
  <c r="D14" i="35"/>
  <c r="AM6" i="35"/>
  <c r="AR6" i="35" s="1"/>
  <c r="AT6" i="35" s="1"/>
  <c r="AC6" i="35"/>
  <c r="Y8" i="35"/>
  <c r="AL8" i="35"/>
  <c r="AH4" i="35"/>
  <c r="M5" i="35"/>
  <c r="P5" i="35" s="1"/>
  <c r="P7" i="35"/>
  <c r="AB7" i="35"/>
  <c r="H8" i="35"/>
  <c r="W8" i="35"/>
  <c r="X4" i="35"/>
  <c r="AC5" i="35"/>
  <c r="AE5" i="35" s="1"/>
  <c r="M6" i="35"/>
  <c r="P6" i="35" s="1"/>
  <c r="AC7" i="35"/>
  <c r="U5" i="35"/>
  <c r="U8" i="35" s="1"/>
  <c r="U6" i="35"/>
  <c r="AB4" i="35"/>
  <c r="C14" i="35"/>
  <c r="E8" i="35"/>
  <c r="S8" i="35"/>
  <c r="L12" i="33"/>
  <c r="H8" i="33"/>
  <c r="I8" i="33"/>
  <c r="G10" i="33"/>
  <c r="N10" i="33" s="1"/>
  <c r="Q10" i="33" s="1"/>
  <c r="H9" i="33"/>
  <c r="I9" i="33"/>
  <c r="K9" i="33"/>
  <c r="G19" i="33"/>
  <c r="G9" i="33"/>
  <c r="G8" i="33"/>
  <c r="K11" i="33"/>
  <c r="M20" i="33"/>
  <c r="G12" i="33"/>
  <c r="I12" i="33"/>
  <c r="K12" i="33"/>
  <c r="N20" i="33"/>
  <c r="G13" i="33"/>
  <c r="I13" i="33"/>
  <c r="K13" i="33"/>
  <c r="L13" i="33"/>
  <c r="H13" i="33"/>
  <c r="G11" i="33"/>
  <c r="L11" i="33"/>
  <c r="H11" i="33"/>
  <c r="I7" i="33"/>
  <c r="K7" i="33"/>
  <c r="L7" i="33"/>
  <c r="G7" i="33"/>
  <c r="H7" i="33"/>
  <c r="P20" i="33" l="1"/>
  <c r="Q20" i="33"/>
  <c r="H14" i="33"/>
  <c r="K14" i="33"/>
  <c r="M10" i="33"/>
  <c r="C18" i="35"/>
  <c r="AM4" i="35"/>
  <c r="X8" i="35"/>
  <c r="AB8" i="35"/>
  <c r="AE6" i="35"/>
  <c r="AT7" i="35"/>
  <c r="E25" i="35"/>
  <c r="E28" i="35"/>
  <c r="AC4" i="35"/>
  <c r="AE7" i="35"/>
  <c r="D25" i="35"/>
  <c r="M8" i="35"/>
  <c r="AQ4" i="35"/>
  <c r="AQ8" i="35" s="1"/>
  <c r="AJ4" i="35"/>
  <c r="AH8" i="35"/>
  <c r="P8" i="35"/>
  <c r="N12" i="35"/>
  <c r="G14" i="33"/>
  <c r="M19" i="33"/>
  <c r="M29" i="33" s="1"/>
  <c r="G29" i="33"/>
  <c r="L14" i="33"/>
  <c r="I14" i="33"/>
  <c r="N8" i="33"/>
  <c r="N9" i="33"/>
  <c r="M9" i="33"/>
  <c r="R20" i="33"/>
  <c r="N19" i="33"/>
  <c r="Q19" i="33" s="1"/>
  <c r="M8" i="33"/>
  <c r="P10" i="33"/>
  <c r="M13" i="33"/>
  <c r="M12" i="33"/>
  <c r="N11" i="33"/>
  <c r="N13" i="33"/>
  <c r="N7" i="33"/>
  <c r="N12" i="33"/>
  <c r="M11" i="33"/>
  <c r="M7" i="33"/>
  <c r="P9" i="33" l="1"/>
  <c r="Q9" i="33"/>
  <c r="P8" i="33"/>
  <c r="Q8" i="33"/>
  <c r="D28" i="35"/>
  <c r="G25" i="35"/>
  <c r="G28" i="35" s="1"/>
  <c r="AE4" i="35"/>
  <c r="AE8" i="35" s="1"/>
  <c r="AC8" i="35"/>
  <c r="D15" i="35"/>
  <c r="AM8" i="35"/>
  <c r="AR4" i="35"/>
  <c r="E14" i="35"/>
  <c r="AJ8" i="35"/>
  <c r="Q7" i="33"/>
  <c r="N14" i="33"/>
  <c r="P19" i="33"/>
  <c r="N29" i="33"/>
  <c r="M14" i="33"/>
  <c r="P11" i="33"/>
  <c r="Q11" i="33"/>
  <c r="R10" i="33"/>
  <c r="P12" i="33"/>
  <c r="Q12" i="33"/>
  <c r="P13" i="33"/>
  <c r="Q13" i="33"/>
  <c r="P7" i="33"/>
  <c r="P29" i="33" l="1"/>
  <c r="R8" i="33"/>
  <c r="R9" i="33"/>
  <c r="E18" i="35"/>
  <c r="G14" i="35"/>
  <c r="E15" i="35"/>
  <c r="AT4" i="35"/>
  <c r="AR8" i="35"/>
  <c r="D18" i="35"/>
  <c r="G15" i="35"/>
  <c r="R7" i="33"/>
  <c r="P14" i="33"/>
  <c r="Q29" i="33"/>
  <c r="Q14" i="33"/>
  <c r="R12" i="33"/>
  <c r="R11" i="33"/>
  <c r="R13" i="33"/>
  <c r="R19" i="33" l="1"/>
  <c r="R29" i="33" s="1"/>
  <c r="AT8" i="35"/>
  <c r="AV4" i="35"/>
  <c r="G18" i="35"/>
  <c r="R14" i="33"/>
  <c r="C129" i="1" l="1"/>
  <c r="C128" i="1"/>
  <c r="C127" i="1"/>
  <c r="C126" i="1"/>
  <c r="C125" i="1"/>
  <c r="C124" i="1"/>
  <c r="C123" i="1"/>
  <c r="C122" i="1"/>
  <c r="J51" i="29"/>
  <c r="J42" i="29"/>
  <c r="J275" i="29" s="1"/>
  <c r="G41" i="29"/>
  <c r="H41" i="29" s="1"/>
  <c r="I41" i="29" s="1"/>
  <c r="G40" i="29"/>
  <c r="H40" i="29" s="1"/>
  <c r="I40" i="29" s="1"/>
  <c r="G39" i="29"/>
  <c r="H39" i="29" s="1"/>
  <c r="I39" i="29" s="1"/>
  <c r="G38" i="29"/>
  <c r="H38" i="29" s="1"/>
  <c r="I38" i="29" s="1"/>
  <c r="J70" i="28"/>
  <c r="G69" i="28"/>
  <c r="H69" i="28" s="1"/>
  <c r="I69" i="28" s="1"/>
  <c r="G68" i="28"/>
  <c r="H68" i="28" s="1"/>
  <c r="I68" i="28" s="1"/>
  <c r="G67" i="28"/>
  <c r="H67" i="28" s="1"/>
  <c r="I67" i="28" s="1"/>
  <c r="G66" i="28"/>
  <c r="H66" i="28" s="1"/>
  <c r="I66" i="28" s="1"/>
  <c r="J61" i="28"/>
  <c r="G60" i="28"/>
  <c r="H60" i="28" s="1"/>
  <c r="I60" i="28" s="1"/>
  <c r="G59" i="28"/>
  <c r="H59" i="28" s="1"/>
  <c r="I59" i="28" s="1"/>
  <c r="G58" i="28"/>
  <c r="H58" i="28" s="1"/>
  <c r="I58" i="28" s="1"/>
  <c r="G57" i="28"/>
  <c r="H57" i="28" s="1"/>
  <c r="I57" i="28" s="1"/>
  <c r="J52" i="28"/>
  <c r="J218" i="28" s="1"/>
  <c r="G51" i="28"/>
  <c r="H51" i="28" s="1"/>
  <c r="I51" i="28" s="1"/>
  <c r="G50" i="28"/>
  <c r="H50" i="28" s="1"/>
  <c r="I50" i="28" s="1"/>
  <c r="G49" i="28"/>
  <c r="H49" i="28" s="1"/>
  <c r="I49" i="28" s="1"/>
  <c r="G42" i="29" l="1"/>
  <c r="G275" i="29" s="1"/>
  <c r="H51" i="29"/>
  <c r="D123" i="1"/>
  <c r="D129" i="1"/>
  <c r="G51" i="29"/>
  <c r="D127" i="1"/>
  <c r="D125" i="1"/>
  <c r="G70" i="28"/>
  <c r="G52" i="28"/>
  <c r="H61" i="28"/>
  <c r="M61" i="28" s="1"/>
  <c r="G61" i="28"/>
  <c r="G218" i="28" l="1"/>
  <c r="M51" i="29"/>
  <c r="D128" i="1"/>
  <c r="I51" i="29"/>
  <c r="D126" i="1"/>
  <c r="D124" i="1"/>
  <c r="H42" i="29"/>
  <c r="H275" i="29" s="1"/>
  <c r="D122" i="1"/>
  <c r="H70" i="28"/>
  <c r="M70" i="28" s="1"/>
  <c r="H52" i="28"/>
  <c r="I52" i="28"/>
  <c r="I61" i="28"/>
  <c r="H218" i="28" l="1"/>
  <c r="M52" i="28"/>
  <c r="M218" i="28" s="1"/>
  <c r="M42" i="29"/>
  <c r="M275" i="29" s="1"/>
  <c r="I42" i="29"/>
  <c r="I275" i="29" s="1"/>
  <c r="I70" i="28"/>
  <c r="I218" i="28" l="1"/>
  <c r="G40" i="18"/>
  <c r="H40" i="18" s="1"/>
  <c r="I40" i="18" s="1"/>
  <c r="G39" i="18"/>
  <c r="H39" i="18" s="1"/>
  <c r="I39" i="18" s="1"/>
  <c r="G38" i="18"/>
  <c r="H38" i="18" s="1"/>
  <c r="I38" i="18" s="1"/>
  <c r="G37" i="18"/>
  <c r="H37" i="18" s="1"/>
  <c r="I37" i="18" s="1"/>
  <c r="G36" i="18"/>
  <c r="H36" i="18" s="1"/>
  <c r="I36" i="18" s="1"/>
  <c r="G35" i="18"/>
  <c r="H35" i="18" s="1"/>
  <c r="I35" i="18" s="1"/>
  <c r="G34" i="18"/>
  <c r="H34" i="18" s="1"/>
  <c r="I34" i="18" s="1"/>
  <c r="G23" i="18"/>
  <c r="H23" i="18" s="1"/>
  <c r="I23" i="18" s="1"/>
  <c r="G22" i="18"/>
  <c r="H22" i="18" s="1"/>
  <c r="I22" i="18" s="1"/>
  <c r="G21" i="18"/>
  <c r="H21" i="18" s="1"/>
  <c r="I21" i="18" s="1"/>
  <c r="G20" i="18"/>
  <c r="H20" i="18" s="1"/>
  <c r="I20" i="18" s="1"/>
  <c r="G19" i="18"/>
  <c r="H19" i="18" s="1"/>
  <c r="I19" i="18" s="1"/>
  <c r="G18" i="18"/>
  <c r="H18" i="18" s="1"/>
  <c r="I18" i="18" s="1"/>
  <c r="G17" i="18"/>
  <c r="H17" i="18" s="1"/>
  <c r="I17" i="18" s="1"/>
  <c r="H8" i="18"/>
  <c r="I8" i="18" s="1"/>
  <c r="G9" i="18"/>
  <c r="H9" i="18" s="1"/>
  <c r="I9" i="18" s="1"/>
  <c r="G10" i="18"/>
  <c r="H10" i="18" s="1"/>
  <c r="I10" i="18" s="1"/>
  <c r="G11" i="18"/>
  <c r="H11" i="18" s="1"/>
  <c r="I11" i="18" s="1"/>
  <c r="G12" i="18"/>
  <c r="H12" i="18" s="1"/>
  <c r="I12" i="18" s="1"/>
  <c r="G13" i="18"/>
  <c r="H13" i="18" s="1"/>
  <c r="I13" i="18" s="1"/>
  <c r="G14" i="18"/>
  <c r="H14" i="18" s="1"/>
  <c r="I14" i="18" s="1"/>
  <c r="I41" i="18" l="1"/>
  <c r="I24" i="18"/>
  <c r="I15" i="18"/>
  <c r="G45" i="1"/>
  <c r="G43" i="1"/>
  <c r="H89" i="18"/>
  <c r="G89" i="18"/>
  <c r="H41" i="18"/>
  <c r="G41" i="18"/>
  <c r="H24" i="18"/>
  <c r="G24" i="18"/>
  <c r="G15" i="18"/>
  <c r="H15" i="18"/>
  <c r="I180" i="1"/>
  <c r="G175" i="1"/>
  <c r="G176" i="1"/>
  <c r="G178" i="1"/>
  <c r="C20" i="4"/>
  <c r="C6" i="4"/>
  <c r="D199" i="5"/>
  <c r="D6" i="5"/>
  <c r="D197" i="1"/>
  <c r="D189" i="1"/>
  <c r="F24" i="4"/>
  <c r="F23" i="4"/>
  <c r="F22" i="4"/>
  <c r="I172" i="1"/>
  <c r="I162" i="1"/>
  <c r="I152" i="1"/>
  <c r="I142" i="1"/>
  <c r="I130" i="1"/>
  <c r="I120" i="1"/>
  <c r="I110" i="1"/>
  <c r="I100" i="1"/>
  <c r="I88" i="1"/>
  <c r="I78" i="1"/>
  <c r="I68" i="1"/>
  <c r="I58" i="1"/>
  <c r="I46" i="1"/>
  <c r="I36" i="1"/>
  <c r="I26" i="1"/>
  <c r="I16" i="1"/>
  <c r="G165" i="1"/>
  <c r="G166" i="1"/>
  <c r="G167" i="1"/>
  <c r="G168" i="1"/>
  <c r="G169" i="1"/>
  <c r="G170" i="1"/>
  <c r="G171" i="1"/>
  <c r="G164" i="1"/>
  <c r="G155" i="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5" i="1"/>
  <c r="G96" i="1"/>
  <c r="G97" i="1"/>
  <c r="G98" i="1"/>
  <c r="G99" i="1"/>
  <c r="G92" i="1"/>
  <c r="G81" i="1"/>
  <c r="G82" i="1"/>
  <c r="G83" i="1"/>
  <c r="G84" i="1"/>
  <c r="G85" i="1"/>
  <c r="G86" i="1"/>
  <c r="G87" i="1"/>
  <c r="G80" i="1"/>
  <c r="G74" i="1"/>
  <c r="G75" i="1"/>
  <c r="G76" i="1"/>
  <c r="G77" i="1"/>
  <c r="G61" i="1"/>
  <c r="G62" i="1"/>
  <c r="G63" i="1"/>
  <c r="G64" i="1"/>
  <c r="G60" i="1"/>
  <c r="D202" i="5"/>
  <c r="D203" i="5"/>
  <c r="D204" i="5"/>
  <c r="B7" i="45" s="1"/>
  <c r="D205" i="5"/>
  <c r="B8" i="45" s="1"/>
  <c r="D201" i="5"/>
  <c r="D152" i="1"/>
  <c r="E152" i="1"/>
  <c r="E198" i="1"/>
  <c r="F198" i="1"/>
  <c r="E190" i="1"/>
  <c r="F190" i="1"/>
  <c r="F196" i="5"/>
  <c r="E196" i="5"/>
  <c r="D196" i="5"/>
  <c r="G195" i="5"/>
  <c r="G194" i="5"/>
  <c r="G193" i="5"/>
  <c r="G192" i="5"/>
  <c r="G191" i="5"/>
  <c r="G190" i="5"/>
  <c r="G189" i="5"/>
  <c r="E180" i="1"/>
  <c r="E188" i="5" s="1"/>
  <c r="F180" i="1"/>
  <c r="F188" i="5" s="1"/>
  <c r="E207" i="5"/>
  <c r="D14" i="4" s="1"/>
  <c r="F207" i="5"/>
  <c r="E14" i="4" s="1"/>
  <c r="E206" i="5"/>
  <c r="F206" i="5"/>
  <c r="E13" i="4" s="1"/>
  <c r="E205" i="5"/>
  <c r="D12" i="4" s="1"/>
  <c r="F205" i="5"/>
  <c r="E12" i="4" s="1"/>
  <c r="E204" i="5"/>
  <c r="D11" i="4" s="1"/>
  <c r="F204" i="5"/>
  <c r="E11" i="4" s="1"/>
  <c r="E203" i="5"/>
  <c r="D10" i="4" s="1"/>
  <c r="F203" i="5"/>
  <c r="E10" i="4" s="1"/>
  <c r="E202" i="5"/>
  <c r="D9" i="4" s="1"/>
  <c r="F202" i="5"/>
  <c r="E9" i="4" s="1"/>
  <c r="E201" i="5"/>
  <c r="D8" i="4" s="1"/>
  <c r="F201" i="5"/>
  <c r="E8" i="4" s="1"/>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7" i="5"/>
  <c r="E118" i="5"/>
  <c r="F118" i="5"/>
  <c r="G122" i="5"/>
  <c r="G123" i="5"/>
  <c r="G124" i="5"/>
  <c r="G125" i="5"/>
  <c r="G126" i="5"/>
  <c r="G127" i="5"/>
  <c r="E129" i="5"/>
  <c r="F129" i="5"/>
  <c r="G133" i="5"/>
  <c r="G134" i="5"/>
  <c r="G135" i="5"/>
  <c r="G136" i="5"/>
  <c r="G137" i="5"/>
  <c r="G138" i="5"/>
  <c r="G139" i="5"/>
  <c r="D140" i="5"/>
  <c r="E140" i="5"/>
  <c r="F140" i="5"/>
  <c r="F107" i="5"/>
  <c r="E107" i="5"/>
  <c r="G106" i="5"/>
  <c r="G104" i="5"/>
  <c r="G103" i="5"/>
  <c r="G102" i="5"/>
  <c r="G101" i="5"/>
  <c r="G100" i="5"/>
  <c r="G66" i="5"/>
  <c r="G67" i="5"/>
  <c r="G68" i="5"/>
  <c r="G69" i="5"/>
  <c r="G70" i="5"/>
  <c r="G72" i="5"/>
  <c r="E73" i="5"/>
  <c r="F73" i="5"/>
  <c r="G77" i="5"/>
  <c r="G78" i="5"/>
  <c r="G79" i="5"/>
  <c r="G80" i="5"/>
  <c r="G81" i="5"/>
  <c r="G83" i="5"/>
  <c r="E84" i="5"/>
  <c r="F84" i="5"/>
  <c r="G88" i="5"/>
  <c r="G89" i="5"/>
  <c r="G90" i="5"/>
  <c r="G91" i="5"/>
  <c r="G92" i="5"/>
  <c r="G93" i="5"/>
  <c r="G94" i="5"/>
  <c r="D95" i="5"/>
  <c r="G95" i="5" s="1"/>
  <c r="E95" i="5"/>
  <c r="F95" i="5"/>
  <c r="G55" i="5"/>
  <c r="G56" i="5"/>
  <c r="G57" i="5"/>
  <c r="G58" i="5"/>
  <c r="G59" i="5"/>
  <c r="G61" i="5"/>
  <c r="E62" i="5"/>
  <c r="F62" i="5"/>
  <c r="G21" i="5"/>
  <c r="G22" i="5"/>
  <c r="G23" i="5"/>
  <c r="G24" i="5"/>
  <c r="G25" i="5"/>
  <c r="G27" i="5"/>
  <c r="E28" i="5"/>
  <c r="F28" i="5"/>
  <c r="G32" i="5"/>
  <c r="G33" i="5"/>
  <c r="G34" i="5"/>
  <c r="G35" i="5"/>
  <c r="G36" i="5"/>
  <c r="G38" i="5"/>
  <c r="E39" i="5"/>
  <c r="F39" i="5"/>
  <c r="G43" i="5"/>
  <c r="G44" i="5"/>
  <c r="G45" i="5"/>
  <c r="G46" i="5"/>
  <c r="G47" i="5"/>
  <c r="G48" i="5"/>
  <c r="G49" i="5"/>
  <c r="D50" i="5"/>
  <c r="G50" i="5" s="1"/>
  <c r="E50" i="5"/>
  <c r="F50" i="5"/>
  <c r="E17" i="5"/>
  <c r="F17" i="5"/>
  <c r="G10" i="5"/>
  <c r="G11" i="5"/>
  <c r="G12" i="5"/>
  <c r="G13" i="5"/>
  <c r="G14" i="5"/>
  <c r="G16" i="5"/>
  <c r="G174" i="5"/>
  <c r="D13" i="4"/>
  <c r="F208" i="5"/>
  <c r="E208" i="5"/>
  <c r="G152" i="5"/>
  <c r="G163" i="5"/>
  <c r="G140" i="5"/>
  <c r="G185" i="5"/>
  <c r="E172" i="1"/>
  <c r="E177" i="5" s="1"/>
  <c r="F172" i="1"/>
  <c r="F177" i="5" s="1"/>
  <c r="E162" i="1"/>
  <c r="E166" i="5" s="1"/>
  <c r="F162" i="1"/>
  <c r="F166" i="5" s="1"/>
  <c r="E155" i="5"/>
  <c r="F152" i="1"/>
  <c r="F155" i="5" s="1"/>
  <c r="E142" i="1"/>
  <c r="E144" i="5"/>
  <c r="F142" i="1"/>
  <c r="F144" i="5"/>
  <c r="E130" i="1"/>
  <c r="E132" i="5" s="1"/>
  <c r="F130" i="1"/>
  <c r="F132" i="5" s="1"/>
  <c r="E120" i="1"/>
  <c r="E121" i="5" s="1"/>
  <c r="F120" i="1"/>
  <c r="F121" i="5"/>
  <c r="E110" i="1"/>
  <c r="E110" i="5" s="1"/>
  <c r="F110" i="1"/>
  <c r="F110" i="5" s="1"/>
  <c r="E100" i="1"/>
  <c r="F100" i="1"/>
  <c r="F99" i="5" s="1"/>
  <c r="E88" i="1"/>
  <c r="E87" i="5" s="1"/>
  <c r="F88" i="1"/>
  <c r="E78" i="1"/>
  <c r="E76" i="5" s="1"/>
  <c r="F78" i="1"/>
  <c r="F76" i="5" s="1"/>
  <c r="E68" i="1"/>
  <c r="E65" i="5" s="1"/>
  <c r="F68" i="1"/>
  <c r="F65" i="5" s="1"/>
  <c r="E58" i="1"/>
  <c r="E54" i="5" s="1"/>
  <c r="F58" i="1"/>
  <c r="F54" i="5" s="1"/>
  <c r="E46" i="1"/>
  <c r="E42" i="5" s="1"/>
  <c r="F46" i="1"/>
  <c r="F42" i="5" s="1"/>
  <c r="E36" i="1"/>
  <c r="F36" i="1"/>
  <c r="F31" i="5" s="1"/>
  <c r="E26" i="1"/>
  <c r="E20" i="5" s="1"/>
  <c r="F26" i="1"/>
  <c r="F20" i="5" s="1"/>
  <c r="F16" i="1"/>
  <c r="F9" i="5" s="1"/>
  <c r="E16" i="1"/>
  <c r="E9" i="5" s="1"/>
  <c r="E99" i="5"/>
  <c r="F87" i="5"/>
  <c r="E31" i="5"/>
  <c r="D172" i="1"/>
  <c r="D177" i="5" s="1"/>
  <c r="D162" i="1"/>
  <c r="D166" i="5" s="1"/>
  <c r="D155" i="5"/>
  <c r="D142" i="1"/>
  <c r="D144" i="5" s="1"/>
  <c r="D130" i="1"/>
  <c r="D132" i="5" s="1"/>
  <c r="D120" i="1"/>
  <c r="D121" i="5" s="1"/>
  <c r="D128" i="5" s="1"/>
  <c r="D129" i="5" s="1"/>
  <c r="G129" i="5" s="1"/>
  <c r="D110" i="1"/>
  <c r="D110" i="5" s="1"/>
  <c r="D100" i="1"/>
  <c r="D99" i="5" s="1"/>
  <c r="D88" i="1"/>
  <c r="D87" i="5" s="1"/>
  <c r="C9" i="4" l="1"/>
  <c r="B5" i="45"/>
  <c r="G268" i="18"/>
  <c r="H268" i="18"/>
  <c r="I268" i="18"/>
  <c r="G128" i="5"/>
  <c r="D207" i="5"/>
  <c r="G207" i="5" s="1"/>
  <c r="G15" i="1"/>
  <c r="G13" i="1"/>
  <c r="G14" i="1"/>
  <c r="G10" i="1"/>
  <c r="G11" i="1"/>
  <c r="G9" i="1"/>
  <c r="G12" i="1"/>
  <c r="G8" i="1"/>
  <c r="C10" i="4"/>
  <c r="B6" i="45"/>
  <c r="B4" i="45"/>
  <c r="E15" i="4"/>
  <c r="D15" i="4"/>
  <c r="G121" i="5"/>
  <c r="G132" i="5"/>
  <c r="G201" i="5"/>
  <c r="G205" i="5"/>
  <c r="G204" i="5"/>
  <c r="G155" i="5"/>
  <c r="G87" i="5"/>
  <c r="G144" i="5"/>
  <c r="G196" i="5"/>
  <c r="G177" i="5"/>
  <c r="G166" i="5"/>
  <c r="H142" i="1"/>
  <c r="C12" i="4"/>
  <c r="G202" i="5"/>
  <c r="G110" i="5"/>
  <c r="D116" i="5"/>
  <c r="G99" i="5"/>
  <c r="D105" i="5"/>
  <c r="G203" i="5"/>
  <c r="C11" i="4"/>
  <c r="H152" i="1"/>
  <c r="H120" i="1"/>
  <c r="H110" i="1"/>
  <c r="G110" i="1"/>
  <c r="G100" i="1"/>
  <c r="G88" i="1"/>
  <c r="C40" i="6"/>
  <c r="D47" i="6" s="1"/>
  <c r="H172" i="1"/>
  <c r="G172" i="1"/>
  <c r="H162" i="1"/>
  <c r="G162" i="1"/>
  <c r="G152" i="1"/>
  <c r="G142" i="1"/>
  <c r="H130" i="1"/>
  <c r="G130" i="1"/>
  <c r="G120" i="1"/>
  <c r="C29" i="6"/>
  <c r="D34" i="6" s="1"/>
  <c r="H100" i="1"/>
  <c r="H88" i="1"/>
  <c r="G72" i="1"/>
  <c r="G33" i="1"/>
  <c r="G66" i="1"/>
  <c r="G29" i="1"/>
  <c r="G53" i="1"/>
  <c r="G21" i="1"/>
  <c r="G51" i="1"/>
  <c r="I204" i="1"/>
  <c r="C8" i="4"/>
  <c r="E191" i="1"/>
  <c r="E192" i="1" s="1"/>
  <c r="E193" i="1" s="1"/>
  <c r="F191" i="1"/>
  <c r="F192" i="1" s="1"/>
  <c r="G35" i="1"/>
  <c r="G39" i="1"/>
  <c r="G42" i="1"/>
  <c r="G40" i="1"/>
  <c r="G41" i="1"/>
  <c r="G44" i="1"/>
  <c r="C14" i="4" l="1"/>
  <c r="B10" i="45"/>
  <c r="G116" i="5"/>
  <c r="D118" i="5"/>
  <c r="G118" i="5" s="1"/>
  <c r="D107" i="5"/>
  <c r="G107" i="5" s="1"/>
  <c r="G105" i="5"/>
  <c r="D45" i="6"/>
  <c r="D44" i="6"/>
  <c r="D46" i="6"/>
  <c r="D43" i="6"/>
  <c r="D36" i="6"/>
  <c r="D32" i="6"/>
  <c r="D35" i="6"/>
  <c r="D33" i="6"/>
  <c r="G38" i="1"/>
  <c r="D46" i="1"/>
  <c r="D42" i="5" s="1"/>
  <c r="G42" i="5" s="1"/>
  <c r="G73" i="1"/>
  <c r="G34" i="1"/>
  <c r="G71" i="1"/>
  <c r="G32" i="1"/>
  <c r="G31" i="1"/>
  <c r="G67" i="1"/>
  <c r="G30" i="1"/>
  <c r="G50" i="1"/>
  <c r="G18" i="1"/>
  <c r="G54" i="1"/>
  <c r="G22" i="1"/>
  <c r="G56" i="1"/>
  <c r="G24" i="1"/>
  <c r="G55" i="1"/>
  <c r="G23" i="1"/>
  <c r="G52" i="1"/>
  <c r="G20" i="1"/>
  <c r="G57" i="1"/>
  <c r="G25" i="1"/>
  <c r="D68" i="1"/>
  <c r="D65" i="5" s="1"/>
  <c r="G65" i="1"/>
  <c r="E200" i="1"/>
  <c r="D23" i="4" s="1"/>
  <c r="E199" i="1"/>
  <c r="F193" i="1"/>
  <c r="F199" i="1"/>
  <c r="F200" i="1"/>
  <c r="E23" i="4" s="1"/>
  <c r="G16" i="1"/>
  <c r="D16" i="1"/>
  <c r="D9" i="5" s="1"/>
  <c r="G19" i="1"/>
  <c r="H16" i="1"/>
  <c r="G65" i="5" l="1"/>
  <c r="D71" i="5"/>
  <c r="G9" i="5"/>
  <c r="D15" i="5"/>
  <c r="C41" i="6"/>
  <c r="C30" i="6"/>
  <c r="E202" i="1"/>
  <c r="D78" i="1"/>
  <c r="D76" i="5" s="1"/>
  <c r="G46" i="1"/>
  <c r="H46" i="1"/>
  <c r="G70" i="1"/>
  <c r="H78" i="1" s="1"/>
  <c r="G28" i="1"/>
  <c r="D36" i="1"/>
  <c r="D31" i="5" s="1"/>
  <c r="D58" i="1"/>
  <c r="D26" i="1"/>
  <c r="D20" i="5" s="1"/>
  <c r="D22" i="4"/>
  <c r="G68" i="1"/>
  <c r="H68" i="1"/>
  <c r="G58" i="1"/>
  <c r="H58" i="1"/>
  <c r="E22" i="4"/>
  <c r="F202" i="1"/>
  <c r="H26" i="1"/>
  <c r="G26" i="1"/>
  <c r="D54" i="5" l="1"/>
  <c r="D60" i="5" s="1"/>
  <c r="G76" i="5"/>
  <c r="D82" i="5"/>
  <c r="G31" i="5"/>
  <c r="D37" i="5"/>
  <c r="D73" i="5"/>
  <c r="G73" i="5" s="1"/>
  <c r="G71" i="5"/>
  <c r="G20" i="5"/>
  <c r="D26" i="5"/>
  <c r="G15" i="5"/>
  <c r="D17" i="5"/>
  <c r="G17" i="5" s="1"/>
  <c r="G78" i="1"/>
  <c r="C18" i="6"/>
  <c r="D25" i="6" s="1"/>
  <c r="C7" i="6"/>
  <c r="D12" i="6" s="1"/>
  <c r="G36" i="1"/>
  <c r="H36" i="1"/>
  <c r="G54" i="5" l="1"/>
  <c r="G82" i="5"/>
  <c r="D84" i="5"/>
  <c r="G84" i="5" s="1"/>
  <c r="D206" i="5"/>
  <c r="D39" i="5"/>
  <c r="G39" i="5" s="1"/>
  <c r="G37" i="5"/>
  <c r="D62" i="5"/>
  <c r="G62" i="5" s="1"/>
  <c r="G60" i="5"/>
  <c r="G26" i="5"/>
  <c r="D28" i="5"/>
  <c r="G28" i="5" s="1"/>
  <c r="D22" i="6"/>
  <c r="D24" i="6"/>
  <c r="D23" i="6"/>
  <c r="D21" i="6"/>
  <c r="D11" i="6"/>
  <c r="D13" i="6"/>
  <c r="D14" i="6"/>
  <c r="D10" i="6"/>
  <c r="C13" i="4" l="1"/>
  <c r="C15" i="4" s="1"/>
  <c r="C16" i="4" s="1"/>
  <c r="C17" i="4" s="1"/>
  <c r="B9" i="45"/>
  <c r="D208" i="5"/>
  <c r="G206" i="5"/>
  <c r="C19" i="6"/>
  <c r="C8" i="6"/>
  <c r="D207" i="1"/>
  <c r="G177" i="1"/>
  <c r="H180" i="1" s="1"/>
  <c r="D204" i="1" s="1"/>
  <c r="D180" i="1"/>
  <c r="D188" i="5" s="1"/>
  <c r="G188" i="5" s="1"/>
  <c r="D191" i="1"/>
  <c r="D192" i="1" s="1"/>
  <c r="D209" i="5" l="1"/>
  <c r="B11" i="45"/>
  <c r="G208" i="5"/>
  <c r="G191" i="1"/>
  <c r="D193" i="1"/>
  <c r="D208" i="1" s="1"/>
  <c r="I205" i="1"/>
  <c r="G180" i="1"/>
  <c r="D210" i="5" l="1"/>
  <c r="B12" i="45"/>
  <c r="D199" i="1"/>
  <c r="D201" i="1"/>
  <c r="C24" i="4" s="1"/>
  <c r="D200" i="1"/>
  <c r="C23" i="4" s="1"/>
  <c r="G192" i="1"/>
  <c r="G193" i="1" s="1"/>
  <c r="D205" i="1"/>
  <c r="B13" i="45" l="1"/>
  <c r="D202" i="1"/>
  <c r="C22" i="4"/>
  <c r="C25" i="4" l="1"/>
  <c r="C12" i="45"/>
  <c r="C6" i="45"/>
  <c r="C7" i="45"/>
  <c r="C8" i="45"/>
  <c r="C5" i="45"/>
  <c r="C10" i="45"/>
  <c r="C4" i="45"/>
  <c r="C9" i="45"/>
  <c r="C11" i="45"/>
  <c r="C13"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Kenneh</author>
  </authors>
  <commentList>
    <comment ref="A90" authorId="0" shapeId="0" xr:uid="{9D145F6F-1DD3-4E20-9084-3CA2DD1A4E9E}">
      <text>
        <r>
          <rPr>
            <b/>
            <sz val="9"/>
            <color indexed="81"/>
            <rFont val="Tahoma"/>
            <family val="2"/>
          </rPr>
          <t>Joseph Kenneh:</t>
        </r>
        <r>
          <rPr>
            <sz val="9"/>
            <color indexed="81"/>
            <rFont val="Tahoma"/>
            <family val="2"/>
          </rPr>
          <t xml:space="preserve">
to be discussed with Abi whether or this has been cancelled. </t>
        </r>
      </text>
    </comment>
  </commentList>
</comments>
</file>

<file path=xl/sharedStrings.xml><?xml version="1.0" encoding="utf-8"?>
<sst xmlns="http://schemas.openxmlformats.org/spreadsheetml/2006/main" count="1931" uniqueCount="986">
  <si>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</si>
  <si>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</si>
  <si>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</si>
  <si>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</si>
  <si>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</si>
  <si>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</si>
  <si>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</si>
  <si>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</si>
  <si>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</si>
  <si>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</si>
  <si>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</si>
  <si>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</si>
  <si>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</si>
  <si>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</si>
  <si>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</si>
  <si>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r>
      <t>Enhanced participation and representation of youth (including women and PWDs) in  decision-making processes..</t>
    </r>
    <r>
      <rPr>
        <i/>
        <sz val="12"/>
        <color theme="1"/>
        <rFont val="Calibri"/>
        <family val="2"/>
        <scheme val="minor"/>
      </rPr>
      <t xml:space="preserve"> This outcome will seek to improve on the participation of women, people living with disability and young people in decision-making processes in the targeted districts and chiefdoms around the country. To achieved this outcome, project staff will identify groups and strengthen them so they may engage in thorough awareness raising campaigns. These categories of people have a right to engage in decision-making for their communities, vote and be voted for in elections, be awarded symbols, be part of a management board, and make their voices heard in any process that will ultimately affect them, their families, and their communities. Enabling their right to political participation and representation is a necessary step to achieving nationwide gender equality and democratic governance.</t>
    </r>
  </si>
  <si>
    <t>Output 1.1:</t>
  </si>
  <si>
    <r>
      <t>Youths (including women and PDWs) are aware of their civic rights and responsibilities in decision-making processes at community, chiefdom and district levels</t>
    </r>
    <r>
      <rPr>
        <i/>
        <sz val="12"/>
        <color theme="1"/>
        <rFont val="Calibri"/>
        <family val="2"/>
        <scheme val="minor"/>
      </rPr>
      <t>TThis output aims to raise the awareness of youth's civic rights and responsibilities, through organizing and facilitating peer to peer awareness raising and sensitization sessions. To achieve this, the project will adopt various strategies and platforms that are friendly and adaptive to the target beneficiaries. These include local popular radio stations for discussion programmes, street parades using PA system and IEC materials to communicate civic education messages. Radio Maria is owned by Caritas Sierra Leone and it has one of the largest listening audience and a national coverage. The project will leverage the service of this radio station for information dissemination. Broadcast from radio Maria will be simulcast across districts and community stations.   Also, drama role plays will be organized at strategic points in the various intervention areas (including Ataya bases) for beneficiaries to understand their civic rights and responsibilities and understand the benefits of participating in decision-making processes. This will allow youths to dialogue on issues they face relating to conflict and peacebuilding through non adversarial approaches to conflict resolution. CRS will hire the services of a local drama group to develop a 2-hour radio series that will be broken down into ten episodes that will be broadcast twice a month for five months. These series will dramatize these groups’ journey through the electoral process and touch on key themes such as political manipulation, instigators of violence, and ways to positively participate in the election process and decision-making. The project will work with the disability commission to mobilize, train and provide technical accompaniment support to PWDs to influence their representation in governance processes at local and district levels. Town hall meetings will be organized to raise awareness on the civic rights and responsibilities of PWDs.</t>
    </r>
  </si>
  <si>
    <t>Activity 1.1.1:</t>
  </si>
  <si>
    <t>Activity 1.1.2:</t>
  </si>
  <si>
    <t>Activity 1.1.3:</t>
  </si>
  <si>
    <t>Activity 1.1.4</t>
  </si>
  <si>
    <t>Activity 1.1.5</t>
  </si>
  <si>
    <t>Activity 1.1.6</t>
  </si>
  <si>
    <t>Activity 1.1.7</t>
  </si>
  <si>
    <t>Activity 1.1.8</t>
  </si>
  <si>
    <t>Output Total</t>
  </si>
  <si>
    <t>Output 1.2:</t>
  </si>
  <si>
    <t xml:space="preserve">Increased stakeholders' engagement with youth on equal rights and representation. </t>
  </si>
  <si>
    <t>Activity 1.2.1</t>
  </si>
  <si>
    <t>Activity 1.2.2</t>
  </si>
  <si>
    <t>Activity 1.2.3</t>
  </si>
  <si>
    <t>3days Training at district level for peer educators_10 peer educators per district</t>
  </si>
  <si>
    <t>Activity 1.2.4</t>
  </si>
  <si>
    <t>Activity 1.2.5</t>
  </si>
  <si>
    <t>Activity 1.2.6</t>
  </si>
  <si>
    <t>Activity 1.2.7</t>
  </si>
  <si>
    <t>Activity 1.2.8</t>
  </si>
  <si>
    <t>Output 1.3:</t>
  </si>
  <si>
    <r>
      <t xml:space="preserve">Increased participation of young women, PWDs and Youth in local governanc decision-making processes at household, community, chiefdom and district levels    : </t>
    </r>
    <r>
      <rPr>
        <i/>
        <sz val="12"/>
        <color theme="1"/>
        <rFont val="Calibri"/>
        <family val="2"/>
        <scheme val="minor"/>
      </rPr>
      <t xml:space="preserve">The project will organize leadership trainings for young women focusing on skills that will support their participation in local and national leadership. The leadership skill training will include public speaking, mobilization, advocacy, and fund-raising skills. Forums will be organized for successful women in politics and entrepreneurship coach and mentor aspiring young female leaders. Dialogues forums will be organized with traditional leaders and religious leaders to amplify the benefits of the involvement of young women in governance and decision making. We will train men and boys to advocate against GBV and other harmful practices that limits young women’s socio-economic development.  </t>
    </r>
  </si>
  <si>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</si>
  <si>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</si>
  <si>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</si>
  <si>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</si>
  <si>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</si>
  <si>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</si>
  <si>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</si>
  <si>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</si>
  <si>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</si>
  <si>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</si>
  <si>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</si>
  <si>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</si>
  <si>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</si>
  <si>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</si>
  <si>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</si>
  <si>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</si>
  <si>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</si>
  <si>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</si>
  <si>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r>
      <t xml:space="preserve">Youths are capacitated to mitigate conflict and promote social cohesion. </t>
    </r>
    <r>
      <rPr>
        <i/>
        <sz val="12"/>
        <color theme="1"/>
        <rFont val="Calibri"/>
        <family val="2"/>
        <scheme val="minor"/>
      </rPr>
      <t xml:space="preserve">This outcome focuses on mitigating conflict and promoting social cohesion at national, district and community levels. The project will use the CRS’ innovative social cohesion framework which encompasses three spheres of society: socio-cultural, economic, and political to strengthen the social cohesion intervention areas. </t>
    </r>
  </si>
  <si>
    <t>Outcome 2.1</t>
  </si>
  <si>
    <r>
      <t>Youths and duty bearers dialogue  for improved governance:</t>
    </r>
    <r>
      <rPr>
        <i/>
        <sz val="12"/>
        <color theme="1"/>
        <rFont val="Calibri"/>
        <family val="2"/>
        <scheme val="minor"/>
      </rPr>
      <t xml:space="preserve">This output focuses on mitigating conflict and promoting Social Cohesion through constructive dialogue with community stakeholders, traditional leaders, inter-religious councils, Police, Office of National Security, City councils, district councils, Chiefdom Youth Councils, and political party structures. This will be achieved through facilitating dialogue sessions to develop actions plans which will be further integrated into district and chiefdom plans. Stakeholders (Paramount Chiefs and Youths) will be supported to develop communiques to mitigate community social and cultural conflicts as commitments to promoting peacebuilding and social cohesion within their localities and follow ups will be conducted to monitor progress on how the community dialogue sessions and communiques are contributing to conflict prevention and management. 
</t>
    </r>
  </si>
  <si>
    <t>Activity 2.1.1</t>
  </si>
  <si>
    <t>Activity 2.1.2</t>
  </si>
  <si>
    <t>Activity 2.1.3</t>
  </si>
  <si>
    <t>2 meetings per year</t>
  </si>
  <si>
    <t>Activity 2.1.4</t>
  </si>
  <si>
    <t>Activity 2.1.5</t>
  </si>
  <si>
    <t>Activity 2.1.6</t>
  </si>
  <si>
    <t>Activity 2.1.7</t>
  </si>
  <si>
    <t>Activity 2.1.8</t>
  </si>
  <si>
    <t>Output 2.2</t>
  </si>
  <si>
    <r>
      <t xml:space="preserve">Youths are engaged in promoting social cohesion: </t>
    </r>
    <r>
      <rPr>
        <i/>
        <sz val="12"/>
        <color theme="1"/>
        <rFont val="Calibri"/>
        <family val="2"/>
        <scheme val="minor"/>
      </rPr>
      <t>This output seeks to reduce the risk of violence and promote social cohesion at district and chiefdom levels. The project will identify and train youths in each district and chiefdom to serve as champions for change and promote social cohesion. They will be trained to serve as peer educators and to conduct community outreach, raise awareness and sensitization on violence prevention and social cohesion. Media programs will be broadcast through radio simulcast discussions on issues of conflict mitigation and social cohesion for a just and peaceful society. In addition, regionally customized jingles will be developed in all languages focusing on various peace promotion messages. Messages will be designed in collaboration with the program targets to ensure issues affecting their various categories are captured. IEC materials on conflict mitigation and social cohesion will be produced and distributed.</t>
    </r>
  </si>
  <si>
    <t>Activity 2.2.1</t>
  </si>
  <si>
    <t>Activity 2.2.2</t>
  </si>
  <si>
    <t>3 PPRC staff per district, 1 day training</t>
  </si>
  <si>
    <t>Activity 2.2.3</t>
  </si>
  <si>
    <t xml:space="preserve">3 staff for 1 day training </t>
  </si>
  <si>
    <t>Activity 2.2.4</t>
  </si>
  <si>
    <t>Activity 2.2.5</t>
  </si>
  <si>
    <t>Activity 2.2.6</t>
  </si>
  <si>
    <t>Activity 2.2.7</t>
  </si>
  <si>
    <t>Activity 2.2.8</t>
  </si>
  <si>
    <t>Output 2.3</t>
  </si>
  <si>
    <r>
      <t xml:space="preserve">Youths trained   on Social Cohesion methods and practices: </t>
    </r>
    <r>
      <rPr>
        <i/>
        <sz val="12"/>
        <color theme="1"/>
        <rFont val="Calibri"/>
        <family val="2"/>
        <scheme val="minor"/>
      </rPr>
      <t xml:space="preserve">Under this output, trainings will be organized for a network of Catholic Youth Organization (CYO), District Youth Councils, Caritas paralegals and young journalists on conflict mitigation and social cohesion using the CRS innovative social cohesion framework and non-violence reporting. This training will be organized at the regional, district, and chiefdom/Ward levels and the CRS ICT4D tools will be used to track and report politically motivated violence to the Political Party Registration Commission particularly during elections. Existing new peace-building structures in the district and communities will be strengthened on their roles and responsibilities in peacebuilding, and social and cultural change. Youth groups would be trained in ways to positively engage and dialogue with their peers and senior leaders to promote youth political participation. </t>
    </r>
    <r>
      <rPr>
        <b/>
        <sz val="12"/>
        <color theme="1"/>
        <rFont val="Calibri"/>
        <family val="2"/>
        <scheme val="minor"/>
      </rPr>
      <t xml:space="preserve">
</t>
    </r>
  </si>
  <si>
    <t>Activity 2.3.1</t>
  </si>
  <si>
    <t xml:space="preserve">Drama and open space “edutainment” session-popular artists or cultural groups entertainers in 5 districts </t>
  </si>
  <si>
    <t>Activity 2.3.2</t>
  </si>
  <si>
    <t xml:space="preserve">3 Youth group,3 womens group, 30 per group, 2 days training. 2 training </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</si>
  <si>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</si>
  <si>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</si>
  <si>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</si>
  <si>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</si>
  <si>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</si>
  <si>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</si>
  <si>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</si>
  <si>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</si>
  <si>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</si>
  <si>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</si>
  <si>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</si>
  <si>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</si>
  <si>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</si>
  <si>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</si>
  <si>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</si>
  <si>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</si>
  <si>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r>
      <t>Youths including young women and youths with disability engaged in diversified livelihoods. .</t>
    </r>
    <r>
      <rPr>
        <i/>
        <sz val="12"/>
        <color theme="1"/>
        <rFont val="Calibri"/>
        <family val="2"/>
        <scheme val="minor"/>
      </rPr>
      <t xml:space="preserve">This outcome seeks to increase the economic well-being of youths through diversified and sustainable livelihood approaches. This includes adopting empowerment approaches to deliver market driven skills through training. Coaching and mentorship to catalyze employment (formal and non-formal) and to invest in income generating activities. To achieve this, the project team will identify various youth groups and assess their livelihood options for further improvement through working with competent institutions and individuals to design and provide customized skills training, coaching and mentorship packages over the life of the project. </t>
    </r>
  </si>
  <si>
    <t>Output 3.1</t>
  </si>
  <si>
    <r>
      <t xml:space="preserve">Youths are trained  in  entrepreneurship methods and practices (including agribusiness  (including agribusiness ): </t>
    </r>
    <r>
      <rPr>
        <i/>
        <sz val="12"/>
        <color theme="1"/>
        <rFont val="Calibri"/>
        <family val="2"/>
        <scheme val="minor"/>
      </rPr>
      <t xml:space="preserve">This output focuses on capacity building for unemployed youths to identify and invest in diverse income generating activities in their local communities based on their areas of interest. The project will identify youth groups, and train them in business skills to invest in specific incoming generation activities of interest in partnership with National Commission for Social Action (NACSA), Mankind Accreditation Development Activity Movement (MADAM), MUNAFA and SLADEA organizations. CRS and Caritas will use their business and income generating models to enhance the livelihoods skills of target beneficiaries. Further to that, the project will map out market driven income generation activities in each of the project locations to measure and determine the market size for investment. Project participants will be supported with a business plan to guide investment and market the plans to microfinance institution for access to finance Considering the life of the project, the project will negotiate with training institutions to develop accelerated training manuals for various trainings and mode of delivery.
</t>
    </r>
  </si>
  <si>
    <t>Activity 3.1.1</t>
  </si>
  <si>
    <t xml:space="preserve">5 meeting per district, 50 per meeting, </t>
  </si>
  <si>
    <t>Activity 3.1.2</t>
  </si>
  <si>
    <t>Activity 3.1.3</t>
  </si>
  <si>
    <t>Activity 3.1.4</t>
  </si>
  <si>
    <t>Activity 3.1.5</t>
  </si>
  <si>
    <t>Activity 3.1.6</t>
  </si>
  <si>
    <t>Activity 3.1.7</t>
  </si>
  <si>
    <t>Activity 3.1.8</t>
  </si>
  <si>
    <t>Output 3.2:</t>
  </si>
  <si>
    <r>
      <t xml:space="preserve">Youths are linked and deployed in internship and mentorship to acquire  alternative livelihood skills p (Formal/informal).  </t>
    </r>
    <r>
      <rPr>
        <i/>
        <sz val="12"/>
        <color theme="1"/>
        <rFont val="Calibri"/>
        <family val="2"/>
        <scheme val="minor"/>
      </rPr>
      <t xml:space="preserve">This output seeks to support ensure that youth trained in various  market driven vocational skills are linked and  deployed for internship and mentorship.. The project will coordinate with master trainers and vocational institutions in the project locations to provide internship and mentorship support to project targets that are interested in skills development. A skills map exercise will be conducted in all the project locations to determine the existing market for the various skills. Target participants will be guided to identify skills that are demanded in the market for mentorship and internship placement.  
 </t>
    </r>
  </si>
  <si>
    <t>Activity 3.2.1</t>
  </si>
  <si>
    <t>Activity 3.2.2</t>
  </si>
  <si>
    <t>Activity 3.2.3</t>
  </si>
  <si>
    <t>Activity 3.2.4</t>
  </si>
  <si>
    <t>Activity 3.2.5</t>
  </si>
  <si>
    <t>Activity 3.2.6</t>
  </si>
  <si>
    <t>Activity 3.2.7</t>
  </si>
  <si>
    <t>Activity 3.2.8</t>
  </si>
  <si>
    <t>Output 3.3</t>
  </si>
  <si>
    <r>
      <t xml:space="preserve">Youths are linked to access finance opportunities and mentorship. </t>
    </r>
    <r>
      <rPr>
        <i/>
        <sz val="12"/>
        <color theme="1"/>
        <rFont val="Calibri"/>
        <family val="2"/>
        <scheme val="minor"/>
      </rPr>
      <t xml:space="preserve">This output provides linkages for access to finance from both the formal and informal financial sectors. Considering that access to finance is critical to invest in income generating activities, and to a large extent sustainable livelihoods, youths, especially young women, and youths with disability will be supported through linking them up with Microfinance Institutions (MFIs) and facilitating Saving and Internal Lending Communities (SILC). or Village Savings and Loans Associations (VSLA) in the targeted communities. The project will map MFIs and financial services associations at local levels to inform the support needed for the project participants to meet their criteria to access their services. Also, the project will promote small scale savings to participate in SILC. Youths, particularly young women will be trained in the principles of SILC and provided with the tools to facilitate their savings. 
 </t>
    </r>
  </si>
  <si>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</si>
  <si>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</si>
  <si>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</si>
  <si>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</si>
  <si>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</si>
  <si>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</si>
  <si>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</si>
  <si>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</si>
  <si>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</si>
  <si>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</si>
  <si>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</si>
  <si>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</si>
  <si>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</si>
  <si>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</si>
  <si>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</si>
  <si>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</si>
  <si>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</si>
  <si>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</si>
  <si>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</si>
  <si>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</si>
  <si>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</si>
  <si>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</si>
  <si>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</si>
  <si>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</si>
  <si>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</si>
  <si>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</si>
  <si>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</si>
  <si>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</si>
  <si>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XXXXXXXX</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</si>
  <si>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</si>
  <si>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</si>
  <si>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</si>
  <si>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</si>
  <si>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</si>
  <si>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</si>
  <si>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</si>
  <si>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</si>
  <si>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</si>
  <si>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</si>
  <si>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</si>
  <si>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</si>
  <si>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</si>
  <si>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</si>
  <si>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</si>
  <si>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</si>
  <si>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</si>
  <si>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</si>
  <si>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</si>
  <si>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</si>
  <si>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</si>
  <si>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</si>
  <si>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</si>
  <si>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</si>
  <si>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</si>
  <si>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</si>
  <si>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</si>
  <si>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Personnel cost for CRS and Caritas </t>
  </si>
  <si>
    <t>Additional operational costs</t>
  </si>
  <si>
    <t xml:space="preserve">Operational cost including equipment </t>
  </si>
  <si>
    <t>Monitoring budget</t>
  </si>
  <si>
    <t>Monitoring budg for CRS and Caritas</t>
  </si>
  <si>
    <t>Budget for independent final evaluation</t>
  </si>
  <si>
    <t xml:space="preserve">Final evalaluation </t>
  </si>
  <si>
    <t>Budget for independent audit</t>
  </si>
  <si>
    <t>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</si>
  <si>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</si>
  <si>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</si>
  <si>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</si>
  <si>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</si>
  <si>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</si>
  <si>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</si>
  <si>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</si>
  <si>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</si>
  <si>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</si>
  <si>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</si>
  <si>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</si>
  <si>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</si>
  <si>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</si>
  <si>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</si>
  <si>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</si>
  <si>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</si>
  <si>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</si>
  <si>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</si>
  <si>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</si>
  <si>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</si>
  <si>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</si>
  <si>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</si>
  <si>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</si>
  <si>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</si>
  <si>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</si>
  <si>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</si>
  <si>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</si>
  <si>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</si>
  <si>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</si>
  <si>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</si>
  <si>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</si>
  <si>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</si>
  <si>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</si>
  <si>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</si>
  <si>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</si>
  <si>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</si>
  <si>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</si>
  <si>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</si>
  <si>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</si>
  <si>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</si>
  <si>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</si>
  <si>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</si>
  <si>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</si>
  <si>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</si>
  <si>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</si>
  <si>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</si>
  <si>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</si>
  <si>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</si>
  <si>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</si>
  <si>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</si>
  <si>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</si>
  <si>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</si>
  <si>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</si>
  <si>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</si>
  <si>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</si>
  <si>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</si>
  <si>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</si>
  <si>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</si>
  <si>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</si>
  <si>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</si>
  <si>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</si>
  <si>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</si>
  <si>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</si>
  <si>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</si>
  <si>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</si>
  <si>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</si>
  <si>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2</t>
  </si>
  <si>
    <t>Recip Agency 3</t>
  </si>
  <si>
    <t>Third Tranche:</t>
  </si>
  <si>
    <t>%</t>
  </si>
  <si>
    <t>Outcome 1: Enhanced participation and representation of youths in governance and decision-making processes.</t>
  </si>
  <si>
    <t>ACTIVITIES</t>
  </si>
  <si>
    <t>Description</t>
  </si>
  <si>
    <t>Measurement</t>
  </si>
  <si>
    <t>Units</t>
  </si>
  <si>
    <t>Frequency</t>
  </si>
  <si>
    <t>Unit cost</t>
  </si>
  <si>
    <t>Total cost</t>
  </si>
  <si>
    <t>Total USD</t>
  </si>
  <si>
    <t xml:space="preserve">Output 1.1: Youths (including women and PDWs) are aware of their civic rights and responsibilities in decision-making processes at community, chiefdom and district levels. </t>
  </si>
  <si>
    <t>1.Train youth groups as Peer-to-peer educators on peace-building awareness approach and civic education in schools, local coffee shop (attaya base), and marketplaces targeting first-time voters and opportunity youths.</t>
  </si>
  <si>
    <t>2 Training for Peer Educators_15 per district + 7 staff_2 days training</t>
  </si>
  <si>
    <t xml:space="preserve">Breakfast and Lunch </t>
  </si>
  <si>
    <t>15 per distric + 7 staff_2 days training_2</t>
  </si>
  <si>
    <t xml:space="preserve">Catering </t>
  </si>
  <si>
    <t xml:space="preserve">Trainings Resident Transport </t>
  </si>
  <si>
    <t>Transport</t>
  </si>
  <si>
    <t>Travel</t>
  </si>
  <si>
    <t>Transport for awareness raising</t>
  </si>
  <si>
    <t xml:space="preserve">Training Materials </t>
  </si>
  <si>
    <t>Pen, pencils, block notes, flip chart papers</t>
  </si>
  <si>
    <t>Kit per participant</t>
  </si>
  <si>
    <t xml:space="preserve">Hall rental </t>
  </si>
  <si>
    <t xml:space="preserve">Hall hire </t>
  </si>
  <si>
    <t>Days</t>
  </si>
  <si>
    <t>Sub-Total</t>
  </si>
  <si>
    <t>2.Organize awareness raising session through static parades, drama and open space “edutainment” session-popular artists or cultural groups entertainers to preach peace and influence youths' involvement on civic rights, responsibilities, and involvement in decision-making processes in 5 districts</t>
  </si>
  <si>
    <t>Awareness raising event_2 days each in 5 districs</t>
  </si>
  <si>
    <t>Static parades in 5 districts</t>
  </si>
  <si>
    <t>Lumpsum</t>
  </si>
  <si>
    <t xml:space="preserve">Printing of banner </t>
  </si>
  <si>
    <t xml:space="preserve">Printing </t>
  </si>
  <si>
    <t xml:space="preserve">PA systems </t>
  </si>
  <si>
    <t>PA System</t>
  </si>
  <si>
    <t xml:space="preserve">3.Radio panel discussion on civic rights and responsibilities </t>
  </si>
  <si>
    <t>3 radio discussion programmes per district per year</t>
  </si>
  <si>
    <t>Radio fees</t>
  </si>
  <si>
    <t xml:space="preserve">Transport for panel members </t>
  </si>
  <si>
    <t>Jingles in local language in all districts</t>
  </si>
  <si>
    <t xml:space="preserve">redio jingles </t>
  </si>
  <si>
    <t xml:space="preserve">production and airing </t>
  </si>
  <si>
    <r>
      <t>4.</t>
    </r>
    <r>
      <rPr>
        <sz val="12"/>
        <rFont val="Calibri"/>
        <family val="2"/>
        <scheme val="minor"/>
      </rPr>
      <t>Awareness raising and dialogue sessions among political parties for support and inclusion of young people in political and governance processes.</t>
    </r>
  </si>
  <si>
    <t>Awareness raising sessions in each distric_15 participants per session in each district_2 sessions</t>
  </si>
  <si>
    <t xml:space="preserve">Refreshment </t>
  </si>
  <si>
    <t xml:space="preserve">15 participants_5 district each_2days training </t>
  </si>
  <si>
    <t>Catering</t>
  </si>
  <si>
    <t xml:space="preserve">Transportation for participants </t>
  </si>
  <si>
    <t>Transport for 75 participants</t>
  </si>
  <si>
    <t xml:space="preserve">hall hire </t>
  </si>
  <si>
    <t>Stationary</t>
  </si>
  <si>
    <t>Pens, pencils, Note books, Flip chart papers</t>
  </si>
  <si>
    <t>5.Conduct simulcast discussion program on youths' civic rights, responsibilities and involvement in peace building and decision-making processes at districts and national levels.</t>
  </si>
  <si>
    <t>2 radio discussion programmes per district per year_2 radion programms per year</t>
  </si>
  <si>
    <t xml:space="preserve">Radio discussion programmes </t>
  </si>
  <si>
    <t>2 radio discussion programmes per district per year</t>
  </si>
  <si>
    <t xml:space="preserve">Output 1.2: Increased stakeholders' engagement with youth on equal rights and representation. </t>
  </si>
  <si>
    <t>1.Project Start up Workshop</t>
  </si>
  <si>
    <t xml:space="preserve">Project start up meeting </t>
  </si>
  <si>
    <t>1 National Workksho_50 Participants_10 CRS_10 CARITAS_1day</t>
  </si>
  <si>
    <t xml:space="preserve">Transport refund for participants </t>
  </si>
  <si>
    <t xml:space="preserve">Transport </t>
  </si>
  <si>
    <t xml:space="preserve">Transport refund for stakeholders </t>
  </si>
  <si>
    <t xml:space="preserve">Transport / fuel </t>
  </si>
  <si>
    <t>Hall rental</t>
  </si>
  <si>
    <t>Training Materials</t>
  </si>
  <si>
    <t>2.Hold town hall and community dialogue discussion targeting first-time voters, women’s groups, and attaya base groups on their meaningful involvement in politics and promoting peace in Sierra Leone.</t>
  </si>
  <si>
    <t>Community town Hall meetings_25 per district_4 district X 1 day meeting</t>
  </si>
  <si>
    <t xml:space="preserve">25 persons X 4 groups </t>
  </si>
  <si>
    <t>printing of banners</t>
  </si>
  <si>
    <t xml:space="preserve">5 banners for community hall </t>
  </si>
  <si>
    <t xml:space="preserve">5 banners </t>
  </si>
  <si>
    <t xml:space="preserve">Printing of T-Shirts </t>
  </si>
  <si>
    <t>Printing of T Shirts</t>
  </si>
  <si>
    <t xml:space="preserve">Hall Rental </t>
  </si>
  <si>
    <t>3.Development of an inclusive community action plan on conflict prevention and management with youths and diverse stakeholders.</t>
  </si>
  <si>
    <t>15 persons @ 5 districts + 5 CRS + 5 Caritas</t>
  </si>
  <si>
    <t>Persons</t>
  </si>
  <si>
    <t xml:space="preserve">4.Refresher Training for Volunteer Peer Educators </t>
  </si>
  <si>
    <t>Breakfast and Lunch</t>
  </si>
  <si>
    <t>10 participants per district_5 district_5 Caritas_CRS</t>
  </si>
  <si>
    <t>Hall  rental</t>
  </si>
  <si>
    <t xml:space="preserve">Transport for womens group menbers </t>
  </si>
  <si>
    <t>transport</t>
  </si>
  <si>
    <t xml:space="preserve">External Facilitation Fee </t>
  </si>
  <si>
    <t>Facilitation fee</t>
  </si>
  <si>
    <t xml:space="preserve">Facilitation </t>
  </si>
  <si>
    <t xml:space="preserve">5.Certification of Volunteer Peer Educators </t>
  </si>
  <si>
    <t xml:space="preserve">Certification ceremony </t>
  </si>
  <si>
    <t xml:space="preserve">Transport for Peer Educators </t>
  </si>
  <si>
    <t xml:space="preserve">Output 1.3: Increased participation of young women, PWDs and Youth in local governanc decision-making processes at household, community, chiefdom and district levels  </t>
  </si>
  <si>
    <t>1.Establishment of civic education school clubs. CRS is currently working with a network of university youth clubs to promote social cohesion and civic engagements. This project will leverage on these structures to train CRS youths as peace ambassadors to provide peer-peer peace education.</t>
  </si>
  <si>
    <t xml:space="preserve">Formation of Civic Education School Clubs_15 Members,1day training per month, 12 meetings </t>
  </si>
  <si>
    <t>1 club per distric with 15 members per club</t>
  </si>
  <si>
    <t xml:space="preserve">Branded materials for clubs </t>
  </si>
  <si>
    <t xml:space="preserve">T-shirt,pen,books </t>
  </si>
  <si>
    <t>Refreshment_15 Club members per district, 2 CRS University Youth Club Members</t>
  </si>
  <si>
    <t>Training Transportation</t>
  </si>
  <si>
    <t xml:space="preserve">Trannsport for UYC members  awareness raising </t>
  </si>
  <si>
    <t xml:space="preserve">2.Form and strengthen 40 young women’s groups across the 5 target districts. </t>
  </si>
  <si>
    <t>ToT workshop_2 days, 2 training, 40 groups, 20 per group</t>
  </si>
  <si>
    <t xml:space="preserve">40 womens Group,5 caritas,5crs,20 pergroup, 2 days training, 2 trainings </t>
  </si>
  <si>
    <t xml:space="preserve">Travel </t>
  </si>
  <si>
    <t xml:space="preserve">Output 1.3: Engaged women, youths, PWDs and vulnerable groups in governance and decision-making process  </t>
  </si>
  <si>
    <t xml:space="preserve">3.Training of Trainer workshop on civic education and leadership skills for y. </t>
  </si>
  <si>
    <t>4.Conduct awareness raising sessions  on existing laws and policies that protect the rights  of women and services available. These group members will be used as young peace educators and peer leadership coach to reach other young women in their communities</t>
  </si>
  <si>
    <t>5.Training youths (male) on CRS positive masculinity concept to advocate against GBV and advance women’s leadership</t>
  </si>
  <si>
    <t>Refreshment</t>
  </si>
  <si>
    <t>Media coverage</t>
  </si>
  <si>
    <t>media</t>
  </si>
  <si>
    <t>6.Conduct basic social skills training such as public speaking, mobilization, lobbying, and advocacy skills for rural young women aspirants.</t>
  </si>
  <si>
    <t xml:space="preserve">20 Participants_5 districts_5 CRS_5 Caritas </t>
  </si>
  <si>
    <t xml:space="preserve">Days </t>
  </si>
  <si>
    <t>Transpor</t>
  </si>
  <si>
    <t>Output 1.4 N/A</t>
  </si>
  <si>
    <t>Grand Total - Outcome 1</t>
  </si>
  <si>
    <t>Outcome 2:Youths are capacitated to mitigate conflict and promote social cohesion.</t>
  </si>
  <si>
    <t xml:space="preserve"> </t>
  </si>
  <si>
    <t>Year 1</t>
  </si>
  <si>
    <t xml:space="preserve">Output 2.1:Youths and duty bearers dialogue  for improved governance. </t>
  </si>
  <si>
    <t>1.Stakeholders’ engagement sessions with politicians, paramount chiefs, security apparatuses, National Electoral Commission, Political Party Registration Commission, CSOs, etc) to discuss proactive and meaningful involvement of youths particularly young women in political processes and their protection during and after elections.</t>
  </si>
  <si>
    <t xml:space="preserve">40 stakeholder per district, 1 day meeting </t>
  </si>
  <si>
    <t>2.Dialogue sessions with the Inter-Religious Councils to promote and influence the positive involvement of young women in leadership.</t>
  </si>
  <si>
    <t xml:space="preserve">Quaterly meetings with Inter-religious councils_15 leaders per district, 1 day meeting </t>
  </si>
  <si>
    <t>15 leaders per district,5 caritas,5 CRS</t>
  </si>
  <si>
    <t xml:space="preserve">Transport for leaders </t>
  </si>
  <si>
    <t>3.Regional dialogue sessions with political party structures, traditional and religious leaders, women’s groups, youth groups, and the person with disability organizations (PWD).</t>
  </si>
  <si>
    <t xml:space="preserve">2 meetings per year, 15 people for meeting </t>
  </si>
  <si>
    <t>40 reppresentative per district</t>
  </si>
  <si>
    <t xml:space="preserve">Output 2.2:Youths are engaged in promoting social cohesion.   </t>
  </si>
  <si>
    <t>1.Organize awareness-raising sessions on the importance of peace and youths' involvement in political processes through media engagements and production of IEC materials</t>
  </si>
  <si>
    <t xml:space="preserve">Drama and open space “edutainment” session-popular artists or cultural groups entertainers in 8 districts </t>
  </si>
  <si>
    <t>2.Organise inter-community sport activities</t>
  </si>
  <si>
    <t>Field Event</t>
  </si>
  <si>
    <t xml:space="preserve">Refreshment for field Event </t>
  </si>
  <si>
    <t xml:space="preserve">Field Rental </t>
  </si>
  <si>
    <t xml:space="preserve">Field hire </t>
  </si>
  <si>
    <t>Hall</t>
  </si>
  <si>
    <t xml:space="preserve">3.Organise inter political party and inter community football matches  </t>
  </si>
  <si>
    <t>4.Radio panel discussion on conflict prevention and management</t>
  </si>
  <si>
    <t xml:space="preserve">Output 2.3:Youths trained   on Social Cohesion methods and practices 
</t>
  </si>
  <si>
    <t xml:space="preserve">1.Train youth-led groups on peacebuilding methods (education for peace, non-violent communication, conflict management. The training will include civic education for mitigating political conflict and increasing social cohesion
</t>
  </si>
  <si>
    <t>2.Strengthen the community’s existing structures through training, mentorship, meetings, and coordination with another partner to advance advocacy and peace building and the community levels. These structures include the District’s Youth Council, Chiefdom Development Committee, Mother Support Group, etc.</t>
  </si>
  <si>
    <t xml:space="preserve">Accomodations for Participants </t>
  </si>
  <si>
    <t xml:space="preserve">Accomodation </t>
  </si>
  <si>
    <t xml:space="preserve">Trainings Materials </t>
  </si>
  <si>
    <t xml:space="preserve">3.ICT4D training for paralegals as violence incidence reporters. </t>
  </si>
  <si>
    <t xml:space="preserve">4.Procure ICT4D devices and develop incident monitoring tools. </t>
  </si>
  <si>
    <t xml:space="preserve">Procurement of smart phones or tablets for violence incident reporting </t>
  </si>
  <si>
    <t xml:space="preserve">Equipments </t>
  </si>
  <si>
    <t xml:space="preserve">procurement of tablets/phones </t>
  </si>
  <si>
    <t xml:space="preserve">5.Training of district PPRC staff on the use of violence incident monitoring tools. </t>
  </si>
  <si>
    <t>3.Safeguarding ` to ensure their engagement and advocacy activities do no harm and protect communities and beneficiaries.</t>
  </si>
  <si>
    <t xml:space="preserve">Output 2.4 </t>
  </si>
  <si>
    <t>Activity 1.2.2:</t>
  </si>
  <si>
    <t>Activity 1.2.3:</t>
  </si>
  <si>
    <t>Activity 1.2.4:</t>
  </si>
  <si>
    <t>Activity 1.2.5:</t>
  </si>
  <si>
    <t>Activity 1.2.6:</t>
  </si>
  <si>
    <t>Activity 1.2.7:</t>
  </si>
  <si>
    <t>Activity 1.2.8:</t>
  </si>
  <si>
    <t xml:space="preserve">Outcome 3:Youths including young women and youths with disability engaged in diversified livelihoods. </t>
  </si>
  <si>
    <t xml:space="preserve">Output 3.1: Youths are trained  in  entrepreneurship methods and practices (including agribusiness  (including agribusiness )
</t>
  </si>
  <si>
    <t xml:space="preserve">1.Identification of existing youths' groups to be trained or linked to vocational training. </t>
  </si>
  <si>
    <t xml:space="preserve">Refreshment for community engagement meetings </t>
  </si>
  <si>
    <t xml:space="preserve">meetings </t>
  </si>
  <si>
    <t>persons</t>
  </si>
  <si>
    <t xml:space="preserve">Hall rental for community meetings </t>
  </si>
  <si>
    <t xml:space="preserve">Perdiem  for staff doing the assessment </t>
  </si>
  <si>
    <t xml:space="preserve">5 staff_5 districts_2 nights per district </t>
  </si>
  <si>
    <t>Perdiems</t>
  </si>
  <si>
    <t xml:space="preserve">2.Identify and strengthen the capacity of youths' cooperatives on climate smart agriculture. Agroinputs materials and seeds will be given to support youth's agribusiness. Youths Agric cooperatives will be trained in business development, financial management and marketing skills. </t>
  </si>
  <si>
    <t xml:space="preserve">30 womens group, 30 per group, 5 Caritas,5 CRS. 2 days Trainings and 2 sessions </t>
  </si>
  <si>
    <t xml:space="preserve">Facilitation fee for External Facilitator </t>
  </si>
  <si>
    <t xml:space="preserve">Facilitator </t>
  </si>
  <si>
    <t xml:space="preserve">seedlings (assorted seeds) </t>
  </si>
  <si>
    <t xml:space="preserve">Seedlings per group </t>
  </si>
  <si>
    <t xml:space="preserve">seedlings </t>
  </si>
  <si>
    <t xml:space="preserve">Output 3.2:Youths are linked and deployed in internship and mentorship to acquire  alternative livelihood skills p (Formal/informal).  </t>
  </si>
  <si>
    <t>1.CRS will leverage its existing relationship with vocational and financial institutions to link opportunity youths to learn technical and entrepreneurship skills that will enable them to engage in alternative livelihood activities. We will also create mentorship and career guidance training for rural youths.</t>
  </si>
  <si>
    <t>Output 3.3:Youths are linked to access finance opportunities and mentorship. This output provides linkages for access to finance from both the formal and informal financial sectors.</t>
  </si>
  <si>
    <t xml:space="preserve">1.Establishment of saving and internal lending communities (SILC) at chiefdom levels targeting young women. </t>
  </si>
  <si>
    <t>Interaction forum between Enterpreneurs, Ministry of Agriculture,FSA and Local Content_1 day forum</t>
  </si>
  <si>
    <t xml:space="preserve">20 people_5 district_5 CRS_5 Caritas </t>
  </si>
  <si>
    <t>2.Provide agricultural input materials to youths' Agric cooperatives</t>
  </si>
  <si>
    <t>Lumpsup</t>
  </si>
  <si>
    <t>Output 3.4 XXXXX</t>
  </si>
  <si>
    <t>CATHOLIC RELIEF SERVICES (CRS)</t>
  </si>
  <si>
    <t>No</t>
  </si>
  <si>
    <t>Full Names - CRS Direct Staff</t>
  </si>
  <si>
    <t>Positions</t>
  </si>
  <si>
    <t>Basic Salary</t>
  </si>
  <si>
    <t>Transport and Rent Allowance</t>
  </si>
  <si>
    <t>Leave Allowance 
Monthly</t>
  </si>
  <si>
    <t>Gross Salary</t>
  </si>
  <si>
    <t>Employer NASSIT per month (10%)</t>
  </si>
  <si>
    <t>Employer Liability Insurance @1%</t>
  </si>
  <si>
    <t>medical</t>
  </si>
  <si>
    <t>Life Insurance
(Group Life and Group Personal)</t>
  </si>
  <si>
    <t>Severance</t>
  </si>
  <si>
    <t>Estimated Monthly Salary/Benefits</t>
  </si>
  <si>
    <t>Estimated Yearly Salary/Benefits</t>
  </si>
  <si>
    <t>LOE</t>
  </si>
  <si>
    <t>Year 1
Charged to UNPBF Grant (USD)</t>
  </si>
  <si>
    <t>Year 2
Charged to UNPBF Grant (USD)</t>
  </si>
  <si>
    <t>TOTAL - USD</t>
  </si>
  <si>
    <t>TBD</t>
  </si>
  <si>
    <t>Program Manager I CRS</t>
  </si>
  <si>
    <t>Project officer with Gender and Youths expertise  I CRS</t>
  </si>
  <si>
    <t>Advocacy and Communications Officer   I CRS</t>
  </si>
  <si>
    <t>MEAL Coordinator </t>
  </si>
  <si>
    <t>Partnership Advisor and Safeguarding Focal Point  I CRS</t>
  </si>
  <si>
    <t>Grant Manager  I CRS</t>
  </si>
  <si>
    <t>Gender Focal Point   I CRS</t>
  </si>
  <si>
    <t xml:space="preserve">Caritas </t>
  </si>
  <si>
    <t>Full Names - Caritas Direct Staff</t>
  </si>
  <si>
    <t>Caritas National office program manager  I Caritas</t>
  </si>
  <si>
    <t>Project Coordinators I Caritas</t>
  </si>
  <si>
    <t>Caritas Finance Officers  *4 I Caritas</t>
  </si>
  <si>
    <t>Caritas MEAL officers *4 I Caritas</t>
  </si>
  <si>
    <t>Caritas Directors *5 I Caritas</t>
  </si>
  <si>
    <t xml:space="preserve">Sub-Total </t>
  </si>
  <si>
    <t xml:space="preserve">Year 1 </t>
  </si>
  <si>
    <t>Base Salary</t>
  </si>
  <si>
    <t>Sub-total</t>
  </si>
  <si>
    <t>COLA</t>
  </si>
  <si>
    <t>Housing</t>
  </si>
  <si>
    <t>Education</t>
  </si>
  <si>
    <t>Security</t>
  </si>
  <si>
    <t>Home Leave</t>
  </si>
  <si>
    <t>30% Fringe</t>
  </si>
  <si>
    <t xml:space="preserve">Year 2 </t>
  </si>
  <si>
    <t xml:space="preserve">Year 3 </t>
  </si>
  <si>
    <t>Inflation on Salaries</t>
  </si>
  <si>
    <t>Direct-Direct</t>
  </si>
  <si>
    <t>Urban Resilience Director</t>
  </si>
  <si>
    <t>Senior Private Sector Advisor - HQ</t>
  </si>
  <si>
    <t xml:space="preserve">Senior Climate Change Advisor - HQ </t>
  </si>
  <si>
    <t>Agriculture Livelihood RTA - WARO</t>
  </si>
  <si>
    <t>Summary UR Director</t>
  </si>
  <si>
    <t>Year 2</t>
  </si>
  <si>
    <t>Year 3</t>
  </si>
  <si>
    <t xml:space="preserve">Salary </t>
  </si>
  <si>
    <t>30 % frindge</t>
  </si>
  <si>
    <t>Direct-Direct Project Staff</t>
  </si>
  <si>
    <t>Annual Gross</t>
  </si>
  <si>
    <t>Fringe benefits/allowances</t>
  </si>
  <si>
    <t>Summary - RTA Ag WARO</t>
  </si>
  <si>
    <t>Staff </t>
  </si>
  <si>
    <t>Project fund LEO </t>
  </si>
  <si>
    <t>Months </t>
  </si>
  <si>
    <t>Role and Function  </t>
  </si>
  <si>
    <t>Organization </t>
  </si>
  <si>
    <t>Program Manager</t>
  </si>
  <si>
    <t>100% </t>
  </si>
  <si>
    <t>24 </t>
  </si>
  <si>
    <t>This person will be responsible for general oversight and day to day management of project implementation and ensures that project activities are within approved budget and meets programme quality standards. The PD will also be responsible for managing the overall management and coordination of the relationship with implementing partners and ensures effective lines of communication, she/he will ensure that project reports are prepared and submitted in compliance with donor standards. </t>
  </si>
  <si>
    <t>CRS </t>
  </si>
  <si>
    <t>Project officer with Gender and Youths expertise </t>
  </si>
  <si>
    <t>These personnel will be responsible to provide support to the Programme Manager for the day-to-day execution of the project, including the implementation of activities, delivering various trainings, conducting general project monitoring, and liaising with the program partner staff. </t>
  </si>
  <si>
    <t>Advocacy and Communications Officer  </t>
  </si>
  <si>
    <t>18 </t>
  </si>
  <si>
    <t>This person is responsibly to develop all IEC materials, advocacy and Communications strategies. She/He will support partners to mobilize and train participants. </t>
  </si>
  <si>
    <t>Project Coordinators * 4 </t>
  </si>
  <si>
    <t>These coordinators with sit with Caritas in the four rejoins. The incumbents will work with districts and chiefdom authorities and stakeholders to ensure program activities are delivered in a timely manner.  </t>
  </si>
  <si>
    <t>Caritas  </t>
  </si>
  <si>
    <t>Finance officer  </t>
  </si>
  <si>
    <t>Other Support Staff </t>
  </si>
  <si>
    <t>Head of Programming </t>
  </si>
  <si>
    <t>5% </t>
  </si>
  <si>
    <t>will provide strategic leadership in managing the relationships with the UNPBF, and will be responsible for the projects' overall implementation, including proper timing of the activities and respect of the budget and donor requirements. </t>
  </si>
  <si>
    <t>Grant Coordinator </t>
  </si>
  <si>
    <t>oversees all of the financial aspects of the programme and is responsible for the final overview of all programmes financial reports. He will conduct trainings and accompaniment support to partner finance staff and will run regular internal audits of this action’s spending. </t>
  </si>
  <si>
    <t>Communications Manager </t>
  </si>
  <si>
    <t>will ensure that all branding and communications materials are reviewed and follow standards and will support partners with communication, advocacy and media training </t>
  </si>
  <si>
    <t>20% </t>
  </si>
  <si>
    <t>will be responsible for the monitoring and evaluation component of the project, helping to carry out the baseline and ongoing monitoring throughout the action to ensure programme rigor and learning. </t>
  </si>
  <si>
    <t>Gender Focal Point  </t>
  </si>
  <si>
    <t>Support the project team to ensure all activities are gender responsive and they the project DO NO Harm </t>
  </si>
  <si>
    <t>Partnership Advisor and Safeguarding Focal Point </t>
  </si>
  <si>
    <t>Support coordination of partners and lead external engagement meetings at national level in collaboration with the program manager. Ensure partners are trained on CRS and UN safeguarding and do no harm principles.  </t>
  </si>
  <si>
    <t>Caritas Finance Officers  </t>
  </si>
  <si>
    <t>Caritas MEAL officers </t>
  </si>
  <si>
    <t>Caritas Directors </t>
  </si>
  <si>
    <t>Caritas National office program manager  </t>
  </si>
  <si>
    <t>CRS Regional Technical Advisors for Social Cohesion, Gender Equality and Youths.  </t>
  </si>
  <si>
    <t>technical expertise to ensure programme quality based on need. Cost for all these staff will be a percentage charge except for the programme Director/ Manager </t>
  </si>
  <si>
    <t>Supervision of activities by partners</t>
  </si>
  <si>
    <t>Vehicle Hire ( 4 Caritas,Freetown,Makeni,Bo Kenema)</t>
  </si>
  <si>
    <t>month</t>
  </si>
  <si>
    <t>Fuel ( 4 Caritas,Freetown,Makeni,Bo Kenema)</t>
  </si>
  <si>
    <t>Litre</t>
  </si>
  <si>
    <t>Perdiem (2 people per Caritas)</t>
  </si>
  <si>
    <t>perdiem</t>
  </si>
  <si>
    <t>Accomodation  (2 people per Caritas)</t>
  </si>
  <si>
    <t>night</t>
  </si>
  <si>
    <t>Supervision of activities - CRS</t>
  </si>
  <si>
    <t>Quarterly Supervision Meetings - Field</t>
  </si>
  <si>
    <t>Perdiem</t>
  </si>
  <si>
    <t>Monitoring of activities by the project management team (monthly)</t>
  </si>
  <si>
    <t xml:space="preserve">Operating Cost </t>
  </si>
  <si>
    <t xml:space="preserve">CARITAS_contribution to office running cost </t>
  </si>
  <si>
    <t>lumpsum</t>
  </si>
  <si>
    <t>CRS</t>
  </si>
  <si>
    <t>In-Country Vehicle Use Expenses</t>
  </si>
  <si>
    <t>KM</t>
  </si>
  <si>
    <t>Facilities Expenses</t>
  </si>
  <si>
    <t>Sq. Meters/Month</t>
  </si>
  <si>
    <t>Allocated Direct Salaries - International</t>
  </si>
  <si>
    <t xml:space="preserve">Months </t>
  </si>
  <si>
    <t>Allocated Direct Salaries - National</t>
  </si>
  <si>
    <t>Allocated Direct Housing - International</t>
  </si>
  <si>
    <t>Allocated Direct Allowances - International</t>
  </si>
  <si>
    <t>Allocated Direct Benefits - National Staff</t>
  </si>
  <si>
    <t>Allocated Direct Office Supplies</t>
  </si>
  <si>
    <t>Staff Salaries &amp; Fringes</t>
  </si>
  <si>
    <t>SALARIES</t>
  </si>
  <si>
    <t>Names</t>
  </si>
  <si>
    <t>USD</t>
  </si>
  <si>
    <t xml:space="preserve">Units </t>
  </si>
  <si>
    <t>Total Y1&amp;Y2</t>
  </si>
  <si>
    <t>Merit Increase</t>
  </si>
  <si>
    <t>RTA</t>
  </si>
  <si>
    <t>Direct Direct</t>
  </si>
  <si>
    <t>Inflation - Salaries</t>
  </si>
  <si>
    <t>MEAL Manager</t>
  </si>
  <si>
    <t>Finance Officer  I CRS</t>
  </si>
  <si>
    <t>Total Direct</t>
  </si>
  <si>
    <t>Project Support Staff</t>
  </si>
  <si>
    <t xml:space="preserve">Exchange Rate </t>
  </si>
  <si>
    <t>Total Indirect</t>
  </si>
  <si>
    <t>FRINGES</t>
  </si>
  <si>
    <t>Fringe National (60%)</t>
  </si>
  <si>
    <t>Total Fringes Direct</t>
  </si>
  <si>
    <t>NATIONAL STAFF FRINGE BENEFITS (60%)</t>
  </si>
  <si>
    <t>International Staff - COLA, DP, HL</t>
  </si>
  <si>
    <t>International Staff Housing</t>
  </si>
  <si>
    <t>International Staff Allowances</t>
  </si>
  <si>
    <t>Total Salaries &amp; Fringes</t>
  </si>
  <si>
    <t>Year 1 &amp; 2</t>
  </si>
  <si>
    <t xml:space="preserve">No of staff </t>
  </si>
  <si>
    <t>Total Gross</t>
  </si>
  <si>
    <t>Fringe (20%)</t>
  </si>
  <si>
    <t>Equipements</t>
  </si>
  <si>
    <t xml:space="preserve">Equipment </t>
  </si>
  <si>
    <t>Caritas</t>
  </si>
  <si>
    <t xml:space="preserve">Laptop computer </t>
  </si>
  <si>
    <t>Laptops</t>
  </si>
  <si>
    <t xml:space="preserve">Printer,officer chair, table etc </t>
  </si>
  <si>
    <t>Annual Inflation Increase</t>
  </si>
  <si>
    <t>Implementer</t>
  </si>
  <si>
    <t>Unit of Measurement</t>
  </si>
  <si>
    <t>Duration</t>
  </si>
  <si>
    <t>Total cost - USD</t>
  </si>
  <si>
    <t>Estimated KM/month</t>
  </si>
  <si>
    <t>Mileage/KM</t>
  </si>
  <si>
    <t xml:space="preserve">In town </t>
  </si>
  <si>
    <t>Freetown - Kenema</t>
  </si>
  <si>
    <t>Freetown - Bo</t>
  </si>
  <si>
    <t>Freetown - Makeni</t>
  </si>
  <si>
    <t xml:space="preserve">Freetown-Freetown </t>
  </si>
  <si>
    <t>Adjusted total cost per sq meter**</t>
  </si>
  <si>
    <t>Sqm</t>
  </si>
  <si>
    <t>** CP discussing possibility of have the private sector partner host some CRS staff at their premises as part of capacity building and transfer of local leadership.</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</si>
  <si>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</si>
  <si>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</si>
  <si>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</si>
  <si>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</si>
  <si>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</si>
  <si>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</si>
  <si>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</si>
  <si>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</si>
  <si>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</si>
  <si>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</si>
  <si>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</si>
  <si>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</si>
  <si>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</si>
  <si>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</si>
  <si>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</si>
  <si>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</si>
  <si>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</si>
  <si>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</si>
  <si>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</si>
  <si>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</si>
  <si>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</si>
  <si>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</si>
  <si>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</si>
  <si>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</si>
  <si>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</si>
  <si>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</si>
  <si>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</si>
  <si>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</si>
  <si>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</si>
  <si>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</si>
  <si>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</si>
  <si>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</si>
  <si>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</si>
  <si>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</si>
  <si>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</si>
  <si>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</si>
  <si>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</si>
  <si>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</si>
  <si>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</si>
  <si>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</si>
  <si>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</si>
  <si>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</si>
  <si>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</si>
  <si>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</si>
  <si>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</si>
  <si>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</si>
  <si>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</si>
  <si>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</si>
  <si>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</si>
  <si>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</si>
  <si>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</si>
  <si>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</si>
  <si>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</si>
  <si>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</si>
  <si>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</si>
  <si>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</si>
  <si>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</si>
  <si>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</si>
  <si>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</si>
  <si>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</si>
  <si>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</si>
  <si>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</si>
  <si>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</si>
  <si>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</si>
  <si>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</si>
  <si>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</si>
  <si>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</si>
  <si>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</si>
  <si>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</si>
  <si>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</si>
  <si>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</si>
  <si>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</si>
  <si>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</si>
  <si>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</si>
  <si>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</si>
  <si>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</si>
  <si>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</si>
  <si>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</si>
  <si>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</si>
  <si>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</si>
  <si>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</si>
  <si>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</si>
  <si>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</si>
  <si>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</si>
  <si>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</si>
  <si>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</si>
  <si>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</si>
  <si>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</si>
  <si>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</si>
  <si>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</si>
  <si>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</si>
  <si>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</si>
  <si>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</si>
  <si>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</si>
  <si>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</si>
  <si>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</si>
  <si>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</si>
  <si>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</si>
  <si>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</si>
  <si>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</si>
  <si>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</si>
  <si>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</si>
  <si>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</si>
  <si>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</si>
  <si>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</si>
  <si>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</si>
  <si>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</si>
  <si>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</si>
  <si>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</si>
  <si>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</si>
  <si>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</si>
  <si>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</si>
  <si>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</si>
  <si>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</si>
  <si>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</si>
  <si>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</si>
  <si>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</si>
  <si>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</si>
  <si>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</si>
  <si>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</si>
  <si>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</si>
  <si>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</si>
  <si>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</si>
  <si>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</si>
  <si>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</si>
  <si>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</si>
  <si>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</si>
  <si>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</si>
  <si>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</si>
  <si>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</si>
  <si>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</si>
  <si>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</si>
  <si>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</si>
  <si>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</si>
  <si>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</si>
  <si>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</si>
  <si>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</si>
  <si>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</si>
  <si>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</si>
  <si>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</si>
  <si>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</si>
  <si>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</si>
  <si>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</si>
  <si>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</si>
  <si>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</si>
  <si>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</si>
  <si>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</si>
  <si>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</si>
  <si>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</si>
  <si>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</si>
  <si>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</si>
  <si>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</si>
  <si>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</si>
  <si>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</si>
  <si>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</si>
  <si>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</si>
  <si>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</si>
  <si>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</si>
  <si>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</si>
  <si>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</si>
  <si>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</si>
  <si>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</si>
  <si>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</si>
  <si>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</si>
  <si>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</si>
  <si>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</si>
  <si>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</si>
  <si>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</si>
  <si>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</si>
  <si>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</si>
  <si>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</si>
  <si>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</si>
  <si>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</si>
  <si>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</si>
  <si>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</si>
  <si>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</si>
  <si>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</si>
  <si>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</si>
  <si>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</si>
  <si>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</si>
  <si>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</si>
  <si>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</si>
  <si>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</si>
  <si>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</si>
  <si>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</si>
  <si>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</si>
  <si>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</si>
  <si>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</si>
  <si>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</si>
  <si>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</si>
  <si>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</si>
  <si>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</si>
  <si>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</si>
  <si>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</si>
  <si>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</si>
  <si>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</si>
  <si>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</si>
  <si>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</si>
  <si>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</si>
  <si>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</si>
  <si>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</si>
  <si>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</si>
  <si>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</si>
  <si>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</si>
  <si>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</si>
  <si>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</si>
  <si>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</si>
  <si>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</si>
  <si>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</si>
  <si>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</si>
  <si>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</si>
  <si>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</si>
  <si>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</si>
  <si>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</si>
  <si>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</si>
  <si>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</si>
  <si>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</si>
  <si>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</si>
  <si>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</si>
  <si>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</si>
  <si>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</si>
  <si>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</si>
  <si>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</si>
  <si>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</si>
  <si>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</si>
  <si>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</si>
  <si>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</si>
  <si>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</si>
  <si>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</si>
  <si>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</si>
  <si>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</si>
  <si>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</si>
  <si>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</si>
  <si>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</si>
  <si>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</si>
  <si>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</si>
  <si>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</si>
  <si>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</si>
  <si>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</si>
  <si>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</si>
  <si>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</si>
  <si>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</si>
  <si>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</si>
  <si>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</si>
  <si>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</si>
  <si>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</si>
  <si>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</si>
  <si>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</si>
  <si>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</si>
  <si>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</si>
  <si>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</si>
  <si>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</si>
  <si>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</si>
  <si>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</si>
  <si>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</si>
  <si>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</si>
  <si>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</si>
  <si>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</si>
  <si>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</si>
  <si>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</si>
  <si>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</si>
  <si>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</si>
  <si>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</si>
  <si>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</si>
  <si>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</si>
  <si>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</si>
  <si>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</si>
  <si>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</si>
  <si>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</si>
  <si>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</si>
  <si>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</si>
  <si>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</si>
  <si>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</si>
  <si>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</si>
  <si>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</si>
  <si>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</si>
  <si>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</si>
  <si>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</si>
  <si>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</si>
  <si>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</si>
  <si>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</si>
  <si>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</si>
  <si>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</si>
  <si>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</si>
  <si>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</si>
  <si>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</si>
  <si>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</si>
  <si>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</si>
  <si>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</si>
  <si>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</si>
  <si>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</si>
  <si>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</si>
  <si>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</si>
  <si>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</si>
  <si>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</si>
  <si>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</si>
  <si>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</si>
  <si>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</si>
  <si>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</si>
  <si>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</si>
  <si>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</si>
  <si>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</si>
  <si>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</si>
  <si>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</si>
  <si>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</si>
  <si>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</si>
  <si>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</si>
  <si>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</si>
  <si>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</si>
  <si>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</si>
  <si>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</si>
  <si>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</si>
  <si>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</si>
  <si>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</si>
  <si>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</si>
  <si>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</si>
  <si>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</si>
  <si>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</si>
  <si>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</si>
  <si>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</si>
  <si>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</si>
  <si>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</si>
  <si>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</si>
  <si>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</si>
  <si>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</si>
  <si>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</si>
  <si>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</si>
  <si>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</si>
  <si>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</si>
  <si>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</si>
  <si>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</si>
  <si>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</si>
  <si>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</si>
  <si>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</si>
  <si>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</si>
  <si>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</si>
  <si>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</si>
  <si>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</si>
  <si>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</si>
  <si>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</si>
  <si>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g</t>
  </si>
  <si>
    <t>New Exchange Rtae</t>
  </si>
  <si>
    <t>4.Awareness raising and dialogue sessions among political parties for support and inclusion of young people in political and governance processes.</t>
  </si>
  <si>
    <r>
      <t xml:space="preserve">Current level of </t>
    </r>
    <r>
      <rPr>
        <b/>
        <sz val="12"/>
        <rFont val="Calibri"/>
        <family val="2"/>
        <scheme val="minor"/>
      </rPr>
      <t>expenditure/ commitment</t>
    </r>
    <r>
      <rPr>
        <sz val="12"/>
        <rFont val="Calibri"/>
        <family val="2"/>
        <scheme val="minor"/>
      </rPr>
      <t xml:space="preserve"> (to be completed at time of project progress reporting) </t>
    </r>
  </si>
  <si>
    <t xml:space="preserve">4. Procure ICT4D devices and develop incident monitoring tools. </t>
  </si>
  <si>
    <t>procure ICT4D devices where the COMCARE app was installed to collect violent incidences across the 5 project  district</t>
  </si>
  <si>
    <t xml:space="preserve">Community youth both young women and male youth were trained on safeguarding best practics in all 5 project districts   </t>
  </si>
  <si>
    <t>paralegals and youth inclusive of young women were trained and deployed to monitor  incidences of violence before, during and after the June 24th elections across the 5 project districts.</t>
  </si>
  <si>
    <t xml:space="preserve">Radio discussions were held in community radio station across the 5 project district where topics that prevent conflict,  promote peace and social cohesion were discussed </t>
  </si>
  <si>
    <t xml:space="preserve">Key messages that promote peace and youth involvement in political processes were identified and printed, young women's groups and youth groups led the mobilization and organized the awareness-raising sessions in the community.  static parades were held in Kenema district displaying IEC material that have peace messages and youth involvement in political processes. </t>
  </si>
  <si>
    <t xml:space="preserve">These sessions were held before and after the June 2023 elections targeting traditional leaders, religious leaders, young women and youth and discussed ways of influencing the positive involvement of young women in leadership </t>
  </si>
  <si>
    <t xml:space="preserve">Key community stakeholders were engaged across the 5 project districts including youth and young women and discussed the involvement of youth in the political processes. At the end of the sessions,  action plans were developed. </t>
  </si>
  <si>
    <t xml:space="preserve">Key stakeholders dialogued with youth especially young women. The discussions focused on topics that support the inclusion of young people in political and governence processes.   </t>
  </si>
  <si>
    <t xml:space="preserve"> Conducted project inception planning meeting,  staff recruitment held national project launch, conducted SMILER workshop where project monitoring tools and plans were developed Project Monitoring, Evaluation, Accountability and Learning Systems was designed, project kick off,  beneficiary targeting. </t>
  </si>
  <si>
    <t>Cost under this category includes running/operations cost for the sub receipents (Caritas) and CRS. These cost includes fair share allocations for vehicles, facilities and project supports.</t>
  </si>
  <si>
    <t xml:space="preserve">Cost under this category includes salaries for the sub recipients (Caritas) and CRS. </t>
  </si>
  <si>
    <t xml:space="preserve">Relevant stakeholders were identified to participate including young women's group and youth groups. Panelists discussed topics related to the meaningful involvement of women and youth in politics and how to promote peace. Young women and youth have the opportunity to dialogue with these stakeholders.  </t>
  </si>
  <si>
    <t xml:space="preserve">Community engagement meetings were held to identify existing women groups, conducted needs assessments and supported young women to form groups.  </t>
  </si>
  <si>
    <t>Conduct training of enumerators to conduct baseline surveys across the project districts.</t>
  </si>
  <si>
    <t xml:space="preserve">Conduct baseline survey and partner accompaniment support visits,  held quarterly project reflection and learning meetings during which we reflected on the learnings, successes, and challenges of the project thereby assessing program quality and the effectiveness of our partnership relationship, and conducted routine financial monitoring to verify project expenditure as against transaction documents and provide trainings to partner finance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</si>
</sst>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1" formatCode="_(* #,##0_);_(* \(#,##0\);_(* &quot;-&quot;_);_(@_)"/>
    <numFmt numFmtId="43" formatCode="_(* #,##0.00_);_(* \(#,##0.00\);_(* &quot;-&quot;??_);_(@_)"/>
    <numFmt numFmtId="164" formatCode="_-* #,##0.00_-;\-* #,##0.00_-;_-* &quot;-&quot;??_-;_-@_-"/>
    <numFmt numFmtId="165" formatCode="_(&quot;$&quot;* #,##0_);_(&quot;$&quot;* \(#,##0\);_(&quot;$&quot;* &quot;-&quot;_);_(@_)"/>
    <numFmt numFmtId="166" formatCode="_(&quot;$&quot;* #,##0.00_);_(&quot;$&quot;* \(#,##0.00\);_(&quot;$&quot;* &quot;-&quot;??_);_(@_)"/>
    <numFmt numFmtId="167" formatCode="_ * #,##0.00_ ;_ * \-#,##0.00_ ;_ * &quot;-&quot;??_ ;_ @_ "/>
    <numFmt numFmtId="168" formatCode="_ * #,##0_ ;_ * \-#,##0_ ;_ * &quot;-&quot;??_ ;_ @_ "/>
    <numFmt numFmtId="169" formatCode="_(&quot;$&quot;* #,##0_);_(&quot;$&quot;* \(#,##0\);_(&quot;$&quot;* &quot;-&quot;??_);_(@_)"/>
    <numFmt numFmtId="170" formatCode="_(* #,##0_);_(* \(#,##0\);_(* &quot;-&quot;??_);_(@_)"/>
    <numFmt numFmtId="171" formatCode="_-* #,##0.00\ &quot;€&quot;_-;\-* #,##0.00\ &quot;€&quot;_-;_-* &quot;-&quot;??\ &quot;€&quot;_-;_-@_-"/>
    <numFmt numFmtId="172" formatCode="_-* #,##0.000000_-;\-* #,##0.000000_-;_-* &quot;-&quot;??_-;_-@_-"/>
    <numFmt numFmtId="173" formatCode="_-[$$-409]* #,##0.00_ ;_-[$$-409]* \-#,##0.00\ ;_-[$$-409]* &quot;-&quot;??_ ;_-@_ "/>
    <numFmt numFmtId="174" formatCode="_-* #,##0_-;\-* #,##0_-;_-* &quot;-&quot;??_-;_-@_-"/>
    <numFmt numFmtId="175" formatCode="_-* #,##0.00000_-;\-* #,##0.00000_-;_-* &quot;-&quot;??_-;_-@_-"/>
    <numFmt numFmtId="176" formatCode="_-* #,##0.00\ [$€-40C]_-;\-* #,##0.00\ [$€-40C]_-;_-* &quot;-&quot;??\ [$€-40C]_-;_-@_-"/>
    <numFmt numFmtId="177" formatCode="_-* #,##0.00\ _€_-;\-* #,##0.00\ _€_-;_-* &quot;-&quot;??\ _€_-;_-@_-"/>
    <numFmt numFmtId="178" formatCode="0.0%"/>
    <numFmt numFmtId="179" formatCode="_ * #,##0.0_ ;_ * \-#,##0.0_ ;_ * &quot;-&quot;??_ ;_ @_ "/>
  </numFmts>
  <fonts count="48"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0"/>
      <name val="Arial"/>
      <family val="2"/>
    </font>
    <font>
      <b/>
      <sz val="12"/>
      <name val="Calibri"/>
      <family val="2"/>
      <scheme val="minor"/>
    </font>
    <font>
      <sz val="12"/>
      <name val="Calibri"/>
      <family val="2"/>
      <scheme val="minor"/>
    </font>
    <font>
      <b/>
      <sz val="12"/>
      <color theme="0"/>
      <name val="Calibri"/>
      <family val="2"/>
      <scheme val="minor"/>
    </font>
    <font>
      <b/>
      <i/>
      <sz val="12"/>
      <name val="Calibri"/>
      <family val="2"/>
      <scheme val="minor"/>
    </font>
    <font>
      <i/>
      <sz val="12"/>
      <name val="Calibri"/>
      <family val="2"/>
      <scheme val="minor"/>
    </font>
    <font>
      <sz val="10"/>
      <name val="Calibri Light"/>
      <family val="2"/>
    </font>
    <font>
      <sz val="9"/>
      <name val="Calibri Light"/>
      <family val="2"/>
    </font>
    <font>
      <b/>
      <sz val="9"/>
      <name val="Calibri Light"/>
      <family val="2"/>
    </font>
    <font>
      <i/>
      <sz val="12"/>
      <color theme="1"/>
      <name val="Calibri"/>
      <family val="2"/>
      <scheme val="minor"/>
    </font>
    <font>
      <sz val="8"/>
      <color theme="1"/>
      <name val="Calibri"/>
      <family val="2"/>
      <scheme val="minor"/>
    </font>
    <font>
      <sz val="8"/>
      <name val="Calibri"/>
      <family val="2"/>
      <scheme val="minor"/>
    </font>
    <font>
      <b/>
      <sz val="8"/>
      <color theme="1"/>
      <name val="Calibri"/>
      <family val="2"/>
      <scheme val="minor"/>
    </font>
    <font>
      <sz val="10"/>
      <name val="Arial"/>
      <family val="2"/>
    </font>
    <font>
      <b/>
      <i/>
      <sz val="12"/>
      <color theme="1"/>
      <name val="Calibri"/>
      <family val="2"/>
      <scheme val="minor"/>
    </font>
    <font>
      <b/>
      <u/>
      <sz val="12"/>
      <color theme="1"/>
      <name val="Calibri"/>
      <family val="2"/>
      <scheme val="minor"/>
    </font>
    <font>
      <b/>
      <i/>
      <sz val="11"/>
      <color theme="1"/>
      <name val="Calibri"/>
      <family val="2"/>
      <scheme val="minor"/>
    </font>
    <font>
      <b/>
      <sz val="11"/>
      <name val="Calibri"/>
      <family val="2"/>
      <scheme val="minor"/>
    </font>
    <font>
      <sz val="10"/>
      <name val="Calibri"/>
      <family val="2"/>
      <scheme val="minor"/>
    </font>
    <font>
      <sz val="11"/>
      <color indexed="8"/>
      <name val="Calibri"/>
      <family val="2"/>
    </font>
    <font>
      <sz val="10"/>
      <name val="Arial"/>
      <family val="2"/>
    </font>
    <font>
      <sz val="10"/>
      <color rgb="FF000000"/>
      <name val="Arial"/>
      <family val="2"/>
    </font>
    <font>
      <sz val="9"/>
      <color indexed="81"/>
      <name val="Tahoma"/>
      <family val="2"/>
    </font>
    <font>
      <b/>
      <sz val="9"/>
      <color indexed="81"/>
      <name val="Tahoma"/>
      <family val="2"/>
    </font>
    <font>
      <sz val="36"/>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5" tint="-0.249977111117893"/>
        <bgColor indexed="64"/>
      </patternFill>
    </fill>
  </fills>
  <borders count="6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s>
  <cellStyleXfs count="34">
    <xf numFmtId="0" fontId="0" fillId="0" borderId="0"/>
    <xf numFmtId="166" fontId="5" fillId="0" borderId="0" applyFont="0" applyFill="0" applyBorder="0" applyAlignment="0" applyProtection="0"/>
    <xf numFmtId="9" fontId="5" fillId="0" borderId="0" applyFont="0" applyFill="0" applyBorder="0" applyAlignment="0" applyProtection="0"/>
    <xf numFmtId="0" fontId="23" fillId="0" borderId="0"/>
    <xf numFmtId="167" fontId="23" fillId="0" borderId="0" applyFont="0" applyFill="0" applyBorder="0" applyAlignment="0" applyProtection="0"/>
    <xf numFmtId="166" fontId="23" fillId="0" borderId="0" applyFont="0" applyFill="0" applyBorder="0" applyAlignment="0" applyProtection="0"/>
    <xf numFmtId="0" fontId="23" fillId="0" borderId="0"/>
    <xf numFmtId="0" fontId="5" fillId="0" borderId="0"/>
    <xf numFmtId="9" fontId="23" fillId="0" borderId="0" applyFont="0" applyFill="0" applyBorder="0" applyAlignment="0" applyProtection="0"/>
    <xf numFmtId="167" fontId="23" fillId="0" borderId="0" applyFont="0" applyFill="0" applyBorder="0" applyAlignment="0" applyProtection="0"/>
    <xf numFmtId="164" fontId="5" fillId="0" borderId="0" applyFont="0" applyFill="0" applyBorder="0" applyAlignment="0" applyProtection="0"/>
    <xf numFmtId="166" fontId="23" fillId="0" borderId="0" applyFont="0" applyFill="0" applyBorder="0" applyAlignment="0" applyProtection="0"/>
    <xf numFmtId="171" fontId="23" fillId="0" borderId="0" applyFont="0" applyFill="0" applyBorder="0" applyAlignment="0" applyProtection="0"/>
    <xf numFmtId="164" fontId="23" fillId="0" borderId="0" applyFont="0" applyFill="0" applyBorder="0" applyAlignment="0" applyProtection="0"/>
    <xf numFmtId="0" fontId="36"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43" fontId="23" fillId="0" borderId="0" applyFont="0" applyFill="0" applyBorder="0" applyAlignment="0" applyProtection="0"/>
    <xf numFmtId="0" fontId="23" fillId="0" borderId="0"/>
    <xf numFmtId="164" fontId="5" fillId="0" borderId="0" applyFont="0" applyFill="0" applyBorder="0" applyAlignment="0" applyProtection="0"/>
    <xf numFmtId="0" fontId="43" fillId="0" borderId="0"/>
    <xf numFmtId="0" fontId="44" fillId="0" borderId="0"/>
    <xf numFmtId="43" fontId="44"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5" fillId="0" borderId="0" applyFont="0" applyFill="0" applyBorder="0" applyAlignment="0" applyProtection="0"/>
    <xf numFmtId="164" fontId="42" fillId="0" borderId="0" applyFont="0" applyFill="0" applyBorder="0" applyAlignment="0" applyProtection="0"/>
    <xf numFmtId="164" fontId="23" fillId="0" borderId="0" applyFont="0" applyFill="0" applyBorder="0" applyAlignment="0" applyProtection="0"/>
    <xf numFmtId="164" fontId="5" fillId="0" borderId="0" applyFont="0" applyFill="0" applyBorder="0" applyAlignment="0" applyProtection="0"/>
    <xf numFmtId="0" fontId="23" fillId="0" borderId="0"/>
    <xf numFmtId="164" fontId="44" fillId="0" borderId="0" applyFont="0" applyFill="0" applyBorder="0" applyAlignment="0" applyProtection="0"/>
  </cellStyleXfs>
  <cellXfs count="818">
    <xf numFmtId="0" fontId="0" fillId="0" borderId="0" xfId="0"/>
    <xf numFmtId="0" fontId="7" fillId="0" borderId="0" xfId="0" applyFont="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0" fontId="8" fillId="2" borderId="8" xfId="0" applyFont="1" applyFill="1" applyBorder="1" applyAlignment="1">
      <alignment vertical="center" wrapText="1"/>
    </xf>
    <xf numFmtId="166" fontId="8" fillId="3" borderId="0" xfId="1"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166" fontId="3"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3" fillId="0" borderId="0" xfId="0" applyFont="1" applyAlignment="1">
      <alignment horizontal="center" vertical="center" wrapText="1"/>
    </xf>
    <xf numFmtId="0" fontId="3"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6" fontId="3" fillId="2" borderId="3" xfId="0" applyNumberFormat="1" applyFont="1" applyFill="1" applyBorder="1" applyAlignment="1">
      <alignment horizontal="center" wrapText="1"/>
    </xf>
    <xf numFmtId="0" fontId="6" fillId="3" borderId="0" xfId="0" applyFont="1" applyFill="1" applyAlignment="1">
      <alignment wrapText="1"/>
    </xf>
    <xf numFmtId="166" fontId="3" fillId="4" borderId="3" xfId="1" applyFont="1" applyFill="1" applyBorder="1" applyAlignment="1" applyProtection="1">
      <alignment wrapText="1"/>
    </xf>
    <xf numFmtId="166" fontId="3" fillId="0" borderId="0" xfId="0" applyNumberFormat="1" applyFont="1" applyAlignment="1">
      <alignment wrapText="1"/>
    </xf>
    <xf numFmtId="166"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6" fontId="3" fillId="2" borderId="3" xfId="0" applyNumberFormat="1" applyFont="1" applyFill="1" applyBorder="1" applyAlignment="1">
      <alignment wrapText="1"/>
    </xf>
    <xf numFmtId="0" fontId="7" fillId="2" borderId="40" xfId="0" applyFont="1" applyFill="1" applyBorder="1" applyAlignment="1">
      <alignment vertical="center" wrapText="1"/>
    </xf>
    <xf numFmtId="166" fontId="3" fillId="2" borderId="40" xfId="0" applyNumberFormat="1" applyFont="1" applyFill="1" applyBorder="1" applyAlignment="1">
      <alignment wrapText="1"/>
    </xf>
    <xf numFmtId="0" fontId="3" fillId="2" borderId="14" xfId="0" applyFont="1" applyFill="1" applyBorder="1" applyAlignment="1">
      <alignment horizontal="left" wrapText="1"/>
    </xf>
    <xf numFmtId="166" fontId="3" fillId="2" borderId="14" xfId="0" applyNumberFormat="1" applyFont="1" applyFill="1" applyBorder="1" applyAlignment="1">
      <alignment horizontal="center" wrapText="1"/>
    </xf>
    <xf numFmtId="166" fontId="3" fillId="2" borderId="14" xfId="0" applyNumberFormat="1" applyFont="1" applyFill="1" applyBorder="1" applyAlignment="1">
      <alignment wrapText="1"/>
    </xf>
    <xf numFmtId="166" fontId="3" fillId="4" borderId="3" xfId="1" applyFont="1" applyFill="1" applyBorder="1" applyAlignment="1">
      <alignment wrapText="1"/>
    </xf>
    <xf numFmtId="166" fontId="3" fillId="3" borderId="4" xfId="1" applyFont="1" applyFill="1" applyBorder="1" applyAlignment="1" applyProtection="1">
      <alignment wrapText="1"/>
    </xf>
    <xf numFmtId="166" fontId="3" fillId="3" borderId="1" xfId="1" applyFont="1" applyFill="1" applyBorder="1" applyAlignment="1">
      <alignment wrapText="1"/>
    </xf>
    <xf numFmtId="166" fontId="3" fillId="3" borderId="2" xfId="0" applyNumberFormat="1" applyFont="1" applyFill="1" applyBorder="1" applyAlignment="1">
      <alignment wrapText="1"/>
    </xf>
    <xf numFmtId="166" fontId="3" fillId="3" borderId="1" xfId="1" applyFont="1" applyFill="1" applyBorder="1" applyAlignment="1" applyProtection="1">
      <alignment wrapText="1"/>
    </xf>
    <xf numFmtId="166" fontId="3" fillId="2" borderId="39" xfId="0" applyNumberFormat="1" applyFont="1" applyFill="1" applyBorder="1" applyAlignment="1">
      <alignment wrapText="1"/>
    </xf>
    <xf numFmtId="166" fontId="3" fillId="2" borderId="9" xfId="0" applyNumberFormat="1" applyFont="1" applyFill="1" applyBorder="1" applyAlignment="1">
      <alignment wrapText="1"/>
    </xf>
    <xf numFmtId="166" fontId="3" fillId="2" borderId="15" xfId="0" applyNumberFormat="1" applyFont="1" applyFill="1" applyBorder="1" applyAlignment="1">
      <alignment wrapText="1"/>
    </xf>
    <xf numFmtId="0" fontId="3" fillId="2" borderId="11" xfId="0" applyFont="1" applyFill="1" applyBorder="1" applyAlignment="1">
      <alignment horizontal="center" wrapText="1"/>
    </xf>
    <xf numFmtId="166" fontId="3" fillId="2" borderId="33" xfId="1" applyFont="1" applyFill="1" applyBorder="1" applyAlignment="1">
      <alignment wrapText="1"/>
    </xf>
    <xf numFmtId="166" fontId="3" fillId="2" borderId="34" xfId="0" applyNumberFormat="1" applyFont="1" applyFill="1" applyBorder="1" applyAlignment="1">
      <alignment wrapText="1"/>
    </xf>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166" fontId="3"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6" fontId="3" fillId="2" borderId="4" xfId="0" applyNumberFormat="1" applyFont="1" applyFill="1" applyBorder="1" applyAlignment="1">
      <alignment wrapText="1"/>
    </xf>
    <xf numFmtId="166" fontId="3" fillId="3" borderId="1" xfId="0" applyNumberFormat="1" applyFont="1" applyFill="1" applyBorder="1" applyAlignment="1">
      <alignment wrapText="1"/>
    </xf>
    <xf numFmtId="166" fontId="3" fillId="2" borderId="0" xfId="1" applyFont="1" applyFill="1" applyBorder="1" applyAlignment="1">
      <alignment wrapText="1"/>
    </xf>
    <xf numFmtId="166" fontId="3" fillId="2" borderId="53" xfId="1" applyFont="1" applyFill="1" applyBorder="1" applyAlignment="1">
      <alignment wrapText="1"/>
    </xf>
    <xf numFmtId="0" fontId="8" fillId="2" borderId="35" xfId="0" applyFont="1" applyFill="1" applyBorder="1" applyAlignment="1">
      <alignment vertical="center" wrapText="1"/>
    </xf>
    <xf numFmtId="166" fontId="3" fillId="2" borderId="12" xfId="0" applyNumberFormat="1" applyFont="1" applyFill="1" applyBorder="1" applyAlignment="1">
      <alignment wrapText="1"/>
    </xf>
    <xf numFmtId="166" fontId="3" fillId="2" borderId="13" xfId="1" applyFont="1" applyFill="1" applyBorder="1" applyAlignment="1" applyProtection="1">
      <alignment wrapText="1"/>
    </xf>
    <xf numFmtId="166" fontId="3" fillId="2" borderId="14" xfId="1" applyFont="1" applyFill="1" applyBorder="1" applyAlignment="1">
      <alignment wrapText="1"/>
    </xf>
    <xf numFmtId="166" fontId="3" fillId="2" borderId="26" xfId="1" applyFont="1" applyFill="1" applyBorder="1" applyAlignment="1">
      <alignment wrapText="1"/>
    </xf>
    <xf numFmtId="166" fontId="3" fillId="2" borderId="21" xfId="0" applyNumberFormat="1" applyFont="1" applyFill="1" applyBorder="1" applyAlignment="1">
      <alignment wrapText="1"/>
    </xf>
    <xf numFmtId="0" fontId="17" fillId="0" borderId="0" xfId="0" applyFont="1" applyAlignment="1">
      <alignment wrapText="1"/>
    </xf>
    <xf numFmtId="0" fontId="3" fillId="2" borderId="5" xfId="0" applyFont="1" applyFill="1" applyBorder="1" applyAlignment="1">
      <alignment horizontal="center" vertical="center" wrapText="1"/>
    </xf>
    <xf numFmtId="0" fontId="12" fillId="6" borderId="6" xfId="0" applyFont="1" applyFill="1" applyBorder="1" applyAlignment="1">
      <alignment vertical="top" wrapText="1"/>
    </xf>
    <xf numFmtId="0" fontId="18" fillId="0" borderId="0" xfId="0" applyFont="1" applyAlignment="1">
      <alignment horizontal="left" vertical="top" wrapText="1"/>
    </xf>
    <xf numFmtId="0" fontId="25" fillId="0" borderId="0" xfId="3" applyFont="1"/>
    <xf numFmtId="0" fontId="24" fillId="0" borderId="0" xfId="3" applyFont="1" applyAlignment="1">
      <alignment vertical="center"/>
    </xf>
    <xf numFmtId="168" fontId="25" fillId="0" borderId="0" xfId="4" applyNumberFormat="1" applyFont="1" applyBorder="1"/>
    <xf numFmtId="169" fontId="25" fillId="0" borderId="0" xfId="5" applyNumberFormat="1" applyFont="1" applyBorder="1"/>
    <xf numFmtId="168" fontId="11" fillId="0" borderId="0" xfId="4" applyNumberFormat="1" applyFont="1" applyBorder="1"/>
    <xf numFmtId="169" fontId="25" fillId="0" borderId="0" xfId="3" applyNumberFormat="1" applyFont="1"/>
    <xf numFmtId="0" fontId="26" fillId="9" borderId="11" xfId="6" applyFont="1" applyFill="1" applyBorder="1" applyAlignment="1">
      <alignment vertical="center"/>
    </xf>
    <xf numFmtId="0" fontId="26" fillId="9" borderId="0" xfId="6" applyFont="1" applyFill="1" applyAlignment="1">
      <alignment vertical="center"/>
    </xf>
    <xf numFmtId="168" fontId="26" fillId="9" borderId="0" xfId="4" applyNumberFormat="1" applyFont="1" applyFill="1" applyBorder="1" applyAlignment="1">
      <alignment vertical="center"/>
    </xf>
    <xf numFmtId="0" fontId="25" fillId="0" borderId="51" xfId="3" applyFont="1" applyBorder="1" applyAlignment="1">
      <alignment horizontal="left" vertical="center"/>
    </xf>
    <xf numFmtId="0" fontId="25" fillId="0" borderId="51" xfId="3" applyFont="1" applyBorder="1" applyAlignment="1">
      <alignment horizontal="right" vertical="center"/>
    </xf>
    <xf numFmtId="170" fontId="25" fillId="0" borderId="51" xfId="4" applyNumberFormat="1" applyFont="1" applyFill="1" applyBorder="1" applyAlignment="1">
      <alignment vertical="center"/>
    </xf>
    <xf numFmtId="168" fontId="25" fillId="0" borderId="51" xfId="4" applyNumberFormat="1" applyFont="1" applyFill="1" applyBorder="1" applyAlignment="1">
      <alignment vertical="center"/>
    </xf>
    <xf numFmtId="169" fontId="25" fillId="0" borderId="51" xfId="5" applyNumberFormat="1" applyFont="1" applyFill="1" applyBorder="1" applyAlignment="1">
      <alignment vertical="center"/>
    </xf>
    <xf numFmtId="169" fontId="25" fillId="0" borderId="51" xfId="4" applyNumberFormat="1" applyFont="1" applyFill="1" applyBorder="1" applyAlignment="1">
      <alignment vertical="center"/>
    </xf>
    <xf numFmtId="165" fontId="25" fillId="0" borderId="51" xfId="4" applyNumberFormat="1" applyFont="1" applyFill="1" applyBorder="1" applyAlignment="1">
      <alignment vertical="center"/>
    </xf>
    <xf numFmtId="169" fontId="25" fillId="0" borderId="59" xfId="5" applyNumberFormat="1" applyFont="1" applyFill="1" applyBorder="1" applyAlignment="1">
      <alignment vertical="center"/>
    </xf>
    <xf numFmtId="0" fontId="25" fillId="0" borderId="0" xfId="3" applyFont="1" applyAlignment="1">
      <alignment vertical="center"/>
    </xf>
    <xf numFmtId="170" fontId="27" fillId="0" borderId="51" xfId="4" applyNumberFormat="1" applyFont="1" applyFill="1" applyBorder="1" applyAlignment="1">
      <alignment horizontal="right" vertical="center"/>
    </xf>
    <xf numFmtId="169" fontId="27" fillId="0" borderId="51" xfId="5" applyNumberFormat="1" applyFont="1" applyFill="1" applyBorder="1" applyAlignment="1">
      <alignment vertical="center"/>
    </xf>
    <xf numFmtId="169" fontId="24" fillId="0" borderId="51" xfId="4" applyNumberFormat="1" applyFont="1" applyFill="1" applyBorder="1" applyAlignment="1">
      <alignment vertical="center"/>
    </xf>
    <xf numFmtId="165" fontId="24" fillId="0" borderId="51" xfId="4" applyNumberFormat="1" applyFont="1" applyFill="1" applyBorder="1" applyAlignment="1">
      <alignment vertical="center"/>
    </xf>
    <xf numFmtId="170" fontId="27" fillId="0" borderId="51" xfId="4" applyNumberFormat="1" applyFont="1" applyFill="1" applyBorder="1" applyAlignment="1">
      <alignment vertical="center"/>
    </xf>
    <xf numFmtId="168" fontId="24" fillId="0" borderId="51" xfId="4" applyNumberFormat="1" applyFont="1" applyFill="1" applyBorder="1" applyAlignment="1">
      <alignment vertical="center"/>
    </xf>
    <xf numFmtId="165" fontId="24" fillId="0" borderId="0" xfId="4" applyNumberFormat="1" applyFont="1" applyFill="1" applyBorder="1" applyAlignment="1">
      <alignment vertical="center"/>
    </xf>
    <xf numFmtId="170" fontId="27" fillId="0" borderId="0" xfId="4" applyNumberFormat="1" applyFont="1" applyFill="1" applyBorder="1" applyAlignment="1">
      <alignment vertical="center"/>
    </xf>
    <xf numFmtId="169" fontId="27" fillId="0" borderId="0" xfId="5" applyNumberFormat="1" applyFont="1" applyFill="1" applyBorder="1" applyAlignment="1">
      <alignment vertical="center"/>
    </xf>
    <xf numFmtId="169" fontId="24" fillId="0" borderId="0" xfId="4" applyNumberFormat="1" applyFont="1" applyFill="1" applyBorder="1" applyAlignment="1">
      <alignment vertical="center"/>
    </xf>
    <xf numFmtId="169" fontId="27" fillId="0" borderId="0" xfId="3" applyNumberFormat="1" applyFont="1" applyAlignment="1">
      <alignment vertical="center"/>
    </xf>
    <xf numFmtId="0" fontId="28" fillId="0" borderId="0" xfId="3" applyFont="1" applyAlignment="1">
      <alignment vertical="center"/>
    </xf>
    <xf numFmtId="169" fontId="24" fillId="4" borderId="3" xfId="5" applyNumberFormat="1" applyFont="1" applyFill="1" applyBorder="1" applyAlignment="1">
      <alignment vertical="center"/>
    </xf>
    <xf numFmtId="168" fontId="25" fillId="0" borderId="0" xfId="4" applyNumberFormat="1" applyFont="1"/>
    <xf numFmtId="169" fontId="25" fillId="0" borderId="0" xfId="5" applyNumberFormat="1" applyFont="1"/>
    <xf numFmtId="0" fontId="25" fillId="0" borderId="0" xfId="0" applyFont="1"/>
    <xf numFmtId="169" fontId="25" fillId="0" borderId="0" xfId="0" applyNumberFormat="1" applyFont="1"/>
    <xf numFmtId="0" fontId="24" fillId="4" borderId="4" xfId="0" applyFont="1" applyFill="1" applyBorder="1" applyAlignment="1">
      <alignment vertical="center"/>
    </xf>
    <xf numFmtId="0" fontId="24" fillId="4" borderId="3" xfId="0" applyFont="1" applyFill="1" applyBorder="1"/>
    <xf numFmtId="41" fontId="24" fillId="4" borderId="3" xfId="0" applyNumberFormat="1" applyFont="1" applyFill="1" applyBorder="1"/>
    <xf numFmtId="170" fontId="24" fillId="4" borderId="3" xfId="0" applyNumberFormat="1" applyFont="1" applyFill="1" applyBorder="1" applyAlignment="1">
      <alignment vertical="center"/>
    </xf>
    <xf numFmtId="0" fontId="24" fillId="0" borderId="4" xfId="6" applyFont="1" applyBorder="1" applyAlignment="1">
      <alignment vertical="top"/>
    </xf>
    <xf numFmtId="0" fontId="24" fillId="0" borderId="1" xfId="6" applyFont="1" applyBorder="1" applyAlignment="1">
      <alignment vertical="top"/>
    </xf>
    <xf numFmtId="0" fontId="29" fillId="0" borderId="0" xfId="3" applyFont="1"/>
    <xf numFmtId="9" fontId="29" fillId="0" borderId="0" xfId="3" applyNumberFormat="1" applyFont="1"/>
    <xf numFmtId="10" fontId="29" fillId="0" borderId="0" xfId="3" applyNumberFormat="1" applyFont="1"/>
    <xf numFmtId="172" fontId="29" fillId="0" borderId="0" xfId="13" applyNumberFormat="1" applyFont="1"/>
    <xf numFmtId="0" fontId="30" fillId="0" borderId="0" xfId="3" applyFont="1"/>
    <xf numFmtId="0" fontId="31" fillId="0" borderId="18" xfId="3" applyFont="1" applyBorder="1"/>
    <xf numFmtId="0" fontId="30" fillId="0" borderId="16" xfId="3" applyFont="1" applyBorder="1"/>
    <xf numFmtId="1" fontId="31" fillId="12" borderId="29" xfId="3" applyNumberFormat="1" applyFont="1" applyFill="1" applyBorder="1" applyAlignment="1">
      <alignment horizontal="center" vertical="center" wrapText="1"/>
    </xf>
    <xf numFmtId="1" fontId="31" fillId="12" borderId="31" xfId="3" applyNumberFormat="1" applyFont="1" applyFill="1" applyBorder="1" applyAlignment="1">
      <alignment horizontal="center" vertical="center" wrapText="1"/>
    </xf>
    <xf numFmtId="0" fontId="30" fillId="0" borderId="0" xfId="3" applyFont="1" applyAlignment="1">
      <alignment vertical="center"/>
    </xf>
    <xf numFmtId="0" fontId="30" fillId="11" borderId="8" xfId="3" applyFont="1" applyFill="1" applyBorder="1" applyAlignment="1">
      <alignment horizontal="left" vertical="center"/>
    </xf>
    <xf numFmtId="170" fontId="30" fillId="11" borderId="5" xfId="13" applyNumberFormat="1" applyFont="1" applyFill="1" applyBorder="1" applyAlignment="1">
      <alignment horizontal="center" vertical="center"/>
    </xf>
    <xf numFmtId="170" fontId="30" fillId="11" borderId="3" xfId="13" applyNumberFormat="1" applyFont="1" applyFill="1" applyBorder="1" applyAlignment="1">
      <alignment horizontal="left" vertical="center"/>
    </xf>
    <xf numFmtId="170" fontId="30" fillId="11" borderId="3" xfId="13" applyNumberFormat="1" applyFont="1" applyFill="1" applyBorder="1" applyAlignment="1">
      <alignment vertical="center"/>
    </xf>
    <xf numFmtId="9" fontId="30" fillId="11" borderId="3" xfId="8" applyFont="1" applyFill="1" applyBorder="1" applyAlignment="1">
      <alignment horizontal="center" vertical="center"/>
    </xf>
    <xf numFmtId="173" fontId="30" fillId="11" borderId="3" xfId="13" applyNumberFormat="1" applyFont="1" applyFill="1" applyBorder="1" applyAlignment="1">
      <alignment vertical="center"/>
    </xf>
    <xf numFmtId="0" fontId="30" fillId="0" borderId="0" xfId="3" applyFont="1" applyAlignment="1">
      <alignment horizontal="right"/>
    </xf>
    <xf numFmtId="174" fontId="31" fillId="0" borderId="47" xfId="13" applyNumberFormat="1" applyFont="1" applyFill="1" applyBorder="1" applyAlignment="1"/>
    <xf numFmtId="170" fontId="31" fillId="0" borderId="14" xfId="13" applyNumberFormat="1" applyFont="1" applyFill="1" applyBorder="1" applyAlignment="1">
      <alignment horizontal="right"/>
    </xf>
    <xf numFmtId="173" fontId="31" fillId="0" borderId="14" xfId="13" applyNumberFormat="1" applyFont="1" applyFill="1" applyBorder="1" applyAlignment="1">
      <alignment horizontal="right"/>
    </xf>
    <xf numFmtId="0" fontId="25" fillId="10" borderId="11" xfId="6" applyFont="1" applyFill="1" applyBorder="1" applyAlignment="1">
      <alignment vertical="top"/>
    </xf>
    <xf numFmtId="0" fontId="25" fillId="10" borderId="0" xfId="6" applyFont="1" applyFill="1" applyAlignment="1">
      <alignment vertical="top"/>
    </xf>
    <xf numFmtId="0" fontId="24" fillId="0" borderId="4" xfId="6" applyFont="1" applyBorder="1" applyAlignment="1">
      <alignment horizontal="left" vertical="top" wrapText="1"/>
    </xf>
    <xf numFmtId="0" fontId="4" fillId="0" borderId="0" xfId="0" applyFont="1"/>
    <xf numFmtId="164" fontId="29" fillId="0" borderId="0" xfId="13" applyFont="1"/>
    <xf numFmtId="0" fontId="30" fillId="11" borderId="8" xfId="3" applyFont="1" applyFill="1" applyBorder="1" applyAlignment="1">
      <alignment vertical="center"/>
    </xf>
    <xf numFmtId="0" fontId="30" fillId="11" borderId="0" xfId="3" applyFont="1" applyFill="1" applyAlignment="1">
      <alignment vertical="center"/>
    </xf>
    <xf numFmtId="0" fontId="30" fillId="0" borderId="8" xfId="3" applyFont="1" applyBorder="1" applyAlignment="1">
      <alignment vertical="center"/>
    </xf>
    <xf numFmtId="170" fontId="30" fillId="0" borderId="5" xfId="13" applyNumberFormat="1" applyFont="1" applyFill="1" applyBorder="1" applyAlignment="1">
      <alignment horizontal="center" vertical="center"/>
    </xf>
    <xf numFmtId="170" fontId="30" fillId="0" borderId="3" xfId="13" applyNumberFormat="1" applyFont="1" applyFill="1" applyBorder="1" applyAlignment="1">
      <alignment horizontal="left" vertical="center"/>
    </xf>
    <xf numFmtId="170" fontId="30" fillId="0" borderId="3" xfId="13" applyNumberFormat="1" applyFont="1" applyFill="1" applyBorder="1" applyAlignment="1">
      <alignment vertical="center"/>
    </xf>
    <xf numFmtId="9" fontId="30" fillId="0" borderId="3" xfId="8" applyFont="1" applyFill="1" applyBorder="1" applyAlignment="1">
      <alignment horizontal="center" vertical="center"/>
    </xf>
    <xf numFmtId="173" fontId="30" fillId="8" borderId="3" xfId="13" applyNumberFormat="1" applyFont="1" applyFill="1" applyBorder="1" applyAlignment="1">
      <alignment vertical="center"/>
    </xf>
    <xf numFmtId="0" fontId="30" fillId="0" borderId="8" xfId="3" applyFont="1" applyBorder="1" applyAlignment="1">
      <alignment horizontal="left" vertical="center"/>
    </xf>
    <xf numFmtId="164" fontId="30" fillId="0" borderId="0" xfId="13" applyFont="1" applyAlignment="1">
      <alignment vertical="center"/>
    </xf>
    <xf numFmtId="0" fontId="9" fillId="0" borderId="0" xfId="0" applyFont="1"/>
    <xf numFmtId="169" fontId="33" fillId="14" borderId="0" xfId="12" applyNumberFormat="1" applyFont="1" applyFill="1" applyAlignment="1"/>
    <xf numFmtId="169" fontId="33" fillId="14" borderId="0" xfId="12" applyNumberFormat="1" applyFont="1" applyFill="1"/>
    <xf numFmtId="169" fontId="33" fillId="0" borderId="0" xfId="12" applyNumberFormat="1" applyFont="1" applyFill="1" applyAlignment="1"/>
    <xf numFmtId="169" fontId="33" fillId="13" borderId="0" xfId="12" applyNumberFormat="1" applyFont="1" applyFill="1"/>
    <xf numFmtId="169" fontId="33" fillId="0" borderId="0" xfId="12" applyNumberFormat="1" applyFont="1" applyFill="1"/>
    <xf numFmtId="0" fontId="33" fillId="14" borderId="0" xfId="3" applyFont="1" applyFill="1"/>
    <xf numFmtId="0" fontId="33" fillId="0" borderId="0" xfId="3" applyFont="1"/>
    <xf numFmtId="9" fontId="33" fillId="0" borderId="0" xfId="3" applyNumberFormat="1" applyFont="1"/>
    <xf numFmtId="9" fontId="33" fillId="13" borderId="0" xfId="8" applyFont="1" applyFill="1"/>
    <xf numFmtId="169" fontId="33" fillId="0" borderId="0" xfId="12" applyNumberFormat="1" applyFont="1"/>
    <xf numFmtId="0" fontId="34" fillId="13" borderId="0" xfId="3" applyFont="1" applyFill="1"/>
    <xf numFmtId="169" fontId="34" fillId="0" borderId="0" xfId="12" applyNumberFormat="1" applyFont="1"/>
    <xf numFmtId="169" fontId="34" fillId="0" borderId="0" xfId="12" applyNumberFormat="1" applyFont="1" applyFill="1"/>
    <xf numFmtId="169" fontId="34" fillId="11" borderId="0" xfId="12" applyNumberFormat="1" applyFont="1" applyFill="1"/>
    <xf numFmtId="169" fontId="33" fillId="0" borderId="0" xfId="8" applyNumberFormat="1" applyFont="1" applyFill="1"/>
    <xf numFmtId="9" fontId="33" fillId="0" borderId="0" xfId="8" applyFont="1" applyFill="1"/>
    <xf numFmtId="169" fontId="33" fillId="0" borderId="0" xfId="3" applyNumberFormat="1" applyFont="1"/>
    <xf numFmtId="0" fontId="34" fillId="0" borderId="0" xfId="3" applyFont="1"/>
    <xf numFmtId="9" fontId="33" fillId="0" borderId="0" xfId="8" applyFont="1"/>
    <xf numFmtId="169" fontId="33" fillId="15" borderId="0" xfId="12" applyNumberFormat="1" applyFont="1" applyFill="1"/>
    <xf numFmtId="0" fontId="34" fillId="0" borderId="60" xfId="3" applyFont="1" applyBorder="1"/>
    <xf numFmtId="169" fontId="34" fillId="0" borderId="60" xfId="12" applyNumberFormat="1" applyFont="1" applyFill="1" applyBorder="1"/>
    <xf numFmtId="164" fontId="33" fillId="16" borderId="18" xfId="13" applyFont="1" applyFill="1" applyBorder="1"/>
    <xf numFmtId="169" fontId="33" fillId="16" borderId="16" xfId="12" applyNumberFormat="1" applyFont="1" applyFill="1" applyBorder="1"/>
    <xf numFmtId="169" fontId="33" fillId="16" borderId="19" xfId="12" applyNumberFormat="1" applyFont="1" applyFill="1" applyBorder="1"/>
    <xf numFmtId="169" fontId="33" fillId="0" borderId="0" xfId="12" applyNumberFormat="1" applyFont="1" applyFill="1" applyBorder="1"/>
    <xf numFmtId="0" fontId="35" fillId="16" borderId="11" xfId="3" applyFont="1" applyFill="1" applyBorder="1"/>
    <xf numFmtId="0" fontId="35" fillId="16" borderId="0" xfId="3" applyFont="1" applyFill="1" applyAlignment="1">
      <alignment horizontal="center"/>
    </xf>
    <xf numFmtId="169" fontId="35" fillId="16" borderId="12" xfId="12" applyNumberFormat="1" applyFont="1" applyFill="1" applyBorder="1" applyAlignment="1">
      <alignment horizontal="center"/>
    </xf>
    <xf numFmtId="0" fontId="33" fillId="16" borderId="11" xfId="3" applyFont="1" applyFill="1" applyBorder="1"/>
    <xf numFmtId="0" fontId="33" fillId="16" borderId="0" xfId="3" applyFont="1" applyFill="1"/>
    <xf numFmtId="169" fontId="33" fillId="16" borderId="12" xfId="12" applyNumberFormat="1" applyFont="1" applyFill="1" applyBorder="1"/>
    <xf numFmtId="169" fontId="33" fillId="16" borderId="0" xfId="12" applyNumberFormat="1" applyFont="1" applyFill="1" applyBorder="1"/>
    <xf numFmtId="0" fontId="35" fillId="16" borderId="61" xfId="3" applyFont="1" applyFill="1" applyBorder="1"/>
    <xf numFmtId="169" fontId="35" fillId="16" borderId="60" xfId="12" applyNumberFormat="1" applyFont="1" applyFill="1" applyBorder="1"/>
    <xf numFmtId="169" fontId="35" fillId="16" borderId="62" xfId="12" applyNumberFormat="1" applyFont="1" applyFill="1" applyBorder="1"/>
    <xf numFmtId="164" fontId="33" fillId="0" borderId="0" xfId="3" applyNumberFormat="1" applyFont="1"/>
    <xf numFmtId="1" fontId="31" fillId="12" borderId="31" xfId="3" applyNumberFormat="1" applyFont="1" applyFill="1" applyBorder="1" applyAlignment="1">
      <alignment horizontal="center" vertical="center"/>
    </xf>
    <xf numFmtId="0" fontId="30" fillId="11" borderId="2" xfId="3" applyFont="1" applyFill="1" applyBorder="1" applyAlignment="1">
      <alignment vertical="center"/>
    </xf>
    <xf numFmtId="0" fontId="30" fillId="0" borderId="2" xfId="3" applyFont="1" applyBorder="1" applyAlignment="1">
      <alignment vertical="center"/>
    </xf>
    <xf numFmtId="166" fontId="3" fillId="3" borderId="0" xfId="1" applyFont="1" applyFill="1" applyBorder="1" applyAlignment="1" applyProtection="1">
      <alignment vertical="center" wrapText="1"/>
      <protection locked="0"/>
    </xf>
    <xf numFmtId="0" fontId="25" fillId="0" borderId="0" xfId="14" applyFont="1"/>
    <xf numFmtId="0" fontId="24" fillId="0" borderId="0" xfId="14" applyFont="1" applyAlignment="1">
      <alignment vertical="center"/>
    </xf>
    <xf numFmtId="0" fontId="24" fillId="8" borderId="4" xfId="14" applyFont="1" applyFill="1" applyBorder="1"/>
    <xf numFmtId="0" fontId="24" fillId="8" borderId="2" xfId="14" applyFont="1" applyFill="1" applyBorder="1"/>
    <xf numFmtId="0" fontId="24" fillId="8" borderId="2" xfId="14" applyFont="1" applyFill="1" applyBorder="1" applyAlignment="1">
      <alignment horizontal="center"/>
    </xf>
    <xf numFmtId="0" fontId="24" fillId="8" borderId="3" xfId="14" applyFont="1" applyFill="1" applyBorder="1" applyAlignment="1">
      <alignment horizontal="center"/>
    </xf>
    <xf numFmtId="169" fontId="25" fillId="0" borderId="0" xfId="14" applyNumberFormat="1" applyFont="1"/>
    <xf numFmtId="0" fontId="27" fillId="0" borderId="51" xfId="14" applyFont="1" applyBorder="1" applyAlignment="1">
      <alignment vertical="center" wrapText="1"/>
    </xf>
    <xf numFmtId="0" fontId="25" fillId="0" borderId="51" xfId="14" applyFont="1" applyBorder="1" applyAlignment="1">
      <alignment horizontal="left" vertical="center"/>
    </xf>
    <xf numFmtId="0" fontId="25" fillId="0" borderId="51" xfId="14" applyFont="1" applyBorder="1" applyAlignment="1">
      <alignment horizontal="right" vertical="center"/>
    </xf>
    <xf numFmtId="169" fontId="25" fillId="0" borderId="0" xfId="14" applyNumberFormat="1" applyFont="1" applyAlignment="1">
      <alignment vertical="center"/>
    </xf>
    <xf numFmtId="0" fontId="25" fillId="0" borderId="0" xfId="14" applyFont="1" applyAlignment="1">
      <alignment vertical="center"/>
    </xf>
    <xf numFmtId="0" fontId="25" fillId="0" borderId="51" xfId="14" applyFont="1" applyBorder="1" applyAlignment="1">
      <alignment wrapText="1"/>
    </xf>
    <xf numFmtId="0" fontId="25" fillId="0" borderId="51" xfId="14" applyFont="1" applyBorder="1"/>
    <xf numFmtId="168" fontId="25" fillId="0" borderId="51" xfId="4" applyNumberFormat="1" applyFont="1" applyBorder="1"/>
    <xf numFmtId="169" fontId="25" fillId="0" borderId="59" xfId="5" applyNumberFormat="1" applyFont="1" applyBorder="1"/>
    <xf numFmtId="0" fontId="24" fillId="7" borderId="3" xfId="14" applyFont="1" applyFill="1" applyBorder="1" applyAlignment="1">
      <alignment horizontal="left" vertical="center" wrapText="1"/>
    </xf>
    <xf numFmtId="0" fontId="25" fillId="7" borderId="3" xfId="14" applyFont="1" applyFill="1" applyBorder="1" applyAlignment="1">
      <alignment horizontal="center" vertical="center"/>
    </xf>
    <xf numFmtId="170" fontId="24" fillId="7" borderId="3" xfId="4" applyNumberFormat="1" applyFont="1" applyFill="1" applyBorder="1" applyAlignment="1">
      <alignment horizontal="left" vertical="center"/>
    </xf>
    <xf numFmtId="170" fontId="24" fillId="7" borderId="3" xfId="4" applyNumberFormat="1" applyFont="1" applyFill="1" applyBorder="1" applyAlignment="1">
      <alignment vertical="center"/>
    </xf>
    <xf numFmtId="169" fontId="24" fillId="7" borderId="4" xfId="5" applyNumberFormat="1" applyFont="1" applyFill="1" applyBorder="1" applyAlignment="1">
      <alignment vertical="center"/>
    </xf>
    <xf numFmtId="169" fontId="24" fillId="7" borderId="3" xfId="5" applyNumberFormat="1" applyFont="1" applyFill="1" applyBorder="1" applyAlignment="1">
      <alignment vertical="center"/>
    </xf>
    <xf numFmtId="165" fontId="25" fillId="0" borderId="5" xfId="4" applyNumberFormat="1" applyFont="1" applyFill="1" applyBorder="1" applyAlignment="1">
      <alignment vertical="center"/>
    </xf>
    <xf numFmtId="169" fontId="25" fillId="0" borderId="51" xfId="14" applyNumberFormat="1" applyFont="1" applyBorder="1"/>
    <xf numFmtId="169" fontId="25" fillId="0" borderId="59" xfId="14" applyNumberFormat="1" applyFont="1" applyBorder="1"/>
    <xf numFmtId="0" fontId="28" fillId="0" borderId="51" xfId="14" applyFont="1" applyBorder="1" applyAlignment="1">
      <alignment vertical="center" wrapText="1"/>
    </xf>
    <xf numFmtId="43" fontId="25" fillId="0" borderId="51" xfId="14" applyNumberFormat="1" applyFont="1" applyBorder="1" applyAlignment="1">
      <alignment horizontal="right" vertical="center"/>
    </xf>
    <xf numFmtId="37" fontId="25" fillId="0" borderId="51" xfId="14" applyNumberFormat="1" applyFont="1" applyBorder="1" applyAlignment="1">
      <alignment horizontal="right" vertical="center"/>
    </xf>
    <xf numFmtId="166" fontId="25" fillId="0" borderId="51" xfId="14" applyNumberFormat="1" applyFont="1" applyBorder="1"/>
    <xf numFmtId="166" fontId="25" fillId="0" borderId="59" xfId="14" applyNumberFormat="1" applyFont="1" applyBorder="1"/>
    <xf numFmtId="0" fontId="3" fillId="0" borderId="0" xfId="15" applyFont="1"/>
    <xf numFmtId="9" fontId="2" fillId="0" borderId="0" xfId="16" applyFont="1"/>
    <xf numFmtId="169" fontId="2" fillId="0" borderId="0" xfId="17" applyNumberFormat="1" applyFont="1"/>
    <xf numFmtId="0" fontId="2" fillId="0" borderId="0" xfId="15" applyFont="1"/>
    <xf numFmtId="0" fontId="2" fillId="0" borderId="11" xfId="15" applyFont="1" applyBorder="1"/>
    <xf numFmtId="0" fontId="37" fillId="0" borderId="0" xfId="15" applyFont="1"/>
    <xf numFmtId="0" fontId="37" fillId="0" borderId="0" xfId="15" applyFont="1" applyAlignment="1">
      <alignment horizontal="center"/>
    </xf>
    <xf numFmtId="0" fontId="3" fillId="13" borderId="11" xfId="15" applyFont="1" applyFill="1" applyBorder="1"/>
    <xf numFmtId="9" fontId="2" fillId="0" borderId="0" xfId="16" applyFont="1" applyBorder="1"/>
    <xf numFmtId="169" fontId="2" fillId="0" borderId="0" xfId="17" applyNumberFormat="1" applyFont="1" applyFill="1" applyBorder="1" applyAlignment="1">
      <alignment horizontal="center"/>
    </xf>
    <xf numFmtId="169" fontId="2" fillId="0" borderId="0" xfId="17" applyNumberFormat="1" applyFont="1" applyBorder="1"/>
    <xf numFmtId="169" fontId="2" fillId="0" borderId="0" xfId="17" applyNumberFormat="1" applyFont="1" applyFill="1" applyBorder="1" applyAlignment="1"/>
    <xf numFmtId="169" fontId="37" fillId="0" borderId="57" xfId="17" applyNumberFormat="1" applyFont="1" applyBorder="1" applyAlignment="1">
      <alignment horizontal="center"/>
    </xf>
    <xf numFmtId="169" fontId="37" fillId="18" borderId="57" xfId="17" applyNumberFormat="1" applyFont="1" applyFill="1" applyBorder="1" applyAlignment="1">
      <alignment horizontal="center"/>
    </xf>
    <xf numFmtId="9" fontId="37" fillId="0" borderId="57" xfId="16" applyFont="1" applyBorder="1" applyAlignment="1">
      <alignment horizontal="center"/>
    </xf>
    <xf numFmtId="169" fontId="37" fillId="7" borderId="57" xfId="17" applyNumberFormat="1" applyFont="1" applyFill="1" applyBorder="1" applyAlignment="1">
      <alignment horizontal="center"/>
    </xf>
    <xf numFmtId="169" fontId="37" fillId="0" borderId="57" xfId="17" applyNumberFormat="1" applyFont="1" applyFill="1" applyBorder="1" applyAlignment="1">
      <alignment horizontal="center"/>
    </xf>
    <xf numFmtId="0" fontId="38" fillId="0" borderId="11" xfId="15" applyFont="1" applyBorder="1"/>
    <xf numFmtId="169" fontId="37" fillId="0" borderId="0" xfId="17" applyNumberFormat="1" applyFont="1" applyBorder="1" applyAlignment="1">
      <alignment horizontal="center"/>
    </xf>
    <xf numFmtId="169" fontId="37" fillId="18" borderId="0" xfId="17" applyNumberFormat="1" applyFont="1" applyFill="1" applyBorder="1" applyAlignment="1">
      <alignment horizontal="center"/>
    </xf>
    <xf numFmtId="9" fontId="37" fillId="0" borderId="0" xfId="16" applyFont="1" applyBorder="1" applyAlignment="1">
      <alignment horizontal="center"/>
    </xf>
    <xf numFmtId="169" fontId="37" fillId="7" borderId="0" xfId="17" applyNumberFormat="1" applyFont="1" applyFill="1" applyBorder="1" applyAlignment="1">
      <alignment horizontal="center"/>
    </xf>
    <xf numFmtId="169" fontId="37" fillId="0" borderId="0" xfId="17" applyNumberFormat="1" applyFont="1" applyFill="1" applyBorder="1" applyAlignment="1">
      <alignment horizontal="center"/>
    </xf>
    <xf numFmtId="168" fontId="2" fillId="0" borderId="0" xfId="4" applyNumberFormat="1" applyFont="1" applyBorder="1"/>
    <xf numFmtId="169" fontId="25" fillId="0" borderId="0" xfId="17" applyNumberFormat="1" applyFont="1" applyFill="1" applyBorder="1"/>
    <xf numFmtId="169" fontId="25" fillId="18" borderId="0" xfId="17" applyNumberFormat="1" applyFont="1" applyFill="1" applyBorder="1"/>
    <xf numFmtId="43" fontId="25" fillId="0" borderId="0" xfId="18" applyFont="1" applyFill="1" applyBorder="1"/>
    <xf numFmtId="169" fontId="2" fillId="7" borderId="0" xfId="17" applyNumberFormat="1" applyFont="1" applyFill="1" applyBorder="1"/>
    <xf numFmtId="169" fontId="2" fillId="18" borderId="0" xfId="17" applyNumberFormat="1" applyFont="1" applyFill="1" applyBorder="1"/>
    <xf numFmtId="169" fontId="3" fillId="0" borderId="0" xfId="17" applyNumberFormat="1" applyFont="1" applyFill="1" applyBorder="1"/>
    <xf numFmtId="0" fontId="3" fillId="0" borderId="61" xfId="15" applyFont="1" applyBorder="1" applyAlignment="1">
      <alignment horizontal="left"/>
    </xf>
    <xf numFmtId="9" fontId="3" fillId="0" borderId="60" xfId="16" applyFont="1" applyBorder="1"/>
    <xf numFmtId="169" fontId="24" fillId="0" borderId="60" xfId="17" applyNumberFormat="1" applyFont="1" applyFill="1" applyBorder="1"/>
    <xf numFmtId="169" fontId="24" fillId="18" borderId="60" xfId="17" applyNumberFormat="1" applyFont="1" applyFill="1" applyBorder="1"/>
    <xf numFmtId="43" fontId="24" fillId="0" borderId="60" xfId="18" applyFont="1" applyFill="1" applyBorder="1"/>
    <xf numFmtId="169" fontId="3" fillId="7" borderId="60" xfId="17" applyNumberFormat="1" applyFont="1" applyFill="1" applyBorder="1"/>
    <xf numFmtId="169" fontId="3" fillId="18" borderId="60" xfId="17" applyNumberFormat="1" applyFont="1" applyFill="1" applyBorder="1"/>
    <xf numFmtId="169" fontId="3" fillId="0" borderId="60" xfId="17" applyNumberFormat="1" applyFont="1" applyFill="1" applyBorder="1"/>
    <xf numFmtId="166" fontId="2" fillId="0" borderId="0" xfId="15" applyNumberFormat="1" applyFont="1"/>
    <xf numFmtId="169" fontId="2" fillId="0" borderId="0" xfId="17" applyNumberFormat="1" applyFont="1" applyFill="1" applyBorder="1"/>
    <xf numFmtId="168" fontId="2" fillId="0" borderId="0" xfId="4" applyNumberFormat="1" applyFont="1"/>
    <xf numFmtId="0" fontId="3" fillId="0" borderId="11" xfId="15" applyFont="1" applyBorder="1" applyAlignment="1">
      <alignment horizontal="right"/>
    </xf>
    <xf numFmtId="9" fontId="3" fillId="0" borderId="0" xfId="16" applyFont="1" applyFill="1" applyBorder="1"/>
    <xf numFmtId="169" fontId="24" fillId="0" borderId="0" xfId="17" applyNumberFormat="1" applyFont="1" applyFill="1" applyBorder="1"/>
    <xf numFmtId="43" fontId="24" fillId="0" borderId="0" xfId="18" applyFont="1" applyFill="1" applyBorder="1"/>
    <xf numFmtId="0" fontId="3" fillId="13" borderId="11" xfId="15" applyFont="1" applyFill="1" applyBorder="1" applyAlignment="1">
      <alignment horizontal="left"/>
    </xf>
    <xf numFmtId="0" fontId="25" fillId="0" borderId="11" xfId="15" applyFont="1" applyBorder="1" applyAlignment="1">
      <alignment horizontal="left"/>
    </xf>
    <xf numFmtId="167" fontId="2" fillId="0" borderId="0" xfId="4" applyFont="1" applyBorder="1"/>
    <xf numFmtId="166" fontId="2" fillId="18" borderId="0" xfId="17" applyFont="1" applyFill="1" applyBorder="1"/>
    <xf numFmtId="166" fontId="2" fillId="0" borderId="0" xfId="17" applyFont="1" applyFill="1" applyBorder="1"/>
    <xf numFmtId="166" fontId="2" fillId="7" borderId="0" xfId="17" applyFont="1" applyFill="1" applyBorder="1"/>
    <xf numFmtId="166" fontId="3" fillId="0" borderId="0" xfId="17" applyFont="1" applyFill="1" applyBorder="1"/>
    <xf numFmtId="166" fontId="3" fillId="7" borderId="0" xfId="17" applyFont="1" applyFill="1" applyBorder="1"/>
    <xf numFmtId="9" fontId="3" fillId="0" borderId="0" xfId="16" applyFont="1" applyBorder="1"/>
    <xf numFmtId="169" fontId="24" fillId="18" borderId="0" xfId="17" applyNumberFormat="1" applyFont="1" applyFill="1" applyBorder="1"/>
    <xf numFmtId="169" fontId="3" fillId="7" borderId="0" xfId="17" applyNumberFormat="1" applyFont="1" applyFill="1" applyBorder="1"/>
    <xf numFmtId="169" fontId="3" fillId="18" borderId="0" xfId="17" applyNumberFormat="1" applyFont="1" applyFill="1" applyBorder="1"/>
    <xf numFmtId="9" fontId="2" fillId="0" borderId="0" xfId="17" applyNumberFormat="1" applyFont="1" applyFill="1" applyBorder="1"/>
    <xf numFmtId="0" fontId="25" fillId="0" borderId="11" xfId="15" applyFont="1" applyBorder="1" applyAlignment="1">
      <alignment horizontal="right"/>
    </xf>
    <xf numFmtId="0" fontId="2" fillId="0" borderId="20" xfId="15" applyFont="1" applyBorder="1"/>
    <xf numFmtId="9" fontId="2" fillId="0" borderId="26" xfId="16" applyFont="1" applyFill="1" applyBorder="1"/>
    <xf numFmtId="169" fontId="2" fillId="0" borderId="26" xfId="17" applyNumberFormat="1" applyFont="1" applyFill="1" applyBorder="1"/>
    <xf numFmtId="169" fontId="2" fillId="18" borderId="26" xfId="17" applyNumberFormat="1" applyFont="1" applyFill="1" applyBorder="1"/>
    <xf numFmtId="43" fontId="25" fillId="0" borderId="26" xfId="18" applyFont="1" applyFill="1" applyBorder="1"/>
    <xf numFmtId="9" fontId="2" fillId="0" borderId="0" xfId="16" applyFont="1" applyFill="1"/>
    <xf numFmtId="169" fontId="2" fillId="0" borderId="0" xfId="17" applyNumberFormat="1" applyFont="1" applyFill="1"/>
    <xf numFmtId="0" fontId="4" fillId="0" borderId="0" xfId="15" applyFont="1"/>
    <xf numFmtId="9" fontId="5" fillId="0" borderId="0" xfId="16" applyFont="1"/>
    <xf numFmtId="169" fontId="5" fillId="0" borderId="0" xfId="17" applyNumberFormat="1" applyFont="1"/>
    <xf numFmtId="0" fontId="5" fillId="0" borderId="0" xfId="15"/>
    <xf numFmtId="0" fontId="5" fillId="0" borderId="11" xfId="15" applyBorder="1"/>
    <xf numFmtId="9" fontId="5" fillId="0" borderId="0" xfId="16" applyFont="1" applyBorder="1"/>
    <xf numFmtId="169" fontId="5" fillId="0" borderId="0" xfId="17" applyNumberFormat="1" applyFont="1" applyFill="1" applyBorder="1" applyAlignment="1">
      <alignment horizontal="center"/>
    </xf>
    <xf numFmtId="169" fontId="39" fillId="0" borderId="57" xfId="17" applyNumberFormat="1" applyFont="1" applyBorder="1" applyAlignment="1">
      <alignment horizontal="left"/>
    </xf>
    <xf numFmtId="169" fontId="39" fillId="0" borderId="57" xfId="17" applyNumberFormat="1" applyFont="1" applyBorder="1" applyAlignment="1">
      <alignment horizontal="center"/>
    </xf>
    <xf numFmtId="9" fontId="39" fillId="0" borderId="57" xfId="16" applyFont="1" applyBorder="1" applyAlignment="1">
      <alignment horizontal="center"/>
    </xf>
    <xf numFmtId="169" fontId="39" fillId="7" borderId="57" xfId="17" applyNumberFormat="1" applyFont="1" applyFill="1" applyBorder="1" applyAlignment="1">
      <alignment horizontal="center"/>
    </xf>
    <xf numFmtId="10" fontId="5" fillId="0" borderId="0" xfId="15" applyNumberFormat="1"/>
    <xf numFmtId="168" fontId="5" fillId="0" borderId="0" xfId="4" applyNumberFormat="1" applyFont="1" applyBorder="1"/>
    <xf numFmtId="169" fontId="16" fillId="0" borderId="0" xfId="17" applyNumberFormat="1" applyFont="1" applyFill="1" applyBorder="1"/>
    <xf numFmtId="43" fontId="16" fillId="0" borderId="0" xfId="18" applyFont="1" applyFill="1" applyBorder="1"/>
    <xf numFmtId="169" fontId="5" fillId="7" borderId="0" xfId="17" applyNumberFormat="1" applyFont="1" applyFill="1" applyBorder="1"/>
    <xf numFmtId="168" fontId="5" fillId="0" borderId="0" xfId="4" applyNumberFormat="1" applyFont="1"/>
    <xf numFmtId="0" fontId="4" fillId="0" borderId="61" xfId="15" applyFont="1" applyBorder="1" applyAlignment="1">
      <alignment horizontal="right"/>
    </xf>
    <xf numFmtId="9" fontId="4" fillId="0" borderId="60" xfId="16" applyFont="1" applyBorder="1"/>
    <xf numFmtId="169" fontId="40" fillId="0" borderId="60" xfId="17" applyNumberFormat="1" applyFont="1" applyFill="1" applyBorder="1"/>
    <xf numFmtId="43" fontId="40" fillId="0" borderId="60" xfId="18" applyFont="1" applyFill="1" applyBorder="1"/>
    <xf numFmtId="169" fontId="4" fillId="7" borderId="60" xfId="17" applyNumberFormat="1" applyFont="1" applyFill="1" applyBorder="1"/>
    <xf numFmtId="166" fontId="5" fillId="0" borderId="0" xfId="15" applyNumberFormat="1"/>
    <xf numFmtId="0" fontId="16" fillId="0" borderId="11" xfId="15" applyFont="1" applyBorder="1" applyAlignment="1">
      <alignment horizontal="right"/>
    </xf>
    <xf numFmtId="167" fontId="5" fillId="0" borderId="0" xfId="4" applyFont="1" applyBorder="1"/>
    <xf numFmtId="169" fontId="5" fillId="0" borderId="0" xfId="17" applyNumberFormat="1" applyFont="1" applyBorder="1"/>
    <xf numFmtId="166" fontId="4" fillId="7" borderId="0" xfId="17" applyFont="1" applyFill="1" applyBorder="1"/>
    <xf numFmtId="0" fontId="5" fillId="0" borderId="20" xfId="15" applyBorder="1"/>
    <xf numFmtId="9" fontId="5" fillId="0" borderId="26" xfId="16" applyFont="1" applyFill="1" applyBorder="1"/>
    <xf numFmtId="169" fontId="5" fillId="0" borderId="26" xfId="17" applyNumberFormat="1" applyFont="1" applyFill="1" applyBorder="1"/>
    <xf numFmtId="43" fontId="16" fillId="0" borderId="26" xfId="18" applyFont="1" applyFill="1" applyBorder="1"/>
    <xf numFmtId="0" fontId="41" fillId="3" borderId="0" xfId="7" applyFont="1" applyFill="1" applyAlignment="1">
      <alignment wrapText="1"/>
    </xf>
    <xf numFmtId="0" fontId="41" fillId="3" borderId="0" xfId="7" applyFont="1" applyFill="1" applyAlignment="1">
      <alignment horizontal="center"/>
    </xf>
    <xf numFmtId="170" fontId="41" fillId="3" borderId="0" xfId="19" applyNumberFormat="1" applyFont="1" applyFill="1" applyBorder="1"/>
    <xf numFmtId="168" fontId="25" fillId="0" borderId="0" xfId="4" applyNumberFormat="1" applyFont="1" applyBorder="1" applyAlignment="1"/>
    <xf numFmtId="169" fontId="25" fillId="0" borderId="0" xfId="5" applyNumberFormat="1" applyFont="1" applyBorder="1" applyAlignment="1"/>
    <xf numFmtId="168" fontId="25" fillId="0" borderId="0" xfId="4" applyNumberFormat="1" applyFont="1" applyAlignment="1"/>
    <xf numFmtId="169" fontId="25" fillId="0" borderId="0" xfId="5" applyNumberFormat="1" applyFont="1" applyAlignment="1"/>
    <xf numFmtId="0" fontId="24" fillId="7" borderId="11" xfId="3" applyFont="1" applyFill="1" applyBorder="1" applyAlignment="1">
      <alignment vertical="center"/>
    </xf>
    <xf numFmtId="0" fontId="24" fillId="7" borderId="0" xfId="3" applyFont="1" applyFill="1" applyAlignment="1">
      <alignment vertical="center"/>
    </xf>
    <xf numFmtId="0" fontId="24" fillId="7" borderId="11" xfId="3" applyFont="1" applyFill="1" applyBorder="1" applyAlignment="1">
      <alignment vertical="center" wrapText="1"/>
    </xf>
    <xf numFmtId="0" fontId="24" fillId="7" borderId="0" xfId="3" applyFont="1" applyFill="1" applyAlignment="1">
      <alignment vertical="center" wrapText="1"/>
    </xf>
    <xf numFmtId="0" fontId="3"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vertical="center"/>
    </xf>
    <xf numFmtId="0" fontId="24" fillId="7" borderId="0" xfId="21" applyFont="1" applyFill="1" applyAlignment="1">
      <alignment horizontal="left" vertical="center" wrapText="1"/>
    </xf>
    <xf numFmtId="168" fontId="25" fillId="0" borderId="0" xfId="4" applyNumberFormat="1" applyFont="1" applyFill="1" applyBorder="1"/>
    <xf numFmtId="0" fontId="27" fillId="0" borderId="51" xfId="21" applyFont="1" applyBorder="1" applyAlignment="1">
      <alignment vertical="center" wrapText="1"/>
    </xf>
    <xf numFmtId="0" fontId="25" fillId="0" borderId="51" xfId="21" applyFont="1" applyBorder="1" applyAlignment="1">
      <alignment wrapText="1"/>
    </xf>
    <xf numFmtId="0" fontId="25" fillId="0" borderId="51" xfId="21" applyFont="1" applyBorder="1" applyAlignment="1">
      <alignment vertical="center" wrapText="1"/>
    </xf>
    <xf numFmtId="0" fontId="28" fillId="0" borderId="51" xfId="21" applyFont="1" applyBorder="1" applyAlignment="1">
      <alignment horizontal="right" vertical="center" wrapText="1"/>
    </xf>
    <xf numFmtId="0" fontId="24" fillId="7" borderId="3" xfId="21" applyFont="1" applyFill="1" applyBorder="1" applyAlignment="1">
      <alignment horizontal="left" vertical="center" wrapText="1"/>
    </xf>
    <xf numFmtId="0" fontId="27" fillId="0" borderId="51" xfId="21" applyFont="1" applyBorder="1" applyAlignment="1">
      <alignment horizontal="right" vertical="center" wrapText="1"/>
    </xf>
    <xf numFmtId="0" fontId="43" fillId="0" borderId="0" xfId="23"/>
    <xf numFmtId="174" fontId="0" fillId="0" borderId="0" xfId="13" applyNumberFormat="1" applyFont="1"/>
    <xf numFmtId="175" fontId="16" fillId="0" borderId="0" xfId="13" applyNumberFormat="1" applyFont="1"/>
    <xf numFmtId="0" fontId="16" fillId="0" borderId="0" xfId="6" applyFont="1"/>
    <xf numFmtId="176" fontId="16" fillId="0" borderId="0" xfId="6" applyNumberFormat="1" applyFont="1"/>
    <xf numFmtId="0" fontId="23" fillId="0" borderId="0" xfId="23" applyFont="1"/>
    <xf numFmtId="174" fontId="23" fillId="0" borderId="0" xfId="13" applyNumberFormat="1" applyFont="1"/>
    <xf numFmtId="164" fontId="0" fillId="0" borderId="0" xfId="13" applyFont="1"/>
    <xf numFmtId="174" fontId="43" fillId="0" borderId="0" xfId="23" applyNumberFormat="1"/>
    <xf numFmtId="177" fontId="43" fillId="0" borderId="0" xfId="23" applyNumberFormat="1"/>
    <xf numFmtId="164" fontId="43" fillId="0" borderId="0" xfId="23" applyNumberFormat="1"/>
    <xf numFmtId="164" fontId="23" fillId="0" borderId="0" xfId="13" applyFont="1" applyAlignment="1">
      <alignment horizontal="right"/>
    </xf>
    <xf numFmtId="174" fontId="4" fillId="0" borderId="0" xfId="13" applyNumberFormat="1" applyFont="1"/>
    <xf numFmtId="164" fontId="25" fillId="0" borderId="51" xfId="22" applyFont="1" applyFill="1" applyBorder="1" applyAlignment="1">
      <alignment vertical="center"/>
    </xf>
    <xf numFmtId="164" fontId="0" fillId="0" borderId="0" xfId="22" applyFont="1"/>
    <xf numFmtId="164" fontId="25" fillId="0" borderId="51" xfId="22" applyFont="1" applyBorder="1" applyAlignment="1">
      <alignment horizontal="right" vertical="center"/>
    </xf>
    <xf numFmtId="164" fontId="25" fillId="0" borderId="51" xfId="22" applyFont="1" applyBorder="1"/>
    <xf numFmtId="164" fontId="2" fillId="0" borderId="0" xfId="22" applyFont="1" applyBorder="1"/>
    <xf numFmtId="9" fontId="2" fillId="0" borderId="0" xfId="2" applyFont="1" applyBorder="1"/>
    <xf numFmtId="166" fontId="3" fillId="2" borderId="33" xfId="0" applyNumberFormat="1" applyFont="1" applyFill="1" applyBorder="1"/>
    <xf numFmtId="10" fontId="3" fillId="2" borderId="34" xfId="2" applyNumberFormat="1" applyFont="1" applyFill="1" applyBorder="1" applyAlignment="1">
      <alignment horizontal="center"/>
    </xf>
    <xf numFmtId="10" fontId="0" fillId="0" borderId="0" xfId="2" applyNumberFormat="1" applyFont="1" applyAlignment="1">
      <alignment horizontal="center"/>
    </xf>
    <xf numFmtId="164" fontId="9" fillId="0" borderId="0" xfId="0" applyNumberFormat="1" applyFont="1"/>
    <xf numFmtId="164" fontId="25" fillId="0" borderId="51" xfId="22" applyFont="1" applyFill="1" applyBorder="1" applyAlignment="1">
      <alignment vertical="center" wrapText="1"/>
    </xf>
    <xf numFmtId="164" fontId="24" fillId="7" borderId="11" xfId="22" applyFont="1" applyFill="1" applyBorder="1" applyAlignment="1">
      <alignment vertical="center" wrapText="1"/>
    </xf>
    <xf numFmtId="164" fontId="24" fillId="7" borderId="0" xfId="22" applyFont="1" applyFill="1" applyBorder="1" applyAlignment="1">
      <alignment vertical="center" wrapText="1"/>
    </xf>
    <xf numFmtId="164" fontId="25" fillId="0" borderId="0" xfId="22" applyFont="1" applyAlignment="1">
      <alignment wrapText="1"/>
    </xf>
    <xf numFmtId="164" fontId="24" fillId="0" borderId="0" xfId="22" applyFont="1" applyAlignment="1">
      <alignment vertical="center" wrapText="1"/>
    </xf>
    <xf numFmtId="164" fontId="25" fillId="0" borderId="0" xfId="22" applyFont="1" applyBorder="1" applyAlignment="1">
      <alignment wrapText="1"/>
    </xf>
    <xf numFmtId="164" fontId="24" fillId="8" borderId="5" xfId="22" applyFont="1" applyFill="1" applyBorder="1" applyAlignment="1">
      <alignment vertical="center" wrapText="1"/>
    </xf>
    <xf numFmtId="164" fontId="24" fillId="8" borderId="40" xfId="22" applyFont="1" applyFill="1" applyBorder="1" applyAlignment="1">
      <alignment vertical="center" wrapText="1"/>
    </xf>
    <xf numFmtId="164" fontId="26" fillId="9" borderId="0" xfId="22" applyFont="1" applyFill="1" applyAlignment="1">
      <alignment vertical="center" wrapText="1"/>
    </xf>
    <xf numFmtId="164" fontId="25" fillId="10" borderId="11" xfId="22" applyFont="1" applyFill="1" applyBorder="1" applyAlignment="1">
      <alignment vertical="top" wrapText="1"/>
    </xf>
    <xf numFmtId="164" fontId="25" fillId="10" borderId="0" xfId="22" applyFont="1" applyFill="1" applyBorder="1" applyAlignment="1">
      <alignment vertical="top" wrapText="1"/>
    </xf>
    <xf numFmtId="164" fontId="27" fillId="0" borderId="51" xfId="22" applyFont="1" applyFill="1" applyBorder="1" applyAlignment="1">
      <alignment horizontal="right" vertical="center" wrapText="1"/>
    </xf>
    <xf numFmtId="164" fontId="27" fillId="0" borderId="51" xfId="22" applyFont="1" applyFill="1" applyBorder="1" applyAlignment="1">
      <alignment vertical="center" wrapText="1"/>
    </xf>
    <xf numFmtId="164" fontId="24" fillId="0" borderId="51" xfId="22" applyFont="1" applyFill="1" applyBorder="1" applyAlignment="1">
      <alignment vertical="center" wrapText="1"/>
    </xf>
    <xf numFmtId="164" fontId="27" fillId="13" borderId="51" xfId="22" applyFont="1" applyFill="1" applyBorder="1" applyAlignment="1">
      <alignment vertical="center" wrapText="1"/>
    </xf>
    <xf numFmtId="164" fontId="24" fillId="0" borderId="58" xfId="22" applyFont="1" applyFill="1" applyBorder="1" applyAlignment="1">
      <alignment vertical="center" wrapText="1"/>
    </xf>
    <xf numFmtId="164" fontId="24" fillId="0" borderId="0" xfId="22" applyFont="1" applyFill="1" applyBorder="1" applyAlignment="1">
      <alignment vertical="center" wrapText="1"/>
    </xf>
    <xf numFmtId="164" fontId="27" fillId="0" borderId="0" xfId="22" applyFont="1" applyFill="1" applyBorder="1" applyAlignment="1">
      <alignment vertical="center" wrapText="1"/>
    </xf>
    <xf numFmtId="164" fontId="27" fillId="0" borderId="0" xfId="22" applyFont="1" applyAlignment="1">
      <alignment vertical="center" wrapText="1"/>
    </xf>
    <xf numFmtId="164" fontId="28" fillId="0" borderId="0" xfId="22" applyFont="1" applyAlignment="1">
      <alignment vertical="center" wrapText="1"/>
    </xf>
    <xf numFmtId="164" fontId="24" fillId="4" borderId="4" xfId="22" applyFont="1" applyFill="1" applyBorder="1" applyAlignment="1">
      <alignment vertical="center" wrapText="1"/>
    </xf>
    <xf numFmtId="164" fontId="24" fillId="4" borderId="3" xfId="22" applyFont="1" applyFill="1" applyBorder="1" applyAlignment="1">
      <alignment wrapText="1"/>
    </xf>
    <xf numFmtId="164" fontId="24" fillId="4" borderId="3" xfId="22" applyFont="1" applyFill="1" applyBorder="1" applyAlignment="1">
      <alignment vertical="center" wrapText="1"/>
    </xf>
    <xf numFmtId="164" fontId="25" fillId="0" borderId="51" xfId="22" applyFont="1" applyFill="1" applyBorder="1" applyAlignment="1">
      <alignment horizontal="left" vertical="center" wrapText="1"/>
    </xf>
    <xf numFmtId="164" fontId="25" fillId="0" borderId="5" xfId="22" applyFont="1" applyFill="1" applyBorder="1" applyAlignment="1">
      <alignment horizontal="left" vertical="center" wrapText="1"/>
    </xf>
    <xf numFmtId="164" fontId="25" fillId="0" borderId="51" xfId="22" applyFont="1" applyFill="1" applyBorder="1" applyAlignment="1">
      <alignment horizontal="right" vertical="center" wrapText="1"/>
    </xf>
    <xf numFmtId="164" fontId="25" fillId="0" borderId="0" xfId="22" applyFont="1" applyFill="1" applyAlignment="1">
      <alignment vertical="center" wrapText="1"/>
    </xf>
    <xf numFmtId="0" fontId="25" fillId="0" borderId="5" xfId="3" applyFont="1" applyBorder="1" applyAlignment="1">
      <alignment horizontal="left" vertical="center"/>
    </xf>
    <xf numFmtId="169" fontId="25" fillId="0" borderId="0" xfId="3" applyNumberFormat="1" applyFont="1" applyAlignment="1">
      <alignment vertical="center"/>
    </xf>
    <xf numFmtId="0" fontId="3" fillId="0" borderId="3" xfId="0" applyFont="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10" fillId="0" borderId="0" xfId="0" applyFont="1" applyAlignment="1">
      <alignment horizontal="center" vertical="center" wrapText="1"/>
    </xf>
    <xf numFmtId="164" fontId="25" fillId="0" borderId="0" xfId="22" applyFont="1" applyFill="1" applyAlignment="1">
      <alignment wrapText="1"/>
    </xf>
    <xf numFmtId="164" fontId="25" fillId="0" borderId="11" xfId="22" applyFont="1" applyFill="1" applyBorder="1" applyAlignment="1">
      <alignment vertical="top" wrapText="1"/>
    </xf>
    <xf numFmtId="164" fontId="25" fillId="0" borderId="0" xfId="22" applyFont="1" applyFill="1" applyBorder="1" applyAlignment="1">
      <alignment vertical="top" wrapText="1"/>
    </xf>
    <xf numFmtId="164" fontId="24" fillId="0" borderId="4" xfId="22" applyFont="1" applyFill="1" applyBorder="1" applyAlignment="1">
      <alignment vertical="top" wrapText="1"/>
    </xf>
    <xf numFmtId="164" fontId="24" fillId="0" borderId="1" xfId="22" applyFont="1" applyFill="1" applyBorder="1" applyAlignment="1">
      <alignment vertical="top" wrapText="1"/>
    </xf>
    <xf numFmtId="164" fontId="27" fillId="0" borderId="0" xfId="22" applyFont="1" applyFill="1" applyAlignment="1">
      <alignment vertical="center" wrapText="1"/>
    </xf>
    <xf numFmtId="164" fontId="28" fillId="0" borderId="0" xfId="22" applyFont="1" applyFill="1" applyAlignment="1">
      <alignment vertical="center" wrapText="1"/>
    </xf>
    <xf numFmtId="169" fontId="27" fillId="0" borderId="51" xfId="3" applyNumberFormat="1" applyFont="1" applyBorder="1" applyAlignment="1">
      <alignment vertical="center"/>
    </xf>
    <xf numFmtId="0" fontId="24" fillId="0" borderId="4" xfId="6" applyFont="1" applyBorder="1" applyAlignment="1">
      <alignment vertical="top" wrapText="1"/>
    </xf>
    <xf numFmtId="0" fontId="25" fillId="0" borderId="5" xfId="3" applyFont="1" applyBorder="1" applyAlignment="1">
      <alignment horizontal="left" vertical="center" wrapText="1"/>
    </xf>
    <xf numFmtId="0" fontId="24" fillId="0" borderId="4" xfId="6" applyFont="1" applyBorder="1" applyAlignment="1">
      <alignment horizontal="left" vertical="top"/>
    </xf>
    <xf numFmtId="0" fontId="25" fillId="0" borderId="11" xfId="6" applyFont="1" applyBorder="1" applyAlignment="1">
      <alignment vertical="top"/>
    </xf>
    <xf numFmtId="0" fontId="25" fillId="0" borderId="0" xfId="6" applyFont="1" applyAlignment="1">
      <alignment vertical="top"/>
    </xf>
    <xf numFmtId="0" fontId="24" fillId="0" borderId="0" xfId="21" applyFont="1" applyAlignment="1">
      <alignment horizontal="left" vertical="center" wrapText="1"/>
    </xf>
    <xf numFmtId="0" fontId="24" fillId="0" borderId="0" xfId="21" applyFont="1" applyAlignment="1">
      <alignment vertical="center" wrapText="1"/>
    </xf>
    <xf numFmtId="0" fontId="24" fillId="0" borderId="0" xfId="14" applyFont="1" applyAlignment="1">
      <alignment vertical="center" wrapText="1"/>
    </xf>
    <xf numFmtId="165" fontId="25" fillId="0" borderId="59" xfId="4" applyNumberFormat="1" applyFont="1" applyFill="1" applyBorder="1" applyAlignment="1">
      <alignment vertical="center"/>
    </xf>
    <xf numFmtId="165" fontId="24" fillId="0" borderId="59" xfId="4" applyNumberFormat="1" applyFont="1" applyFill="1" applyBorder="1" applyAlignment="1">
      <alignment vertical="center"/>
    </xf>
    <xf numFmtId="0" fontId="24" fillId="0" borderId="59" xfId="3" applyFont="1" applyBorder="1" applyAlignment="1">
      <alignment vertical="center"/>
    </xf>
    <xf numFmtId="169" fontId="25" fillId="0" borderId="59" xfId="3" applyNumberFormat="1" applyFont="1" applyBorder="1"/>
    <xf numFmtId="164" fontId="25" fillId="0" borderId="51" xfId="14" applyNumberFormat="1" applyFont="1" applyBorder="1"/>
    <xf numFmtId="166" fontId="2" fillId="3" borderId="3" xfId="1" applyFont="1" applyFill="1" applyBorder="1" applyAlignment="1" applyProtection="1">
      <alignment horizontal="center" vertical="center" wrapText="1"/>
      <protection locked="0"/>
    </xf>
    <xf numFmtId="166" fontId="2" fillId="3" borderId="0" xfId="1" applyFont="1" applyFill="1" applyBorder="1" applyAlignment="1" applyProtection="1">
      <alignment vertical="center" wrapText="1"/>
      <protection locked="0"/>
    </xf>
    <xf numFmtId="0" fontId="2" fillId="0" borderId="0" xfId="0" applyFont="1" applyAlignment="1">
      <alignment wrapText="1"/>
    </xf>
    <xf numFmtId="0" fontId="2" fillId="3" borderId="0" xfId="0" applyFont="1" applyFill="1" applyAlignment="1">
      <alignment wrapText="1"/>
    </xf>
    <xf numFmtId="166" fontId="2" fillId="0" borderId="40" xfId="0" applyNumberFormat="1" applyFont="1" applyBorder="1" applyAlignment="1" applyProtection="1">
      <alignment wrapText="1"/>
      <protection locked="0"/>
    </xf>
    <xf numFmtId="166" fontId="2" fillId="3" borderId="40" xfId="1" applyFont="1" applyFill="1" applyBorder="1" applyAlignment="1" applyProtection="1">
      <alignment horizontal="center" vertical="center" wrapText="1"/>
      <protection locked="0"/>
    </xf>
    <xf numFmtId="166" fontId="2" fillId="0" borderId="3" xfId="0" applyNumberFormat="1" applyFont="1" applyBorder="1" applyAlignment="1" applyProtection="1">
      <alignment wrapText="1"/>
      <protection locked="0"/>
    </xf>
    <xf numFmtId="166" fontId="2" fillId="2" borderId="40" xfId="0" applyNumberFormat="1" applyFont="1" applyFill="1" applyBorder="1" applyAlignment="1">
      <alignment wrapText="1"/>
    </xf>
    <xf numFmtId="166" fontId="2" fillId="2" borderId="51" xfId="0" applyNumberFormat="1" applyFont="1" applyFill="1" applyBorder="1" applyAlignment="1">
      <alignment wrapText="1"/>
    </xf>
    <xf numFmtId="166" fontId="2" fillId="3" borderId="0" xfId="1" applyFont="1" applyFill="1" applyBorder="1" applyAlignment="1" applyProtection="1">
      <alignment vertical="center" wrapText="1"/>
    </xf>
    <xf numFmtId="166" fontId="2" fillId="2" borderId="3" xfId="0" applyNumberFormat="1" applyFont="1" applyFill="1" applyBorder="1" applyAlignment="1">
      <alignment wrapText="1"/>
    </xf>
    <xf numFmtId="166" fontId="2" fillId="2" borderId="52" xfId="0" applyNumberFormat="1" applyFont="1" applyFill="1" applyBorder="1" applyAlignment="1">
      <alignment wrapText="1"/>
    </xf>
    <xf numFmtId="166" fontId="2" fillId="2" borderId="50" xfId="0" applyNumberFormat="1" applyFont="1" applyFill="1" applyBorder="1" applyAlignment="1">
      <alignment wrapText="1"/>
    </xf>
    <xf numFmtId="166" fontId="2" fillId="2" borderId="14" xfId="0" applyNumberFormat="1" applyFont="1" applyFill="1" applyBorder="1" applyAlignment="1">
      <alignment wrapText="1"/>
    </xf>
    <xf numFmtId="166" fontId="2" fillId="2" borderId="8" xfId="1" applyFont="1" applyFill="1" applyBorder="1" applyAlignment="1" applyProtection="1">
      <alignment wrapText="1"/>
    </xf>
    <xf numFmtId="166" fontId="2" fillId="2" borderId="3" xfId="1" applyFont="1" applyFill="1" applyBorder="1" applyAlignment="1">
      <alignment wrapText="1"/>
    </xf>
    <xf numFmtId="9" fontId="2" fillId="3" borderId="0" xfId="2" applyFont="1" applyFill="1" applyBorder="1" applyAlignment="1" applyProtection="1">
      <alignment vertical="center" wrapText="1"/>
      <protection locked="0"/>
    </xf>
    <xf numFmtId="166" fontId="2" fillId="3" borderId="0" xfId="0" applyNumberFormat="1" applyFont="1" applyFill="1" applyAlignment="1">
      <alignment vertical="center" wrapText="1"/>
    </xf>
    <xf numFmtId="0" fontId="2" fillId="3" borderId="0" xfId="0" applyFont="1" applyFill="1" applyAlignment="1">
      <alignment horizontal="center" vertical="center" wrapText="1"/>
    </xf>
    <xf numFmtId="166" fontId="2" fillId="2" borderId="40" xfId="0" applyNumberFormat="1" applyFont="1" applyFill="1" applyBorder="1"/>
    <xf numFmtId="178" fontId="2" fillId="2" borderId="39" xfId="2" applyNumberFormat="1" applyFont="1" applyFill="1" applyBorder="1" applyAlignment="1">
      <alignment horizontal="center"/>
    </xf>
    <xf numFmtId="10" fontId="2" fillId="2" borderId="39" xfId="2" applyNumberFormat="1" applyFont="1" applyFill="1" applyBorder="1" applyAlignment="1">
      <alignment horizontal="center"/>
    </xf>
    <xf numFmtId="164" fontId="25" fillId="0" borderId="1" xfId="22" applyFont="1" applyFill="1" applyBorder="1" applyAlignment="1">
      <alignment vertical="top" wrapText="1"/>
    </xf>
    <xf numFmtId="164" fontId="25" fillId="0" borderId="4" xfId="22" applyFont="1" applyFill="1" applyBorder="1" applyAlignment="1">
      <alignment vertical="top" wrapText="1"/>
    </xf>
    <xf numFmtId="0" fontId="26" fillId="9" borderId="11" xfId="6" applyFont="1" applyFill="1" applyBorder="1" applyAlignment="1">
      <alignment vertical="center" wrapText="1"/>
    </xf>
    <xf numFmtId="169" fontId="25" fillId="0" borderId="0" xfId="5" applyNumberFormat="1" applyFont="1" applyBorder="1" applyAlignment="1">
      <alignment wrapText="1"/>
    </xf>
    <xf numFmtId="169" fontId="25" fillId="0" borderId="59" xfId="3" applyNumberFormat="1" applyFont="1" applyBorder="1" applyAlignment="1">
      <alignment wrapText="1"/>
    </xf>
    <xf numFmtId="0" fontId="25" fillId="0" borderId="51" xfId="3" applyFont="1" applyBorder="1" applyAlignment="1">
      <alignment horizontal="left" vertical="center" wrapText="1"/>
    </xf>
    <xf numFmtId="0" fontId="25" fillId="0" borderId="51" xfId="3" applyFont="1" applyBorder="1" applyAlignment="1">
      <alignment horizontal="right" vertical="center" wrapText="1"/>
    </xf>
    <xf numFmtId="170" fontId="25" fillId="0" borderId="51" xfId="4" applyNumberFormat="1" applyFont="1" applyFill="1" applyBorder="1" applyAlignment="1">
      <alignment vertical="center" wrapText="1"/>
    </xf>
    <xf numFmtId="168" fontId="25" fillId="0" borderId="51" xfId="4" applyNumberFormat="1" applyFont="1" applyFill="1" applyBorder="1" applyAlignment="1">
      <alignment vertical="center" wrapText="1"/>
    </xf>
    <xf numFmtId="169" fontId="25" fillId="0" borderId="51" xfId="5" applyNumberFormat="1" applyFont="1" applyFill="1" applyBorder="1" applyAlignment="1">
      <alignment vertical="center" wrapText="1"/>
    </xf>
    <xf numFmtId="169" fontId="25" fillId="0" borderId="51" xfId="4" applyNumberFormat="1" applyFont="1" applyFill="1" applyBorder="1" applyAlignment="1">
      <alignment vertical="center" wrapText="1"/>
    </xf>
    <xf numFmtId="165" fontId="25" fillId="0" borderId="59" xfId="4" applyNumberFormat="1" applyFont="1" applyFill="1" applyBorder="1" applyAlignment="1">
      <alignment vertical="center" wrapText="1"/>
    </xf>
    <xf numFmtId="0" fontId="25" fillId="0" borderId="0" xfId="3" applyFont="1" applyAlignment="1">
      <alignment vertical="center" wrapText="1"/>
    </xf>
    <xf numFmtId="169" fontId="27" fillId="0" borderId="51" xfId="5" applyNumberFormat="1" applyFont="1" applyFill="1" applyBorder="1" applyAlignment="1">
      <alignment vertical="center" wrapText="1"/>
    </xf>
    <xf numFmtId="170" fontId="27" fillId="0" borderId="51" xfId="4" applyNumberFormat="1" applyFont="1" applyFill="1" applyBorder="1" applyAlignment="1">
      <alignment vertical="center" wrapText="1"/>
    </xf>
    <xf numFmtId="169" fontId="25" fillId="0" borderId="0" xfId="5" applyNumberFormat="1" applyFont="1" applyAlignment="1">
      <alignment wrapText="1"/>
    </xf>
    <xf numFmtId="164" fontId="24" fillId="7" borderId="0" xfId="22" applyFont="1" applyFill="1" applyBorder="1" applyAlignment="1">
      <alignment vertical="center"/>
    </xf>
    <xf numFmtId="0" fontId="25" fillId="0" borderId="59" xfId="3" applyFont="1" applyBorder="1"/>
    <xf numFmtId="164" fontId="25" fillId="0" borderId="0" xfId="22" applyFont="1" applyAlignment="1"/>
    <xf numFmtId="164" fontId="24" fillId="8" borderId="5" xfId="22" applyFont="1" applyFill="1" applyBorder="1" applyAlignment="1">
      <alignment vertical="center"/>
    </xf>
    <xf numFmtId="164" fontId="24" fillId="8" borderId="40" xfId="22" applyFont="1" applyFill="1" applyBorder="1" applyAlignment="1">
      <alignment vertical="center"/>
    </xf>
    <xf numFmtId="164" fontId="26" fillId="9" borderId="0" xfId="22" applyFont="1" applyFill="1" applyAlignment="1">
      <alignment vertical="center"/>
    </xf>
    <xf numFmtId="164" fontId="24" fillId="0" borderId="51" xfId="22" applyFont="1" applyFill="1" applyBorder="1" applyAlignment="1">
      <alignment vertical="center"/>
    </xf>
    <xf numFmtId="164" fontId="24" fillId="0" borderId="4" xfId="22" applyFont="1" applyFill="1" applyBorder="1" applyAlignment="1">
      <alignment vertical="top"/>
    </xf>
    <xf numFmtId="164" fontId="25" fillId="0" borderId="51" xfId="22" applyFont="1" applyFill="1" applyBorder="1" applyAlignment="1">
      <alignment horizontal="left" vertical="center"/>
    </xf>
    <xf numFmtId="164" fontId="25" fillId="0" borderId="51" xfId="22" applyFont="1" applyFill="1" applyBorder="1" applyAlignment="1">
      <alignment horizontal="right" vertical="center"/>
    </xf>
    <xf numFmtId="164" fontId="25" fillId="0" borderId="0" xfId="22" applyFont="1" applyFill="1" applyAlignment="1">
      <alignment vertical="center"/>
    </xf>
    <xf numFmtId="164" fontId="25" fillId="0" borderId="5" xfId="22" applyFont="1" applyFill="1" applyBorder="1" applyAlignment="1">
      <alignment horizontal="left" vertical="center"/>
    </xf>
    <xf numFmtId="164" fontId="27" fillId="0" borderId="51" xfId="22" applyFont="1" applyFill="1" applyBorder="1" applyAlignment="1">
      <alignment horizontal="right" vertical="center"/>
    </xf>
    <xf numFmtId="164" fontId="27" fillId="0" borderId="51" xfId="22" applyFont="1" applyFill="1" applyBorder="1" applyAlignment="1">
      <alignment vertical="center"/>
    </xf>
    <xf numFmtId="164" fontId="24" fillId="0" borderId="0" xfId="22" applyFont="1" applyFill="1" applyBorder="1" applyAlignment="1">
      <alignment vertical="center"/>
    </xf>
    <xf numFmtId="164" fontId="27" fillId="0" borderId="0" xfId="22" applyFont="1" applyFill="1" applyBorder="1" applyAlignment="1">
      <alignment vertical="center"/>
    </xf>
    <xf numFmtId="164" fontId="27" fillId="0" borderId="0" xfId="22" applyFont="1" applyFill="1" applyAlignment="1">
      <alignment vertical="center"/>
    </xf>
    <xf numFmtId="164" fontId="28" fillId="0" borderId="0" xfId="22" applyFont="1" applyFill="1" applyAlignment="1">
      <alignment vertical="center"/>
    </xf>
    <xf numFmtId="164" fontId="26" fillId="0" borderId="0" xfId="22" applyFont="1" applyFill="1" applyAlignment="1">
      <alignment vertical="center"/>
    </xf>
    <xf numFmtId="164" fontId="25" fillId="0" borderId="0" xfId="22" applyFont="1" applyFill="1" applyBorder="1" applyAlignment="1">
      <alignment vertical="top"/>
    </xf>
    <xf numFmtId="0" fontId="25" fillId="0" borderId="0" xfId="21" applyFont="1" applyAlignment="1">
      <alignment wrapText="1"/>
    </xf>
    <xf numFmtId="0" fontId="24" fillId="8" borderId="4" xfId="21" applyFont="1" applyFill="1" applyBorder="1" applyAlignment="1">
      <alignment wrapText="1"/>
    </xf>
    <xf numFmtId="0" fontId="24" fillId="8" borderId="2" xfId="21" applyFont="1" applyFill="1" applyBorder="1" applyAlignment="1">
      <alignment wrapText="1"/>
    </xf>
    <xf numFmtId="0" fontId="24" fillId="8" borderId="2" xfId="21" applyFont="1" applyFill="1" applyBorder="1" applyAlignment="1">
      <alignment horizontal="center" wrapText="1"/>
    </xf>
    <xf numFmtId="0" fontId="24" fillId="8" borderId="3" xfId="21" applyFont="1" applyFill="1" applyBorder="1" applyAlignment="1">
      <alignment horizontal="center" wrapText="1"/>
    </xf>
    <xf numFmtId="169" fontId="25" fillId="0" borderId="0" xfId="21" applyNumberFormat="1" applyFont="1" applyAlignment="1">
      <alignment wrapText="1"/>
    </xf>
    <xf numFmtId="0" fontId="25" fillId="0" borderId="51" xfId="21" applyFont="1" applyBorder="1" applyAlignment="1">
      <alignment horizontal="left" vertical="center" wrapText="1"/>
    </xf>
    <xf numFmtId="0" fontId="25" fillId="0" borderId="51" xfId="21" applyFont="1" applyBorder="1" applyAlignment="1">
      <alignment horizontal="right" vertical="center" wrapText="1"/>
    </xf>
    <xf numFmtId="169" fontId="25" fillId="0" borderId="59" xfId="5" applyNumberFormat="1" applyFont="1" applyFill="1" applyBorder="1" applyAlignment="1">
      <alignment vertical="center" wrapText="1"/>
    </xf>
    <xf numFmtId="165" fontId="25" fillId="0" borderId="51" xfId="4" applyNumberFormat="1" applyFont="1" applyFill="1" applyBorder="1" applyAlignment="1">
      <alignment vertical="center" wrapText="1"/>
    </xf>
    <xf numFmtId="169" fontId="25" fillId="0" borderId="0" xfId="21" applyNumberFormat="1" applyFont="1" applyAlignment="1">
      <alignment vertical="center" wrapText="1"/>
    </xf>
    <xf numFmtId="166" fontId="25" fillId="0" borderId="0" xfId="21" applyNumberFormat="1" applyFont="1" applyAlignment="1">
      <alignment vertical="center" wrapText="1"/>
    </xf>
    <xf numFmtId="0" fontId="25" fillId="0" borderId="0" xfId="21" applyFont="1" applyAlignment="1">
      <alignment vertical="center" wrapText="1"/>
    </xf>
    <xf numFmtId="168" fontId="25" fillId="0" borderId="51" xfId="4" applyNumberFormat="1" applyFont="1" applyFill="1" applyBorder="1" applyAlignment="1">
      <alignment wrapText="1"/>
    </xf>
    <xf numFmtId="168" fontId="25" fillId="0" borderId="51" xfId="4" applyNumberFormat="1" applyFont="1" applyBorder="1" applyAlignment="1">
      <alignment wrapText="1"/>
    </xf>
    <xf numFmtId="168" fontId="25" fillId="0" borderId="59" xfId="4" applyNumberFormat="1" applyFont="1" applyBorder="1" applyAlignment="1">
      <alignment wrapText="1"/>
    </xf>
    <xf numFmtId="169" fontId="25" fillId="0" borderId="51" xfId="5" applyNumberFormat="1" applyFont="1" applyFill="1" applyBorder="1" applyAlignment="1">
      <alignment wrapText="1"/>
    </xf>
    <xf numFmtId="168" fontId="25" fillId="0" borderId="59" xfId="4" applyNumberFormat="1" applyFont="1" applyFill="1" applyBorder="1" applyAlignment="1">
      <alignment vertical="center" wrapText="1"/>
    </xf>
    <xf numFmtId="0" fontId="28" fillId="0" borderId="51" xfId="21" applyFont="1" applyBorder="1" applyAlignment="1">
      <alignment horizontal="left" vertical="center" wrapText="1"/>
    </xf>
    <xf numFmtId="170" fontId="28" fillId="0" borderId="51" xfId="4" applyNumberFormat="1" applyFont="1" applyFill="1" applyBorder="1" applyAlignment="1">
      <alignment vertical="center" wrapText="1"/>
    </xf>
    <xf numFmtId="169" fontId="28" fillId="0" borderId="59" xfId="5" applyNumberFormat="1" applyFont="1" applyFill="1" applyBorder="1" applyAlignment="1">
      <alignment vertical="center" wrapText="1"/>
    </xf>
    <xf numFmtId="165" fontId="25" fillId="0" borderId="51" xfId="4" applyNumberFormat="1" applyFont="1" applyFill="1" applyBorder="1" applyAlignment="1">
      <alignment wrapText="1"/>
    </xf>
    <xf numFmtId="169" fontId="28" fillId="0" borderId="0" xfId="21" applyNumberFormat="1" applyFont="1" applyAlignment="1">
      <alignment vertical="center" wrapText="1"/>
    </xf>
    <xf numFmtId="166" fontId="28" fillId="0" borderId="0" xfId="21" applyNumberFormat="1" applyFont="1" applyAlignment="1">
      <alignment vertical="center" wrapText="1"/>
    </xf>
    <xf numFmtId="0" fontId="28" fillId="0" borderId="0" xfId="21" applyFont="1" applyAlignment="1">
      <alignment vertical="center" wrapText="1"/>
    </xf>
    <xf numFmtId="169" fontId="25" fillId="0" borderId="59" xfId="4" applyNumberFormat="1" applyFont="1" applyFill="1" applyBorder="1" applyAlignment="1">
      <alignment vertical="center" wrapText="1"/>
    </xf>
    <xf numFmtId="0" fontId="25" fillId="7" borderId="3" xfId="21" applyFont="1" applyFill="1" applyBorder="1" applyAlignment="1">
      <alignment horizontal="center" vertical="center" wrapText="1"/>
    </xf>
    <xf numFmtId="170" fontId="24" fillId="7" borderId="3" xfId="4" applyNumberFormat="1" applyFont="1" applyFill="1" applyBorder="1" applyAlignment="1">
      <alignment horizontal="left" vertical="center" wrapText="1"/>
    </xf>
    <xf numFmtId="170" fontId="24" fillId="7" borderId="3" xfId="4" applyNumberFormat="1" applyFont="1" applyFill="1" applyBorder="1" applyAlignment="1">
      <alignment vertical="center" wrapText="1"/>
    </xf>
    <xf numFmtId="169" fontId="24" fillId="7" borderId="4" xfId="5" applyNumberFormat="1" applyFont="1" applyFill="1" applyBorder="1" applyAlignment="1">
      <alignment vertical="center" wrapText="1"/>
    </xf>
    <xf numFmtId="169" fontId="24" fillId="7" borderId="3" xfId="5" applyNumberFormat="1" applyFont="1" applyFill="1" applyBorder="1" applyAlignment="1">
      <alignment vertical="center" wrapText="1"/>
    </xf>
    <xf numFmtId="165" fontId="25" fillId="0" borderId="5" xfId="4" applyNumberFormat="1" applyFont="1" applyFill="1" applyBorder="1" applyAlignment="1">
      <alignment vertical="center" wrapText="1"/>
    </xf>
    <xf numFmtId="169" fontId="25" fillId="0" borderId="59" xfId="5" applyNumberFormat="1" applyFont="1" applyBorder="1" applyAlignment="1">
      <alignment wrapText="1"/>
    </xf>
    <xf numFmtId="169" fontId="25" fillId="0" borderId="59" xfId="5" applyNumberFormat="1" applyFont="1" applyFill="1" applyBorder="1" applyAlignment="1">
      <alignment wrapText="1"/>
    </xf>
    <xf numFmtId="0" fontId="27" fillId="0" borderId="51" xfId="21" applyFont="1" applyBorder="1" applyAlignment="1">
      <alignment horizontal="left" vertical="center" wrapText="1"/>
    </xf>
    <xf numFmtId="169" fontId="27" fillId="0" borderId="59" xfId="5" applyNumberFormat="1" applyFont="1" applyFill="1" applyBorder="1" applyAlignment="1">
      <alignment vertical="center" wrapText="1"/>
    </xf>
    <xf numFmtId="166" fontId="24" fillId="0" borderId="59" xfId="4" applyNumberFormat="1" applyFont="1" applyFill="1" applyBorder="1" applyAlignment="1">
      <alignment vertical="center" wrapText="1"/>
    </xf>
    <xf numFmtId="165" fontId="24" fillId="0" borderId="51" xfId="4" applyNumberFormat="1" applyFont="1" applyFill="1" applyBorder="1" applyAlignment="1">
      <alignment vertical="center" wrapText="1"/>
    </xf>
    <xf numFmtId="165" fontId="24" fillId="0" borderId="51" xfId="4" applyNumberFormat="1" applyFont="1" applyFill="1" applyBorder="1" applyAlignment="1">
      <alignment wrapText="1"/>
    </xf>
    <xf numFmtId="164" fontId="2" fillId="0" borderId="3" xfId="0" applyNumberFormat="1"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6" fillId="0" borderId="0" xfId="0" applyFont="1"/>
    <xf numFmtId="0" fontId="2" fillId="0" borderId="0" xfId="0" applyFont="1"/>
    <xf numFmtId="0" fontId="3" fillId="2" borderId="28" xfId="0" applyFont="1" applyFill="1" applyBorder="1"/>
    <xf numFmtId="0" fontId="3" fillId="2" borderId="11" xfId="0" applyFont="1" applyFill="1" applyBorder="1" applyAlignment="1">
      <alignment horizontal="center"/>
    </xf>
    <xf numFmtId="0" fontId="3" fillId="2" borderId="52" xfId="0" applyFont="1" applyFill="1" applyBorder="1" applyAlignment="1">
      <alignment horizontal="center"/>
    </xf>
    <xf numFmtId="0" fontId="3" fillId="2" borderId="40" xfId="0" applyFont="1" applyFill="1" applyBorder="1" applyAlignment="1">
      <alignment horizontal="center"/>
    </xf>
    <xf numFmtId="166" fontId="3" fillId="2" borderId="2" xfId="0" applyNumberFormat="1" applyFont="1" applyFill="1" applyBorder="1" applyAlignment="1">
      <alignment horizontal="center"/>
    </xf>
    <xf numFmtId="166" fontId="3" fillId="2" borderId="3" xfId="0" applyNumberFormat="1" applyFont="1" applyFill="1" applyBorder="1" applyAlignment="1">
      <alignment horizontal="center"/>
    </xf>
    <xf numFmtId="0" fontId="8" fillId="2" borderId="8" xfId="0" applyFont="1" applyFill="1" applyBorder="1" applyAlignment="1">
      <alignment vertical="center"/>
    </xf>
    <xf numFmtId="166" fontId="2" fillId="2" borderId="39" xfId="0" applyNumberFormat="1" applyFont="1" applyFill="1" applyBorder="1"/>
    <xf numFmtId="166" fontId="2" fillId="2" borderId="52" xfId="0" applyNumberFormat="1" applyFont="1" applyFill="1" applyBorder="1"/>
    <xf numFmtId="0" fontId="8" fillId="2" borderId="8" xfId="0" applyFont="1" applyFill="1" applyBorder="1" applyAlignment="1" applyProtection="1">
      <alignment vertical="center"/>
      <protection locked="0"/>
    </xf>
    <xf numFmtId="0" fontId="8" fillId="2" borderId="13" xfId="0" applyFont="1" applyFill="1" applyBorder="1" applyAlignment="1">
      <alignment vertical="center"/>
    </xf>
    <xf numFmtId="166" fontId="2" fillId="2" borderId="15" xfId="0" applyNumberFormat="1" applyFont="1" applyFill="1" applyBorder="1"/>
    <xf numFmtId="166" fontId="2" fillId="2" borderId="50" xfId="0" applyNumberFormat="1" applyFont="1" applyFill="1" applyBorder="1"/>
    <xf numFmtId="166" fontId="2" fillId="2" borderId="14" xfId="0" applyNumberFormat="1" applyFont="1" applyFill="1" applyBorder="1"/>
    <xf numFmtId="166" fontId="2" fillId="2" borderId="54" xfId="1" applyFont="1" applyFill="1" applyBorder="1" applyAlignment="1" applyProtection="1"/>
    <xf numFmtId="166" fontId="2" fillId="2" borderId="30" xfId="1" applyFont="1" applyFill="1" applyBorder="1" applyAlignment="1"/>
    <xf numFmtId="166" fontId="3" fillId="2" borderId="53" xfId="1" applyFont="1" applyFill="1" applyBorder="1" applyAlignment="1"/>
    <xf numFmtId="166" fontId="3" fillId="2" borderId="33" xfId="1" applyFont="1" applyFill="1" applyBorder="1" applyAlignment="1"/>
    <xf numFmtId="166" fontId="2" fillId="2" borderId="8" xfId="1" applyFont="1" applyFill="1" applyBorder="1" applyAlignment="1" applyProtection="1"/>
    <xf numFmtId="166" fontId="2" fillId="2" borderId="9" xfId="1" applyFont="1" applyFill="1" applyBorder="1" applyAlignment="1"/>
    <xf numFmtId="166" fontId="3" fillId="2" borderId="0" xfId="1" applyFont="1" applyFill="1" applyBorder="1" applyAlignment="1"/>
    <xf numFmtId="166" fontId="3" fillId="2" borderId="13" xfId="1" applyFont="1" applyFill="1" applyBorder="1" applyAlignment="1" applyProtection="1"/>
    <xf numFmtId="166" fontId="3" fillId="2" borderId="15" xfId="1" applyFont="1" applyFill="1" applyBorder="1" applyAlignment="1"/>
    <xf numFmtId="0" fontId="3" fillId="2" borderId="9" xfId="0" applyFont="1" applyFill="1" applyBorder="1" applyAlignment="1">
      <alignment horizontal="center" vertical="center"/>
    </xf>
    <xf numFmtId="166" fontId="2" fillId="2" borderId="3" xfId="1" applyFont="1" applyFill="1" applyBorder="1" applyAlignment="1">
      <alignment vertical="center"/>
    </xf>
    <xf numFmtId="166" fontId="3" fillId="2" borderId="3" xfId="1" applyFont="1" applyFill="1" applyBorder="1" applyAlignment="1">
      <alignment vertical="center"/>
    </xf>
    <xf numFmtId="9" fontId="3" fillId="2" borderId="9" xfId="2" applyFont="1" applyFill="1" applyBorder="1" applyAlignment="1">
      <alignment vertical="center"/>
    </xf>
    <xf numFmtId="166" fontId="0" fillId="2" borderId="14" xfId="0" applyNumberFormat="1" applyFill="1" applyBorder="1"/>
    <xf numFmtId="0" fontId="0" fillId="2" borderId="14" xfId="0" applyFill="1" applyBorder="1"/>
    <xf numFmtId="0" fontId="0" fillId="2" borderId="15" xfId="0" applyFill="1" applyBorder="1"/>
    <xf numFmtId="169" fontId="25" fillId="0" borderId="0" xfId="3" applyNumberFormat="1" applyFont="1" applyAlignment="1">
      <alignment vertical="center" wrapText="1"/>
    </xf>
    <xf numFmtId="9" fontId="2" fillId="0" borderId="3" xfId="2" applyFont="1" applyBorder="1" applyAlignment="1" applyProtection="1">
      <alignment horizontal="center" vertical="center" wrapText="1"/>
      <protection locked="0"/>
    </xf>
    <xf numFmtId="166" fontId="3" fillId="2" borderId="3" xfId="1" applyFont="1" applyFill="1" applyBorder="1" applyAlignment="1" applyProtection="1">
      <alignment horizontal="center" vertical="center" wrapText="1"/>
    </xf>
    <xf numFmtId="179" fontId="25" fillId="0" borderId="0" xfId="4" applyNumberFormat="1" applyFont="1" applyFill="1" applyBorder="1" applyAlignment="1">
      <alignment wrapText="1"/>
    </xf>
    <xf numFmtId="166" fontId="2" fillId="2" borderId="3" xfId="1" applyFont="1" applyFill="1" applyBorder="1" applyAlignment="1" applyProtection="1">
      <alignment horizontal="center" vertical="center" wrapText="1"/>
    </xf>
    <xf numFmtId="166" fontId="2" fillId="0" borderId="3" xfId="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2" borderId="3" xfId="0" applyFont="1" applyFill="1" applyBorder="1" applyAlignment="1">
      <alignment vertical="center" wrapText="1"/>
    </xf>
    <xf numFmtId="166" fontId="3" fillId="0" borderId="0" xfId="1" applyFont="1" applyFill="1" applyBorder="1" applyAlignment="1" applyProtection="1">
      <alignment vertical="center" wrapText="1"/>
    </xf>
    <xf numFmtId="166" fontId="3" fillId="0" borderId="0" xfId="1" applyFont="1" applyFill="1" applyBorder="1" applyAlignment="1" applyProtection="1">
      <alignment horizontal="center" vertical="center" wrapText="1"/>
    </xf>
    <xf numFmtId="9" fontId="2" fillId="3" borderId="3" xfId="2" applyFont="1" applyFill="1" applyBorder="1" applyAlignment="1" applyProtection="1">
      <alignment horizontal="center" vertical="center" wrapText="1"/>
      <protection locked="0"/>
    </xf>
    <xf numFmtId="166" fontId="2" fillId="0" borderId="0" xfId="1" applyFont="1" applyFill="1" applyBorder="1" applyAlignment="1" applyProtection="1">
      <alignment horizontal="center" vertical="center" wrapText="1"/>
    </xf>
    <xf numFmtId="166" fontId="11" fillId="0" borderId="0" xfId="1" applyFont="1" applyFill="1" applyBorder="1" applyAlignment="1" applyProtection="1">
      <alignment vertical="center" wrapText="1"/>
    </xf>
    <xf numFmtId="49" fontId="2" fillId="0" borderId="3" xfId="1" applyNumberFormat="1" applyFont="1" applyBorder="1" applyAlignment="1" applyProtection="1">
      <alignment horizontal="left" wrapText="1"/>
      <protection locked="0"/>
    </xf>
    <xf numFmtId="0" fontId="3" fillId="2" borderId="3" xfId="0" applyFont="1" applyFill="1" applyBorder="1" applyAlignment="1">
      <alignment vertical="center" wrapText="1"/>
    </xf>
    <xf numFmtId="0" fontId="3" fillId="2" borderId="1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2" fillId="0" borderId="3" xfId="0" applyFont="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3" xfId="1" applyNumberFormat="1" applyFont="1" applyFill="1" applyBorder="1" applyAlignment="1" applyProtection="1">
      <alignment horizontal="left" vertical="center" wrapText="1"/>
      <protection locked="0"/>
    </xf>
    <xf numFmtId="166" fontId="2" fillId="3" borderId="3" xfId="1" applyFont="1" applyFill="1" applyBorder="1" applyAlignment="1" applyProtection="1">
      <alignment horizontal="left" vertical="center" wrapText="1"/>
      <protection locked="0"/>
    </xf>
    <xf numFmtId="166" fontId="2" fillId="0" borderId="3" xfId="1" applyFont="1" applyBorder="1" applyAlignment="1" applyProtection="1">
      <alignment horizontal="left" vertical="center" wrapText="1"/>
      <protection locked="0"/>
    </xf>
    <xf numFmtId="166" fontId="14" fillId="0" borderId="0" xfId="1" applyFont="1" applyBorder="1" applyAlignment="1">
      <alignment wrapText="1"/>
    </xf>
    <xf numFmtId="166" fontId="0" fillId="0" borderId="0" xfId="1" applyFont="1" applyBorder="1" applyAlignment="1">
      <alignment wrapText="1"/>
    </xf>
    <xf numFmtId="166" fontId="3" fillId="3" borderId="3" xfId="1" applyFont="1" applyFill="1" applyBorder="1" applyAlignment="1" applyProtection="1">
      <alignment horizontal="center" vertical="center" wrapText="1"/>
    </xf>
    <xf numFmtId="166" fontId="2" fillId="0" borderId="3" xfId="1" applyFont="1" applyBorder="1" applyAlignment="1" applyProtection="1">
      <alignment horizontal="center" vertical="center" wrapText="1"/>
      <protection locked="0"/>
    </xf>
    <xf numFmtId="166" fontId="2" fillId="3" borderId="0" xfId="1" applyFont="1" applyFill="1" applyBorder="1" applyAlignment="1" applyProtection="1">
      <alignment horizontal="center" vertical="center" wrapText="1"/>
      <protection locked="0"/>
    </xf>
    <xf numFmtId="166" fontId="2" fillId="0" borderId="0" xfId="1" applyFont="1" applyFill="1" applyBorder="1" applyAlignment="1" applyProtection="1">
      <alignment vertical="center" wrapText="1"/>
      <protection locked="0"/>
    </xf>
    <xf numFmtId="166" fontId="3" fillId="3" borderId="0" xfId="1" applyFont="1" applyFill="1" applyBorder="1" applyAlignment="1">
      <alignment vertical="center" wrapText="1"/>
    </xf>
    <xf numFmtId="166" fontId="3" fillId="3" borderId="0" xfId="1" applyFont="1" applyFill="1" applyBorder="1" applyAlignment="1" applyProtection="1">
      <alignment horizontal="center" vertical="center" wrapText="1"/>
    </xf>
    <xf numFmtId="166" fontId="3" fillId="3" borderId="0" xfId="1" applyFont="1" applyFill="1" applyBorder="1" applyAlignment="1" applyProtection="1">
      <alignment vertical="center" wrapText="1"/>
    </xf>
    <xf numFmtId="166" fontId="3" fillId="0" borderId="0" xfId="1" applyFont="1" applyFill="1" applyBorder="1" applyAlignment="1">
      <alignment vertical="center" wrapText="1"/>
    </xf>
    <xf numFmtId="166" fontId="0" fillId="0" borderId="0" xfId="1" applyFont="1" applyFill="1" applyBorder="1" applyAlignment="1">
      <alignment vertical="center" wrapText="1"/>
    </xf>
    <xf numFmtId="9" fontId="4" fillId="0" borderId="0" xfId="2" applyFont="1" applyFill="1" applyBorder="1" applyAlignment="1">
      <alignment wrapText="1"/>
    </xf>
    <xf numFmtId="166" fontId="0" fillId="0" borderId="0" xfId="1" applyFont="1" applyFill="1" applyBorder="1" applyAlignment="1">
      <alignment wrapText="1"/>
    </xf>
    <xf numFmtId="166" fontId="2" fillId="0" borderId="3" xfId="1" applyFont="1" applyBorder="1" applyAlignment="1" applyProtection="1">
      <alignment vertical="center" wrapText="1"/>
      <protection locked="0"/>
    </xf>
    <xf numFmtId="166" fontId="2" fillId="3" borderId="3" xfId="1" applyFont="1" applyFill="1" applyBorder="1" applyAlignment="1" applyProtection="1">
      <alignment vertical="center" wrapText="1"/>
      <protection locked="0"/>
    </xf>
    <xf numFmtId="0" fontId="2" fillId="0" borderId="3" xfId="1" applyNumberFormat="1" applyFont="1" applyBorder="1" applyAlignment="1" applyProtection="1">
      <alignment vertical="center" wrapText="1"/>
      <protection locked="0"/>
    </xf>
    <xf numFmtId="0" fontId="20" fillId="0" borderId="57" xfId="0" applyFont="1" applyBorder="1" applyAlignment="1">
      <alignment horizontal="left" wrapText="1"/>
    </xf>
    <xf numFmtId="0" fontId="25" fillId="0" borderId="3" xfId="0" applyFont="1" applyBorder="1" applyAlignment="1" applyProtection="1">
      <alignment horizontal="left" vertical="top" wrapText="1"/>
      <protection locked="0"/>
    </xf>
    <xf numFmtId="0" fontId="0" fillId="3" borderId="0" xfId="0" applyFill="1" applyAlignment="1">
      <alignment wrapText="1"/>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0" fontId="3" fillId="3" borderId="0" xfId="0" applyFont="1" applyFill="1" applyAlignment="1">
      <alignment vertical="center" wrapText="1"/>
    </xf>
    <xf numFmtId="0" fontId="3" fillId="0" borderId="0" xfId="0" applyFont="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6"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3" fillId="4" borderId="3" xfId="0" applyFont="1" applyFill="1" applyBorder="1" applyAlignment="1" applyProtection="1">
      <alignment vertical="center" wrapText="1"/>
      <protection locked="0"/>
    </xf>
    <xf numFmtId="166" fontId="3" fillId="4" borderId="3" xfId="1" applyFont="1" applyFill="1" applyBorder="1" applyAlignment="1" applyProtection="1">
      <alignment vertical="center" wrapText="1"/>
    </xf>
    <xf numFmtId="0" fontId="3" fillId="3" borderId="0" xfId="0" applyFont="1" applyFill="1" applyAlignment="1" applyProtection="1">
      <alignment vertical="center" wrapText="1"/>
      <protection locked="0"/>
    </xf>
    <xf numFmtId="0" fontId="3" fillId="4" borderId="43" xfId="0" applyFont="1" applyFill="1" applyBorder="1" applyAlignment="1">
      <alignment vertical="center" wrapText="1"/>
    </xf>
    <xf numFmtId="166"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0" fontId="2" fillId="3" borderId="0" xfId="0" applyFont="1" applyFill="1" applyAlignment="1">
      <alignment vertical="center" wrapText="1"/>
    </xf>
    <xf numFmtId="0" fontId="2" fillId="2" borderId="8" xfId="0" applyFont="1" applyFill="1" applyBorder="1" applyAlignment="1">
      <alignment vertical="center" wrapText="1"/>
    </xf>
    <xf numFmtId="166" fontId="2" fillId="2" borderId="9" xfId="0" applyNumberFormat="1" applyFont="1" applyFill="1" applyBorder="1" applyAlignment="1">
      <alignment vertical="center" wrapText="1"/>
    </xf>
    <xf numFmtId="166" fontId="2" fillId="2" borderId="2" xfId="0" applyNumberFormat="1" applyFont="1" applyFill="1" applyBorder="1" applyAlignment="1">
      <alignment vertical="center" wrapText="1"/>
    </xf>
    <xf numFmtId="166" fontId="2" fillId="2" borderId="3" xfId="0" applyNumberFormat="1" applyFont="1" applyFill="1" applyBorder="1" applyAlignment="1">
      <alignment vertical="center" wrapText="1"/>
    </xf>
    <xf numFmtId="164" fontId="2" fillId="3" borderId="0" xfId="0" applyNumberFormat="1" applyFont="1" applyFill="1" applyAlignment="1" applyProtection="1">
      <alignment vertical="center" wrapText="1"/>
      <protection locked="0"/>
    </xf>
    <xf numFmtId="0" fontId="2" fillId="0" borderId="0" xfId="0" applyFont="1" applyAlignment="1" applyProtection="1">
      <alignment vertical="center" wrapText="1"/>
      <protection locked="0"/>
    </xf>
    <xf numFmtId="164" fontId="2" fillId="0" borderId="0" xfId="0" applyNumberFormat="1" applyFont="1" applyAlignment="1" applyProtection="1">
      <alignment vertical="center" wrapText="1"/>
      <protection locked="0"/>
    </xf>
    <xf numFmtId="0" fontId="2" fillId="0" borderId="0" xfId="0" applyFont="1" applyAlignment="1">
      <alignment vertical="center" wrapText="1"/>
    </xf>
    <xf numFmtId="166" fontId="3" fillId="2" borderId="15" xfId="1" applyFont="1" applyFill="1" applyBorder="1" applyAlignment="1" applyProtection="1">
      <alignment vertical="center" wrapText="1"/>
    </xf>
    <xf numFmtId="166" fontId="3" fillId="2" borderId="50" xfId="1" applyFont="1" applyFill="1" applyBorder="1" applyAlignment="1" applyProtection="1">
      <alignment vertical="center" wrapText="1"/>
    </xf>
    <xf numFmtId="166" fontId="3" fillId="2" borderId="14" xfId="1" applyFont="1" applyFill="1" applyBorder="1" applyAlignment="1" applyProtection="1">
      <alignment vertical="center" wrapText="1"/>
    </xf>
    <xf numFmtId="166" fontId="3" fillId="2" borderId="3" xfId="1" applyFont="1" applyFill="1" applyBorder="1" applyAlignment="1" applyProtection="1">
      <alignment vertical="center" wrapText="1"/>
    </xf>
    <xf numFmtId="166" fontId="3" fillId="2" borderId="4" xfId="1" applyFont="1" applyFill="1" applyBorder="1" applyAlignment="1" applyProtection="1">
      <alignment vertical="center" wrapText="1"/>
    </xf>
    <xf numFmtId="9" fontId="3" fillId="3" borderId="9" xfId="2" applyFont="1" applyFill="1" applyBorder="1" applyAlignment="1" applyProtection="1">
      <alignment vertical="center" wrapText="1"/>
      <protection locked="0"/>
    </xf>
    <xf numFmtId="0" fontId="3" fillId="2" borderId="35" xfId="0" applyFont="1" applyFill="1" applyBorder="1" applyAlignment="1">
      <alignment vertical="center" wrapText="1"/>
    </xf>
    <xf numFmtId="166" fontId="3" fillId="2" borderId="5" xfId="1" applyFont="1" applyFill="1" applyBorder="1" applyAlignment="1" applyProtection="1">
      <alignment vertical="center" wrapText="1"/>
    </xf>
    <xf numFmtId="166" fontId="3" fillId="2" borderId="41" xfId="1" applyFont="1" applyFill="1" applyBorder="1" applyAlignment="1" applyProtection="1">
      <alignment vertical="center" wrapText="1"/>
    </xf>
    <xf numFmtId="9" fontId="3" fillId="3" borderId="32" xfId="2" applyFont="1" applyFill="1" applyBorder="1" applyAlignment="1" applyProtection="1">
      <alignment vertical="center" wrapText="1"/>
      <protection locked="0"/>
    </xf>
    <xf numFmtId="166"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3" fillId="0" borderId="0" xfId="0" applyFont="1" applyAlignment="1">
      <alignment vertical="center" wrapText="1"/>
    </xf>
    <xf numFmtId="166" fontId="3" fillId="0" borderId="0" xfId="0" applyNumberFormat="1" applyFont="1" applyAlignment="1">
      <alignment vertical="center" wrapText="1"/>
    </xf>
    <xf numFmtId="0" fontId="4" fillId="2" borderId="29" xfId="0" applyFont="1" applyFill="1" applyBorder="1" applyAlignment="1">
      <alignment horizontal="left" vertical="center" wrapText="1"/>
    </xf>
    <xf numFmtId="166" fontId="3" fillId="2" borderId="17" xfId="0" applyNumberFormat="1" applyFont="1" applyFill="1" applyBorder="1" applyAlignment="1">
      <alignment vertical="center" wrapText="1"/>
    </xf>
    <xf numFmtId="166" fontId="3" fillId="2" borderId="29" xfId="0" applyNumberFormat="1" applyFont="1" applyFill="1" applyBorder="1" applyAlignment="1">
      <alignment vertical="center" wrapText="1"/>
    </xf>
    <xf numFmtId="0" fontId="4" fillId="2" borderId="8" xfId="0" applyFont="1" applyFill="1" applyBorder="1" applyAlignment="1">
      <alignment horizontal="left" vertical="center" wrapText="1"/>
    </xf>
    <xf numFmtId="178" fontId="3" fillId="2" borderId="9" xfId="2" applyNumberFormat="1" applyFont="1" applyFill="1" applyBorder="1" applyAlignment="1" applyProtection="1">
      <alignment wrapText="1"/>
    </xf>
    <xf numFmtId="9" fontId="3" fillId="3" borderId="0" xfId="2" applyFont="1" applyFill="1" applyBorder="1" applyAlignment="1">
      <alignment wrapText="1"/>
    </xf>
    <xf numFmtId="0" fontId="4" fillId="2" borderId="13" xfId="0" applyFont="1" applyFill="1" applyBorder="1" applyAlignment="1">
      <alignment wrapText="1"/>
    </xf>
    <xf numFmtId="0" fontId="4" fillId="3" borderId="0" xfId="0" applyFont="1" applyFill="1" applyAlignment="1">
      <alignment horizontal="center" vertical="center" wrapText="1"/>
    </xf>
    <xf numFmtId="166" fontId="3" fillId="2" borderId="9" xfId="2" applyNumberFormat="1" applyFont="1" applyFill="1" applyBorder="1" applyAlignment="1" applyProtection="1">
      <alignment wrapText="1"/>
    </xf>
    <xf numFmtId="166" fontId="3" fillId="3" borderId="0" xfId="2" applyNumberFormat="1" applyFont="1" applyFill="1" applyBorder="1" applyAlignment="1">
      <alignment wrapText="1"/>
    </xf>
    <xf numFmtId="0" fontId="0" fillId="3" borderId="0" xfId="0" applyFill="1" applyAlignment="1">
      <alignment horizontal="center" vertical="center" wrapText="1"/>
    </xf>
    <xf numFmtId="0" fontId="24" fillId="0" borderId="4" xfId="22" applyNumberFormat="1" applyFont="1" applyFill="1" applyBorder="1" applyAlignment="1">
      <alignment vertical="top" wrapText="1"/>
    </xf>
    <xf numFmtId="0" fontId="24" fillId="0" borderId="4" xfId="22" applyNumberFormat="1" applyFont="1" applyFill="1" applyBorder="1" applyAlignment="1">
      <alignment horizontal="left" vertical="top" wrapText="1"/>
    </xf>
    <xf numFmtId="0" fontId="24" fillId="0" borderId="4" xfId="22" applyNumberFormat="1" applyFont="1" applyFill="1" applyBorder="1" applyAlignment="1">
      <alignment vertical="top"/>
    </xf>
    <xf numFmtId="164" fontId="24" fillId="0" borderId="0" xfId="22" applyFont="1" applyAlignment="1">
      <alignment wrapText="1"/>
    </xf>
    <xf numFmtId="9" fontId="0" fillId="0" borderId="0" xfId="2" applyFont="1"/>
    <xf numFmtId="9" fontId="3" fillId="2" borderId="9" xfId="2" applyFont="1" applyFill="1" applyBorder="1" applyAlignment="1" applyProtection="1">
      <alignment wrapText="1"/>
    </xf>
    <xf numFmtId="164" fontId="24" fillId="9" borderId="11" xfId="22" applyFont="1" applyFill="1" applyBorder="1" applyAlignment="1">
      <alignment vertical="center"/>
    </xf>
    <xf numFmtId="164" fontId="24" fillId="9" borderId="0" xfId="22" applyFont="1" applyFill="1" applyAlignment="1">
      <alignment vertical="center" wrapText="1"/>
    </xf>
    <xf numFmtId="164" fontId="24" fillId="9" borderId="0" xfId="22" applyFont="1" applyFill="1" applyBorder="1" applyAlignment="1">
      <alignment vertical="center" wrapText="1"/>
    </xf>
    <xf numFmtId="164" fontId="24" fillId="0" borderId="11" xfId="22" applyFont="1" applyFill="1" applyBorder="1" applyAlignment="1">
      <alignment vertical="center" wrapText="1"/>
    </xf>
    <xf numFmtId="164" fontId="24" fillId="0" borderId="0" xfId="22" applyFont="1" applyFill="1" applyAlignment="1">
      <alignment vertical="center" wrapText="1"/>
    </xf>
    <xf numFmtId="9" fontId="2" fillId="0" borderId="0" xfId="2" applyFont="1"/>
    <xf numFmtId="0" fontId="10" fillId="0" borderId="4" xfId="6" applyFont="1" applyBorder="1" applyAlignment="1">
      <alignment horizontal="left" vertical="top"/>
    </xf>
    <xf numFmtId="0" fontId="10" fillId="0" borderId="4" xfId="6" applyFont="1" applyBorder="1" applyAlignment="1">
      <alignment vertical="top"/>
    </xf>
    <xf numFmtId="0" fontId="11" fillId="0" borderId="51" xfId="3" applyFont="1" applyBorder="1" applyAlignment="1">
      <alignment horizontal="left" vertical="center"/>
    </xf>
    <xf numFmtId="0" fontId="11" fillId="0" borderId="51" xfId="3" applyFont="1" applyBorder="1" applyAlignment="1">
      <alignment horizontal="right" vertical="center"/>
    </xf>
    <xf numFmtId="170" fontId="11" fillId="0" borderId="51" xfId="4" applyNumberFormat="1" applyFont="1" applyFill="1" applyBorder="1" applyAlignment="1">
      <alignment vertical="center"/>
    </xf>
    <xf numFmtId="168" fontId="11" fillId="0" borderId="51" xfId="4" applyNumberFormat="1" applyFont="1" applyFill="1" applyBorder="1" applyAlignment="1">
      <alignment vertical="center"/>
    </xf>
    <xf numFmtId="169" fontId="11" fillId="0" borderId="51" xfId="5" applyNumberFormat="1" applyFont="1" applyFill="1" applyBorder="1" applyAlignment="1">
      <alignment vertical="center"/>
    </xf>
    <xf numFmtId="165" fontId="11" fillId="0" borderId="59" xfId="4" applyNumberFormat="1" applyFont="1" applyFill="1" applyBorder="1" applyAlignment="1">
      <alignment vertical="center"/>
    </xf>
    <xf numFmtId="169" fontId="11" fillId="0" borderId="59" xfId="3" applyNumberFormat="1" applyFont="1" applyBorder="1"/>
    <xf numFmtId="165" fontId="10" fillId="0" borderId="0" xfId="4" applyNumberFormat="1" applyFont="1" applyFill="1" applyBorder="1" applyAlignment="1">
      <alignment vertical="center"/>
    </xf>
    <xf numFmtId="164" fontId="11" fillId="0" borderId="51" xfId="22" applyFont="1" applyFill="1" applyBorder="1" applyAlignment="1">
      <alignment vertical="center"/>
    </xf>
    <xf numFmtId="0" fontId="11" fillId="0" borderId="0" xfId="3" applyFont="1" applyAlignment="1">
      <alignment vertical="center"/>
    </xf>
    <xf numFmtId="166" fontId="47" fillId="0" borderId="0" xfId="1" applyFont="1" applyBorder="1" applyAlignment="1">
      <alignment wrapText="1"/>
    </xf>
    <xf numFmtId="166" fontId="16" fillId="0" borderId="0" xfId="1" applyFont="1" applyBorder="1" applyAlignment="1">
      <alignment wrapText="1"/>
    </xf>
    <xf numFmtId="0" fontId="25" fillId="2" borderId="3" xfId="0" applyFont="1" applyFill="1" applyBorder="1" applyAlignment="1">
      <alignment horizontal="center" vertical="center" wrapText="1"/>
    </xf>
    <xf numFmtId="166" fontId="25" fillId="0" borderId="3" xfId="1" applyFont="1" applyBorder="1" applyAlignment="1" applyProtection="1">
      <alignment horizontal="center" vertical="center" wrapText="1"/>
      <protection locked="0"/>
    </xf>
    <xf numFmtId="166" fontId="25" fillId="3" borderId="3" xfId="1" applyFont="1" applyFill="1" applyBorder="1" applyAlignment="1" applyProtection="1">
      <alignment horizontal="center" vertical="center" wrapText="1"/>
      <protection locked="0"/>
    </xf>
    <xf numFmtId="166" fontId="24" fillId="2" borderId="3" xfId="1" applyFont="1" applyFill="1" applyBorder="1" applyAlignment="1" applyProtection="1">
      <alignment horizontal="center" vertical="center" wrapText="1"/>
    </xf>
    <xf numFmtId="166" fontId="25" fillId="3" borderId="0" xfId="1" applyFont="1" applyFill="1" applyBorder="1" applyAlignment="1" applyProtection="1">
      <alignment horizontal="center" vertical="center" wrapText="1"/>
      <protection locked="0"/>
    </xf>
    <xf numFmtId="166" fontId="25" fillId="3" borderId="0" xfId="1" applyFont="1" applyFill="1" applyBorder="1" applyAlignment="1" applyProtection="1">
      <alignment vertical="center" wrapText="1"/>
      <protection locked="0"/>
    </xf>
    <xf numFmtId="166" fontId="24" fillId="3" borderId="0" xfId="1" applyFont="1" applyFill="1" applyBorder="1" applyAlignment="1" applyProtection="1">
      <alignment vertical="center" wrapText="1"/>
      <protection locked="0"/>
    </xf>
    <xf numFmtId="166" fontId="25" fillId="0" borderId="0" xfId="1" applyFont="1" applyFill="1" applyBorder="1" applyAlignment="1" applyProtection="1">
      <alignment vertical="center" wrapText="1"/>
      <protection locked="0"/>
    </xf>
    <xf numFmtId="166" fontId="24" fillId="3" borderId="0" xfId="1" applyFont="1" applyFill="1" applyBorder="1" applyAlignment="1">
      <alignment vertical="center" wrapText="1"/>
    </xf>
    <xf numFmtId="166" fontId="24" fillId="3" borderId="0" xfId="1" applyFont="1" applyFill="1" applyBorder="1" applyAlignment="1" applyProtection="1">
      <alignment horizontal="center" vertical="center" wrapText="1"/>
    </xf>
    <xf numFmtId="166" fontId="24" fillId="3" borderId="0" xfId="1" applyFont="1" applyFill="1" applyBorder="1" applyAlignment="1" applyProtection="1">
      <alignment vertical="center" wrapText="1"/>
    </xf>
    <xf numFmtId="166" fontId="24" fillId="0" borderId="0" xfId="1" applyFont="1" applyFill="1" applyBorder="1" applyAlignment="1">
      <alignment vertical="center" wrapText="1"/>
    </xf>
    <xf numFmtId="166" fontId="16" fillId="2" borderId="17" xfId="1" applyFont="1" applyFill="1" applyBorder="1" applyAlignment="1">
      <alignment vertical="center" wrapText="1"/>
    </xf>
    <xf numFmtId="9" fontId="40" fillId="2" borderId="15" xfId="2" applyFont="1" applyFill="1" applyBorder="1" applyAlignment="1">
      <alignment wrapText="1"/>
    </xf>
    <xf numFmtId="166" fontId="16" fillId="0" borderId="0" xfId="1" applyFont="1" applyFill="1" applyBorder="1" applyAlignment="1">
      <alignment wrapText="1"/>
    </xf>
    <xf numFmtId="166" fontId="25" fillId="0" borderId="3" xfId="1" applyFont="1" applyFill="1" applyBorder="1" applyAlignment="1" applyProtection="1">
      <alignment vertical="center" wrapText="1"/>
      <protection locked="0"/>
    </xf>
    <xf numFmtId="166" fontId="25" fillId="0" borderId="3" xfId="1" applyFont="1" applyFill="1" applyBorder="1" applyAlignment="1" applyProtection="1">
      <alignment horizontal="center" vertical="center" wrapText="1"/>
      <protection locked="0"/>
    </xf>
    <xf numFmtId="0" fontId="2" fillId="0" borderId="3" xfId="1" applyNumberFormat="1" applyFont="1" applyFill="1" applyBorder="1" applyAlignment="1" applyProtection="1">
      <alignment vertical="center" wrapText="1"/>
      <protection locked="0"/>
    </xf>
    <xf numFmtId="166" fontId="2" fillId="0" borderId="3" xfId="1" applyFont="1" applyFill="1" applyBorder="1" applyAlignment="1" applyProtection="1">
      <alignment horizontal="left" vertical="center" wrapText="1"/>
      <protection locked="0"/>
    </xf>
    <xf numFmtId="166" fontId="2" fillId="0" borderId="3" xfId="1" applyFont="1" applyFill="1" applyBorder="1" applyAlignment="1" applyProtection="1">
      <alignment vertical="center" wrapText="1"/>
      <protection locked="0"/>
    </xf>
    <xf numFmtId="0" fontId="2" fillId="0" borderId="3" xfId="1" applyNumberFormat="1" applyFont="1" applyFill="1" applyBorder="1" applyAlignment="1" applyProtection="1">
      <alignment horizontal="left" vertical="top" wrapText="1"/>
      <protection locked="0"/>
    </xf>
    <xf numFmtId="0" fontId="2" fillId="0" borderId="3" xfId="1" applyNumberFormat="1" applyFont="1" applyFill="1" applyBorder="1" applyAlignment="1" applyProtection="1">
      <alignment horizontal="left" vertical="center" wrapText="1"/>
      <protection locked="0"/>
    </xf>
    <xf numFmtId="0" fontId="3" fillId="2" borderId="3" xfId="0" applyFont="1" applyFill="1" applyBorder="1" applyAlignment="1">
      <alignment vertical="center"/>
    </xf>
    <xf numFmtId="0" fontId="2" fillId="3" borderId="3" xfId="0" applyFont="1" applyFill="1" applyBorder="1" applyAlignment="1" applyProtection="1">
      <alignment vertical="center"/>
      <protection locked="0"/>
    </xf>
    <xf numFmtId="166" fontId="2" fillId="0" borderId="3" xfId="1" applyFont="1" applyBorder="1" applyAlignment="1" applyProtection="1">
      <alignment vertical="center"/>
      <protection locked="0"/>
    </xf>
    <xf numFmtId="166" fontId="2" fillId="2" borderId="3" xfId="1" applyFont="1" applyFill="1" applyBorder="1" applyAlignment="1" applyProtection="1">
      <alignment vertical="center"/>
    </xf>
    <xf numFmtId="9" fontId="2" fillId="0" borderId="3" xfId="2" applyFont="1" applyBorder="1" applyAlignment="1" applyProtection="1">
      <alignment vertical="center"/>
      <protection locked="0"/>
    </xf>
    <xf numFmtId="166" fontId="25" fillId="0" borderId="3" xfId="1" applyFont="1" applyFill="1" applyBorder="1" applyAlignment="1" applyProtection="1">
      <alignment vertical="center"/>
      <protection locked="0"/>
    </xf>
    <xf numFmtId="0" fontId="2" fillId="0" borderId="3" xfId="1" applyNumberFormat="1" applyFont="1" applyFill="1" applyBorder="1" applyAlignment="1" applyProtection="1">
      <alignment vertical="center"/>
      <protection locked="0"/>
    </xf>
    <xf numFmtId="49" fontId="2" fillId="0" borderId="3" xfId="0" applyNumberFormat="1" applyFont="1" applyBorder="1" applyAlignment="1" applyProtection="1">
      <alignment horizontal="left"/>
      <protection locked="0"/>
    </xf>
    <xf numFmtId="166" fontId="3" fillId="0" borderId="0" xfId="1" applyFont="1" applyFill="1" applyBorder="1" applyAlignment="1" applyProtection="1">
      <alignment horizontal="center" vertical="center"/>
    </xf>
    <xf numFmtId="164" fontId="25" fillId="0" borderId="3" xfId="0" applyNumberFormat="1" applyFont="1" applyBorder="1" applyAlignment="1" applyProtection="1">
      <alignment horizontal="left" vertical="top" wrapText="1"/>
      <protection locked="0"/>
    </xf>
    <xf numFmtId="0" fontId="3" fillId="4" borderId="44" xfId="0" applyFont="1" applyFill="1" applyBorder="1" applyAlignment="1">
      <alignment vertical="center" wrapText="1"/>
    </xf>
    <xf numFmtId="0" fontId="18" fillId="0" borderId="0" xfId="0" applyFont="1" applyAlignment="1">
      <alignment horizontal="left" vertical="top"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6" fontId="3" fillId="2" borderId="32" xfId="1" applyFont="1" applyFill="1" applyBorder="1" applyAlignment="1" applyProtection="1">
      <alignment horizontal="center" vertical="center" wrapText="1"/>
    </xf>
    <xf numFmtId="166" fontId="3" fillId="2" borderId="39"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6" fontId="3"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6" fontId="2" fillId="3" borderId="3" xfId="1" applyFont="1" applyFill="1" applyBorder="1" applyAlignment="1" applyProtection="1">
      <alignment horizontal="left" vertical="top" wrapText="1"/>
      <protection locked="0"/>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166" fontId="3" fillId="2" borderId="32" xfId="1" applyFont="1" applyFill="1" applyBorder="1" applyAlignment="1" applyProtection="1">
      <alignment horizontal="center" vertical="center" wrapText="1"/>
      <protection locked="0"/>
    </xf>
    <xf numFmtId="166" fontId="3" fillId="2" borderId="39" xfId="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6" fontId="4" fillId="2" borderId="4" xfId="0" applyNumberFormat="1" applyFont="1" applyFill="1" applyBorder="1" applyAlignment="1">
      <alignment horizontal="center"/>
    </xf>
    <xf numFmtId="166" fontId="4" fillId="2" borderId="36" xfId="0" applyNumberFormat="1" applyFont="1" applyFill="1" applyBorder="1" applyAlignment="1">
      <alignment horizontal="center"/>
    </xf>
    <xf numFmtId="166" fontId="4" fillId="2" borderId="45" xfId="0" applyNumberFormat="1" applyFont="1" applyFill="1" applyBorder="1" applyAlignment="1">
      <alignment horizontal="center"/>
    </xf>
    <xf numFmtId="166"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27" xfId="0" applyFont="1" applyFill="1" applyBorder="1" applyAlignment="1">
      <alignment horizontal="center"/>
    </xf>
    <xf numFmtId="0" fontId="3" fillId="2" borderId="22" xfId="0" applyFont="1" applyFill="1" applyBorder="1" applyAlignment="1">
      <alignment horizontal="center"/>
    </xf>
    <xf numFmtId="0" fontId="3" fillId="2" borderId="56"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5" xfId="0" applyFont="1" applyFill="1" applyBorder="1" applyAlignment="1">
      <alignment horizontal="center" vertical="center"/>
    </xf>
    <xf numFmtId="10" fontId="3" fillId="2" borderId="56" xfId="2" applyNumberFormat="1" applyFont="1" applyFill="1" applyBorder="1" applyAlignment="1">
      <alignment horizontal="center" vertical="center"/>
    </xf>
    <xf numFmtId="10" fontId="3" fillId="2" borderId="39" xfId="2" applyNumberFormat="1" applyFont="1" applyFill="1" applyBorder="1" applyAlignment="1">
      <alignment horizontal="center" vertical="center"/>
    </xf>
    <xf numFmtId="0" fontId="3" fillId="2" borderId="28" xfId="0" applyFont="1" applyFill="1" applyBorder="1" applyAlignment="1">
      <alignment horizontal="center"/>
    </xf>
    <xf numFmtId="0" fontId="24" fillId="8" borderId="5" xfId="3" applyFont="1" applyFill="1" applyBorder="1" applyAlignment="1">
      <alignment horizontal="center" vertical="center"/>
    </xf>
    <xf numFmtId="0" fontId="24" fillId="8" borderId="40"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45" xfId="3" applyFont="1" applyFill="1" applyBorder="1" applyAlignment="1">
      <alignment horizontal="center" vertical="center"/>
    </xf>
    <xf numFmtId="0" fontId="24" fillId="8" borderId="5" xfId="3" applyFont="1" applyFill="1" applyBorder="1" applyAlignment="1">
      <alignment horizontal="left" vertical="center"/>
    </xf>
    <xf numFmtId="0" fontId="24" fillId="8" borderId="40" xfId="3" applyFont="1" applyFill="1" applyBorder="1" applyAlignment="1">
      <alignment horizontal="left" vertical="center"/>
    </xf>
    <xf numFmtId="168" fontId="24" fillId="8" borderId="5" xfId="4" applyNumberFormat="1" applyFont="1" applyFill="1" applyBorder="1" applyAlignment="1">
      <alignment horizontal="center" vertical="center"/>
    </xf>
    <xf numFmtId="168" fontId="24" fillId="8" borderId="40" xfId="4" applyNumberFormat="1" applyFont="1" applyFill="1" applyBorder="1" applyAlignment="1">
      <alignment horizontal="center" vertical="center"/>
    </xf>
    <xf numFmtId="169" fontId="24" fillId="8" borderId="5" xfId="5" applyNumberFormat="1" applyFont="1" applyFill="1" applyBorder="1" applyAlignment="1">
      <alignment horizontal="center" vertical="center"/>
    </xf>
    <xf numFmtId="169" fontId="24" fillId="8" borderId="40" xfId="5" applyNumberFormat="1" applyFont="1" applyFill="1" applyBorder="1" applyAlignment="1">
      <alignment horizontal="center" vertical="center"/>
    </xf>
    <xf numFmtId="0" fontId="24" fillId="8" borderId="3" xfId="21" applyFont="1" applyFill="1" applyBorder="1" applyAlignment="1">
      <alignment horizontal="center" vertical="center" wrapText="1"/>
    </xf>
    <xf numFmtId="169" fontId="24" fillId="8" borderId="3" xfId="5" applyNumberFormat="1" applyFont="1" applyFill="1" applyBorder="1" applyAlignment="1">
      <alignment horizontal="center" vertical="center" wrapText="1"/>
    </xf>
    <xf numFmtId="0" fontId="24" fillId="8" borderId="3" xfId="21" applyFont="1" applyFill="1" applyBorder="1" applyAlignment="1">
      <alignment horizontal="left" vertical="center" wrapText="1"/>
    </xf>
    <xf numFmtId="0" fontId="24" fillId="7" borderId="11" xfId="21" applyFont="1" applyFill="1" applyBorder="1" applyAlignment="1">
      <alignment horizontal="center" vertical="center" wrapText="1"/>
    </xf>
    <xf numFmtId="0" fontId="24" fillId="7" borderId="0" xfId="21" applyFont="1" applyFill="1" applyAlignment="1">
      <alignment horizontal="center" vertical="center" wrapText="1"/>
    </xf>
    <xf numFmtId="0" fontId="24" fillId="8" borderId="63" xfId="14" applyFont="1" applyFill="1" applyBorder="1" applyAlignment="1">
      <alignment horizontal="center" vertical="center"/>
    </xf>
    <xf numFmtId="0" fontId="24" fillId="8" borderId="57" xfId="14" applyFont="1" applyFill="1" applyBorder="1" applyAlignment="1">
      <alignment horizontal="center" vertical="center"/>
    </xf>
    <xf numFmtId="0" fontId="24" fillId="8" borderId="3" xfId="14" applyFont="1" applyFill="1" applyBorder="1" applyAlignment="1">
      <alignment horizontal="center" vertical="center"/>
    </xf>
    <xf numFmtId="169" fontId="24" fillId="8" borderId="3" xfId="5" applyNumberFormat="1" applyFont="1" applyFill="1" applyBorder="1" applyAlignment="1">
      <alignment horizontal="center" vertical="center"/>
    </xf>
    <xf numFmtId="0" fontId="24" fillId="7" borderId="27" xfId="14" applyFont="1" applyFill="1" applyBorder="1" applyAlignment="1">
      <alignment horizontal="left" vertical="center" wrapText="1"/>
    </xf>
    <xf numFmtId="0" fontId="24" fillId="7" borderId="28" xfId="14" applyFont="1" applyFill="1" applyBorder="1" applyAlignment="1">
      <alignment horizontal="left" vertical="center" wrapText="1"/>
    </xf>
    <xf numFmtId="0" fontId="24" fillId="7" borderId="22" xfId="14" applyFont="1" applyFill="1" applyBorder="1" applyAlignment="1">
      <alignment horizontal="left" vertical="center" wrapText="1"/>
    </xf>
    <xf numFmtId="0" fontId="24" fillId="8" borderId="3" xfId="14" applyFont="1" applyFill="1" applyBorder="1" applyAlignment="1">
      <alignment horizontal="left" vertical="center"/>
    </xf>
    <xf numFmtId="0" fontId="24" fillId="7" borderId="11" xfId="14" applyFont="1" applyFill="1" applyBorder="1" applyAlignment="1">
      <alignment horizontal="center" vertical="center" wrapText="1"/>
    </xf>
    <xf numFmtId="0" fontId="24" fillId="7" borderId="0" xfId="14" applyFont="1" applyFill="1" applyAlignment="1">
      <alignment horizontal="center" vertical="center" wrapText="1"/>
    </xf>
    <xf numFmtId="0" fontId="24" fillId="8" borderId="41" xfId="14" applyFont="1" applyFill="1" applyBorder="1" applyAlignment="1">
      <alignment horizontal="center" vertical="center"/>
    </xf>
    <xf numFmtId="0" fontId="24" fillId="8" borderId="45" xfId="14" applyFont="1" applyFill="1" applyBorder="1" applyAlignment="1">
      <alignment horizontal="center" vertical="center"/>
    </xf>
    <xf numFmtId="0" fontId="37" fillId="0" borderId="0" xfId="15" applyFont="1" applyAlignment="1">
      <alignment horizontal="center"/>
    </xf>
    <xf numFmtId="169" fontId="2" fillId="17" borderId="0" xfId="17" applyNumberFormat="1" applyFont="1" applyFill="1" applyBorder="1" applyAlignment="1">
      <alignment horizontal="center"/>
    </xf>
    <xf numFmtId="169" fontId="0" fillId="17" borderId="0" xfId="17" applyNumberFormat="1" applyFont="1" applyFill="1" applyBorder="1" applyAlignment="1">
      <alignment horizontal="center"/>
    </xf>
    <xf numFmtId="169" fontId="5" fillId="17" borderId="0" xfId="17" applyNumberFormat="1" applyFont="1" applyFill="1" applyBorder="1" applyAlignment="1">
      <alignment horizontal="center"/>
    </xf>
    <xf numFmtId="0" fontId="24" fillId="7" borderId="11" xfId="14" applyFont="1" applyFill="1" applyBorder="1" applyAlignment="1">
      <alignment horizontal="left" vertical="center" wrapText="1"/>
    </xf>
    <xf numFmtId="0" fontId="24" fillId="7" borderId="0" xfId="14" applyFont="1" applyFill="1" applyAlignment="1">
      <alignment horizontal="left" vertical="center" wrapText="1"/>
    </xf>
    <xf numFmtId="0" fontId="24" fillId="8" borderId="64" xfId="14" applyFont="1" applyFill="1" applyBorder="1" applyAlignment="1">
      <alignment horizontal="center" vertical="center"/>
    </xf>
    <xf numFmtId="0" fontId="24" fillId="8" borderId="52" xfId="14" applyFont="1" applyFill="1" applyBorder="1" applyAlignment="1">
      <alignment horizontal="center" vertical="center"/>
    </xf>
    <xf numFmtId="0" fontId="23" fillId="0" borderId="0" xfId="23" applyFont="1" applyAlignment="1">
      <alignment horizontal="center"/>
    </xf>
    <xf numFmtId="0" fontId="43" fillId="0" borderId="0" xfId="23" applyAlignment="1">
      <alignment horizontal="center"/>
    </xf>
  </cellXfs>
  <cellStyles count="34">
    <cellStyle name="Comma" xfId="22" builtinId="3"/>
    <cellStyle name="Comma 12" xfId="10" xr:uid="{B5E037FC-BB3A-42E4-A9EB-A6DDD4C530FA}"/>
    <cellStyle name="Comma 12 2" xfId="26" xr:uid="{90D5119D-2FB5-4D34-B205-16BBD462840C}"/>
    <cellStyle name="Comma 2" xfId="4" xr:uid="{89903857-1944-4C76-B0B9-C93C47026B08}"/>
    <cellStyle name="Comma 3" xfId="9" xr:uid="{6784A243-9086-471D-8AB1-190A5A37BD0A}"/>
    <cellStyle name="Comma 3 2" xfId="19" xr:uid="{453A9BA1-91A6-4EEE-9E85-231BE4AD597D}"/>
    <cellStyle name="Comma 3 2 2" xfId="29" xr:uid="{D98546C0-BCCF-4689-BE48-6310D606F7E8}"/>
    <cellStyle name="Comma 3 3" xfId="25" xr:uid="{097BDD1B-15D3-4D99-997C-EA84A89C316E}"/>
    <cellStyle name="Comma 3 3 2" xfId="33" xr:uid="{D15360E6-BFF0-4AA7-BE82-F658A045756F}"/>
    <cellStyle name="Comma 4" xfId="13" xr:uid="{0005CF1F-B746-4B5E-8B11-8E3333A5015E}"/>
    <cellStyle name="Comma 4 2" xfId="20" xr:uid="{58EFBCA0-02F7-4136-9DF9-3E2CFA0EFFF8}"/>
    <cellStyle name="Comma 4 2 2" xfId="30" xr:uid="{1EDCF648-A24D-4FE4-8F01-4F4808963B5C}"/>
    <cellStyle name="Comma 4 3" xfId="27" xr:uid="{D997138E-0A1C-4F67-82B8-40BC921A8939}"/>
    <cellStyle name="Comma 5" xfId="18" xr:uid="{A08B025E-6310-46BC-B882-3DD4BA767E62}"/>
    <cellStyle name="Comma 5 2" xfId="28" xr:uid="{1E756F51-67E4-43DB-A1A1-C12DDC3C2246}"/>
    <cellStyle name="Comma 6" xfId="31" xr:uid="{158C98C6-C886-4EE8-84B6-79D1089CF109}"/>
    <cellStyle name="Currency" xfId="1" builtinId="4"/>
    <cellStyle name="Currency 2" xfId="5" xr:uid="{AE210C3B-DB8C-4231-8C3D-0A34A6B0B455}"/>
    <cellStyle name="Currency 2 2" xfId="11" xr:uid="{A982DD60-3619-44DF-A5A8-0497E857F367}"/>
    <cellStyle name="Currency 3" xfId="12" xr:uid="{6616C2E6-DF49-42DC-976B-050C5DC386DD}"/>
    <cellStyle name="Currency 3 2" xfId="17" xr:uid="{14726B60-E7C1-4305-9363-5208319967EA}"/>
    <cellStyle name="Normal" xfId="0" builtinId="0"/>
    <cellStyle name="Normal 2" xfId="3" xr:uid="{4830E410-465D-4358-9985-98F62AE50848}"/>
    <cellStyle name="Normal 2 2" xfId="6" xr:uid="{FDBC5189-A836-4282-A578-61F0C4B3FCE7}"/>
    <cellStyle name="Normal 3" xfId="7" xr:uid="{C262ACCA-EEDA-4E6D-8579-4274302C5896}"/>
    <cellStyle name="Normal 4" xfId="14" xr:uid="{77C50076-EA88-48FA-B8DC-AACE148BD812}"/>
    <cellStyle name="Normal 4 2" xfId="21" xr:uid="{FAAE8744-00F4-48E1-B49E-5116E61E3069}"/>
    <cellStyle name="Normal 4 3" xfId="24" xr:uid="{FF209CE5-567B-4FF7-9AFE-ED616FB58743}"/>
    <cellStyle name="Normal 5" xfId="23" xr:uid="{77239C52-EAE5-407F-BB33-8B7051D7CBF4}"/>
    <cellStyle name="Normal 5 2" xfId="32" xr:uid="{A332D960-8DD3-4E07-8365-A69CC32FEEF1}"/>
    <cellStyle name="Normal 6" xfId="15" xr:uid="{A20B12C1-6E03-4BB5-9A92-F3ECDB0F2477}"/>
    <cellStyle name="Per cent" xfId="2" builtinId="5"/>
    <cellStyle name="Percent 2" xfId="8" xr:uid="{EA5F228D-CB43-407F-B010-C3DB365D2546}"/>
    <cellStyle name="Percent 4" xfId="16" xr:uid="{FDC69893-2747-4E3B-B5AF-7B0137A6DADC}"/>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04EAD10-B763-4155-BF96-7BE173788271}"/>
  </tableStyles>
  <colors>
    <mruColors>
      <color rgb="FFFF9B9B"/>
      <color rgb="FFFF979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customXml" Target="../customXml/item1.xml"/><Relationship Id="rId50"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589189</xdr:colOff>
      <xdr:row>28</xdr:row>
      <xdr:rowOff>141513</xdr:rowOff>
    </xdr:to>
    <xdr:pic>
      <xdr:nvPicPr>
        <xdr:cNvPr id="2" name="Picture 1" descr="A screenshot of a computer&#10;&#10;Description automatically generated">
          <a:extLst>
            <a:ext uri="{FF2B5EF4-FFF2-40B4-BE49-F238E27FC236}">
              <a16:creationId xmlns:a16="http://schemas.microsoft.com/office/drawing/2014/main" id="{12C2F873-C118-4A11-9565-5E31A5B1B61E}"/>
            </a:ext>
          </a:extLst>
        </xdr:cNvPr>
        <xdr:cNvPicPr/>
      </xdr:nvPicPr>
      <xdr:blipFill>
        <a:blip xmlns:r="http://schemas.openxmlformats.org/officeDocument/2006/relationships" r:embed="rId1"/>
        <a:stretch>
          <a:fillRect/>
        </a:stretch>
      </xdr:blipFill>
      <xdr:spPr>
        <a:xfrm>
          <a:off x="0" y="0"/>
          <a:ext cx="9742714" cy="5301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17929</xdr:colOff>
      <xdr:row>0</xdr:row>
      <xdr:rowOff>0</xdr:rowOff>
    </xdr:from>
    <xdr:to>
      <xdr:col>12</xdr:col>
      <xdr:colOff>560</xdr:colOff>
      <xdr:row>23</xdr:row>
      <xdr:rowOff>53787</xdr:rowOff>
    </xdr:to>
    <xdr:pic>
      <xdr:nvPicPr>
        <xdr:cNvPr id="2" name="Picture 1" descr="A screenshot of a computer&#10;&#10;Description automatically generated">
          <a:extLst>
            <a:ext uri="{FF2B5EF4-FFF2-40B4-BE49-F238E27FC236}">
              <a16:creationId xmlns:a16="http://schemas.microsoft.com/office/drawing/2014/main" id="{6032F86B-2B07-49F8-A5BF-DB8B95CF1E86}"/>
            </a:ext>
          </a:extLst>
        </xdr:cNvPr>
        <xdr:cNvPicPr/>
      </xdr:nvPicPr>
      <xdr:blipFill>
        <a:blip xmlns:r="http://schemas.openxmlformats.org/officeDocument/2006/relationships" r:embed="rId1"/>
        <a:stretch>
          <a:fillRect/>
        </a:stretch>
      </xdr:blipFill>
      <xdr:spPr>
        <a:xfrm>
          <a:off x="17929" y="0"/>
          <a:ext cx="7288306" cy="4177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10</xdr:col>
      <xdr:colOff>323850</xdr:colOff>
      <xdr:row>20</xdr:row>
      <xdr:rowOff>118110</xdr:rowOff>
    </xdr:to>
    <xdr:pic>
      <xdr:nvPicPr>
        <xdr:cNvPr id="2" name="Picture 1" descr="Graphical user interface, application, table, Excel&#10;&#10;Description automatically generated">
          <a:extLst>
            <a:ext uri="{FF2B5EF4-FFF2-40B4-BE49-F238E27FC236}">
              <a16:creationId xmlns:a16="http://schemas.microsoft.com/office/drawing/2014/main" id="{8695F325-3CF1-4486-AD6A-F2DFCB9BF063}"/>
            </a:ext>
          </a:extLst>
        </xdr:cNvPr>
        <xdr:cNvPicPr/>
      </xdr:nvPicPr>
      <xdr:blipFill>
        <a:blip xmlns:r="http://schemas.openxmlformats.org/officeDocument/2006/relationships" r:embed="rId1"/>
        <a:stretch>
          <a:fillRect/>
        </a:stretch>
      </xdr:blipFill>
      <xdr:spPr>
        <a:xfrm>
          <a:off x="38100" y="0"/>
          <a:ext cx="6381750" cy="3760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rsorg.sharepoint.com/48BF4053/GN_Budget_CNLS_Negociation_03Juillet15%20revue%20l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rsorg.sharepoint.com/My%20Documents/Gisella/BUDGETS/APP05/FY2005%20Field%20APP%20Workbookv51_Final%20Draft(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olthis783.sharepoint.com/Users/nicolas.guignard/SOLTHIS/Dossiers%20Permanents%20-%20DP%20Guin&#233;e/Finances/Matrices/2018/SOLGE_Matrice%202018_%2020181114%20-%20nouveau%20format-POSTE_3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olthis783.sharepoint.com/Users/CAF/Documents/Chlo&#233;/1%20-%20Guin&#233;e/2%20-%20Projets/1%20-%20FM%20NFM/1%20-%20PR%20CNLS/0%20-%20Soumission/2015-12-21%20-%20envoi%20&#224;%20Abasse/2015.1221-GIN-H-CNLS-BudgetNFM_Solthis%20-%20LB.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crsorg.sharepoint.com/Users/nlumezi/AppData/Local/Microsoft/Windows/INetCache/Content.Outlook/V0LYYJ3Y/Employee%20Expense%20Local%20Policy%20Per%20Diem_04_05_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rsorg.sharepoint.com/Users/asuemmanuel.munzu/AppData/Local/Microsoft/Windows/INetCache/Content.Outlook/1IVL0V62/644_CAG_UNPBF%20Proposal%2001.25.2019.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rsorg.sharepoint.com/Users/administrator/AppData/Local/Microsoft/Windows/Temporary%20Internet%20Files/Content.Outlook/ZBIJ45UF/Shared%20Cost%20Calculator-%20South%20Sudan.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solthis783.sharepoint.com/Users/isabelle.tissandie/Documents/1-%20Sierra%20Leone/11%20Administration/RRHH/Staff%20National/Salaires/2015/Payroll%20and%20HR%20followup%20SL%202015%2010_isa.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ngola%20606%20APP.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NF/ex/SOLSL_Budget%202019%20VF%20-%202019-1202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asuemmanuel.munzu/Desktop/SL%20Finance/Grants/Global%20Fund/NFM3/Intl%20Staff%20Sal_GF%20NFM3%20Proposal%2008.26.20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apita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rsorg.sharepoint.com/Users/daymard/Desktop/Dossier%20Aymard%20D/DOSSIER%20PC%20AYMARD/CRS/FFE/Budget%20Revision%20June%202015/FFE%20_Budget%20Benin_Revision%2024June15%20(jonathan%20Revised%20by%20Rodrigue%20%20Din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sorg.sharepoint.com/APP2005/758%20Peru%20FY2005%20AP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B7C0139/09%20MATRIX_SIERRA%20LEONE_OCT-21_12NOV21-MK_D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olthis783.sharepoint.com/HALUU/Admin/Accounting/Report%20-%20advance%20-%20clear%20off/2012,0111%20EMW_%20Accounting%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rsorg.sharepoint.com/Users/Serge%20Barbare/AppData/Local/Microsoft/Windows/Temporary%20Internet%20Files/Content.Outlook/DBUX109G/Budget%2016%20Mar%20HT%20fin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rsorg.sharepoint.com/Budget%20U%20files/FY%202007%20Budget/3%20Final%20APPs/SARO%20Final/Malawi%20658%20APP%20071806_SA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rsorg.sharepoint.com/Users/Serge%20Barbare/AppData/Local/Microsoft/Windows/Temporary%20Internet%20Files/Content.Outlook/DBUX109G/Yotebieng%20Catholic%20Relief%20Services%20draft%20budget%2010-06-14%20CRS%20feedback%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 log"/>
      <sheetName val="Instructions"/>
      <sheetName val="Setup"/>
      <sheetName val="Detailed Budget"/>
      <sheetName val="Assumptions TRC"/>
      <sheetName val="Assumptions HR"/>
      <sheetName val="Assumptions Other"/>
      <sheetName val="Budget Summary"/>
      <sheetName val="Summary by Intervention"/>
      <sheetName val="Summary by Cost Input"/>
      <sheetName val="CatInt"/>
      <sheetName val="Cost Inputs"/>
      <sheetName val="Concept Note Module Budget"/>
      <sheetName val="Hypothèses Détaillées TRC"/>
      <sheetName val="Hypothèses détaillées HR"/>
      <sheetName val="CoûtsUnitaires FM 210515"/>
      <sheetName val="Hypothèses détaillées Other"/>
      <sheetName val="Free pivot table"/>
      <sheetName val="Rank unique Mod-Int-PR"/>
      <sheetName val="Country"/>
      <sheetName val="Recipient"/>
      <sheetName val="Currencies"/>
      <sheetName val="Assumptions"/>
      <sheetName val="CatCmp"/>
      <sheetName val="CatModules"/>
      <sheetName val="ModInCmp"/>
      <sheetName val="Budget Lines"/>
      <sheetName val="ActivityConcat"/>
      <sheetName val="Translations"/>
      <sheetName val="CostGroup"/>
      <sheetName val="Feuil1"/>
      <sheetName val="Feuil2"/>
      <sheetName val="Paramétrage"/>
      <sheetName val="Chg_log"/>
      <sheetName val="Detailed_Budget"/>
      <sheetName val="Assumptions_TRC"/>
      <sheetName val="Assumptions_HR"/>
      <sheetName val="Assumptions_Other"/>
      <sheetName val="Budget_Summary"/>
      <sheetName val="Summary_by_Intervention"/>
      <sheetName val="Summary_by_Cost_Input"/>
      <sheetName val="Cost_Inputs"/>
      <sheetName val="Concept_Note_Module_Budget"/>
      <sheetName val="Hypothèses_Détaillées_TRC"/>
      <sheetName val="Hypothèses_détaillées_HR"/>
      <sheetName val="CoûtsUnitaires_FM_210515"/>
      <sheetName val="Hypothèses_détaillées_Other"/>
      <sheetName val="Free_pivot_table"/>
      <sheetName val="Rank_unique_Mod-Int-PR"/>
      <sheetName val="Budget_Lines"/>
    </sheetNames>
    <sheetDataSet>
      <sheetData sheetId="0"/>
      <sheetData sheetId="1"/>
      <sheetData sheetId="2">
        <row r="10">
          <cell r="B10" t="str">
            <v>USD</v>
          </cell>
        </row>
        <row r="11">
          <cell r="B11" t="str">
            <v>GNF</v>
          </cell>
        </row>
        <row r="12">
          <cell r="B12" t="str">
            <v>EUR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 xml:space="preserve">fonctionnement détaillé </v>
          </cell>
        </row>
        <row r="3">
          <cell r="A3" t="str">
            <v xml:space="preserve">Le coût historique </v>
          </cell>
        </row>
        <row r="4">
          <cell r="A4" t="str">
            <v xml:space="preserve">Citation de fournisseur </v>
          </cell>
        </row>
        <row r="5">
          <cell r="A5" t="str">
            <v>facture récente</v>
          </cell>
        </row>
        <row r="6">
          <cell r="A6" t="str">
            <v>PSM Produits et coûts</v>
          </cell>
        </row>
      </sheetData>
      <sheetData sheetId="23"/>
      <sheetData sheetId="24"/>
      <sheetData sheetId="25">
        <row r="1">
          <cell r="A1" t="str">
            <v>CatModRowNbr</v>
          </cell>
        </row>
        <row r="2">
          <cell r="A2">
            <v>2</v>
          </cell>
        </row>
        <row r="3">
          <cell r="A3">
            <v>3</v>
          </cell>
        </row>
        <row r="4">
          <cell r="A4">
            <v>4</v>
          </cell>
        </row>
        <row r="5">
          <cell r="A5">
            <v>5</v>
          </cell>
        </row>
        <row r="6">
          <cell r="A6">
            <v>6</v>
          </cell>
        </row>
        <row r="7">
          <cell r="A7">
            <v>7</v>
          </cell>
        </row>
        <row r="8">
          <cell r="A8">
            <v>8</v>
          </cell>
        </row>
        <row r="9">
          <cell r="A9">
            <v>9</v>
          </cell>
        </row>
        <row r="10">
          <cell r="A10">
            <v>11</v>
          </cell>
        </row>
        <row r="11">
          <cell r="A11">
            <v>16</v>
          </cell>
        </row>
        <row r="12">
          <cell r="A12">
            <v>17</v>
          </cell>
        </row>
        <row r="13">
          <cell r="A13">
            <v>18</v>
          </cell>
        </row>
        <row r="14">
          <cell r="A14">
            <v>19</v>
          </cell>
        </row>
        <row r="15">
          <cell r="A15">
            <v>20</v>
          </cell>
        </row>
        <row r="16">
          <cell r="A16">
            <v>21</v>
          </cell>
        </row>
        <row r="17">
          <cell r="A17">
            <v>22</v>
          </cell>
        </row>
        <row r="18">
          <cell r="A18">
            <v>23</v>
          </cell>
        </row>
        <row r="19">
          <cell r="A19">
            <v>24</v>
          </cell>
        </row>
        <row r="20">
          <cell r="A20">
            <v>25</v>
          </cell>
        </row>
        <row r="21">
          <cell r="A21">
            <v>26</v>
          </cell>
        </row>
        <row r="22">
          <cell r="A22">
            <v>27</v>
          </cell>
        </row>
        <row r="23">
          <cell r="A23"/>
        </row>
        <row r="24">
          <cell r="A24"/>
        </row>
        <row r="25">
          <cell r="A25"/>
        </row>
        <row r="26">
          <cell r="A26"/>
        </row>
        <row r="27">
          <cell r="A27"/>
        </row>
        <row r="28">
          <cell r="A28"/>
        </row>
        <row r="29">
          <cell r="A29"/>
        </row>
        <row r="30">
          <cell r="A30"/>
        </row>
        <row r="31">
          <cell r="A31"/>
        </row>
        <row r="32">
          <cell r="A32"/>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sheetData>
      <sheetData sheetId="26">
        <row r="2">
          <cell r="J2" t="str">
            <v>CNLS</v>
          </cell>
        </row>
        <row r="3">
          <cell r="J3" t="str">
            <v>DREAM</v>
          </cell>
        </row>
        <row r="4">
          <cell r="J4" t="str">
            <v>FMG</v>
          </cell>
        </row>
        <row r="5">
          <cell r="J5" t="str">
            <v>PNPCSP</v>
          </cell>
        </row>
        <row r="6">
          <cell r="J6" t="str">
            <v>REGAP+</v>
          </cell>
        </row>
        <row r="7">
          <cell r="J7" t="str">
            <v>SOLTHIS</v>
          </cell>
        </row>
        <row r="8">
          <cell r="J8" t="str">
            <v>UNICEF</v>
          </cell>
        </row>
        <row r="9">
          <cell r="J9"/>
        </row>
        <row r="10">
          <cell r="J10"/>
        </row>
        <row r="11">
          <cell r="J11"/>
        </row>
        <row r="12">
          <cell r="J12"/>
        </row>
        <row r="13">
          <cell r="J13"/>
        </row>
        <row r="14">
          <cell r="J14"/>
        </row>
        <row r="15">
          <cell r="J15"/>
        </row>
        <row r="16">
          <cell r="J16"/>
        </row>
        <row r="17">
          <cell r="J17"/>
        </row>
        <row r="18">
          <cell r="J18"/>
        </row>
        <row r="19">
          <cell r="J19"/>
        </row>
        <row r="20">
          <cell r="J20"/>
        </row>
        <row r="21">
          <cell r="J21"/>
        </row>
        <row r="22">
          <cell r="J22"/>
        </row>
        <row r="23">
          <cell r="J23"/>
        </row>
        <row r="24">
          <cell r="J24"/>
        </row>
        <row r="25">
          <cell r="J25"/>
        </row>
        <row r="26">
          <cell r="J26"/>
        </row>
        <row r="27">
          <cell r="J27"/>
        </row>
        <row r="28">
          <cell r="J28"/>
        </row>
        <row r="29">
          <cell r="J29"/>
        </row>
        <row r="30">
          <cell r="J30"/>
        </row>
        <row r="31">
          <cell r="J31"/>
        </row>
        <row r="32">
          <cell r="J32"/>
        </row>
        <row r="33">
          <cell r="J33"/>
        </row>
        <row r="34">
          <cell r="J34"/>
        </row>
        <row r="35">
          <cell r="J35"/>
        </row>
        <row r="36">
          <cell r="J36"/>
        </row>
        <row r="37">
          <cell r="J37"/>
        </row>
        <row r="38">
          <cell r="J38"/>
        </row>
        <row r="39">
          <cell r="J39"/>
        </row>
        <row r="40">
          <cell r="J40"/>
        </row>
        <row r="41">
          <cell r="J41"/>
        </row>
      </sheetData>
      <sheetData sheetId="27"/>
      <sheetData sheetId="28"/>
      <sheetData sheetId="29"/>
      <sheetData sheetId="30"/>
      <sheetData sheetId="3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info"/>
      <sheetName val="CP Budget Template"/>
      <sheetName val="BRF"/>
      <sheetName val="APP 1 LC"/>
      <sheetName val="APP 1 USD"/>
      <sheetName val="APP 2 LC"/>
      <sheetName val="APP 2 USD"/>
      <sheetName val="Commodities and In-Kind for Dst"/>
      <sheetName val="Commodities for Monetization"/>
      <sheetName val="Sale Proceeds From Monetization"/>
      <sheetName val="Addl Micro Loan Capital"/>
      <sheetName val="National Staff Summary"/>
      <sheetName val="Support 1"/>
      <sheetName val="Support 2"/>
      <sheetName val="Support 3"/>
      <sheetName val="Support 4"/>
      <sheetName val="Support 5"/>
      <sheetName val="Support 6"/>
      <sheetName val="Support 7"/>
      <sheetName val="Support 8"/>
      <sheetName val="Locally Generated Income"/>
      <sheetName val="International Staff Summary"/>
      <sheetName val="Est. Monetization Activity"/>
      <sheetName val="Budget Notes"/>
    </sheetNames>
    <sheetDataSet>
      <sheetData sheetId="0">
        <row r="13">
          <cell r="B13" t="str">
            <v>Malawi Kwacha</v>
          </cell>
        </row>
        <row r="14">
          <cell r="B14">
            <v>100</v>
          </cell>
        </row>
        <row r="16">
          <cell r="B16" t="str">
            <v>Paul Makwinja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épartition RH"/>
      <sheetName val="Codes internes"/>
      <sheetName val="Prix"/>
      <sheetName val="Trésorerie"/>
      <sheetName val="Synthèse Mission"/>
      <sheetName val="projets missions"/>
      <sheetName val="CONSO Solthis"/>
      <sheetName val="Fichier Source"/>
      <sheetName val="tcd source"/>
      <sheetName val="tcd saga"/>
      <sheetName val="Diavina CONSO"/>
      <sheetName val="DIAVMDP"/>
      <sheetName val="DIAVANRS"/>
      <sheetName val="DONDIAV"/>
      <sheetName val="DIAV-FP"/>
      <sheetName val="OPP-Phase2"/>
      <sheetName val="OPP-ANRS"/>
      <sheetName val="EFAPI"/>
      <sheetName val="3.3 BUDGET NARRATIF EFAPI"/>
      <sheetName val="ANRSIPOP"/>
      <sheetName val="PACTES"/>
      <sheetName val="Ripost"/>
      <sheetName val="A DEFINIR"/>
      <sheetName val="CNLS"/>
      <sheetName val="Pivot SAGA lignes projet"/>
      <sheetName val="Pivot SAGA code cptbles"/>
      <sheetName val="Pivot SAGA lignes bud"/>
      <sheetName val="Pivot SAGA Contrat"/>
      <sheetName val="SAGA 18"/>
      <sheetName val="Répartition_RH"/>
      <sheetName val="Codes_internes"/>
      <sheetName val="Synthèse_Mission"/>
      <sheetName val="projets_missions"/>
      <sheetName val="CONSO_Solthis"/>
      <sheetName val="Fichier_Source"/>
      <sheetName val="tcd_source"/>
      <sheetName val="tcd_saga"/>
      <sheetName val="Diavina_CONSO"/>
      <sheetName val="3_3_BUDGET_NARRATIF_EFAPI"/>
      <sheetName val="A_DEFINIR"/>
      <sheetName val="Pivot_SAGA_lignes_projet"/>
      <sheetName val="Pivot_SAGA_code_cptbles"/>
      <sheetName val="Pivot_SAGA_lignes_bud"/>
      <sheetName val="Pivot_SAGA_Contrat"/>
      <sheetName val="SAGA_18"/>
    </sheetNames>
    <sheetDataSet>
      <sheetData sheetId="0"/>
      <sheetData sheetId="1"/>
      <sheetData sheetId="2"/>
      <sheetData sheetId="3"/>
      <sheetData sheetId="4"/>
      <sheetData sheetId="5"/>
      <sheetData sheetId="6"/>
      <sheetData sheetId="7">
        <row r="1">
          <cell r="AH1">
            <v>10500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 log"/>
      <sheetName val="Instructions"/>
      <sheetName val="Setup"/>
      <sheetName val="Cout unitaire"/>
      <sheetName val="Detailed Budget"/>
      <sheetName val="Assumptions TRC"/>
      <sheetName val="Assumptions HR"/>
      <sheetName val="Assumptions Other"/>
      <sheetName val="Budget Summary"/>
      <sheetName val="Summary by Intervention"/>
      <sheetName val="Summary by Cost Input"/>
      <sheetName val="CatInt"/>
      <sheetName val="Cost Inputs"/>
      <sheetName val="Concept Note Module Budget"/>
      <sheetName val="Hypothèses Détaillées TRC"/>
      <sheetName val="Hypothèses détaillées HR"/>
      <sheetName val="CoûtsUnitaires FM 210515"/>
      <sheetName val="Hypothèses détaillées Other"/>
      <sheetName val="Free pivot table"/>
      <sheetName val="Rank unique Mod-Int-PR"/>
      <sheetName val="Country"/>
      <sheetName val="Recipient"/>
      <sheetName val="Currencies"/>
      <sheetName val="Assumptions"/>
      <sheetName val="CatCmp"/>
      <sheetName val="CatModules"/>
      <sheetName val="ModInCmp"/>
      <sheetName val="Budget Lines"/>
      <sheetName val="ActivityConcat"/>
      <sheetName val="Translations"/>
      <sheetName val="CostGroup"/>
      <sheetName val="Feuil2"/>
    </sheetNames>
    <sheetDataSet>
      <sheetData sheetId="0" refreshError="1"/>
      <sheetData sheetId="1" refreshError="1"/>
      <sheetData sheetId="2" refreshError="1"/>
      <sheetData sheetId="3">
        <row r="106">
          <cell r="D106" t="str">
            <v>Forfait carburant véhicule (250 km)</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B2" t="str">
            <v>Afghanistan</v>
          </cell>
          <cell r="C2" t="str">
            <v>Afghanistan</v>
          </cell>
          <cell r="D2" t="str">
            <v>Afganistán</v>
          </cell>
          <cell r="E2" t="str">
            <v>Афганистан</v>
          </cell>
          <cell r="F2" t="str">
            <v>Afghani</v>
          </cell>
          <cell r="G2" t="str">
            <v>AFN</v>
          </cell>
        </row>
        <row r="3">
          <cell r="B3" t="str">
            <v>Albania</v>
          </cell>
          <cell r="C3" t="str">
            <v>Albanie</v>
          </cell>
          <cell r="D3" t="str">
            <v>Albania</v>
          </cell>
          <cell r="E3" t="str">
            <v>Албания</v>
          </cell>
          <cell r="F3" t="str">
            <v>Albanian Lek</v>
          </cell>
          <cell r="G3" t="str">
            <v>ALL</v>
          </cell>
        </row>
        <row r="4">
          <cell r="B4" t="str">
            <v>Algeria</v>
          </cell>
          <cell r="C4" t="str">
            <v>Algérie</v>
          </cell>
          <cell r="D4" t="str">
            <v>Argelia</v>
          </cell>
          <cell r="E4" t="str">
            <v>Алжир</v>
          </cell>
          <cell r="F4" t="str">
            <v>Algerian Dinar</v>
          </cell>
          <cell r="G4" t="str">
            <v>DZD</v>
          </cell>
        </row>
        <row r="5">
          <cell r="B5" t="str">
            <v>Andorra</v>
          </cell>
          <cell r="C5" t="str">
            <v>Andorre</v>
          </cell>
          <cell r="D5" t="str">
            <v>Andorra</v>
          </cell>
          <cell r="E5" t="str">
            <v>андорра</v>
          </cell>
          <cell r="F5" t="str">
            <v>Euro</v>
          </cell>
          <cell r="G5" t="str">
            <v>EUR</v>
          </cell>
        </row>
        <row r="6">
          <cell r="B6" t="str">
            <v>Angola</v>
          </cell>
          <cell r="C6" t="str">
            <v>Angola</v>
          </cell>
          <cell r="D6" t="str">
            <v>Angola</v>
          </cell>
          <cell r="E6" t="str">
            <v>Ангола</v>
          </cell>
          <cell r="F6" t="str">
            <v>Angolan Kwanza</v>
          </cell>
          <cell r="G6" t="str">
            <v>AOA</v>
          </cell>
        </row>
        <row r="7">
          <cell r="B7" t="str">
            <v>Anguilla</v>
          </cell>
          <cell r="C7" t="str">
            <v>Anguilla</v>
          </cell>
          <cell r="D7" t="str">
            <v>Anguilla</v>
          </cell>
          <cell r="E7" t="str">
            <v>Ангилья</v>
          </cell>
          <cell r="F7" t="str">
            <v>East Caribbean Dollar</v>
          </cell>
          <cell r="G7" t="str">
            <v>XCD</v>
          </cell>
        </row>
        <row r="8">
          <cell r="B8" t="str">
            <v>Antigua and Barbuda</v>
          </cell>
          <cell r="C8" t="str">
            <v>Antigua -et-Barbuda</v>
          </cell>
          <cell r="D8" t="str">
            <v>Antigua y Barbuda</v>
          </cell>
          <cell r="E8" t="str">
            <v>Антигуа и Барбуда</v>
          </cell>
          <cell r="F8" t="str">
            <v>East Caribbean Dollar</v>
          </cell>
          <cell r="G8" t="str">
            <v>XCD</v>
          </cell>
        </row>
        <row r="9">
          <cell r="B9" t="str">
            <v>Argentina</v>
          </cell>
          <cell r="C9" t="str">
            <v>Argentine</v>
          </cell>
          <cell r="D9" t="str">
            <v>Argentina</v>
          </cell>
          <cell r="E9" t="str">
            <v>Аргентина</v>
          </cell>
          <cell r="F9" t="str">
            <v>Argentine Peso</v>
          </cell>
          <cell r="G9" t="str">
            <v>ARS</v>
          </cell>
        </row>
        <row r="10">
          <cell r="B10" t="str">
            <v>Armenia</v>
          </cell>
          <cell r="C10" t="str">
            <v>Arménie</v>
          </cell>
          <cell r="D10" t="str">
            <v>Armenia</v>
          </cell>
          <cell r="E10" t="str">
            <v>Армения</v>
          </cell>
          <cell r="F10" t="str">
            <v>Dram</v>
          </cell>
          <cell r="G10" t="str">
            <v>AMD</v>
          </cell>
        </row>
        <row r="11">
          <cell r="B11" t="str">
            <v>Aruba</v>
          </cell>
          <cell r="C11" t="str">
            <v>Aruba</v>
          </cell>
          <cell r="D11" t="str">
            <v>Aruba</v>
          </cell>
          <cell r="E11" t="str">
            <v>Аруба</v>
          </cell>
          <cell r="F11" t="str">
            <v>Aruban Florin</v>
          </cell>
          <cell r="G11" t="str">
            <v>AWG</v>
          </cell>
        </row>
        <row r="12">
          <cell r="B12" t="str">
            <v>Australia</v>
          </cell>
          <cell r="C12" t="str">
            <v>Australie</v>
          </cell>
          <cell r="D12" t="str">
            <v>Australia</v>
          </cell>
          <cell r="E12" t="str">
            <v>Австралия</v>
          </cell>
          <cell r="F12" t="str">
            <v>Australian Dollar</v>
          </cell>
          <cell r="G12" t="str">
            <v>AUD</v>
          </cell>
        </row>
        <row r="13">
          <cell r="B13" t="str">
            <v>Austria</v>
          </cell>
          <cell r="C13" t="str">
            <v>Autriche</v>
          </cell>
          <cell r="D13" t="str">
            <v>Austria</v>
          </cell>
          <cell r="E13" t="str">
            <v>Австрия</v>
          </cell>
          <cell r="F13" t="str">
            <v>Euro</v>
          </cell>
          <cell r="G13" t="str">
            <v>EUR</v>
          </cell>
        </row>
        <row r="14">
          <cell r="B14" t="str">
            <v>Azerbaijan</v>
          </cell>
          <cell r="C14" t="str">
            <v>Azerbaïdjan</v>
          </cell>
          <cell r="D14" t="str">
            <v>Azerbaiyán</v>
          </cell>
          <cell r="E14" t="str">
            <v>Азербайджан</v>
          </cell>
          <cell r="F14" t="str">
            <v>Azerbaijani Manat</v>
          </cell>
          <cell r="G14" t="str">
            <v>AZN</v>
          </cell>
        </row>
        <row r="15">
          <cell r="B15" t="str">
            <v>Bahamas</v>
          </cell>
          <cell r="C15" t="str">
            <v>Bahamas</v>
          </cell>
          <cell r="D15" t="str">
            <v>Bahamas</v>
          </cell>
          <cell r="E15" t="str">
            <v>Багамские острова</v>
          </cell>
          <cell r="F15" t="str">
            <v>Bahamian Dollar</v>
          </cell>
          <cell r="G15" t="str">
            <v>BSD</v>
          </cell>
        </row>
        <row r="16">
          <cell r="B16" t="str">
            <v>Bahrain</v>
          </cell>
          <cell r="C16" t="str">
            <v>Bahreïn</v>
          </cell>
          <cell r="D16" t="str">
            <v>Bahrein</v>
          </cell>
          <cell r="E16" t="str">
            <v>Бахрейн</v>
          </cell>
          <cell r="F16" t="str">
            <v>Bahraini Dinar</v>
          </cell>
          <cell r="G16" t="str">
            <v>BHD</v>
          </cell>
        </row>
        <row r="17">
          <cell r="B17" t="str">
            <v>Bangladesh</v>
          </cell>
          <cell r="C17" t="str">
            <v>Bangladesh</v>
          </cell>
          <cell r="D17" t="str">
            <v>Bangladesh</v>
          </cell>
          <cell r="E17" t="str">
            <v>Бангладеш</v>
          </cell>
          <cell r="F17" t="str">
            <v>Taka</v>
          </cell>
          <cell r="G17" t="str">
            <v>BDT</v>
          </cell>
        </row>
        <row r="18">
          <cell r="B18" t="str">
            <v>Barbados</v>
          </cell>
          <cell r="C18" t="str">
            <v>Barbade</v>
          </cell>
          <cell r="D18" t="str">
            <v>Barbados</v>
          </cell>
          <cell r="E18" t="str">
            <v>Барбадос</v>
          </cell>
          <cell r="F18" t="str">
            <v>Barbadian Dollar</v>
          </cell>
          <cell r="G18" t="str">
            <v>BBD</v>
          </cell>
        </row>
        <row r="19">
          <cell r="B19" t="str">
            <v>Belarus</v>
          </cell>
          <cell r="C19" t="str">
            <v>Bélarus</v>
          </cell>
          <cell r="D19" t="str">
            <v>Bielorrusia</v>
          </cell>
          <cell r="E19" t="str">
            <v>Беларусь</v>
          </cell>
          <cell r="F19" t="str">
            <v>Belarusian Ruble</v>
          </cell>
          <cell r="G19" t="str">
            <v>BYR</v>
          </cell>
        </row>
        <row r="20">
          <cell r="B20" t="str">
            <v>Belgium</v>
          </cell>
          <cell r="C20" t="str">
            <v>Belgique</v>
          </cell>
          <cell r="D20" t="str">
            <v>Bélgica</v>
          </cell>
          <cell r="E20" t="str">
            <v>Бельгия</v>
          </cell>
          <cell r="F20" t="str">
            <v>Euro</v>
          </cell>
          <cell r="G20" t="str">
            <v>EUR</v>
          </cell>
        </row>
        <row r="21">
          <cell r="B21" t="str">
            <v>Belize</v>
          </cell>
          <cell r="C21" t="str">
            <v>Belize</v>
          </cell>
          <cell r="D21" t="str">
            <v>Belice</v>
          </cell>
          <cell r="E21" t="str">
            <v>Белиз</v>
          </cell>
          <cell r="F21" t="str">
            <v>Belize Dollar</v>
          </cell>
          <cell r="G21" t="str">
            <v>BZD</v>
          </cell>
        </row>
        <row r="22">
          <cell r="B22" t="str">
            <v>Benin</v>
          </cell>
          <cell r="C22" t="str">
            <v>Bénin</v>
          </cell>
          <cell r="D22" t="str">
            <v>Benin</v>
          </cell>
          <cell r="E22" t="str">
            <v>Бенин</v>
          </cell>
          <cell r="F22" t="str">
            <v>CFA Franc</v>
          </cell>
          <cell r="G22" t="str">
            <v>XOF</v>
          </cell>
        </row>
        <row r="23">
          <cell r="B23" t="str">
            <v>Bhutan</v>
          </cell>
          <cell r="C23" t="str">
            <v>Bhoutan</v>
          </cell>
          <cell r="D23" t="str">
            <v>Bhutan</v>
          </cell>
          <cell r="E23" t="str">
            <v>Бутан</v>
          </cell>
          <cell r="F23" t="str">
            <v>Ngultrum</v>
          </cell>
          <cell r="G23" t="str">
            <v>BTN</v>
          </cell>
        </row>
        <row r="24">
          <cell r="B24" t="str">
            <v>Bolivia (Plurinational State)</v>
          </cell>
          <cell r="C24" t="str">
            <v>Bolivie (État plurinational )</v>
          </cell>
          <cell r="D24" t="str">
            <v>Bolivia (Estado Plurinacional )</v>
          </cell>
          <cell r="E24" t="str">
            <v>Боливия (Многонациональное Государство )</v>
          </cell>
          <cell r="F24" t="str">
            <v>Bolivian Boliviano</v>
          </cell>
          <cell r="G24" t="str">
            <v>BOB</v>
          </cell>
        </row>
        <row r="25">
          <cell r="B25" t="str">
            <v>Bosnia and Herzegovina</v>
          </cell>
          <cell r="C25" t="str">
            <v>Bosnie-Herzégovine</v>
          </cell>
          <cell r="D25" t="str">
            <v>Bosnia y Herzegovina</v>
          </cell>
          <cell r="E25" t="str">
            <v>Босния и Герцеговина</v>
          </cell>
          <cell r="F25" t="str">
            <v>Convertible Marka</v>
          </cell>
          <cell r="G25" t="str">
            <v>BAM</v>
          </cell>
        </row>
        <row r="26">
          <cell r="B26" t="str">
            <v>Botswana</v>
          </cell>
          <cell r="C26" t="str">
            <v>Botswana</v>
          </cell>
          <cell r="D26" t="str">
            <v>Botswana</v>
          </cell>
          <cell r="E26" t="str">
            <v>Ботсвана</v>
          </cell>
          <cell r="F26" t="str">
            <v>Botswana Pula</v>
          </cell>
          <cell r="G26" t="str">
            <v>BWP</v>
          </cell>
        </row>
        <row r="27">
          <cell r="B27" t="str">
            <v>Brazil</v>
          </cell>
          <cell r="C27" t="str">
            <v>Brésil</v>
          </cell>
          <cell r="D27" t="str">
            <v>Brasil</v>
          </cell>
          <cell r="E27" t="str">
            <v>Бразилия</v>
          </cell>
          <cell r="F27" t="str">
            <v>Brazilian Real</v>
          </cell>
          <cell r="G27" t="str">
            <v>BRL</v>
          </cell>
        </row>
        <row r="28">
          <cell r="B28" t="str">
            <v>Brunei Darussalam</v>
          </cell>
          <cell r="C28" t="str">
            <v>Brunei Darussalam</v>
          </cell>
          <cell r="D28" t="str">
            <v>Brunei Darussalam</v>
          </cell>
          <cell r="E28" t="str">
            <v>Бруней-Даруссалам</v>
          </cell>
          <cell r="F28" t="str">
            <v>Brunei Dollar</v>
          </cell>
          <cell r="G28" t="str">
            <v>BND</v>
          </cell>
        </row>
        <row r="29">
          <cell r="B29" t="str">
            <v>Bulgaria</v>
          </cell>
          <cell r="C29" t="str">
            <v>Bulgarie</v>
          </cell>
          <cell r="D29" t="str">
            <v>Bulgaria</v>
          </cell>
          <cell r="E29" t="str">
            <v>Болгария</v>
          </cell>
          <cell r="F29" t="str">
            <v>Lev</v>
          </cell>
          <cell r="G29" t="str">
            <v>BGN</v>
          </cell>
        </row>
        <row r="30">
          <cell r="B30" t="str">
            <v>Burkina Faso</v>
          </cell>
          <cell r="C30" t="str">
            <v>Burkina Faso</v>
          </cell>
          <cell r="D30" t="str">
            <v>Burkina Faso</v>
          </cell>
          <cell r="E30" t="str">
            <v>Буркина-Фасо</v>
          </cell>
          <cell r="F30" t="str">
            <v>CFA Franc</v>
          </cell>
          <cell r="G30" t="str">
            <v>XOF</v>
          </cell>
        </row>
        <row r="31">
          <cell r="B31" t="str">
            <v>Burundi</v>
          </cell>
          <cell r="C31" t="str">
            <v>Burundi</v>
          </cell>
          <cell r="D31" t="str">
            <v>Burundi</v>
          </cell>
          <cell r="E31" t="str">
            <v>Бурунди</v>
          </cell>
          <cell r="F31" t="str">
            <v>Burundi Franc</v>
          </cell>
          <cell r="G31" t="str">
            <v>BIF</v>
          </cell>
        </row>
        <row r="32">
          <cell r="B32" t="str">
            <v>Cambodia</v>
          </cell>
          <cell r="C32" t="str">
            <v>Cambodge</v>
          </cell>
          <cell r="D32" t="str">
            <v>Camboya</v>
          </cell>
          <cell r="E32" t="str">
            <v>Камбоджа</v>
          </cell>
          <cell r="F32" t="str">
            <v>Cambodian Riel</v>
          </cell>
          <cell r="G32" t="str">
            <v>KHR</v>
          </cell>
        </row>
        <row r="33">
          <cell r="B33" t="str">
            <v>Cameroon</v>
          </cell>
          <cell r="C33" t="str">
            <v>Cameroun</v>
          </cell>
          <cell r="D33" t="str">
            <v>Camerún</v>
          </cell>
          <cell r="E33" t="str">
            <v>Камерун</v>
          </cell>
          <cell r="F33" t="str">
            <v>CFA Franc</v>
          </cell>
          <cell r="G33" t="str">
            <v>XAF</v>
          </cell>
        </row>
        <row r="34">
          <cell r="B34" t="str">
            <v>Canada</v>
          </cell>
          <cell r="C34" t="str">
            <v>Canada</v>
          </cell>
          <cell r="D34" t="str">
            <v>Canadá</v>
          </cell>
          <cell r="E34" t="str">
            <v>Канада</v>
          </cell>
          <cell r="F34" t="str">
            <v>Canada Dollar</v>
          </cell>
          <cell r="G34" t="str">
            <v>CAD</v>
          </cell>
        </row>
        <row r="35">
          <cell r="B35" t="str">
            <v>Cape Verde</v>
          </cell>
          <cell r="C35" t="str">
            <v>Cap-Vert</v>
          </cell>
          <cell r="D35" t="str">
            <v>Cabo Verde</v>
          </cell>
          <cell r="E35" t="str">
            <v>Кабо-Верде</v>
          </cell>
          <cell r="F35" t="str">
            <v>Cape Verdean Escudo</v>
          </cell>
          <cell r="G35" t="str">
            <v>CVE</v>
          </cell>
        </row>
        <row r="36">
          <cell r="B36" t="str">
            <v>Cayman Islands</v>
          </cell>
          <cell r="C36" t="str">
            <v>Îles Caïmans</v>
          </cell>
          <cell r="D36" t="str">
            <v>Islas Caimán</v>
          </cell>
          <cell r="E36" t="str">
            <v>Каймановы острова</v>
          </cell>
          <cell r="F36" t="str">
            <v>Cayman Islands Dollar</v>
          </cell>
          <cell r="G36" t="str">
            <v>KYD</v>
          </cell>
        </row>
        <row r="37">
          <cell r="B37" t="str">
            <v>Central African Republic</v>
          </cell>
          <cell r="C37" t="str">
            <v>République centrafricaine</v>
          </cell>
          <cell r="D37" t="str">
            <v>República Centroafricana</v>
          </cell>
          <cell r="E37" t="str">
            <v>Центрально-Африканская Республика</v>
          </cell>
          <cell r="F37" t="str">
            <v>CFA Franc</v>
          </cell>
          <cell r="G37" t="str">
            <v>XAF</v>
          </cell>
        </row>
        <row r="38">
          <cell r="B38" t="str">
            <v>Chad</v>
          </cell>
          <cell r="C38" t="str">
            <v>Tchad</v>
          </cell>
          <cell r="D38" t="str">
            <v>Chad</v>
          </cell>
          <cell r="E38" t="str">
            <v>Чад</v>
          </cell>
          <cell r="F38" t="str">
            <v>CFA Franc</v>
          </cell>
          <cell r="G38" t="str">
            <v>XAF</v>
          </cell>
        </row>
        <row r="39">
          <cell r="B39" t="str">
            <v>Chile</v>
          </cell>
          <cell r="C39" t="str">
            <v>Chili</v>
          </cell>
          <cell r="D39" t="str">
            <v>Chile</v>
          </cell>
          <cell r="E39" t="str">
            <v>Чили</v>
          </cell>
          <cell r="F39" t="str">
            <v>Chilean Peso</v>
          </cell>
          <cell r="G39" t="str">
            <v>CLP</v>
          </cell>
        </row>
        <row r="40">
          <cell r="B40" t="str">
            <v>China</v>
          </cell>
          <cell r="C40" t="str">
            <v>Chine</v>
          </cell>
          <cell r="D40" t="str">
            <v>China</v>
          </cell>
          <cell r="E40" t="str">
            <v>Китай</v>
          </cell>
          <cell r="F40" t="str">
            <v>Renminbi</v>
          </cell>
          <cell r="G40" t="str">
            <v>CNY</v>
          </cell>
        </row>
        <row r="41">
          <cell r="B41" t="str">
            <v>Colombia</v>
          </cell>
          <cell r="C41" t="str">
            <v>Colombie</v>
          </cell>
          <cell r="D41" t="str">
            <v>Colombia</v>
          </cell>
          <cell r="E41" t="str">
            <v>Колумбия</v>
          </cell>
          <cell r="F41" t="str">
            <v>Colombian Peso</v>
          </cell>
          <cell r="G41" t="str">
            <v>COP</v>
          </cell>
        </row>
        <row r="42">
          <cell r="B42" t="str">
            <v>Comoros</v>
          </cell>
          <cell r="C42" t="str">
            <v>Comores</v>
          </cell>
          <cell r="D42" t="str">
            <v>Comoras</v>
          </cell>
          <cell r="E42" t="str">
            <v>Коморские острова</v>
          </cell>
          <cell r="F42" t="str">
            <v>Comorian Franc</v>
          </cell>
          <cell r="G42" t="str">
            <v>KMF</v>
          </cell>
        </row>
        <row r="43">
          <cell r="B43" t="str">
            <v>Congo</v>
          </cell>
          <cell r="C43" t="str">
            <v>Congo</v>
          </cell>
          <cell r="D43" t="str">
            <v>Congo</v>
          </cell>
          <cell r="E43" t="str">
            <v>Конго</v>
          </cell>
          <cell r="F43" t="str">
            <v>CFA Franc</v>
          </cell>
          <cell r="G43" t="str">
            <v>XAF</v>
          </cell>
        </row>
        <row r="44">
          <cell r="B44" t="str">
            <v>Congo (Democratic Republic)</v>
          </cell>
          <cell r="C44" t="str">
            <v>Congo ( République démocratique )</v>
          </cell>
          <cell r="D44" t="str">
            <v>Congo ( República Democrática )</v>
          </cell>
          <cell r="E44" t="str">
            <v>Конго (Демократическая Республика)</v>
          </cell>
          <cell r="F44" t="str">
            <v>Congolese Franc</v>
          </cell>
          <cell r="G44" t="str">
            <v>CDF</v>
          </cell>
        </row>
        <row r="45">
          <cell r="B45" t="str">
            <v>Costa Rica</v>
          </cell>
          <cell r="C45" t="str">
            <v>Costa Rica</v>
          </cell>
          <cell r="D45" t="str">
            <v>Costa Rica</v>
          </cell>
          <cell r="E45" t="str">
            <v>Коста-Рика</v>
          </cell>
          <cell r="F45" t="str">
            <v>Costa Rican Colon</v>
          </cell>
          <cell r="G45" t="str">
            <v>CRC</v>
          </cell>
        </row>
        <row r="46">
          <cell r="B46" t="str">
            <v>Côte d'Ivoire</v>
          </cell>
          <cell r="C46" t="str">
            <v>Côte d' Ivoire</v>
          </cell>
          <cell r="D46" t="str">
            <v>Côte d' Ivoire</v>
          </cell>
          <cell r="E46" t="str">
            <v>Берег Слоновой Кости</v>
          </cell>
          <cell r="F46" t="str">
            <v>CFA Franc</v>
          </cell>
          <cell r="G46" t="str">
            <v>XOF</v>
          </cell>
        </row>
        <row r="47">
          <cell r="B47" t="str">
            <v>Croatia</v>
          </cell>
          <cell r="C47" t="str">
            <v>Croatie</v>
          </cell>
          <cell r="D47" t="str">
            <v>Croacia</v>
          </cell>
          <cell r="E47" t="str">
            <v>Хорватия</v>
          </cell>
          <cell r="F47" t="str">
            <v>Croatian Kuna</v>
          </cell>
          <cell r="G47" t="str">
            <v>HRK</v>
          </cell>
        </row>
        <row r="48">
          <cell r="B48" t="str">
            <v>Cuba</v>
          </cell>
          <cell r="C48" t="str">
            <v>Cuba</v>
          </cell>
          <cell r="D48" t="str">
            <v>Cuba</v>
          </cell>
          <cell r="E48" t="str">
            <v>Куба</v>
          </cell>
          <cell r="F48" t="str">
            <v>Cuban Peso</v>
          </cell>
          <cell r="G48" t="str">
            <v>CUC</v>
          </cell>
        </row>
        <row r="49">
          <cell r="B49" t="str">
            <v>Cyprus</v>
          </cell>
          <cell r="C49" t="str">
            <v>Chypre</v>
          </cell>
          <cell r="D49" t="str">
            <v>Chipre</v>
          </cell>
          <cell r="E49" t="str">
            <v>Кипр</v>
          </cell>
          <cell r="F49" t="str">
            <v>Euro</v>
          </cell>
          <cell r="G49" t="str">
            <v>EUR</v>
          </cell>
        </row>
        <row r="50">
          <cell r="B50" t="str">
            <v>Czech Republic</v>
          </cell>
          <cell r="C50" t="str">
            <v>République tchèque</v>
          </cell>
          <cell r="D50" t="str">
            <v>República Checa</v>
          </cell>
          <cell r="E50" t="str">
            <v>Чешская республика</v>
          </cell>
          <cell r="F50" t="str">
            <v>Czech Koruna</v>
          </cell>
          <cell r="G50" t="str">
            <v>CZK</v>
          </cell>
        </row>
        <row r="51">
          <cell r="B51" t="str">
            <v>Denmark</v>
          </cell>
          <cell r="C51" t="str">
            <v>Danemark</v>
          </cell>
          <cell r="D51" t="str">
            <v>Dinamarca</v>
          </cell>
          <cell r="E51" t="str">
            <v>Дания</v>
          </cell>
          <cell r="F51" t="str">
            <v>Denmark Krone</v>
          </cell>
          <cell r="G51" t="str">
            <v>DKK</v>
          </cell>
        </row>
        <row r="52">
          <cell r="B52" t="str">
            <v>Djibouti</v>
          </cell>
          <cell r="C52" t="str">
            <v>Djibouti</v>
          </cell>
          <cell r="D52" t="str">
            <v>Djibouti</v>
          </cell>
          <cell r="E52" t="str">
            <v>Джибути</v>
          </cell>
          <cell r="F52" t="str">
            <v>Djiboutian Franc</v>
          </cell>
          <cell r="G52" t="str">
            <v>DJF</v>
          </cell>
        </row>
        <row r="53">
          <cell r="B53" t="str">
            <v>Dominica</v>
          </cell>
          <cell r="C53" t="str">
            <v>Dominique</v>
          </cell>
          <cell r="D53" t="str">
            <v>Dominica</v>
          </cell>
          <cell r="E53" t="str">
            <v>Доминика</v>
          </cell>
          <cell r="F53" t="str">
            <v>East Caribbean Dollar</v>
          </cell>
          <cell r="G53" t="str">
            <v>XCD</v>
          </cell>
        </row>
        <row r="54">
          <cell r="B54" t="str">
            <v>Dominican Republic</v>
          </cell>
          <cell r="C54" t="str">
            <v>République dominicaine</v>
          </cell>
          <cell r="D54" t="str">
            <v>República Dominicana</v>
          </cell>
          <cell r="E54" t="str">
            <v>Доминиканская Республика</v>
          </cell>
          <cell r="F54" t="str">
            <v>Dominican Peso</v>
          </cell>
          <cell r="G54" t="str">
            <v>DOP</v>
          </cell>
        </row>
        <row r="55">
          <cell r="B55" t="str">
            <v>Ecuador</v>
          </cell>
          <cell r="C55" t="str">
            <v>Équateur</v>
          </cell>
          <cell r="D55" t="str">
            <v>Ecuador</v>
          </cell>
          <cell r="E55" t="str">
            <v>Эквадор</v>
          </cell>
          <cell r="F55" t="str">
            <v>United States Dollar</v>
          </cell>
          <cell r="G55" t="str">
            <v>USD</v>
          </cell>
        </row>
        <row r="56">
          <cell r="B56" t="str">
            <v>Egypt</v>
          </cell>
          <cell r="C56" t="str">
            <v>Egypte</v>
          </cell>
          <cell r="D56" t="str">
            <v>Egipto</v>
          </cell>
          <cell r="E56" t="str">
            <v>Египет</v>
          </cell>
          <cell r="F56" t="str">
            <v>Egypt Pound</v>
          </cell>
          <cell r="G56" t="str">
            <v>EGP</v>
          </cell>
        </row>
        <row r="57">
          <cell r="B57" t="str">
            <v>El Salvador</v>
          </cell>
          <cell r="C57" t="str">
            <v>El Salvador</v>
          </cell>
          <cell r="D57" t="str">
            <v>El Salvador</v>
          </cell>
          <cell r="E57" t="str">
            <v>Сальвадор</v>
          </cell>
          <cell r="F57" t="str">
            <v>United States Dollar</v>
          </cell>
          <cell r="G57" t="str">
            <v>USD</v>
          </cell>
        </row>
        <row r="58">
          <cell r="B58" t="str">
            <v>Equatorial Guinea</v>
          </cell>
          <cell r="C58" t="str">
            <v>Guinée équatoriale</v>
          </cell>
          <cell r="D58" t="str">
            <v>Guinea Ecuatorial</v>
          </cell>
          <cell r="E58" t="str">
            <v>Экваториальная Гвинея</v>
          </cell>
          <cell r="F58" t="str">
            <v>Central African CFA Franc</v>
          </cell>
          <cell r="G58" t="str">
            <v>GQE</v>
          </cell>
        </row>
        <row r="59">
          <cell r="B59" t="str">
            <v>Eritrea</v>
          </cell>
          <cell r="C59" t="str">
            <v>Erythrée</v>
          </cell>
          <cell r="D59" t="str">
            <v>Eritrea</v>
          </cell>
          <cell r="E59" t="str">
            <v>Эритрея</v>
          </cell>
          <cell r="F59" t="str">
            <v>Eritrean Nakfa</v>
          </cell>
          <cell r="G59" t="str">
            <v>ERN</v>
          </cell>
        </row>
        <row r="60">
          <cell r="B60" t="str">
            <v>Estonia</v>
          </cell>
          <cell r="C60" t="str">
            <v>Estonie</v>
          </cell>
          <cell r="D60" t="str">
            <v>Estonia</v>
          </cell>
          <cell r="E60" t="str">
            <v>Эстония</v>
          </cell>
          <cell r="F60" t="str">
            <v>Estonian Kroon</v>
          </cell>
          <cell r="G60" t="str">
            <v>EEK</v>
          </cell>
        </row>
        <row r="61">
          <cell r="B61" t="str">
            <v>Ethiopia</v>
          </cell>
          <cell r="C61" t="str">
            <v>Ethiopie</v>
          </cell>
          <cell r="D61" t="str">
            <v>Etiopía</v>
          </cell>
          <cell r="E61" t="str">
            <v>Эфиопия</v>
          </cell>
          <cell r="F61" t="str">
            <v>Ethiopian Birr</v>
          </cell>
          <cell r="G61" t="str">
            <v>ETB</v>
          </cell>
        </row>
        <row r="62">
          <cell r="B62" t="str">
            <v>Falkland Islands (Malvinas)</v>
          </cell>
          <cell r="C62" t="str">
            <v>Îles Falkland (Malvinas)</v>
          </cell>
          <cell r="D62" t="str">
            <v>Islas Malvinas ( Falkland)</v>
          </cell>
          <cell r="E62" t="str">
            <v>Фолклендские (Мальвинские) острова</v>
          </cell>
          <cell r="F62" t="str">
            <v>Falkland Islands Pound</v>
          </cell>
          <cell r="G62" t="str">
            <v>FKP</v>
          </cell>
        </row>
        <row r="63">
          <cell r="B63" t="str">
            <v>Fiji</v>
          </cell>
          <cell r="C63" t="str">
            <v>Fidji</v>
          </cell>
          <cell r="D63" t="str">
            <v>Fiji</v>
          </cell>
          <cell r="E63" t="str">
            <v>Фиджи</v>
          </cell>
          <cell r="F63" t="str">
            <v>Fijian Dollar</v>
          </cell>
          <cell r="G63" t="str">
            <v>FJD</v>
          </cell>
        </row>
        <row r="64">
          <cell r="B64" t="str">
            <v>Finland</v>
          </cell>
          <cell r="C64" t="str">
            <v>Finlande</v>
          </cell>
          <cell r="D64" t="str">
            <v>Finlandia</v>
          </cell>
          <cell r="E64" t="str">
            <v>Финляндия</v>
          </cell>
          <cell r="F64" t="str">
            <v>Euro</v>
          </cell>
          <cell r="G64" t="str">
            <v>EUR</v>
          </cell>
        </row>
        <row r="65">
          <cell r="B65" t="str">
            <v>France</v>
          </cell>
          <cell r="C65" t="str">
            <v>France</v>
          </cell>
          <cell r="D65" t="str">
            <v>Francia</v>
          </cell>
          <cell r="E65" t="str">
            <v>Франция</v>
          </cell>
          <cell r="F65" t="str">
            <v>Euro</v>
          </cell>
          <cell r="G65" t="str">
            <v>EUR</v>
          </cell>
        </row>
        <row r="66">
          <cell r="B66" t="str">
            <v>French Polynesia</v>
          </cell>
          <cell r="C66" t="str">
            <v>Polynésie française</v>
          </cell>
          <cell r="D66" t="str">
            <v>Polinesia francés</v>
          </cell>
          <cell r="E66" t="str">
            <v>Французская Полинезия</v>
          </cell>
          <cell r="F66" t="str">
            <v>CFP Franc</v>
          </cell>
          <cell r="G66" t="str">
            <v>XPF</v>
          </cell>
        </row>
        <row r="67">
          <cell r="B67" t="str">
            <v>Gabon</v>
          </cell>
          <cell r="C67" t="str">
            <v>Gabon</v>
          </cell>
          <cell r="D67" t="str">
            <v>Gabón</v>
          </cell>
          <cell r="E67" t="str">
            <v>Габон</v>
          </cell>
          <cell r="F67" t="str">
            <v>CFP Franc</v>
          </cell>
          <cell r="G67" t="str">
            <v>XAF</v>
          </cell>
        </row>
        <row r="68">
          <cell r="B68" t="str">
            <v>Gambia</v>
          </cell>
          <cell r="C68" t="str">
            <v>Gambie</v>
          </cell>
          <cell r="D68" t="str">
            <v>Gambia</v>
          </cell>
          <cell r="E68" t="str">
            <v>Гамбия</v>
          </cell>
          <cell r="F68" t="str">
            <v>Gambian Dalasi</v>
          </cell>
          <cell r="G68" t="str">
            <v>GMD</v>
          </cell>
        </row>
        <row r="69">
          <cell r="B69" t="str">
            <v>Georgia</v>
          </cell>
          <cell r="C69" t="str">
            <v>Géorgie</v>
          </cell>
          <cell r="D69" t="str">
            <v>Georgia</v>
          </cell>
          <cell r="E69" t="str">
            <v>Грузия</v>
          </cell>
          <cell r="F69" t="str">
            <v>Lari</v>
          </cell>
          <cell r="G69" t="str">
            <v>GEL</v>
          </cell>
        </row>
        <row r="70">
          <cell r="B70" t="str">
            <v>Germany</v>
          </cell>
          <cell r="C70" t="str">
            <v>Allemagne</v>
          </cell>
          <cell r="D70" t="str">
            <v>Alemania</v>
          </cell>
          <cell r="E70" t="str">
            <v>Германия</v>
          </cell>
          <cell r="F70" t="str">
            <v>Euro</v>
          </cell>
          <cell r="G70" t="str">
            <v>EUR</v>
          </cell>
        </row>
        <row r="71">
          <cell r="B71" t="str">
            <v>Ghana</v>
          </cell>
          <cell r="C71" t="str">
            <v>Ghana</v>
          </cell>
          <cell r="D71" t="str">
            <v>Ghana</v>
          </cell>
          <cell r="E71" t="str">
            <v>Гана</v>
          </cell>
          <cell r="F71" t="str">
            <v>(new) Cedi</v>
          </cell>
          <cell r="G71" t="str">
            <v>GHS</v>
          </cell>
        </row>
        <row r="72">
          <cell r="B72" t="str">
            <v>Gibraltar</v>
          </cell>
          <cell r="C72" t="str">
            <v>Gibraltar</v>
          </cell>
          <cell r="D72" t="str">
            <v>Gibraltar</v>
          </cell>
          <cell r="E72" t="str">
            <v>Гибралтар</v>
          </cell>
          <cell r="F72" t="str">
            <v>Gibraltar Pound</v>
          </cell>
          <cell r="G72" t="str">
            <v>GIP</v>
          </cell>
        </row>
        <row r="73">
          <cell r="B73" t="str">
            <v>Greece</v>
          </cell>
          <cell r="C73" t="str">
            <v>Grèce</v>
          </cell>
          <cell r="D73" t="str">
            <v>Grecia</v>
          </cell>
          <cell r="E73" t="str">
            <v>Греция</v>
          </cell>
          <cell r="F73" t="str">
            <v>Euro</v>
          </cell>
          <cell r="G73" t="str">
            <v>EUR</v>
          </cell>
        </row>
        <row r="74">
          <cell r="B74" t="str">
            <v>Grenada</v>
          </cell>
          <cell r="C74" t="str">
            <v>Grenade</v>
          </cell>
          <cell r="D74" t="str">
            <v>Granada</v>
          </cell>
          <cell r="E74" t="str">
            <v>Гренада</v>
          </cell>
          <cell r="F74" t="str">
            <v>East Caribbean Dollar</v>
          </cell>
          <cell r="G74" t="str">
            <v>XCD</v>
          </cell>
        </row>
        <row r="75">
          <cell r="B75" t="str">
            <v>Guatemala</v>
          </cell>
          <cell r="C75" t="str">
            <v>Guatemala</v>
          </cell>
          <cell r="D75" t="str">
            <v>Guatemala</v>
          </cell>
          <cell r="E75" t="str">
            <v>Гватемала</v>
          </cell>
          <cell r="F75" t="str">
            <v>Quetzal</v>
          </cell>
          <cell r="G75" t="str">
            <v>GTQ</v>
          </cell>
        </row>
        <row r="76">
          <cell r="B76" t="str">
            <v>Guinea</v>
          </cell>
          <cell r="C76" t="str">
            <v>Guinée</v>
          </cell>
          <cell r="D76" t="str">
            <v>Guinea</v>
          </cell>
          <cell r="E76" t="str">
            <v>Гвинея</v>
          </cell>
          <cell r="F76" t="str">
            <v>Guinean Franc</v>
          </cell>
          <cell r="G76" t="str">
            <v>GNF</v>
          </cell>
        </row>
        <row r="77">
          <cell r="B77" t="str">
            <v>Guinea-Bissau</v>
          </cell>
          <cell r="C77" t="str">
            <v>Guinée- Bissau</v>
          </cell>
          <cell r="D77" t="str">
            <v>Guinea-Bissau</v>
          </cell>
          <cell r="E77" t="str">
            <v>Гвинея-Бисау</v>
          </cell>
          <cell r="F77" t="str">
            <v>CFA Franc</v>
          </cell>
          <cell r="G77" t="str">
            <v>XOF</v>
          </cell>
        </row>
        <row r="78">
          <cell r="B78" t="str">
            <v>Guyana</v>
          </cell>
          <cell r="C78" t="str">
            <v>Guyane</v>
          </cell>
          <cell r="D78" t="str">
            <v>Guayana</v>
          </cell>
          <cell r="E78" t="str">
            <v>Гайана</v>
          </cell>
          <cell r="F78" t="str">
            <v>Guyanese Dollar</v>
          </cell>
          <cell r="G78" t="str">
            <v>GYD</v>
          </cell>
        </row>
        <row r="79">
          <cell r="B79" t="str">
            <v>Haiti</v>
          </cell>
          <cell r="C79" t="str">
            <v>Haïti</v>
          </cell>
          <cell r="D79" t="str">
            <v>Haití</v>
          </cell>
          <cell r="E79" t="str">
            <v>Гаити</v>
          </cell>
          <cell r="F79" t="str">
            <v>Haitian Gourde</v>
          </cell>
          <cell r="G79" t="str">
            <v>HTG</v>
          </cell>
        </row>
        <row r="80">
          <cell r="B80" t="str">
            <v>Honduras</v>
          </cell>
          <cell r="C80" t="str">
            <v>Honduras</v>
          </cell>
          <cell r="D80" t="str">
            <v>Honduras</v>
          </cell>
          <cell r="E80" t="str">
            <v>Гондурас</v>
          </cell>
          <cell r="F80" t="str">
            <v>Honduran Lempira</v>
          </cell>
          <cell r="G80" t="str">
            <v>HNL</v>
          </cell>
        </row>
        <row r="81">
          <cell r="B81" t="str">
            <v>Hong Kong</v>
          </cell>
          <cell r="C81" t="str">
            <v>Hong-Kong</v>
          </cell>
          <cell r="D81" t="str">
            <v>Hong Kong</v>
          </cell>
          <cell r="E81" t="str">
            <v>Гонконг</v>
          </cell>
          <cell r="F81" t="str">
            <v>Hong Kong Dollar</v>
          </cell>
          <cell r="G81" t="str">
            <v>HKD</v>
          </cell>
        </row>
        <row r="82">
          <cell r="B82" t="str">
            <v>Hungary</v>
          </cell>
          <cell r="C82" t="str">
            <v>Hongrie</v>
          </cell>
          <cell r="D82" t="str">
            <v>Hungría</v>
          </cell>
          <cell r="E82" t="str">
            <v>Венгрия</v>
          </cell>
          <cell r="F82" t="str">
            <v>Hungarian Forint</v>
          </cell>
          <cell r="G82" t="str">
            <v>HUF</v>
          </cell>
        </row>
        <row r="83">
          <cell r="B83" t="str">
            <v>Iceland</v>
          </cell>
          <cell r="C83" t="str">
            <v>Islande</v>
          </cell>
          <cell r="D83" t="str">
            <v>Islandia</v>
          </cell>
          <cell r="E83" t="str">
            <v>Исландия</v>
          </cell>
          <cell r="F83" t="str">
            <v>Iceland Krona</v>
          </cell>
          <cell r="G83" t="str">
            <v>ISK</v>
          </cell>
        </row>
        <row r="84">
          <cell r="B84" t="str">
            <v>India</v>
          </cell>
          <cell r="C84" t="str">
            <v>Inde</v>
          </cell>
          <cell r="D84" t="str">
            <v>India</v>
          </cell>
          <cell r="E84" t="str">
            <v>Индия</v>
          </cell>
          <cell r="F84" t="str">
            <v>Indian Rupee</v>
          </cell>
          <cell r="G84" t="str">
            <v>INR</v>
          </cell>
        </row>
        <row r="85">
          <cell r="B85" t="str">
            <v>Indonesia</v>
          </cell>
          <cell r="C85" t="str">
            <v>Indonésie</v>
          </cell>
          <cell r="D85" t="str">
            <v>Indonesia</v>
          </cell>
          <cell r="E85" t="str">
            <v>Индонезия</v>
          </cell>
          <cell r="F85" t="str">
            <v>Rupiah</v>
          </cell>
          <cell r="G85" t="str">
            <v>IDR</v>
          </cell>
        </row>
        <row r="86">
          <cell r="B86" t="str">
            <v>Iran (Islamic Republic)</v>
          </cell>
          <cell r="C86" t="str">
            <v>Iran ( République islamique )</v>
          </cell>
          <cell r="D86" t="str">
            <v>Irán ( República Islámica )</v>
          </cell>
          <cell r="E86" t="str">
            <v>Иран (Исламская Республика )</v>
          </cell>
          <cell r="F86" t="str">
            <v>Iranian Rial</v>
          </cell>
          <cell r="G86" t="str">
            <v>IRR</v>
          </cell>
        </row>
        <row r="87">
          <cell r="B87" t="str">
            <v>Iraq</v>
          </cell>
          <cell r="C87" t="str">
            <v>Irak</v>
          </cell>
          <cell r="D87" t="str">
            <v>Irak</v>
          </cell>
          <cell r="E87" t="str">
            <v>Ирак</v>
          </cell>
          <cell r="F87" t="str">
            <v>Iraqi Dinar</v>
          </cell>
          <cell r="G87" t="str">
            <v>IQD</v>
          </cell>
        </row>
        <row r="88">
          <cell r="B88" t="str">
            <v>Ireland</v>
          </cell>
          <cell r="C88" t="str">
            <v>Irlande</v>
          </cell>
          <cell r="D88" t="str">
            <v>Irlanda</v>
          </cell>
          <cell r="E88" t="str">
            <v>Ирландия</v>
          </cell>
          <cell r="F88" t="str">
            <v>Euro</v>
          </cell>
          <cell r="G88" t="str">
            <v>EUR</v>
          </cell>
        </row>
        <row r="89">
          <cell r="B89" t="str">
            <v>Israel</v>
          </cell>
          <cell r="C89" t="str">
            <v>Israël</v>
          </cell>
          <cell r="D89" t="str">
            <v>Israel</v>
          </cell>
          <cell r="E89" t="str">
            <v>Израиль</v>
          </cell>
          <cell r="F89" t="str">
            <v>Shekel</v>
          </cell>
          <cell r="G89" t="str">
            <v>ILS</v>
          </cell>
        </row>
        <row r="90">
          <cell r="B90" t="str">
            <v>Italy</v>
          </cell>
          <cell r="C90" t="str">
            <v>Italie</v>
          </cell>
          <cell r="D90" t="str">
            <v>Italia</v>
          </cell>
          <cell r="E90" t="str">
            <v>Италия</v>
          </cell>
          <cell r="F90" t="str">
            <v>Euro</v>
          </cell>
          <cell r="G90" t="str">
            <v>EUR</v>
          </cell>
        </row>
        <row r="91">
          <cell r="B91" t="str">
            <v>Jamaica</v>
          </cell>
          <cell r="C91" t="str">
            <v>Jamaïque</v>
          </cell>
          <cell r="D91" t="str">
            <v>Jamaica</v>
          </cell>
          <cell r="E91" t="str">
            <v>Ямайка</v>
          </cell>
          <cell r="F91" t="str">
            <v>Jamaican Dollar</v>
          </cell>
          <cell r="G91" t="str">
            <v>JMD</v>
          </cell>
        </row>
        <row r="92">
          <cell r="B92" t="str">
            <v>Japan</v>
          </cell>
          <cell r="C92" t="str">
            <v>Japon</v>
          </cell>
          <cell r="D92" t="str">
            <v>Japón</v>
          </cell>
          <cell r="E92" t="str">
            <v>Япония</v>
          </cell>
          <cell r="F92" t="str">
            <v>Yen</v>
          </cell>
          <cell r="G92" t="str">
            <v>JPY</v>
          </cell>
        </row>
        <row r="93">
          <cell r="B93" t="str">
            <v>Jordan</v>
          </cell>
          <cell r="C93" t="str">
            <v>Jordanie</v>
          </cell>
          <cell r="D93" t="str">
            <v>Jordania</v>
          </cell>
          <cell r="E93" t="str">
            <v>Иордания</v>
          </cell>
          <cell r="F93" t="str">
            <v>Jordanian Dinar</v>
          </cell>
          <cell r="G93" t="str">
            <v>JOD</v>
          </cell>
        </row>
        <row r="94">
          <cell r="B94" t="str">
            <v>Kazakhstan</v>
          </cell>
          <cell r="C94" t="str">
            <v>Kazakhstan</v>
          </cell>
          <cell r="D94" t="str">
            <v>Kazajstán</v>
          </cell>
          <cell r="E94" t="str">
            <v>Казахстан</v>
          </cell>
          <cell r="F94" t="str">
            <v>Tenge</v>
          </cell>
          <cell r="G94" t="str">
            <v>KZT</v>
          </cell>
        </row>
        <row r="95">
          <cell r="B95" t="str">
            <v>Kenya</v>
          </cell>
          <cell r="C95" t="str">
            <v>Kenya</v>
          </cell>
          <cell r="D95" t="str">
            <v>Kenia</v>
          </cell>
          <cell r="E95" t="str">
            <v>Кения</v>
          </cell>
          <cell r="F95" t="str">
            <v>Kenyan Shilling</v>
          </cell>
          <cell r="G95" t="str">
            <v>KES</v>
          </cell>
        </row>
        <row r="96">
          <cell r="B96" t="str">
            <v>Kiribati</v>
          </cell>
          <cell r="C96" t="str">
            <v>Kiribati</v>
          </cell>
          <cell r="D96" t="str">
            <v>Kiribati</v>
          </cell>
          <cell r="E96" t="str">
            <v>Кирибати</v>
          </cell>
          <cell r="F96" t="str">
            <v>Australian Dollar</v>
          </cell>
          <cell r="G96" t="str">
            <v>AUD</v>
          </cell>
        </row>
        <row r="97">
          <cell r="B97" t="str">
            <v>Korea (Democratic Peoples Republic)</v>
          </cell>
          <cell r="C97" t="str">
            <v>Corée ( République populaire démocratique )</v>
          </cell>
          <cell r="D97" t="str">
            <v>Corea ( República Popular Democrática )</v>
          </cell>
          <cell r="E97" t="str">
            <v>Корея ( Корейская Народно-Демократическая Республика)</v>
          </cell>
          <cell r="F97" t="str">
            <v>North Korean Won</v>
          </cell>
          <cell r="G97" t="str">
            <v>KPW</v>
          </cell>
        </row>
        <row r="98">
          <cell r="B98" t="str">
            <v>Korea (Republic)</v>
          </cell>
          <cell r="C98" t="str">
            <v>Corée ( République )</v>
          </cell>
          <cell r="D98" t="str">
            <v>Corea ( República )</v>
          </cell>
          <cell r="E98" t="str">
            <v>Корея (Республика )</v>
          </cell>
          <cell r="F98" t="str">
            <v>South Korean Won</v>
          </cell>
          <cell r="G98" t="str">
            <v>KRW</v>
          </cell>
        </row>
        <row r="99">
          <cell r="B99" t="str">
            <v>Kosovo</v>
          </cell>
          <cell r="C99" t="str">
            <v>Kosovo</v>
          </cell>
          <cell r="D99" t="str">
            <v>Kosovo</v>
          </cell>
          <cell r="E99" t="str">
            <v>Косово</v>
          </cell>
          <cell r="F99" t="str">
            <v>Euro</v>
          </cell>
          <cell r="G99" t="str">
            <v>EUR</v>
          </cell>
        </row>
        <row r="100">
          <cell r="B100" t="str">
            <v>Kuwait</v>
          </cell>
          <cell r="C100" t="str">
            <v>Koweit</v>
          </cell>
          <cell r="D100" t="str">
            <v>Kuwait</v>
          </cell>
          <cell r="E100" t="str">
            <v>Кувейт</v>
          </cell>
          <cell r="F100" t="str">
            <v>Kuwaiti Dinar</v>
          </cell>
          <cell r="G100" t="str">
            <v>KWD</v>
          </cell>
        </row>
        <row r="101">
          <cell r="B101" t="str">
            <v>Kyrgyzstan</v>
          </cell>
          <cell r="C101" t="str">
            <v>Kirghizistan</v>
          </cell>
          <cell r="D101" t="str">
            <v>Kirguistán</v>
          </cell>
          <cell r="E101" t="str">
            <v>Киргизия</v>
          </cell>
          <cell r="F101" t="str">
            <v>Kyrgyzstani Som</v>
          </cell>
          <cell r="G101" t="str">
            <v>KGS</v>
          </cell>
        </row>
        <row r="102">
          <cell r="B102" t="str">
            <v>Lao (Peoples Democratic Republic)</v>
          </cell>
          <cell r="C102" t="str">
            <v>Lao ( République démocratique populaire )</v>
          </cell>
          <cell r="D102" t="str">
            <v>Lao ( República Popular Democrática )</v>
          </cell>
          <cell r="E102" t="str">
            <v>Лао ( Народная Демократическая Республика)</v>
          </cell>
          <cell r="F102" t="str">
            <v>Lao Kip</v>
          </cell>
          <cell r="G102" t="str">
            <v>LAK</v>
          </cell>
        </row>
        <row r="103">
          <cell r="B103" t="str">
            <v>Latvia</v>
          </cell>
          <cell r="C103" t="str">
            <v>Lettonie</v>
          </cell>
          <cell r="D103" t="str">
            <v>Letonia</v>
          </cell>
          <cell r="E103" t="str">
            <v>Латвия</v>
          </cell>
          <cell r="F103" t="str">
            <v>Latvian Lats</v>
          </cell>
          <cell r="G103" t="str">
            <v>LVL</v>
          </cell>
        </row>
        <row r="104">
          <cell r="B104" t="str">
            <v>Lebanon</v>
          </cell>
          <cell r="C104" t="str">
            <v>Liban</v>
          </cell>
          <cell r="D104" t="str">
            <v>Líbano</v>
          </cell>
          <cell r="E104" t="str">
            <v>Ливан</v>
          </cell>
          <cell r="F104" t="str">
            <v>Lebanese Lira</v>
          </cell>
          <cell r="G104" t="str">
            <v>LBP</v>
          </cell>
        </row>
        <row r="105">
          <cell r="B105" t="str">
            <v>Lesotho</v>
          </cell>
          <cell r="C105" t="str">
            <v>Lesotho</v>
          </cell>
          <cell r="D105" t="str">
            <v>Lesoto</v>
          </cell>
          <cell r="E105" t="str">
            <v>Лесото</v>
          </cell>
          <cell r="F105" t="str">
            <v>Lesotho Loti</v>
          </cell>
          <cell r="G105" t="str">
            <v>LSL</v>
          </cell>
        </row>
        <row r="106">
          <cell r="B106" t="str">
            <v>Liberia</v>
          </cell>
          <cell r="C106" t="str">
            <v>Libéria</v>
          </cell>
          <cell r="D106" t="str">
            <v>Liberia</v>
          </cell>
          <cell r="E106" t="str">
            <v>Либерия</v>
          </cell>
          <cell r="F106" t="str">
            <v>Liberian Dollar</v>
          </cell>
          <cell r="G106" t="str">
            <v>LRD</v>
          </cell>
        </row>
        <row r="107">
          <cell r="B107" t="str">
            <v>Libyan Arab Jamahiriya</v>
          </cell>
          <cell r="C107" t="str">
            <v>Jamahiriya arabe libyenne</v>
          </cell>
          <cell r="D107" t="str">
            <v>Jamahiriya Árabe Libia</v>
          </cell>
          <cell r="E107" t="str">
            <v>Ливийская Арабская Джамахирия</v>
          </cell>
          <cell r="F107" t="str">
            <v>Libyan Dinar</v>
          </cell>
          <cell r="G107" t="str">
            <v>LYD</v>
          </cell>
        </row>
        <row r="108">
          <cell r="B108" t="str">
            <v>Liechtenstein</v>
          </cell>
          <cell r="C108" t="str">
            <v>Liechtenstein</v>
          </cell>
          <cell r="D108" t="str">
            <v>Liechtenstein</v>
          </cell>
          <cell r="E108" t="str">
            <v>Лихтенштейн</v>
          </cell>
          <cell r="F108" t="str">
            <v>Swiss Franc</v>
          </cell>
          <cell r="G108" t="str">
            <v>CHF</v>
          </cell>
        </row>
        <row r="109">
          <cell r="B109" t="str">
            <v>Lithuania</v>
          </cell>
          <cell r="C109" t="str">
            <v>Lituanie</v>
          </cell>
          <cell r="D109" t="str">
            <v>Lituania</v>
          </cell>
          <cell r="E109" t="str">
            <v>Литва</v>
          </cell>
          <cell r="F109" t="str">
            <v>Lithuanian Litas</v>
          </cell>
          <cell r="G109" t="str">
            <v>LTL</v>
          </cell>
        </row>
        <row r="110">
          <cell r="B110" t="str">
            <v>Luxembourg</v>
          </cell>
          <cell r="C110" t="str">
            <v>Luxembourg</v>
          </cell>
          <cell r="D110" t="str">
            <v>Luxemburgo</v>
          </cell>
          <cell r="E110" t="str">
            <v>Люксембург</v>
          </cell>
          <cell r="F110" t="str">
            <v>Euro</v>
          </cell>
          <cell r="G110" t="str">
            <v>EUR</v>
          </cell>
        </row>
        <row r="111">
          <cell r="B111" t="str">
            <v>Macao</v>
          </cell>
          <cell r="C111" t="str">
            <v>Macao</v>
          </cell>
          <cell r="D111" t="str">
            <v>Macao</v>
          </cell>
          <cell r="E111" t="str">
            <v>Макао</v>
          </cell>
          <cell r="F111" t="str">
            <v>Macanese Pataca</v>
          </cell>
          <cell r="G111" t="str">
            <v>MOP</v>
          </cell>
        </row>
        <row r="112">
          <cell r="B112" t="str">
            <v>Macedonia (Former Yugoslav Republic)</v>
          </cell>
          <cell r="C112" t="str">
            <v>Macédoine ( ex-République yougoslave )</v>
          </cell>
          <cell r="D112" t="str">
            <v>Macedonia ( Antigua República Yugoslava )</v>
          </cell>
          <cell r="E112" t="str">
            <v>Македония ( бывшая республика Югославии )</v>
          </cell>
          <cell r="F112" t="str">
            <v>Denar</v>
          </cell>
          <cell r="G112" t="str">
            <v>MKD</v>
          </cell>
        </row>
        <row r="113">
          <cell r="B113" t="str">
            <v>Madagascar</v>
          </cell>
          <cell r="C113" t="str">
            <v>Madagascar</v>
          </cell>
          <cell r="D113" t="str">
            <v>Madagascar</v>
          </cell>
          <cell r="E113" t="str">
            <v>Мадагаскар</v>
          </cell>
          <cell r="F113" t="str">
            <v>Malagasy Ariary</v>
          </cell>
          <cell r="G113" t="str">
            <v>MGA</v>
          </cell>
        </row>
        <row r="114">
          <cell r="B114" t="str">
            <v>Malawi</v>
          </cell>
          <cell r="C114" t="str">
            <v>Malawi</v>
          </cell>
          <cell r="D114" t="str">
            <v>Malawi</v>
          </cell>
          <cell r="E114" t="str">
            <v>Малави</v>
          </cell>
          <cell r="F114" t="str">
            <v>Malawian Kwacha</v>
          </cell>
          <cell r="G114" t="str">
            <v>MWK</v>
          </cell>
        </row>
        <row r="115">
          <cell r="B115" t="str">
            <v>Malaysia</v>
          </cell>
          <cell r="C115" t="str">
            <v>Malaisie</v>
          </cell>
          <cell r="D115" t="str">
            <v>Malasia</v>
          </cell>
          <cell r="E115" t="str">
            <v>Малайзия</v>
          </cell>
          <cell r="F115" t="str">
            <v>Malaysian Ringgit</v>
          </cell>
          <cell r="G115" t="str">
            <v>MYR</v>
          </cell>
        </row>
        <row r="116">
          <cell r="B116" t="str">
            <v>Maldives</v>
          </cell>
          <cell r="C116" t="str">
            <v>Maldives</v>
          </cell>
          <cell r="D116" t="str">
            <v>Maldivas</v>
          </cell>
          <cell r="E116" t="str">
            <v>Мальдивы</v>
          </cell>
          <cell r="F116" t="str">
            <v>Maldivian Rufiyaa</v>
          </cell>
          <cell r="G116" t="str">
            <v>MVR</v>
          </cell>
        </row>
        <row r="117">
          <cell r="B117" t="str">
            <v>Mali</v>
          </cell>
          <cell r="C117" t="str">
            <v>Mali</v>
          </cell>
          <cell r="D117" t="str">
            <v>Malí</v>
          </cell>
          <cell r="E117" t="str">
            <v>Мали</v>
          </cell>
          <cell r="F117" t="str">
            <v>CFA Franc</v>
          </cell>
          <cell r="G117" t="str">
            <v>XOF</v>
          </cell>
        </row>
        <row r="118">
          <cell r="B118" t="str">
            <v>Malta</v>
          </cell>
          <cell r="C118" t="str">
            <v>Malte</v>
          </cell>
          <cell r="D118" t="str">
            <v>Malta</v>
          </cell>
          <cell r="E118" t="str">
            <v>Мальта</v>
          </cell>
          <cell r="F118" t="str">
            <v>Euro</v>
          </cell>
          <cell r="G118" t="str">
            <v>EUR</v>
          </cell>
        </row>
        <row r="119">
          <cell r="B119" t="str">
            <v>Mauritania</v>
          </cell>
          <cell r="C119" t="str">
            <v>Mauritanie</v>
          </cell>
          <cell r="D119" t="str">
            <v>Mauritania</v>
          </cell>
          <cell r="E119" t="str">
            <v>Мавритания</v>
          </cell>
          <cell r="F119" t="str">
            <v>Mauritanian Ouguiya</v>
          </cell>
          <cell r="G119" t="str">
            <v>MRO</v>
          </cell>
        </row>
        <row r="120">
          <cell r="B120" t="str">
            <v>Mauritius</v>
          </cell>
          <cell r="C120" t="str">
            <v>Maurice</v>
          </cell>
          <cell r="D120" t="str">
            <v>Mauricio</v>
          </cell>
          <cell r="E120" t="str">
            <v>Маврикий</v>
          </cell>
          <cell r="F120" t="str">
            <v>Mauritian Rupee</v>
          </cell>
          <cell r="G120" t="str">
            <v>MUR</v>
          </cell>
        </row>
        <row r="121">
          <cell r="B121" t="str">
            <v>Mexico</v>
          </cell>
          <cell r="C121" t="str">
            <v>Mexique</v>
          </cell>
          <cell r="D121" t="str">
            <v>México</v>
          </cell>
          <cell r="E121" t="str">
            <v>Мексика</v>
          </cell>
          <cell r="F121" t="str">
            <v>Mexican Peso</v>
          </cell>
          <cell r="G121" t="str">
            <v>MXN</v>
          </cell>
        </row>
        <row r="122">
          <cell r="B122" t="str">
            <v>Micronesia (Federated States)</v>
          </cell>
          <cell r="C122" t="str">
            <v>Micronésie (États fédérés )</v>
          </cell>
          <cell r="D122" t="str">
            <v>Micronesia ( Estados Federados )</v>
          </cell>
          <cell r="E122" t="str">
            <v>Микронезия (Федеративные Штаты )</v>
          </cell>
          <cell r="F122" t="str">
            <v>United States Dollar</v>
          </cell>
          <cell r="G122" t="str">
            <v>USD</v>
          </cell>
        </row>
        <row r="123">
          <cell r="B123" t="str">
            <v>Moldova</v>
          </cell>
          <cell r="C123" t="str">
            <v>Moldavie</v>
          </cell>
          <cell r="D123" t="str">
            <v>Moldavia</v>
          </cell>
          <cell r="E123" t="str">
            <v>Молдова</v>
          </cell>
          <cell r="F123" t="str">
            <v>Moldovan Leu</v>
          </cell>
          <cell r="G123" t="str">
            <v>MDL</v>
          </cell>
        </row>
        <row r="124">
          <cell r="B124" t="str">
            <v>Monaco</v>
          </cell>
          <cell r="C124" t="str">
            <v>Monaco</v>
          </cell>
          <cell r="D124" t="str">
            <v>Mónaco</v>
          </cell>
          <cell r="E124" t="str">
            <v>Монако</v>
          </cell>
          <cell r="F124" t="str">
            <v>Euro</v>
          </cell>
          <cell r="G124" t="str">
            <v>EUR</v>
          </cell>
        </row>
        <row r="125">
          <cell r="B125" t="str">
            <v>Mongolia</v>
          </cell>
          <cell r="C125" t="str">
            <v>Mongolie</v>
          </cell>
          <cell r="D125" t="str">
            <v>Mongolia</v>
          </cell>
          <cell r="E125" t="str">
            <v>Монголия</v>
          </cell>
          <cell r="F125" t="str">
            <v>Mongolian Tugrik</v>
          </cell>
          <cell r="G125" t="str">
            <v>MNT</v>
          </cell>
        </row>
        <row r="126">
          <cell r="B126" t="str">
            <v>Montenegro</v>
          </cell>
          <cell r="C126" t="str">
            <v>Monténégro</v>
          </cell>
          <cell r="D126" t="str">
            <v>Montenegro</v>
          </cell>
          <cell r="E126" t="str">
            <v>Черногория</v>
          </cell>
          <cell r="F126" t="str">
            <v>Euro</v>
          </cell>
          <cell r="G126" t="str">
            <v>EUR</v>
          </cell>
        </row>
        <row r="127">
          <cell r="B127" t="str">
            <v>Montserrat</v>
          </cell>
          <cell r="C127" t="str">
            <v>Montserrat</v>
          </cell>
          <cell r="D127" t="str">
            <v>Montserrat</v>
          </cell>
          <cell r="E127" t="str">
            <v>Монтсеррат</v>
          </cell>
          <cell r="F127" t="str">
            <v>East Caribbean Dollar</v>
          </cell>
          <cell r="G127" t="str">
            <v>XCD</v>
          </cell>
        </row>
        <row r="128">
          <cell r="B128" t="str">
            <v>Morocco</v>
          </cell>
          <cell r="C128" t="str">
            <v>Maroc</v>
          </cell>
          <cell r="D128" t="str">
            <v>Marruecos</v>
          </cell>
          <cell r="E128" t="str">
            <v>Марокко</v>
          </cell>
          <cell r="F128" t="str">
            <v>Moroccan Dirham</v>
          </cell>
          <cell r="G128" t="str">
            <v>MAD</v>
          </cell>
        </row>
        <row r="129">
          <cell r="B129" t="str">
            <v>Mozambique</v>
          </cell>
          <cell r="C129" t="str">
            <v>Mozambique</v>
          </cell>
          <cell r="D129" t="str">
            <v>Mozambique</v>
          </cell>
          <cell r="E129" t="str">
            <v>Мозамбик</v>
          </cell>
          <cell r="F129" t="str">
            <v>Mozambican Metical</v>
          </cell>
          <cell r="G129" t="str">
            <v>MZM</v>
          </cell>
        </row>
        <row r="130">
          <cell r="B130" t="str">
            <v>Myanmar</v>
          </cell>
          <cell r="C130" t="str">
            <v>Myanmar</v>
          </cell>
          <cell r="D130" t="str">
            <v>Myanmar</v>
          </cell>
          <cell r="E130" t="str">
            <v>Мьянма</v>
          </cell>
          <cell r="F130" t="str">
            <v>Myanma Kyat</v>
          </cell>
          <cell r="G130" t="str">
            <v>MMK</v>
          </cell>
        </row>
        <row r="131">
          <cell r="B131" t="str">
            <v>Namibia</v>
          </cell>
          <cell r="C131" t="str">
            <v>Namibie</v>
          </cell>
          <cell r="D131" t="str">
            <v>Namibia</v>
          </cell>
          <cell r="E131" t="str">
            <v>Намибия</v>
          </cell>
          <cell r="F131" t="str">
            <v>Namibian Dollar</v>
          </cell>
          <cell r="G131" t="str">
            <v>NAD</v>
          </cell>
        </row>
        <row r="132">
          <cell r="B132" t="str">
            <v>Nauru</v>
          </cell>
          <cell r="C132" t="str">
            <v>Nauru</v>
          </cell>
          <cell r="D132" t="str">
            <v>Nauru</v>
          </cell>
          <cell r="E132" t="str">
            <v>Науру</v>
          </cell>
          <cell r="F132" t="str">
            <v>Australian Dollar</v>
          </cell>
          <cell r="G132" t="str">
            <v>AUD</v>
          </cell>
        </row>
        <row r="133">
          <cell r="B133" t="str">
            <v>Nepal</v>
          </cell>
          <cell r="C133" t="str">
            <v>Népal</v>
          </cell>
          <cell r="D133" t="str">
            <v>Nepal</v>
          </cell>
          <cell r="E133" t="str">
            <v>Непал</v>
          </cell>
          <cell r="F133" t="str">
            <v>Nepalese Rupee</v>
          </cell>
          <cell r="G133" t="str">
            <v>NPR</v>
          </cell>
        </row>
        <row r="134">
          <cell r="B134" t="str">
            <v>Netherlands</v>
          </cell>
          <cell r="C134" t="str">
            <v>Pays-Bas</v>
          </cell>
          <cell r="D134" t="str">
            <v>Países Bajos</v>
          </cell>
          <cell r="E134" t="str">
            <v>Нидерланды</v>
          </cell>
          <cell r="F134" t="str">
            <v>Euro</v>
          </cell>
          <cell r="G134" t="str">
            <v>EUR</v>
          </cell>
        </row>
        <row r="135">
          <cell r="B135" t="str">
            <v>Netherlands Antilles</v>
          </cell>
          <cell r="C135" t="str">
            <v>Antilles néerlandaises</v>
          </cell>
          <cell r="D135" t="str">
            <v>Antillas Holandesas</v>
          </cell>
          <cell r="E135" t="str">
            <v>Нидерландские Антильские острова</v>
          </cell>
          <cell r="F135" t="str">
            <v>Netherlands Antillean Gulden</v>
          </cell>
          <cell r="G135" t="str">
            <v>ANG</v>
          </cell>
        </row>
        <row r="136">
          <cell r="B136" t="str">
            <v>New Caledonia</v>
          </cell>
          <cell r="C136" t="str">
            <v>Nouvelle-Calédonie</v>
          </cell>
          <cell r="D136" t="str">
            <v>Nueva Caledonia</v>
          </cell>
          <cell r="E136" t="str">
            <v>Новая Каледония</v>
          </cell>
          <cell r="F136" t="str">
            <v>CFP Franc</v>
          </cell>
          <cell r="G136" t="str">
            <v>XPF</v>
          </cell>
        </row>
        <row r="137">
          <cell r="B137" t="str">
            <v>New Zealand</v>
          </cell>
          <cell r="C137" t="str">
            <v>nouvelle-Zélande</v>
          </cell>
          <cell r="D137" t="str">
            <v>Nueva Zelandia</v>
          </cell>
          <cell r="E137" t="str">
            <v>Новая Зеландия</v>
          </cell>
          <cell r="F137" t="str">
            <v>New Zealand Dollar</v>
          </cell>
          <cell r="G137" t="str">
            <v>NZD</v>
          </cell>
        </row>
        <row r="138">
          <cell r="B138" t="str">
            <v>Nicaragua</v>
          </cell>
          <cell r="C138" t="str">
            <v>Nicaragua</v>
          </cell>
          <cell r="D138" t="str">
            <v>Nicaragua</v>
          </cell>
          <cell r="E138" t="str">
            <v>Никарагуа</v>
          </cell>
          <cell r="F138" t="str">
            <v>Nicaraguan Cordoba</v>
          </cell>
          <cell r="G138" t="str">
            <v>NIO</v>
          </cell>
        </row>
        <row r="139">
          <cell r="B139" t="str">
            <v>Niger</v>
          </cell>
          <cell r="C139" t="str">
            <v>Niger</v>
          </cell>
          <cell r="D139" t="str">
            <v>Níger</v>
          </cell>
          <cell r="E139" t="str">
            <v>Нигер</v>
          </cell>
          <cell r="F139" t="str">
            <v>CFA Franc</v>
          </cell>
          <cell r="G139" t="str">
            <v>XOF</v>
          </cell>
        </row>
        <row r="140">
          <cell r="B140" t="str">
            <v>Nigeria</v>
          </cell>
          <cell r="C140" t="str">
            <v>Nigeria</v>
          </cell>
          <cell r="D140" t="str">
            <v>Nigeria</v>
          </cell>
          <cell r="E140" t="str">
            <v>Нигерия</v>
          </cell>
          <cell r="F140" t="str">
            <v>Naira</v>
          </cell>
          <cell r="G140" t="str">
            <v>NGN</v>
          </cell>
        </row>
        <row r="141">
          <cell r="B141" t="str">
            <v>Norway</v>
          </cell>
          <cell r="C141" t="str">
            <v>Norvège</v>
          </cell>
          <cell r="D141" t="str">
            <v>Noruega</v>
          </cell>
          <cell r="E141" t="str">
            <v>Норвегия</v>
          </cell>
          <cell r="F141" t="str">
            <v>Norway Krone</v>
          </cell>
          <cell r="G141" t="str">
            <v>NOK</v>
          </cell>
        </row>
        <row r="142">
          <cell r="B142" t="str">
            <v>Oman</v>
          </cell>
          <cell r="C142" t="str">
            <v>Oman</v>
          </cell>
          <cell r="D142" t="str">
            <v>Omán</v>
          </cell>
          <cell r="E142" t="str">
            <v>Оман</v>
          </cell>
          <cell r="F142" t="str">
            <v>Omani Rial</v>
          </cell>
          <cell r="G142" t="str">
            <v>OMR</v>
          </cell>
        </row>
        <row r="143">
          <cell r="B143" t="str">
            <v>Pakistan</v>
          </cell>
          <cell r="C143" t="str">
            <v>Pakistan</v>
          </cell>
          <cell r="D143" t="str">
            <v>Pakistán</v>
          </cell>
          <cell r="E143" t="str">
            <v>Пакистан</v>
          </cell>
          <cell r="F143" t="str">
            <v>Pakistani Rupee</v>
          </cell>
          <cell r="G143" t="str">
            <v>PKR</v>
          </cell>
        </row>
        <row r="144">
          <cell r="B144" t="str">
            <v>Palau</v>
          </cell>
          <cell r="C144" t="str">
            <v>Palau</v>
          </cell>
          <cell r="D144" t="str">
            <v>Palau</v>
          </cell>
          <cell r="E144" t="str">
            <v>Палау</v>
          </cell>
          <cell r="F144" t="str">
            <v>United States Dollar</v>
          </cell>
          <cell r="G144" t="str">
            <v>USD</v>
          </cell>
        </row>
        <row r="145">
          <cell r="B145" t="str">
            <v>Palestine</v>
          </cell>
          <cell r="C145" t="str">
            <v>Palestine</v>
          </cell>
          <cell r="D145" t="str">
            <v>Palestina</v>
          </cell>
          <cell r="E145" t="str">
            <v>Палестина</v>
          </cell>
          <cell r="F145" t="str">
            <v>Shekel</v>
          </cell>
          <cell r="G145" t="str">
            <v>ILS</v>
          </cell>
        </row>
        <row r="146">
          <cell r="B146" t="str">
            <v>Panama</v>
          </cell>
          <cell r="C146" t="str">
            <v>Panama</v>
          </cell>
          <cell r="D146" t="str">
            <v>Panamá</v>
          </cell>
          <cell r="E146" t="str">
            <v>Панама</v>
          </cell>
          <cell r="F146" t="str">
            <v>Panamanian Balboa</v>
          </cell>
          <cell r="G146" t="str">
            <v>PAB</v>
          </cell>
        </row>
        <row r="147">
          <cell r="B147" t="str">
            <v>Papua New Guinea</v>
          </cell>
          <cell r="C147" t="str">
            <v>Papouasie-Nouvelle- Guinée</v>
          </cell>
          <cell r="D147" t="str">
            <v>Papua Nueva Guinea</v>
          </cell>
          <cell r="E147" t="str">
            <v>Папуа-Новая Гвинея</v>
          </cell>
          <cell r="F147" t="str">
            <v>Kina</v>
          </cell>
          <cell r="G147" t="str">
            <v>PGK</v>
          </cell>
        </row>
        <row r="148">
          <cell r="B148" t="str">
            <v>Paraguay</v>
          </cell>
          <cell r="C148" t="str">
            <v>Paraguay</v>
          </cell>
          <cell r="D148" t="str">
            <v>Paraguay</v>
          </cell>
          <cell r="E148" t="str">
            <v>Парагвай</v>
          </cell>
          <cell r="F148" t="str">
            <v>Guarani</v>
          </cell>
          <cell r="G148" t="str">
            <v>PYG</v>
          </cell>
        </row>
        <row r="149">
          <cell r="B149" t="str">
            <v>Peru</v>
          </cell>
          <cell r="C149" t="str">
            <v>Pérou</v>
          </cell>
          <cell r="D149" t="str">
            <v>Perú</v>
          </cell>
          <cell r="E149" t="str">
            <v>Перу</v>
          </cell>
          <cell r="F149" t="str">
            <v>Peruvian Nuevo Sol</v>
          </cell>
          <cell r="G149" t="str">
            <v>PEN</v>
          </cell>
        </row>
        <row r="150">
          <cell r="B150" t="str">
            <v>Philippines</v>
          </cell>
          <cell r="C150" t="str">
            <v>Philippines</v>
          </cell>
          <cell r="D150" t="str">
            <v>Filipinas</v>
          </cell>
          <cell r="E150" t="str">
            <v>Филиппины</v>
          </cell>
          <cell r="F150" t="str">
            <v>Philippine Peso</v>
          </cell>
          <cell r="G150" t="str">
            <v>PHP</v>
          </cell>
        </row>
        <row r="151">
          <cell r="B151" t="str">
            <v>Poland</v>
          </cell>
          <cell r="C151" t="str">
            <v>Pologne</v>
          </cell>
          <cell r="D151" t="str">
            <v>Polonia</v>
          </cell>
          <cell r="E151" t="str">
            <v>Польша</v>
          </cell>
          <cell r="F151" t="str">
            <v>Polish Zloty</v>
          </cell>
          <cell r="G151" t="str">
            <v>PLN</v>
          </cell>
        </row>
        <row r="152">
          <cell r="B152" t="str">
            <v>Portugal</v>
          </cell>
          <cell r="C152" t="str">
            <v>Portugal</v>
          </cell>
          <cell r="D152" t="str">
            <v>Portugal</v>
          </cell>
          <cell r="E152" t="str">
            <v>Португалия</v>
          </cell>
          <cell r="F152" t="str">
            <v>Euro</v>
          </cell>
          <cell r="G152" t="str">
            <v>EUR</v>
          </cell>
        </row>
        <row r="153">
          <cell r="B153" t="str">
            <v>Puerto Rico</v>
          </cell>
          <cell r="C153" t="str">
            <v>Puerto Rico</v>
          </cell>
          <cell r="D153" t="str">
            <v>Puerto Rico</v>
          </cell>
          <cell r="E153" t="str">
            <v>Пуэрто-Рико</v>
          </cell>
          <cell r="F153" t="str">
            <v>United States Dollar</v>
          </cell>
          <cell r="G153" t="str">
            <v>USD</v>
          </cell>
        </row>
        <row r="154">
          <cell r="B154" t="str">
            <v>Qatar</v>
          </cell>
          <cell r="C154" t="str">
            <v>Qatar</v>
          </cell>
          <cell r="D154" t="str">
            <v>Katar</v>
          </cell>
          <cell r="E154" t="str">
            <v>Катар</v>
          </cell>
          <cell r="F154" t="str">
            <v>Qatari Riyal</v>
          </cell>
          <cell r="G154" t="str">
            <v>QAR</v>
          </cell>
        </row>
        <row r="155">
          <cell r="B155" t="str">
            <v>Romania</v>
          </cell>
          <cell r="C155" t="str">
            <v>Roumanie</v>
          </cell>
          <cell r="D155" t="str">
            <v>Rumania</v>
          </cell>
          <cell r="E155" t="str">
            <v>Румыния</v>
          </cell>
          <cell r="F155" t="str">
            <v>Romanian Leu</v>
          </cell>
          <cell r="G155" t="str">
            <v>RON</v>
          </cell>
        </row>
        <row r="156">
          <cell r="B156" t="str">
            <v>Russian Federation</v>
          </cell>
          <cell r="C156" t="str">
            <v>Fédération de Russie</v>
          </cell>
          <cell r="D156" t="str">
            <v>Federación de Rusia</v>
          </cell>
          <cell r="E156" t="str">
            <v>Русский Федерация</v>
          </cell>
          <cell r="F156" t="str">
            <v>Russian Ruble</v>
          </cell>
          <cell r="G156" t="str">
            <v>RUB</v>
          </cell>
        </row>
        <row r="157">
          <cell r="B157" t="str">
            <v>Rwanda</v>
          </cell>
          <cell r="C157" t="str">
            <v>Rwanda</v>
          </cell>
          <cell r="D157" t="str">
            <v>Ruanda</v>
          </cell>
          <cell r="E157" t="str">
            <v>Руанда</v>
          </cell>
          <cell r="F157" t="str">
            <v>Rwandan Franc</v>
          </cell>
          <cell r="G157" t="str">
            <v>RWF</v>
          </cell>
        </row>
        <row r="158">
          <cell r="B158" t="str">
            <v>Saint Helena</v>
          </cell>
          <cell r="C158" t="str">
            <v>Sainte-Hélène</v>
          </cell>
          <cell r="D158" t="str">
            <v>Santa Elena</v>
          </cell>
          <cell r="E158" t="str">
            <v>Остров Святой Елены</v>
          </cell>
          <cell r="F158" t="str">
            <v>Saint Helena Pound</v>
          </cell>
          <cell r="G158" t="str">
            <v>SHP</v>
          </cell>
        </row>
        <row r="159">
          <cell r="B159" t="str">
            <v>Saint Kitts and Nevis</v>
          </cell>
          <cell r="C159" t="str">
            <v>Saint-Kitts- et-Nevis</v>
          </cell>
          <cell r="D159" t="str">
            <v>Saint Kitts y Nevis</v>
          </cell>
          <cell r="E159" t="str">
            <v>Сент-Китс и Невис</v>
          </cell>
          <cell r="F159" t="str">
            <v>East Caribbean Dollar</v>
          </cell>
          <cell r="G159" t="str">
            <v>XCD</v>
          </cell>
        </row>
        <row r="160">
          <cell r="B160" t="str">
            <v>Saint Lucia</v>
          </cell>
          <cell r="C160" t="str">
            <v>Sainte-Lucie</v>
          </cell>
          <cell r="D160" t="str">
            <v>Santa Lucía</v>
          </cell>
          <cell r="E160" t="str">
            <v>Сент-Люсия</v>
          </cell>
          <cell r="F160" t="str">
            <v>East Caribbean Dollar</v>
          </cell>
          <cell r="G160" t="str">
            <v>XCD</v>
          </cell>
        </row>
        <row r="161">
          <cell r="B161" t="str">
            <v>Saint Vincent and Grenadines</v>
          </cell>
          <cell r="C161" t="str">
            <v>Saint-Vincent- et-les Grenadines</v>
          </cell>
          <cell r="D161" t="str">
            <v>San Vicente y Granadinas</v>
          </cell>
          <cell r="E161" t="str">
            <v>Сент-Винсент и Гренадины</v>
          </cell>
          <cell r="F161" t="str">
            <v>East Caribbean Dollar</v>
          </cell>
          <cell r="G161" t="str">
            <v>XCD</v>
          </cell>
        </row>
        <row r="162">
          <cell r="B162" t="str">
            <v>Samoa</v>
          </cell>
          <cell r="C162" t="str">
            <v>Samoa</v>
          </cell>
          <cell r="D162" t="str">
            <v>Samoa</v>
          </cell>
          <cell r="E162" t="str">
            <v>Самоа</v>
          </cell>
          <cell r="F162" t="str">
            <v>Samoan Tala</v>
          </cell>
          <cell r="G162" t="str">
            <v>WST</v>
          </cell>
        </row>
        <row r="163">
          <cell r="B163" t="str">
            <v>San Marino</v>
          </cell>
          <cell r="C163" t="str">
            <v>San Marino</v>
          </cell>
          <cell r="D163" t="str">
            <v>San Marino</v>
          </cell>
          <cell r="E163" t="str">
            <v>Сан - Марино</v>
          </cell>
          <cell r="F163" t="str">
            <v>Euro</v>
          </cell>
          <cell r="G163" t="str">
            <v>EUR</v>
          </cell>
        </row>
        <row r="164">
          <cell r="B164" t="str">
            <v>Sao Tome and Principe</v>
          </cell>
          <cell r="C164" t="str">
            <v>Sao Tomé et Principe</v>
          </cell>
          <cell r="D164" t="str">
            <v>Santo Tomé y Príncipe</v>
          </cell>
          <cell r="E164" t="str">
            <v>Сан-Томе и Принсипи</v>
          </cell>
          <cell r="F164" t="str">
            <v>Sao Tome and Principe Dobra</v>
          </cell>
          <cell r="G164" t="str">
            <v>STD</v>
          </cell>
        </row>
        <row r="165">
          <cell r="B165" t="str">
            <v>Saudi Arabia</v>
          </cell>
          <cell r="C165" t="str">
            <v>Arabie Saoudite</v>
          </cell>
          <cell r="D165" t="str">
            <v>Arabia Saudita</v>
          </cell>
          <cell r="E165" t="str">
            <v>Саудовская Аравия</v>
          </cell>
          <cell r="F165" t="str">
            <v>Saudi Riyal</v>
          </cell>
          <cell r="G165" t="str">
            <v>SAR</v>
          </cell>
        </row>
        <row r="166">
          <cell r="B166" t="str">
            <v>Senegal</v>
          </cell>
          <cell r="C166" t="str">
            <v>Sénégal</v>
          </cell>
          <cell r="D166" t="str">
            <v>Senegal</v>
          </cell>
          <cell r="E166" t="str">
            <v>Сенегал</v>
          </cell>
          <cell r="F166" t="str">
            <v>CFA Franc</v>
          </cell>
          <cell r="G166" t="str">
            <v>XOF</v>
          </cell>
        </row>
        <row r="167">
          <cell r="B167" t="str">
            <v>Serbia</v>
          </cell>
          <cell r="C167" t="str">
            <v>Serbie</v>
          </cell>
          <cell r="D167" t="str">
            <v>Serbia</v>
          </cell>
          <cell r="E167" t="str">
            <v>Сербия</v>
          </cell>
          <cell r="F167" t="str">
            <v>Dinar</v>
          </cell>
          <cell r="G167" t="str">
            <v>RSD</v>
          </cell>
        </row>
        <row r="168">
          <cell r="B168" t="str">
            <v>Seychelles</v>
          </cell>
          <cell r="C168" t="str">
            <v>Seychelles</v>
          </cell>
          <cell r="D168" t="str">
            <v>Seychelles</v>
          </cell>
          <cell r="E168" t="str">
            <v>Сейшельские острова</v>
          </cell>
          <cell r="F168" t="str">
            <v>Seychellois Rupee</v>
          </cell>
          <cell r="G168" t="str">
            <v>SCR</v>
          </cell>
        </row>
        <row r="169">
          <cell r="B169" t="str">
            <v>Sierra Leone</v>
          </cell>
          <cell r="C169" t="str">
            <v>Sierra Leone</v>
          </cell>
          <cell r="D169" t="str">
            <v>Sierra Leona</v>
          </cell>
          <cell r="E169" t="str">
            <v>Сьерра-Леоне</v>
          </cell>
          <cell r="F169" t="str">
            <v>Leone</v>
          </cell>
          <cell r="G169" t="str">
            <v>SLL</v>
          </cell>
        </row>
        <row r="170">
          <cell r="B170" t="str">
            <v>Singapore</v>
          </cell>
          <cell r="C170" t="str">
            <v>Singapour</v>
          </cell>
          <cell r="D170" t="str">
            <v>Singapur</v>
          </cell>
          <cell r="E170" t="str">
            <v>Сингапур</v>
          </cell>
          <cell r="F170" t="str">
            <v>Singapore Dollar</v>
          </cell>
          <cell r="G170" t="str">
            <v>SGD</v>
          </cell>
        </row>
        <row r="171">
          <cell r="B171" t="str">
            <v>Slovakia</v>
          </cell>
          <cell r="C171" t="str">
            <v>Slovaquie</v>
          </cell>
          <cell r="D171" t="str">
            <v>Eslovaquia</v>
          </cell>
          <cell r="E171" t="str">
            <v>Словакия</v>
          </cell>
          <cell r="F171" t="str">
            <v>Slovak Koruna</v>
          </cell>
          <cell r="G171" t="str">
            <v>SKK</v>
          </cell>
        </row>
        <row r="172">
          <cell r="B172" t="str">
            <v>Slovenia</v>
          </cell>
          <cell r="C172" t="str">
            <v>Slovénie</v>
          </cell>
          <cell r="D172" t="str">
            <v>Eslovenia</v>
          </cell>
          <cell r="E172" t="str">
            <v>Словения</v>
          </cell>
          <cell r="F172" t="str">
            <v>Euro</v>
          </cell>
          <cell r="G172" t="str">
            <v>EUR</v>
          </cell>
        </row>
        <row r="173">
          <cell r="B173" t="str">
            <v>Solomon Islands</v>
          </cell>
          <cell r="C173" t="str">
            <v>Îles Salomon</v>
          </cell>
          <cell r="D173" t="str">
            <v>islas Salomón</v>
          </cell>
          <cell r="E173" t="str">
            <v>Соломоновы Острова</v>
          </cell>
          <cell r="F173" t="str">
            <v>Solomon Islands Dollar</v>
          </cell>
          <cell r="G173" t="str">
            <v>SBD</v>
          </cell>
        </row>
        <row r="174">
          <cell r="B174" t="str">
            <v>Somalia</v>
          </cell>
          <cell r="C174" t="str">
            <v>Somalie</v>
          </cell>
          <cell r="D174" t="str">
            <v>Somalia</v>
          </cell>
          <cell r="E174" t="str">
            <v>Сомали</v>
          </cell>
          <cell r="F174" t="str">
            <v>Somali Shilling</v>
          </cell>
          <cell r="G174" t="str">
            <v>SOS</v>
          </cell>
        </row>
        <row r="175">
          <cell r="B175" t="str">
            <v>South Africa</v>
          </cell>
          <cell r="C175" t="str">
            <v>Afrique du Sud</v>
          </cell>
          <cell r="D175" t="str">
            <v>Sudáfrica</v>
          </cell>
          <cell r="E175" t="str">
            <v>ЮАР</v>
          </cell>
          <cell r="F175" t="str">
            <v>[Rand]</v>
          </cell>
          <cell r="G175" t="str">
            <v>ZAR</v>
          </cell>
        </row>
        <row r="176">
          <cell r="B176" t="str">
            <v>South Sudan</v>
          </cell>
          <cell r="C176" t="str">
            <v>Sud-Soudan</v>
          </cell>
          <cell r="D176" t="str">
            <v>Sudán del Sur</v>
          </cell>
          <cell r="E176" t="str">
            <v>Южный Судан</v>
          </cell>
          <cell r="F176" t="str">
            <v>South Sudanese Pound</v>
          </cell>
          <cell r="G176" t="str">
            <v>SSP</v>
          </cell>
        </row>
        <row r="177">
          <cell r="B177" t="str">
            <v>Spain</v>
          </cell>
          <cell r="C177" t="str">
            <v>Espagne</v>
          </cell>
          <cell r="D177" t="str">
            <v>España</v>
          </cell>
          <cell r="E177" t="str">
            <v>Испания</v>
          </cell>
          <cell r="F177" t="str">
            <v>Euro</v>
          </cell>
          <cell r="G177" t="str">
            <v>EUR</v>
          </cell>
        </row>
        <row r="178">
          <cell r="B178" t="str">
            <v>Sri Lanka</v>
          </cell>
          <cell r="C178" t="str">
            <v>Sri Lanka</v>
          </cell>
          <cell r="D178" t="str">
            <v>Sri Lanka</v>
          </cell>
          <cell r="E178" t="str">
            <v>Шри Ланка</v>
          </cell>
          <cell r="F178" t="str">
            <v>Sri Lankan Rupee</v>
          </cell>
          <cell r="G178" t="str">
            <v>LKR</v>
          </cell>
        </row>
        <row r="179">
          <cell r="B179" t="str">
            <v>Sudan</v>
          </cell>
          <cell r="C179" t="str">
            <v>Soudan</v>
          </cell>
          <cell r="D179" t="str">
            <v>Sudán</v>
          </cell>
          <cell r="E179" t="str">
            <v>Судан</v>
          </cell>
          <cell r="F179" t="str">
            <v>Sudanese Pound</v>
          </cell>
          <cell r="G179" t="str">
            <v>SDG</v>
          </cell>
        </row>
        <row r="180">
          <cell r="B180" t="str">
            <v>Suriname</v>
          </cell>
          <cell r="C180" t="str">
            <v>Suriname</v>
          </cell>
          <cell r="D180" t="str">
            <v>Suriname</v>
          </cell>
          <cell r="E180" t="str">
            <v>Суринам</v>
          </cell>
          <cell r="F180" t="str">
            <v>Surinamese Dollar</v>
          </cell>
          <cell r="G180" t="str">
            <v>SRD</v>
          </cell>
        </row>
        <row r="181">
          <cell r="B181" t="str">
            <v>Swaziland</v>
          </cell>
          <cell r="C181" t="str">
            <v>Swaziland</v>
          </cell>
          <cell r="D181" t="str">
            <v>Swazilandia</v>
          </cell>
          <cell r="E181" t="str">
            <v>Свазиленд</v>
          </cell>
          <cell r="F181" t="str">
            <v>Lilangeni</v>
          </cell>
          <cell r="G181" t="str">
            <v>SZL</v>
          </cell>
        </row>
        <row r="182">
          <cell r="B182" t="str">
            <v>Sweden</v>
          </cell>
          <cell r="C182" t="str">
            <v>Suède</v>
          </cell>
          <cell r="D182" t="str">
            <v>Suecia</v>
          </cell>
          <cell r="E182" t="str">
            <v>Швеция</v>
          </cell>
          <cell r="F182" t="str">
            <v>Sweden Krona</v>
          </cell>
          <cell r="G182" t="str">
            <v>SEK</v>
          </cell>
        </row>
        <row r="183">
          <cell r="B183" t="str">
            <v>Switzerland</v>
          </cell>
          <cell r="C183" t="str">
            <v>Suisse</v>
          </cell>
          <cell r="D183" t="str">
            <v>Suiza</v>
          </cell>
          <cell r="E183" t="str">
            <v>Швейцария</v>
          </cell>
          <cell r="F183" t="str">
            <v>Swiss Franc</v>
          </cell>
          <cell r="G183" t="str">
            <v>CHF</v>
          </cell>
        </row>
        <row r="184">
          <cell r="B184" t="str">
            <v>Syrian Arab Republic</v>
          </cell>
          <cell r="C184" t="str">
            <v>République arabe syrienne</v>
          </cell>
          <cell r="D184" t="str">
            <v>República Árabe Siria</v>
          </cell>
          <cell r="E184" t="str">
            <v>Сирийская Арабская Республика</v>
          </cell>
          <cell r="F184" t="str">
            <v>Syrian Pound</v>
          </cell>
          <cell r="G184" t="str">
            <v>SYP</v>
          </cell>
        </row>
        <row r="185">
          <cell r="B185" t="str">
            <v>Taiwan</v>
          </cell>
          <cell r="C185" t="str">
            <v>Taiwan</v>
          </cell>
          <cell r="D185" t="str">
            <v>Taiwan</v>
          </cell>
          <cell r="E185" t="str">
            <v>Тайвань</v>
          </cell>
          <cell r="F185" t="str">
            <v>New Taiwan Dollar</v>
          </cell>
          <cell r="G185" t="str">
            <v>TWD</v>
          </cell>
        </row>
        <row r="186">
          <cell r="B186" t="str">
            <v>Tajikistan</v>
          </cell>
          <cell r="C186" t="str">
            <v>Tadjikistan</v>
          </cell>
          <cell r="D186" t="str">
            <v>Tayikistán</v>
          </cell>
          <cell r="E186" t="str">
            <v>Таджикистан</v>
          </cell>
          <cell r="F186" t="str">
            <v>Tajikistani Somoni</v>
          </cell>
          <cell r="G186" t="str">
            <v>TJS</v>
          </cell>
        </row>
        <row r="187">
          <cell r="B187" t="str">
            <v>Tanzania (United Republic)</v>
          </cell>
          <cell r="C187" t="str">
            <v>Tanzanie ( République-Unie )</v>
          </cell>
          <cell r="D187" t="str">
            <v>Tanzania ( República Unida )</v>
          </cell>
          <cell r="E187" t="str">
            <v>Танзания (Объединенная Республика )</v>
          </cell>
          <cell r="F187" t="str">
            <v>Tanzanian Shilling</v>
          </cell>
          <cell r="G187" t="str">
            <v>TZS</v>
          </cell>
        </row>
        <row r="188">
          <cell r="B188" t="str">
            <v>Thailand</v>
          </cell>
          <cell r="C188" t="str">
            <v>Thaïlande</v>
          </cell>
          <cell r="D188" t="str">
            <v>Tailandia</v>
          </cell>
          <cell r="E188" t="str">
            <v>Таиланд</v>
          </cell>
          <cell r="F188" t="str">
            <v>Baht</v>
          </cell>
          <cell r="G188" t="str">
            <v>THB</v>
          </cell>
        </row>
        <row r="189">
          <cell r="B189" t="str">
            <v>Timor-Leste</v>
          </cell>
          <cell r="C189" t="str">
            <v>Timor -Leste</v>
          </cell>
          <cell r="D189" t="str">
            <v>Timor- Leste</v>
          </cell>
          <cell r="E189" t="str">
            <v>Тимор-Лешти</v>
          </cell>
          <cell r="F189" t="str">
            <v>United States Dollar</v>
          </cell>
          <cell r="G189" t="str">
            <v>USD</v>
          </cell>
        </row>
        <row r="190">
          <cell r="B190" t="str">
            <v>Togo</v>
          </cell>
          <cell r="C190" t="str">
            <v>Togo</v>
          </cell>
          <cell r="D190" t="str">
            <v>Togo</v>
          </cell>
          <cell r="E190" t="str">
            <v>Того</v>
          </cell>
          <cell r="F190" t="str">
            <v>CFA Franc</v>
          </cell>
          <cell r="G190" t="str">
            <v>XOF</v>
          </cell>
        </row>
        <row r="191">
          <cell r="B191" t="str">
            <v>Tonga</v>
          </cell>
          <cell r="C191" t="str">
            <v>Tonga</v>
          </cell>
          <cell r="D191" t="str">
            <v>Tonga</v>
          </cell>
          <cell r="E191" t="str">
            <v>Тонга</v>
          </cell>
          <cell r="F191" t="str">
            <v>Paanga</v>
          </cell>
          <cell r="G191" t="str">
            <v>TOP</v>
          </cell>
        </row>
        <row r="192">
          <cell r="B192" t="str">
            <v>Trinidad and Tobago</v>
          </cell>
          <cell r="C192" t="str">
            <v>Trinité-et- Tobago</v>
          </cell>
          <cell r="D192" t="str">
            <v>Trinidad y Tobago</v>
          </cell>
          <cell r="E192" t="str">
            <v>Тринидад и Тобаго</v>
          </cell>
          <cell r="F192" t="str">
            <v>Trinidad and Tobago Dollar</v>
          </cell>
          <cell r="G192" t="str">
            <v>TTD</v>
          </cell>
        </row>
        <row r="193">
          <cell r="B193" t="str">
            <v>Tunisia</v>
          </cell>
          <cell r="C193" t="str">
            <v>Tunisie</v>
          </cell>
          <cell r="D193" t="str">
            <v>Túnez</v>
          </cell>
          <cell r="E193" t="str">
            <v>Тунис</v>
          </cell>
          <cell r="F193" t="str">
            <v>Tunisian Dinar</v>
          </cell>
          <cell r="G193" t="str">
            <v>TND</v>
          </cell>
        </row>
        <row r="194">
          <cell r="B194" t="str">
            <v>Turkey</v>
          </cell>
          <cell r="C194" t="str">
            <v>Turquie</v>
          </cell>
          <cell r="D194" t="str">
            <v>Turquía</v>
          </cell>
          <cell r="E194" t="str">
            <v>Турция</v>
          </cell>
          <cell r="F194" t="str">
            <v>Turkish New Lira</v>
          </cell>
          <cell r="G194" t="str">
            <v>TRY</v>
          </cell>
        </row>
        <row r="195">
          <cell r="B195" t="str">
            <v>Turkmenistan</v>
          </cell>
          <cell r="C195" t="str">
            <v>Turkménistan</v>
          </cell>
          <cell r="D195" t="str">
            <v>Turkmenistán</v>
          </cell>
          <cell r="E195" t="str">
            <v>Туркменистан</v>
          </cell>
          <cell r="F195" t="str">
            <v>Turkmen Manat</v>
          </cell>
          <cell r="G195" t="str">
            <v>TMM</v>
          </cell>
        </row>
        <row r="196">
          <cell r="B196" t="str">
            <v>Tuvalu</v>
          </cell>
          <cell r="C196" t="str">
            <v>Tuvalu</v>
          </cell>
          <cell r="D196" t="str">
            <v>Tuvalu</v>
          </cell>
          <cell r="E196" t="str">
            <v>Тувалу</v>
          </cell>
          <cell r="F196" t="str">
            <v>Australian Dollar</v>
          </cell>
          <cell r="G196" t="str">
            <v>AUD</v>
          </cell>
        </row>
        <row r="197">
          <cell r="B197" t="str">
            <v>Uganda</v>
          </cell>
          <cell r="C197" t="str">
            <v>Ouganda</v>
          </cell>
          <cell r="D197" t="str">
            <v>Uganda</v>
          </cell>
          <cell r="E197" t="str">
            <v>Уганда</v>
          </cell>
          <cell r="F197" t="str">
            <v>Ugandan Shilling</v>
          </cell>
          <cell r="G197" t="str">
            <v>UGX</v>
          </cell>
        </row>
        <row r="198">
          <cell r="B198" t="str">
            <v>Ukraine</v>
          </cell>
          <cell r="C198" t="str">
            <v>Ukraine</v>
          </cell>
          <cell r="D198" t="str">
            <v>Ucrania</v>
          </cell>
          <cell r="E198" t="str">
            <v>Украина</v>
          </cell>
          <cell r="F198" t="str">
            <v>Hryvnia</v>
          </cell>
          <cell r="G198" t="str">
            <v>UAH</v>
          </cell>
        </row>
        <row r="199">
          <cell r="B199" t="str">
            <v>United Arab Emirates</v>
          </cell>
          <cell r="C199" t="str">
            <v>Émirats arabes unis</v>
          </cell>
          <cell r="D199" t="str">
            <v>Emiratos Árabes Unidos</v>
          </cell>
          <cell r="E199" t="str">
            <v>Объединенные Арабские Эмираты</v>
          </cell>
          <cell r="F199" t="str">
            <v>UAE Dirham</v>
          </cell>
          <cell r="G199" t="str">
            <v>AED</v>
          </cell>
        </row>
        <row r="200">
          <cell r="B200" t="str">
            <v>United Kingdom</v>
          </cell>
          <cell r="C200" t="str">
            <v>Royaume-Uni</v>
          </cell>
          <cell r="D200" t="str">
            <v>Reino Unido</v>
          </cell>
          <cell r="E200" t="str">
            <v>Великобритания</v>
          </cell>
          <cell r="F200" t="str">
            <v>Pound Sterling</v>
          </cell>
          <cell r="G200" t="str">
            <v>GBP</v>
          </cell>
        </row>
        <row r="201">
          <cell r="B201" t="str">
            <v>United States</v>
          </cell>
          <cell r="C201" t="str">
            <v>États-Unis</v>
          </cell>
          <cell r="D201" t="str">
            <v>Estados Unidos</v>
          </cell>
          <cell r="E201" t="str">
            <v>США</v>
          </cell>
          <cell r="F201" t="str">
            <v>United States Dollar</v>
          </cell>
          <cell r="G201" t="str">
            <v>USD</v>
          </cell>
        </row>
        <row r="202">
          <cell r="B202" t="str">
            <v>Uruguay</v>
          </cell>
          <cell r="C202" t="str">
            <v>Uruguay</v>
          </cell>
          <cell r="D202" t="str">
            <v>Uruguay</v>
          </cell>
          <cell r="E202" t="str">
            <v>Уругвай</v>
          </cell>
          <cell r="F202" t="str">
            <v>Uruguayan Peso</v>
          </cell>
          <cell r="G202" t="str">
            <v>UYU</v>
          </cell>
        </row>
        <row r="203">
          <cell r="B203" t="str">
            <v>Uzbekistan</v>
          </cell>
          <cell r="C203" t="str">
            <v>Ouzbékistan</v>
          </cell>
          <cell r="D203" t="str">
            <v>Uzbekistán</v>
          </cell>
          <cell r="E203" t="str">
            <v>Узбекистан</v>
          </cell>
          <cell r="F203" t="str">
            <v>Uzbekistani Som</v>
          </cell>
          <cell r="G203" t="str">
            <v>UZS</v>
          </cell>
        </row>
        <row r="204">
          <cell r="B204" t="str">
            <v>Vanuatu</v>
          </cell>
          <cell r="C204" t="str">
            <v>Vanuatu</v>
          </cell>
          <cell r="D204" t="str">
            <v>Vanuatu</v>
          </cell>
          <cell r="E204" t="str">
            <v>Вануату</v>
          </cell>
          <cell r="F204" t="str">
            <v>Vanuatu Vatu</v>
          </cell>
          <cell r="G204" t="str">
            <v>VUV</v>
          </cell>
        </row>
        <row r="205">
          <cell r="B205" t="str">
            <v>Venezuela</v>
          </cell>
          <cell r="C205" t="str">
            <v>Venezuela</v>
          </cell>
          <cell r="D205" t="str">
            <v>Venezuela</v>
          </cell>
          <cell r="E205" t="str">
            <v>Венесуэла</v>
          </cell>
          <cell r="F205" t="str">
            <v>Venezuelan Bolivar</v>
          </cell>
          <cell r="G205" t="str">
            <v>VEB</v>
          </cell>
        </row>
        <row r="206">
          <cell r="B206" t="str">
            <v>Viet Nam</v>
          </cell>
          <cell r="C206" t="str">
            <v>Viet Nam</v>
          </cell>
          <cell r="D206" t="str">
            <v>Viet Nam</v>
          </cell>
          <cell r="E206" t="str">
            <v>Вьетнам</v>
          </cell>
          <cell r="F206" t="str">
            <v>Vietnamese Dong</v>
          </cell>
          <cell r="G206" t="str">
            <v>VND</v>
          </cell>
        </row>
        <row r="207">
          <cell r="B207" t="str">
            <v>Wallis and Futuna Islands</v>
          </cell>
          <cell r="C207" t="str">
            <v>Wallis -et-Futuna</v>
          </cell>
          <cell r="D207" t="str">
            <v>Islas Wallis y Futuna</v>
          </cell>
          <cell r="E207" t="str">
            <v>Острова Уоллис и Футуна</v>
          </cell>
          <cell r="F207" t="str">
            <v>CFP Franc</v>
          </cell>
          <cell r="G207" t="str">
            <v>XPF</v>
          </cell>
        </row>
        <row r="208">
          <cell r="B208" t="str">
            <v>Yemen</v>
          </cell>
          <cell r="C208" t="str">
            <v>Yémen</v>
          </cell>
          <cell r="D208" t="str">
            <v>Yemen</v>
          </cell>
          <cell r="E208" t="str">
            <v>Йемен</v>
          </cell>
          <cell r="F208" t="str">
            <v>Yemini Rial</v>
          </cell>
          <cell r="G208" t="str">
            <v>YER</v>
          </cell>
        </row>
        <row r="209">
          <cell r="B209" t="str">
            <v>Zambia</v>
          </cell>
          <cell r="C209" t="str">
            <v>Zambie</v>
          </cell>
          <cell r="D209" t="str">
            <v>Zambia</v>
          </cell>
          <cell r="E209" t="str">
            <v>Замбия</v>
          </cell>
          <cell r="F209" t="str">
            <v>Zambia Kwacha</v>
          </cell>
          <cell r="G209" t="str">
            <v>ZMK</v>
          </cell>
        </row>
        <row r="210">
          <cell r="B210" t="str">
            <v>Zanzibar</v>
          </cell>
          <cell r="C210" t="str">
            <v>Zanzibar</v>
          </cell>
          <cell r="D210" t="str">
            <v>Zanzibar</v>
          </cell>
          <cell r="E210" t="str">
            <v>Занзибар</v>
          </cell>
          <cell r="F210" t="str">
            <v>Tanzanian Shilling</v>
          </cell>
          <cell r="G210" t="str">
            <v>TZS</v>
          </cell>
        </row>
        <row r="211">
          <cell r="B211" t="str">
            <v>Zimbabwe</v>
          </cell>
          <cell r="C211" t="str">
            <v>Zimbabwe</v>
          </cell>
          <cell r="D211" t="str">
            <v>Zimbabue</v>
          </cell>
          <cell r="E211" t="str">
            <v>Зимбабве</v>
          </cell>
          <cell r="F211" t="str">
            <v>Zimbabwean Dollar</v>
          </cell>
          <cell r="G211" t="str">
            <v>ZWD</v>
          </cell>
        </row>
        <row r="212">
          <cell r="B212" t="str">
            <v>Multicountry Africa (RMCC)</v>
          </cell>
          <cell r="C212" t="str">
            <v>Multicountry Africa (RMCC)</v>
          </cell>
          <cell r="D212" t="str">
            <v>Multicountry Africa (RMCC)</v>
          </cell>
          <cell r="E212" t="str">
            <v>Multicountry Africa (RMCC)</v>
          </cell>
          <cell r="F212" t="str">
            <v>U.S Dollar</v>
          </cell>
          <cell r="G212" t="str">
            <v>USD</v>
          </cell>
        </row>
        <row r="213">
          <cell r="B213" t="str">
            <v>Multicountry Africa (SADC)</v>
          </cell>
          <cell r="C213" t="str">
            <v>Multicountry Africa (SADC)</v>
          </cell>
          <cell r="D213" t="str">
            <v>Multicountry Africa (SADC)</v>
          </cell>
          <cell r="E213" t="str">
            <v>Multicountry Africa (SADC)</v>
          </cell>
          <cell r="F213" t="str">
            <v>U.S Dollar</v>
          </cell>
          <cell r="G213" t="str">
            <v>USD</v>
          </cell>
        </row>
        <row r="214">
          <cell r="B214" t="str">
            <v>Multicountry Africa (West Africa Corridor Program)</v>
          </cell>
          <cell r="C214" t="str">
            <v>Multicountry Africa (West Africa Corridor Program)</v>
          </cell>
          <cell r="D214" t="str">
            <v>Multicountry Africa (West Africa Corridor Program)</v>
          </cell>
          <cell r="E214" t="str">
            <v>Multicountry Africa (West Africa Corridor Program)</v>
          </cell>
          <cell r="F214" t="str">
            <v>U.S Dollar</v>
          </cell>
          <cell r="G214" t="str">
            <v>USD</v>
          </cell>
        </row>
        <row r="215">
          <cell r="B215" t="str">
            <v>Multicountry Americas (Andean)</v>
          </cell>
          <cell r="C215" t="str">
            <v>Multicountry Americas (Andean)</v>
          </cell>
          <cell r="D215" t="str">
            <v>Multicountry Americas (Andean)</v>
          </cell>
          <cell r="E215" t="str">
            <v>Multicountry Americas (Andean)</v>
          </cell>
          <cell r="F215" t="str">
            <v>U.S Dollar</v>
          </cell>
          <cell r="G215" t="str">
            <v>USD</v>
          </cell>
        </row>
        <row r="216">
          <cell r="B216" t="str">
            <v>Multicountry Americas (CARICOM / PANCAP)</v>
          </cell>
          <cell r="C216" t="str">
            <v>Multicountry Americas (CARICOM / PANCAP)</v>
          </cell>
          <cell r="D216" t="str">
            <v>Multicountry Americas (CARICOM / PANCAP)</v>
          </cell>
          <cell r="E216" t="str">
            <v>Multicountry Americas (CARICOM / PANCAP)</v>
          </cell>
          <cell r="F216" t="str">
            <v>U.S Dollar</v>
          </cell>
          <cell r="G216" t="str">
            <v>USD</v>
          </cell>
        </row>
        <row r="217">
          <cell r="B217" t="str">
            <v>Multicountry Americas (COPRECOS)</v>
          </cell>
          <cell r="C217" t="str">
            <v>Multicountry Americas (COPRECOS)</v>
          </cell>
          <cell r="D217" t="str">
            <v>Multicountry Americas (COPRECOS)</v>
          </cell>
          <cell r="E217" t="str">
            <v>Multicountry Americas (COPRECOS)</v>
          </cell>
          <cell r="F217" t="str">
            <v>U.S Dollar</v>
          </cell>
          <cell r="G217" t="str">
            <v>USD</v>
          </cell>
        </row>
        <row r="218">
          <cell r="B218" t="str">
            <v>Multicountry Americas (CRN+)</v>
          </cell>
          <cell r="C218" t="str">
            <v>Multicountry Americas (CRN+)</v>
          </cell>
          <cell r="D218" t="str">
            <v>Multicountry Americas (CRN+)</v>
          </cell>
          <cell r="E218" t="str">
            <v>Multicountry Americas (CRN+)</v>
          </cell>
          <cell r="F218" t="str">
            <v>U.S Dollar</v>
          </cell>
          <cell r="G218" t="str">
            <v>USD</v>
          </cell>
        </row>
        <row r="219">
          <cell r="B219" t="str">
            <v>Multicountry Americas (Meso)</v>
          </cell>
          <cell r="C219" t="str">
            <v>Multicountry Americas (Meso)</v>
          </cell>
          <cell r="D219" t="str">
            <v>Multicountry Americas (Meso)</v>
          </cell>
          <cell r="E219" t="str">
            <v>Multicountry Americas (Meso)</v>
          </cell>
          <cell r="F219" t="str">
            <v>U.S Dollar</v>
          </cell>
          <cell r="G219" t="str">
            <v>USD</v>
          </cell>
        </row>
        <row r="220">
          <cell r="B220" t="str">
            <v>Multicountry Americas (OECS)</v>
          </cell>
          <cell r="C220" t="str">
            <v>Multicountry Americas (OECS)</v>
          </cell>
          <cell r="D220" t="str">
            <v>Multicountry Americas (OECS)</v>
          </cell>
          <cell r="E220" t="str">
            <v>Multicountry Americas (OECS)</v>
          </cell>
          <cell r="F220" t="str">
            <v>U.S Dollar</v>
          </cell>
          <cell r="G220" t="str">
            <v>USD</v>
          </cell>
        </row>
        <row r="221">
          <cell r="B221" t="str">
            <v>Multicountry Americas (REDCA+)</v>
          </cell>
          <cell r="C221" t="str">
            <v>Multicountry Americas (REDCA+)</v>
          </cell>
          <cell r="D221" t="str">
            <v>Multicountry Americas (REDCA+)</v>
          </cell>
          <cell r="E221" t="str">
            <v>Multicountry Americas (REDCA+)</v>
          </cell>
          <cell r="F221" t="str">
            <v>U.S Dollar</v>
          </cell>
          <cell r="G221" t="str">
            <v>USD</v>
          </cell>
        </row>
        <row r="222">
          <cell r="B222" t="str">
            <v>Multicountry Americas (REDTRASEX)</v>
          </cell>
          <cell r="C222" t="str">
            <v>Multicountry Americas (REDTRASEX)</v>
          </cell>
          <cell r="D222" t="str">
            <v>Multicountry Americas (REDTRASEX)</v>
          </cell>
          <cell r="E222" t="str">
            <v>Multicountry Americas (REDTRASEX)</v>
          </cell>
          <cell r="F222" t="str">
            <v>U.S Dollar</v>
          </cell>
          <cell r="G222" t="str">
            <v>USD</v>
          </cell>
        </row>
        <row r="223">
          <cell r="B223" t="str">
            <v>Multicountry East Asia and Pacific (APN+)</v>
          </cell>
          <cell r="C223" t="str">
            <v>Multicountry East Asia and Pacific (APN+)</v>
          </cell>
          <cell r="D223" t="str">
            <v>Multicountry East Asia and Pacific (APN+)</v>
          </cell>
          <cell r="E223" t="str">
            <v>Multicountry East Asia and Pacific (APN+)</v>
          </cell>
          <cell r="F223" t="str">
            <v>U.S Dollar</v>
          </cell>
          <cell r="G223" t="str">
            <v>USD</v>
          </cell>
        </row>
        <row r="224">
          <cell r="B224" t="str">
            <v>Multicountry East Asia and Pacific (ISEAN-HIVOS)</v>
          </cell>
          <cell r="C224" t="str">
            <v>Multicountry East Asia and Pacific (ISEAN-HIVOS)</v>
          </cell>
          <cell r="D224" t="str">
            <v>Multicountry East Asia and Pacific (ISEAN-HIVOS)</v>
          </cell>
          <cell r="E224" t="str">
            <v>Multicountry East Asia and Pacific (ISEAN-HIVOS)</v>
          </cell>
          <cell r="F224" t="str">
            <v>U.S Dollar</v>
          </cell>
          <cell r="G224" t="str">
            <v>USD</v>
          </cell>
        </row>
        <row r="225">
          <cell r="B225" t="str">
            <v>Multicountry East Asia and Pacific (RAI)</v>
          </cell>
          <cell r="C225" t="str">
            <v>Multicountry East Asia and Pacific (RAI)</v>
          </cell>
          <cell r="D225" t="str">
            <v>Multicountry East Asia and Pacific (RAI)</v>
          </cell>
          <cell r="E225" t="str">
            <v>Multicountry East Asia and Pacific (RAI)</v>
          </cell>
          <cell r="F225" t="str">
            <v>U.S Dollar</v>
          </cell>
          <cell r="G225" t="str">
            <v>USD</v>
          </cell>
        </row>
        <row r="226">
          <cell r="B226" t="str">
            <v>Multicountry Eastern Europe - Central Asia (EHRN)</v>
          </cell>
          <cell r="C226" t="str">
            <v>Multicountry Eastern Europe - Central Asia (EHRN)</v>
          </cell>
          <cell r="D226" t="str">
            <v>Multicountry Eastern Europe - Central Asia (EHRN)</v>
          </cell>
          <cell r="E226" t="str">
            <v>Multicountry Eastern Europe - Central Asia (EHRN)</v>
          </cell>
          <cell r="F226" t="str">
            <v>U.S Dollar</v>
          </cell>
          <cell r="G226" t="str">
            <v>USD</v>
          </cell>
        </row>
        <row r="227">
          <cell r="B227" t="str">
            <v>Multicountry Middle East - North Africa (MENAHRA)</v>
          </cell>
          <cell r="C227" t="str">
            <v>Multicountry Middle East - North Africa (MENAHRA)</v>
          </cell>
          <cell r="D227" t="str">
            <v>Multicountry Middle East - North Africa (MENAHRA)</v>
          </cell>
          <cell r="E227" t="str">
            <v>Multicountry Middle East - North Africa (MENAHRA)</v>
          </cell>
          <cell r="F227" t="str">
            <v>U.S Dollar</v>
          </cell>
          <cell r="G227" t="str">
            <v>USD</v>
          </cell>
        </row>
        <row r="228">
          <cell r="B228" t="str">
            <v>Multicountry South Asia</v>
          </cell>
          <cell r="C228" t="str">
            <v>Multicountry South Asia</v>
          </cell>
          <cell r="D228" t="str">
            <v>Multicountry South Asia</v>
          </cell>
          <cell r="E228" t="str">
            <v>Multicountry South Asia</v>
          </cell>
          <cell r="F228" t="str">
            <v>U.S Dollar</v>
          </cell>
          <cell r="G228" t="str">
            <v>USD</v>
          </cell>
        </row>
        <row r="229">
          <cell r="B229" t="str">
            <v>Multicountry Western Pacific</v>
          </cell>
          <cell r="C229" t="str">
            <v>Multicountry Western Pacific</v>
          </cell>
          <cell r="D229" t="str">
            <v>Multicountry Western Pacific</v>
          </cell>
          <cell r="E229" t="str">
            <v>Multicountry Western Pacific</v>
          </cell>
          <cell r="F229" t="str">
            <v>U.S Dollar</v>
          </cell>
          <cell r="G229" t="str">
            <v>USD</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 Diem Policy"/>
      <sheetName val="_ADFDI_Parameters"/>
      <sheetName val="_ADFDI_Metadata"/>
      <sheetName val="_ADFDI_WorkbookData"/>
      <sheetName val="_ADFDI_BCMetadata"/>
      <sheetName val="_ADFDI_LOV"/>
    </sheetNames>
    <sheetDataSet>
      <sheetData sheetId="0" refreshError="1"/>
      <sheetData sheetId="1" refreshError="1"/>
      <sheetData sheetId="2" refreshError="1"/>
      <sheetData sheetId="3" refreshError="1"/>
      <sheetData sheetId="4" refreshError="1"/>
      <sheetData sheetId="5">
        <row r="16">
          <cell r="D16" t="str">
            <v>ADP</v>
          </cell>
          <cell r="E16" t="str">
            <v>AED</v>
          </cell>
          <cell r="F16" t="str">
            <v>AFE</v>
          </cell>
          <cell r="G16" t="str">
            <v>AFN</v>
          </cell>
          <cell r="H16" t="str">
            <v>ALL</v>
          </cell>
          <cell r="I16" t="str">
            <v>AMD</v>
          </cell>
          <cell r="J16" t="str">
            <v>ANG</v>
          </cell>
          <cell r="K16" t="str">
            <v>AOA</v>
          </cell>
          <cell r="L16" t="str">
            <v>AON</v>
          </cell>
          <cell r="M16" t="str">
            <v>ARS</v>
          </cell>
          <cell r="N16" t="str">
            <v>ATS</v>
          </cell>
          <cell r="O16" t="str">
            <v>AUD</v>
          </cell>
          <cell r="P16" t="str">
            <v>AWG</v>
          </cell>
          <cell r="Q16" t="str">
            <v>AZN</v>
          </cell>
          <cell r="R16" t="str">
            <v>BAM</v>
          </cell>
          <cell r="S16" t="str">
            <v>BBD</v>
          </cell>
          <cell r="T16" t="str">
            <v>BDT</v>
          </cell>
          <cell r="U16" t="str">
            <v>BEF</v>
          </cell>
          <cell r="V16" t="str">
            <v>BFF</v>
          </cell>
          <cell r="W16" t="str">
            <v>BGL</v>
          </cell>
          <cell r="X16" t="str">
            <v>BGN</v>
          </cell>
          <cell r="Y16" t="str">
            <v>BHD</v>
          </cell>
          <cell r="Z16" t="str">
            <v>BHE</v>
          </cell>
          <cell r="AA16" t="str">
            <v>BIF</v>
          </cell>
          <cell r="AB16" t="str">
            <v>BMD</v>
          </cell>
          <cell r="AC16" t="str">
            <v>BND</v>
          </cell>
          <cell r="AD16" t="str">
            <v>BNE</v>
          </cell>
          <cell r="AE16" t="str">
            <v>BNF</v>
          </cell>
          <cell r="AF16" t="str">
            <v>BOB</v>
          </cell>
          <cell r="AG16" t="str">
            <v>BOV</v>
          </cell>
          <cell r="AH16" t="str">
            <v>BRL</v>
          </cell>
          <cell r="AI16" t="str">
            <v>BSD</v>
          </cell>
          <cell r="AJ16" t="str">
            <v>BTN</v>
          </cell>
          <cell r="AK16" t="str">
            <v>BWP</v>
          </cell>
          <cell r="AL16" t="str">
            <v>BYN</v>
          </cell>
          <cell r="AM16" t="str">
            <v>BZD</v>
          </cell>
          <cell r="AN16" t="str">
            <v>CAD</v>
          </cell>
          <cell r="AO16" t="str">
            <v>CAE</v>
          </cell>
          <cell r="AP16" t="str">
            <v>CAF</v>
          </cell>
          <cell r="AQ16" t="str">
            <v>CBF</v>
          </cell>
          <cell r="AR16" t="str">
            <v>CDF</v>
          </cell>
          <cell r="AS16" t="str">
            <v>CHE</v>
          </cell>
          <cell r="AT16" t="str">
            <v>CHF</v>
          </cell>
          <cell r="AU16" t="str">
            <v>CHW</v>
          </cell>
          <cell r="AV16" t="str">
            <v>CLF</v>
          </cell>
          <cell r="AW16" t="str">
            <v>CLP</v>
          </cell>
          <cell r="AX16" t="str">
            <v>CME</v>
          </cell>
          <cell r="AY16" t="str">
            <v>CMF</v>
          </cell>
          <cell r="AZ16" t="str">
            <v>CNY</v>
          </cell>
          <cell r="BA16" t="str">
            <v>COP</v>
          </cell>
          <cell r="BB16" t="str">
            <v>COU</v>
          </cell>
          <cell r="BC16" t="str">
            <v>CRC</v>
          </cell>
          <cell r="BD16" t="str">
            <v>CUP</v>
          </cell>
          <cell r="BE16" t="str">
            <v>CVE</v>
          </cell>
          <cell r="BF16" t="str">
            <v>CYP</v>
          </cell>
          <cell r="BG16" t="str">
            <v>CZK</v>
          </cell>
          <cell r="BH16" t="str">
            <v>DEM</v>
          </cell>
          <cell r="BI16" t="str">
            <v>DJF</v>
          </cell>
          <cell r="BJ16" t="str">
            <v>DKK</v>
          </cell>
          <cell r="BK16" t="str">
            <v>DOP</v>
          </cell>
          <cell r="BL16" t="str">
            <v>DRE</v>
          </cell>
          <cell r="BM16" t="str">
            <v>DZD</v>
          </cell>
          <cell r="BN16" t="str">
            <v>ECS</v>
          </cell>
          <cell r="BO16" t="str">
            <v>ECV</v>
          </cell>
          <cell r="BP16" t="str">
            <v>EEK</v>
          </cell>
          <cell r="BQ16" t="str">
            <v>EGP</v>
          </cell>
          <cell r="BR16" t="str">
            <v>ESP</v>
          </cell>
          <cell r="BS16" t="str">
            <v>ETB</v>
          </cell>
          <cell r="BT16" t="str">
            <v>ETE</v>
          </cell>
          <cell r="BU16" t="str">
            <v>EUR</v>
          </cell>
          <cell r="BV16" t="str">
            <v>FIM</v>
          </cell>
          <cell r="BW16" t="str">
            <v>FJD</v>
          </cell>
          <cell r="BX16" t="str">
            <v>FKP</v>
          </cell>
          <cell r="BY16" t="str">
            <v>FRF</v>
          </cell>
          <cell r="BZ16" t="str">
            <v>GBP</v>
          </cell>
          <cell r="CA16" t="str">
            <v>GEL</v>
          </cell>
          <cell r="CB16" t="str">
            <v>GHC</v>
          </cell>
          <cell r="CC16" t="str">
            <v>GHE</v>
          </cell>
          <cell r="CD16" t="str">
            <v>GHS</v>
          </cell>
          <cell r="CE16" t="str">
            <v>GIP</v>
          </cell>
          <cell r="CF16" t="str">
            <v>GMD</v>
          </cell>
          <cell r="CG16" t="str">
            <v>GNF</v>
          </cell>
          <cell r="CH16" t="str">
            <v>GRD</v>
          </cell>
          <cell r="CI16" t="str">
            <v>GRE</v>
          </cell>
          <cell r="CJ16" t="str">
            <v>GTQ</v>
          </cell>
          <cell r="CK16" t="str">
            <v>GWF</v>
          </cell>
          <cell r="CL16" t="str">
            <v>GWP</v>
          </cell>
          <cell r="CM16" t="str">
            <v>GYD</v>
          </cell>
          <cell r="CN16" t="str">
            <v>HKD</v>
          </cell>
          <cell r="CO16" t="str">
            <v>HNL</v>
          </cell>
          <cell r="CP16" t="str">
            <v>HRD</v>
          </cell>
          <cell r="CQ16" t="str">
            <v>HRK</v>
          </cell>
          <cell r="CR16" t="str">
            <v>HTE</v>
          </cell>
          <cell r="CS16" t="str">
            <v>HTG</v>
          </cell>
          <cell r="CT16" t="str">
            <v>HUF</v>
          </cell>
          <cell r="CU16" t="str">
            <v>IDR</v>
          </cell>
          <cell r="CV16" t="str">
            <v>IEP</v>
          </cell>
          <cell r="CW16" t="str">
            <v>ILS</v>
          </cell>
          <cell r="CX16" t="str">
            <v>INC</v>
          </cell>
          <cell r="CY16" t="str">
            <v>INR</v>
          </cell>
          <cell r="CZ16" t="str">
            <v>IQD</v>
          </cell>
          <cell r="DA16" t="str">
            <v>IRR</v>
          </cell>
          <cell r="DB16" t="str">
            <v>ISK</v>
          </cell>
          <cell r="DC16" t="str">
            <v>ITL</v>
          </cell>
          <cell r="DD16" t="str">
            <v>JMD</v>
          </cell>
          <cell r="DE16" t="str">
            <v>JOD</v>
          </cell>
          <cell r="DF16" t="str">
            <v>JPY</v>
          </cell>
          <cell r="DG16" t="str">
            <v>JWE</v>
          </cell>
          <cell r="DH16" t="str">
            <v>KES</v>
          </cell>
          <cell r="DI16" t="str">
            <v>KGS</v>
          </cell>
          <cell r="DJ16" t="str">
            <v>KHR</v>
          </cell>
          <cell r="DK16" t="str">
            <v>KMF</v>
          </cell>
          <cell r="DL16" t="str">
            <v>KPW</v>
          </cell>
          <cell r="DM16" t="str">
            <v>KRW</v>
          </cell>
          <cell r="DN16" t="str">
            <v>KWD</v>
          </cell>
          <cell r="DO16" t="str">
            <v>KYD</v>
          </cell>
          <cell r="DP16" t="str">
            <v>KZT</v>
          </cell>
          <cell r="DQ16" t="str">
            <v>LAK</v>
          </cell>
          <cell r="DR16" t="str">
            <v>LBP</v>
          </cell>
          <cell r="DS16" t="str">
            <v>LKR</v>
          </cell>
          <cell r="DT16" t="str">
            <v>LRD</v>
          </cell>
          <cell r="DU16" t="str">
            <v>LSE</v>
          </cell>
          <cell r="DV16" t="str">
            <v>LSL</v>
          </cell>
          <cell r="DW16" t="str">
            <v>LUF</v>
          </cell>
          <cell r="DX16" t="str">
            <v>LVL</v>
          </cell>
          <cell r="DY16" t="str">
            <v>LVR</v>
          </cell>
          <cell r="DZ16" t="str">
            <v>LYD</v>
          </cell>
          <cell r="EA16" t="str">
            <v>MAD</v>
          </cell>
          <cell r="EB16" t="str">
            <v>MDL</v>
          </cell>
          <cell r="EC16" t="str">
            <v>MGA</v>
          </cell>
          <cell r="ED16" t="str">
            <v>MGE</v>
          </cell>
          <cell r="EE16" t="str">
            <v>MGF</v>
          </cell>
          <cell r="EF16" t="str">
            <v>MKD</v>
          </cell>
          <cell r="EG16" t="str">
            <v>MLE</v>
          </cell>
          <cell r="EH16" t="str">
            <v>MLF</v>
          </cell>
          <cell r="EI16" t="str">
            <v>MMK</v>
          </cell>
          <cell r="EJ16" t="str">
            <v>MNT</v>
          </cell>
          <cell r="EK16" t="str">
            <v>MOP</v>
          </cell>
          <cell r="EL16" t="str">
            <v>MRO</v>
          </cell>
          <cell r="EM16" t="str">
            <v>MRU</v>
          </cell>
          <cell r="EN16" t="str">
            <v>MTL</v>
          </cell>
          <cell r="EO16" t="str">
            <v>MUR</v>
          </cell>
          <cell r="EP16" t="str">
            <v>MVR</v>
          </cell>
          <cell r="EQ16" t="str">
            <v>MWK</v>
          </cell>
          <cell r="ER16" t="str">
            <v>MXN</v>
          </cell>
          <cell r="ES16" t="str">
            <v>MXV</v>
          </cell>
          <cell r="ET16" t="str">
            <v>MYR</v>
          </cell>
          <cell r="EU16" t="str">
            <v>MZN</v>
          </cell>
          <cell r="EV16" t="str">
            <v>NAD</v>
          </cell>
          <cell r="EW16" t="str">
            <v>NGE</v>
          </cell>
          <cell r="EX16" t="str">
            <v>NGF</v>
          </cell>
          <cell r="EY16" t="str">
            <v>NGG</v>
          </cell>
          <cell r="EZ16" t="str">
            <v>NGN</v>
          </cell>
          <cell r="FA16" t="str">
            <v>NIE</v>
          </cell>
          <cell r="FB16" t="str">
            <v>NIO</v>
          </cell>
          <cell r="FC16" t="str">
            <v>NLG</v>
          </cell>
          <cell r="FD16" t="str">
            <v>NOK</v>
          </cell>
          <cell r="FE16" t="str">
            <v>NPR</v>
          </cell>
          <cell r="FF16" t="str">
            <v>NZD</v>
          </cell>
          <cell r="FG16" t="str">
            <v>OMR</v>
          </cell>
          <cell r="FH16" t="str">
            <v>PAB</v>
          </cell>
          <cell r="FI16" t="str">
            <v>PEN</v>
          </cell>
          <cell r="FJ16" t="str">
            <v>PGK</v>
          </cell>
          <cell r="FK16" t="str">
            <v>PHP</v>
          </cell>
          <cell r="FL16" t="str">
            <v>PKR</v>
          </cell>
          <cell r="FM16" t="str">
            <v>PLN</v>
          </cell>
          <cell r="FN16" t="str">
            <v>PLZ</v>
          </cell>
          <cell r="FO16" t="str">
            <v>PTE</v>
          </cell>
          <cell r="FP16" t="str">
            <v>PYG</v>
          </cell>
          <cell r="FQ16" t="str">
            <v>QAR</v>
          </cell>
          <cell r="FR16" t="str">
            <v>RON</v>
          </cell>
          <cell r="FS16" t="str">
            <v>RSD</v>
          </cell>
          <cell r="FT16" t="str">
            <v>RUB</v>
          </cell>
          <cell r="FU16" t="str">
            <v>RUR</v>
          </cell>
          <cell r="FV16" t="str">
            <v>RWF</v>
          </cell>
          <cell r="FW16" t="str">
            <v>SAR</v>
          </cell>
          <cell r="FX16" t="str">
            <v>SBD</v>
          </cell>
          <cell r="FY16" t="str">
            <v>SCR</v>
          </cell>
          <cell r="FZ16" t="str">
            <v>SDD</v>
          </cell>
          <cell r="GA16" t="str">
            <v>SDG</v>
          </cell>
          <cell r="GB16" t="str">
            <v>SEK</v>
          </cell>
          <cell r="GC16" t="str">
            <v>SGD</v>
          </cell>
          <cell r="GD16" t="str">
            <v>SHP</v>
          </cell>
          <cell r="GE16" t="str">
            <v>SIT</v>
          </cell>
          <cell r="GF16" t="str">
            <v>SKK</v>
          </cell>
          <cell r="GG16" t="str">
            <v>SLG</v>
          </cell>
          <cell r="GH16" t="str">
            <v>SLL</v>
          </cell>
          <cell r="GI16" t="str">
            <v>SNE</v>
          </cell>
          <cell r="GJ16" t="str">
            <v>SNF</v>
          </cell>
          <cell r="GK16" t="str">
            <v>SOS</v>
          </cell>
          <cell r="GL16" t="str">
            <v>SRD</v>
          </cell>
          <cell r="GM16" t="str">
            <v>SSP</v>
          </cell>
          <cell r="GN16" t="str">
            <v>SSS</v>
          </cell>
          <cell r="GO16" t="str">
            <v>STD</v>
          </cell>
          <cell r="GP16" t="str">
            <v>STN</v>
          </cell>
          <cell r="GQ16" t="str">
            <v>SVC</v>
          </cell>
          <cell r="GR16" t="str">
            <v>SYP</v>
          </cell>
          <cell r="GS16" t="str">
            <v>SZL</v>
          </cell>
          <cell r="GT16" t="str">
            <v>THB</v>
          </cell>
          <cell r="GU16" t="str">
            <v>TJR</v>
          </cell>
          <cell r="GV16" t="str">
            <v>TJS</v>
          </cell>
          <cell r="GW16" t="str">
            <v>TMM</v>
          </cell>
          <cell r="GX16" t="str">
            <v>TMT</v>
          </cell>
          <cell r="GY16" t="str">
            <v>TND</v>
          </cell>
          <cell r="GZ16" t="str">
            <v>TOP</v>
          </cell>
          <cell r="HA16" t="str">
            <v>TPE</v>
          </cell>
          <cell r="HB16" t="str">
            <v>TRY</v>
          </cell>
          <cell r="HC16" t="str">
            <v>TTD</v>
          </cell>
          <cell r="HD16" t="str">
            <v>TWD</v>
          </cell>
          <cell r="HE16" t="str">
            <v>TZE</v>
          </cell>
          <cell r="HF16" t="str">
            <v>TZG</v>
          </cell>
          <cell r="HG16" t="str">
            <v>TZS</v>
          </cell>
          <cell r="HH16" t="str">
            <v>UAH</v>
          </cell>
          <cell r="HI16" t="str">
            <v>UAK</v>
          </cell>
          <cell r="HJ16" t="str">
            <v>UGX</v>
          </cell>
          <cell r="HK16" t="str">
            <v>USD</v>
          </cell>
          <cell r="HL16" t="str">
            <v>USN</v>
          </cell>
          <cell r="HM16" t="str">
            <v>USS</v>
          </cell>
          <cell r="HN16" t="str">
            <v>UYI</v>
          </cell>
          <cell r="HO16" t="str">
            <v>UYU</v>
          </cell>
          <cell r="HP16" t="str">
            <v>UYW</v>
          </cell>
          <cell r="HQ16" t="str">
            <v>UZS</v>
          </cell>
          <cell r="HR16" t="str">
            <v>VES</v>
          </cell>
          <cell r="HS16" t="str">
            <v>VND</v>
          </cell>
          <cell r="HT16" t="str">
            <v>VUV</v>
          </cell>
          <cell r="HU16" t="str">
            <v>WST</v>
          </cell>
          <cell r="HV16" t="str">
            <v>XAF</v>
          </cell>
          <cell r="HW16" t="str">
            <v>XAG</v>
          </cell>
          <cell r="HX16" t="str">
            <v>XAU</v>
          </cell>
          <cell r="HY16" t="str">
            <v>XBA</v>
          </cell>
          <cell r="HZ16" t="str">
            <v>XBB</v>
          </cell>
          <cell r="IA16" t="str">
            <v>XBC</v>
          </cell>
          <cell r="IB16" t="str">
            <v>XBD</v>
          </cell>
          <cell r="IC16" t="str">
            <v>XCD</v>
          </cell>
          <cell r="ID16" t="str">
            <v>XDR</v>
          </cell>
          <cell r="IE16" t="str">
            <v>XEU</v>
          </cell>
          <cell r="IF16" t="str">
            <v>XOF</v>
          </cell>
          <cell r="IG16" t="str">
            <v>XPF</v>
          </cell>
          <cell r="IH16" t="str">
            <v>YER</v>
          </cell>
          <cell r="II16" t="str">
            <v>YUM</v>
          </cell>
          <cell r="IJ16" t="str">
            <v>YUN</v>
          </cell>
          <cell r="IK16" t="str">
            <v>ZAL</v>
          </cell>
          <cell r="IL16" t="str">
            <v>ZAR</v>
          </cell>
          <cell r="IM16" t="str">
            <v>ZME</v>
          </cell>
          <cell r="IN16" t="str">
            <v>ZMG</v>
          </cell>
          <cell r="IO16" t="str">
            <v>ZMW</v>
          </cell>
          <cell r="IP16" t="str">
            <v>ZRN</v>
          </cell>
          <cell r="IQ16" t="str">
            <v>ZWD</v>
          </cell>
          <cell r="IR16" t="str">
            <v>ZWL</v>
          </cell>
          <cell r="IS16" t="str">
            <v>ZWR</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ocation of Pooled Exp-Sch 2"/>
      <sheetName val="PoolExpSch2byQtr"/>
      <sheetName val="CP Project Support Budget"/>
      <sheetName val="New Project CA"/>
      <sheetName val="Completed Example Fair Share"/>
      <sheetName val="Completed Example Forced Rate"/>
      <sheetName val="CP Vehicle Budget"/>
      <sheetName val="CP Facility Budget "/>
      <sheetName val="Completed Example OFDA"/>
      <sheetName val="Supplemental info USAID"/>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emental info OFDA (2)"/>
      <sheetName val="Allocation of Pooled Exp-Sch 2"/>
      <sheetName val="PoolExpSch2byQtr"/>
      <sheetName val="CP Project Support Budget"/>
      <sheetName val="New Project CA"/>
      <sheetName val="Completed Example Fair Share"/>
      <sheetName val="Completed Example Forced Rate"/>
      <sheetName val="CP Vehicle Budget"/>
      <sheetName val="CP Facility Budget "/>
      <sheetName val="Completed Example OFDA"/>
      <sheetName val="Supplemental info OFD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IGNES"/>
      <sheetName val="Register"/>
      <sheetName val="Dependant"/>
      <sheetName val="Leaves1"/>
      <sheetName val="Leaves2"/>
      <sheetName val="ConsolidatedLeaves"/>
      <sheetName val="Salaries"/>
      <sheetName val="Payslip"/>
      <sheetName val="NASSIT"/>
      <sheetName val="NRA"/>
      <sheetName val="NRA Rates"/>
      <sheetName val="SAGA Entries"/>
      <sheetName val="Outgoings"/>
      <sheetName val="Training"/>
      <sheetName val="NRA_Rates"/>
      <sheetName val="SAGA_Entries"/>
    </sheetNames>
    <sheetDataSet>
      <sheetData sheetId="0" refreshError="1"/>
      <sheetData sheetId="1" refreshError="1">
        <row r="3">
          <cell r="A3" t="str">
            <v>Employee N°</v>
          </cell>
          <cell r="B3" t="str">
            <v>Last Name</v>
          </cell>
          <cell r="C3" t="str">
            <v>First Name</v>
          </cell>
          <cell r="D3" t="str">
            <v>Sex</v>
          </cell>
          <cell r="E3" t="str">
            <v>Position</v>
          </cell>
          <cell r="F3" t="str">
            <v>Location</v>
          </cell>
          <cell r="G3" t="str">
            <v>Level on Solthis' grid</v>
          </cell>
          <cell r="H3" t="str">
            <v>Date of entry</v>
          </cell>
          <cell r="I3" t="str">
            <v>Starting date of current contract</v>
          </cell>
          <cell r="J3" t="str">
            <v>Ending date of contract</v>
          </cell>
          <cell r="K3" t="str">
            <v>Type of contract</v>
          </cell>
          <cell r="L3" t="str">
            <v>Work time</v>
          </cell>
          <cell r="M3" t="str">
            <v>Nb of working days</v>
          </cell>
          <cell r="N3" t="str">
            <v>Weekly hours</v>
          </cell>
          <cell r="O3" t="str">
            <v>Monthly basic salary</v>
          </cell>
          <cell r="P3" t="str">
            <v>Seniority (nb of years)</v>
          </cell>
          <cell r="Q3" t="str">
            <v>Mode of payment</v>
          </cell>
          <cell r="R3" t="str">
            <v>Bank account n°</v>
          </cell>
          <cell r="S3" t="str">
            <v>Bank</v>
          </cell>
          <cell r="T3" t="str">
            <v>Date &amp; type of 1st warning</v>
          </cell>
          <cell r="U3" t="str">
            <v>Date &amp; type of 2nd warning</v>
          </cell>
          <cell r="V3" t="str">
            <v>NASSIT N°</v>
          </cell>
          <cell r="W3" t="str">
            <v>Address</v>
          </cell>
          <cell r="X3" t="str">
            <v>Date of birth</v>
          </cell>
          <cell r="Y3" t="str">
            <v>Age</v>
          </cell>
          <cell r="Z3" t="str">
            <v>nationality</v>
          </cell>
          <cell r="AA3" t="str">
            <v>Marital status</v>
          </cell>
          <cell r="AB3" t="str">
            <v>Dependent children
 (&lt; 18 y.o.)</v>
          </cell>
          <cell r="AC3" t="str">
            <v>Dependant spouse / husband</v>
          </cell>
          <cell r="AD3" t="str">
            <v>Total dependents</v>
          </cell>
          <cell r="AE3" t="str">
            <v>Person to be called in case of emergency (name and contact)</v>
          </cell>
        </row>
        <row r="4">
          <cell r="A4" t="str">
            <v>N1</v>
          </cell>
          <cell r="B4" t="str">
            <v>SANNOH</v>
          </cell>
          <cell r="C4" t="str">
            <v>Hassan, Momoh</v>
          </cell>
          <cell r="D4" t="str">
            <v>M</v>
          </cell>
          <cell r="E4" t="str">
            <v>Caretaker, Cleaner</v>
          </cell>
          <cell r="F4" t="str">
            <v>Freetown</v>
          </cell>
          <cell r="G4" t="str">
            <v>L2G1</v>
          </cell>
          <cell r="H4">
            <v>40969</v>
          </cell>
          <cell r="I4">
            <v>40969</v>
          </cell>
          <cell r="J4">
            <v>72686</v>
          </cell>
          <cell r="K4" t="str">
            <v>CDI</v>
          </cell>
          <cell r="L4" t="str">
            <v>Part time</v>
          </cell>
          <cell r="M4">
            <v>22</v>
          </cell>
          <cell r="N4">
            <v>20</v>
          </cell>
          <cell r="O4">
            <v>270884.5</v>
          </cell>
          <cell r="P4">
            <v>3</v>
          </cell>
          <cell r="Q4" t="str">
            <v>Cash</v>
          </cell>
          <cell r="R4">
            <v>0</v>
          </cell>
          <cell r="S4">
            <v>0</v>
          </cell>
          <cell r="T4">
            <v>0</v>
          </cell>
          <cell r="U4">
            <v>0</v>
          </cell>
          <cell r="V4" t="str">
            <v>E1113198701110012</v>
          </cell>
          <cell r="W4" t="str">
            <v>9 Dekan Drive, Off Regent Road, Lumley, Freetown</v>
          </cell>
          <cell r="X4">
            <v>31788</v>
          </cell>
          <cell r="Y4">
            <v>28.805555555555557</v>
          </cell>
          <cell r="Z4" t="str">
            <v>Sierra Leonean</v>
          </cell>
          <cell r="AA4" t="str">
            <v>S</v>
          </cell>
          <cell r="AB4">
            <v>0</v>
          </cell>
          <cell r="AC4">
            <v>0</v>
          </cell>
          <cell r="AD4">
            <v>0</v>
          </cell>
          <cell r="AE4" t="str">
            <v>Jane (Auntie) 076 60 17 46 / 033 47 38 48</v>
          </cell>
        </row>
        <row r="5">
          <cell r="A5" t="str">
            <v>N4</v>
          </cell>
          <cell r="B5" t="str">
            <v>SHYLLON</v>
          </cell>
          <cell r="C5" t="str">
            <v>William, Olu</v>
          </cell>
          <cell r="D5" t="str">
            <v>M</v>
          </cell>
          <cell r="E5" t="str">
            <v>Driver</v>
          </cell>
          <cell r="F5" t="str">
            <v>Freetown</v>
          </cell>
          <cell r="G5" t="str">
            <v>L4G2</v>
          </cell>
          <cell r="H5">
            <v>41122</v>
          </cell>
          <cell r="I5">
            <v>41122</v>
          </cell>
          <cell r="J5">
            <v>72686</v>
          </cell>
          <cell r="K5" t="str">
            <v>CDI</v>
          </cell>
          <cell r="L5" t="str">
            <v>Full time</v>
          </cell>
          <cell r="M5">
            <v>22</v>
          </cell>
          <cell r="N5">
            <v>40</v>
          </cell>
          <cell r="O5">
            <v>889404</v>
          </cell>
          <cell r="P5">
            <v>3</v>
          </cell>
          <cell r="Q5" t="str">
            <v>Cash</v>
          </cell>
          <cell r="R5">
            <v>0</v>
          </cell>
          <cell r="S5">
            <v>0</v>
          </cell>
          <cell r="T5">
            <v>0</v>
          </cell>
          <cell r="U5">
            <v>0</v>
          </cell>
          <cell r="V5" t="str">
            <v>W3107197007040014</v>
          </cell>
          <cell r="W5" t="str">
            <v>135 Leicester Road, Freetown</v>
          </cell>
          <cell r="X5">
            <v>25753</v>
          </cell>
          <cell r="Y5">
            <v>45.325000000000003</v>
          </cell>
          <cell r="Z5" t="str">
            <v>Sierra Leonean</v>
          </cell>
          <cell r="AA5" t="str">
            <v>M</v>
          </cell>
          <cell r="AB5">
            <v>1</v>
          </cell>
          <cell r="AC5">
            <v>1</v>
          </cell>
          <cell r="AD5">
            <v>2</v>
          </cell>
          <cell r="AE5" t="str">
            <v>Fatimata (mother) 076 84 04 98 / Fredrica (Sister) 088 82 08 22</v>
          </cell>
        </row>
        <row r="6">
          <cell r="A6" t="str">
            <v>N8</v>
          </cell>
          <cell r="B6" t="str">
            <v>MAKIEU</v>
          </cell>
          <cell r="C6" t="str">
            <v>Abdulai, Brima</v>
          </cell>
          <cell r="D6" t="str">
            <v>M</v>
          </cell>
          <cell r="E6" t="str">
            <v>Driver</v>
          </cell>
          <cell r="F6" t="str">
            <v>Freetown</v>
          </cell>
          <cell r="G6" t="str">
            <v>L4G1</v>
          </cell>
          <cell r="H6">
            <v>41530</v>
          </cell>
          <cell r="I6">
            <v>41530</v>
          </cell>
          <cell r="J6">
            <v>72686</v>
          </cell>
          <cell r="K6" t="str">
            <v>CDI</v>
          </cell>
          <cell r="L6" t="str">
            <v>Part time</v>
          </cell>
          <cell r="M6">
            <v>22</v>
          </cell>
          <cell r="N6">
            <v>34</v>
          </cell>
          <cell r="O6">
            <v>671262.85000000009</v>
          </cell>
          <cell r="P6">
            <v>2</v>
          </cell>
          <cell r="Q6" t="str">
            <v>Cash</v>
          </cell>
          <cell r="R6">
            <v>0</v>
          </cell>
          <cell r="S6">
            <v>0</v>
          </cell>
          <cell r="T6">
            <v>0</v>
          </cell>
          <cell r="U6">
            <v>0</v>
          </cell>
          <cell r="V6" t="str">
            <v>S0108198003120015</v>
          </cell>
          <cell r="W6" t="str">
            <v>10 Gwent Height, Off Hillcut Road, Freetown</v>
          </cell>
          <cell r="X6">
            <v>30387</v>
          </cell>
          <cell r="Y6">
            <v>32.636111111111113</v>
          </cell>
          <cell r="Z6" t="str">
            <v>Sierra Leonean</v>
          </cell>
          <cell r="AA6" t="str">
            <v>S</v>
          </cell>
          <cell r="AB6">
            <v>1</v>
          </cell>
          <cell r="AC6">
            <v>0</v>
          </cell>
          <cell r="AD6">
            <v>1</v>
          </cell>
          <cell r="AE6" t="str">
            <v>Yayah Konneh (Brother) 078 800 727</v>
          </cell>
        </row>
        <row r="7">
          <cell r="A7" t="str">
            <v>N10</v>
          </cell>
          <cell r="B7" t="str">
            <v>TURAY</v>
          </cell>
          <cell r="C7" t="str">
            <v>Joseph, Sama</v>
          </cell>
          <cell r="D7" t="str">
            <v>M</v>
          </cell>
          <cell r="E7" t="str">
            <v>Driver</v>
          </cell>
          <cell r="F7" t="str">
            <v>Freetown</v>
          </cell>
          <cell r="G7" t="str">
            <v>L4G1</v>
          </cell>
          <cell r="H7">
            <v>41533</v>
          </cell>
          <cell r="I7">
            <v>41533</v>
          </cell>
          <cell r="J7">
            <v>72686</v>
          </cell>
          <cell r="K7" t="str">
            <v>CDI</v>
          </cell>
          <cell r="L7" t="str">
            <v>Full time</v>
          </cell>
          <cell r="M7">
            <v>22</v>
          </cell>
          <cell r="N7">
            <v>40</v>
          </cell>
          <cell r="O7">
            <v>789721</v>
          </cell>
          <cell r="P7">
            <v>2</v>
          </cell>
          <cell r="Q7" t="str">
            <v>Cash</v>
          </cell>
          <cell r="R7">
            <v>0</v>
          </cell>
          <cell r="S7">
            <v>0</v>
          </cell>
          <cell r="T7">
            <v>0</v>
          </cell>
          <cell r="U7">
            <v>0</v>
          </cell>
          <cell r="V7" t="str">
            <v>N2207198202100014</v>
          </cell>
          <cell r="W7" t="str">
            <v>9A Off College Road, Congo Cross, Freetown</v>
          </cell>
          <cell r="X7">
            <v>29992</v>
          </cell>
          <cell r="Y7">
            <v>33.725000000000001</v>
          </cell>
          <cell r="Z7" t="str">
            <v>Sierra Leonean</v>
          </cell>
          <cell r="AA7" t="str">
            <v>S</v>
          </cell>
          <cell r="AB7">
            <v>1</v>
          </cell>
          <cell r="AC7">
            <v>0</v>
          </cell>
          <cell r="AD7">
            <v>1</v>
          </cell>
          <cell r="AE7" t="str">
            <v>Isatu Sio Sesay (Mother) 077 021 028</v>
          </cell>
        </row>
        <row r="8">
          <cell r="A8" t="str">
            <v>N11</v>
          </cell>
          <cell r="B8" t="str">
            <v>JALLOH</v>
          </cell>
          <cell r="C8" t="str">
            <v>Memuna, Jarai</v>
          </cell>
          <cell r="D8" t="str">
            <v>F</v>
          </cell>
          <cell r="E8" t="str">
            <v>PMTCT Officer</v>
          </cell>
          <cell r="F8" t="str">
            <v>Freetown</v>
          </cell>
          <cell r="G8" t="str">
            <v>L8G3</v>
          </cell>
          <cell r="H8">
            <v>41699</v>
          </cell>
          <cell r="I8">
            <v>41699</v>
          </cell>
          <cell r="J8">
            <v>72686</v>
          </cell>
          <cell r="K8" t="str">
            <v>CDI</v>
          </cell>
          <cell r="L8" t="str">
            <v>Full time</v>
          </cell>
          <cell r="M8">
            <v>22</v>
          </cell>
          <cell r="N8">
            <v>40</v>
          </cell>
          <cell r="O8">
            <v>2093000</v>
          </cell>
          <cell r="P8">
            <v>1</v>
          </cell>
          <cell r="Q8" t="str">
            <v>Cash</v>
          </cell>
          <cell r="R8">
            <v>0</v>
          </cell>
          <cell r="S8">
            <v>0</v>
          </cell>
          <cell r="T8">
            <v>0</v>
          </cell>
          <cell r="U8">
            <v>0</v>
          </cell>
          <cell r="V8" t="str">
            <v>W3107196412250021</v>
          </cell>
          <cell r="W8" t="str">
            <v>15 Congo Valley, Off Congo Bridge, Freetown</v>
          </cell>
          <cell r="X8">
            <v>23736</v>
          </cell>
          <cell r="Y8">
            <v>50.85</v>
          </cell>
          <cell r="Z8" t="str">
            <v>Sierra Leonean</v>
          </cell>
          <cell r="AA8" t="str">
            <v>S</v>
          </cell>
          <cell r="AB8">
            <v>0</v>
          </cell>
          <cell r="AC8">
            <v>0</v>
          </cell>
          <cell r="AD8">
            <v>0</v>
          </cell>
          <cell r="AE8" t="str">
            <v>Ibrahim Jalloh-076 475 348 or Joan Kargbo-076 911 700</v>
          </cell>
        </row>
        <row r="9">
          <cell r="A9" t="str">
            <v>N12</v>
          </cell>
          <cell r="B9" t="str">
            <v>SALIA</v>
          </cell>
          <cell r="C9" t="str">
            <v>Gbassay</v>
          </cell>
          <cell r="D9" t="str">
            <v>M</v>
          </cell>
          <cell r="E9" t="str">
            <v>Driver</v>
          </cell>
          <cell r="F9" t="str">
            <v>Freetown</v>
          </cell>
          <cell r="G9" t="str">
            <v>L4G1</v>
          </cell>
          <cell r="H9">
            <v>41930</v>
          </cell>
          <cell r="I9">
            <v>41930</v>
          </cell>
          <cell r="J9">
            <v>42308</v>
          </cell>
          <cell r="K9" t="str">
            <v>CDD</v>
          </cell>
          <cell r="L9" t="str">
            <v>Part time</v>
          </cell>
          <cell r="M9">
            <v>22</v>
          </cell>
          <cell r="N9">
            <v>40</v>
          </cell>
          <cell r="O9">
            <v>752115</v>
          </cell>
          <cell r="P9">
            <v>1</v>
          </cell>
          <cell r="Q9" t="str">
            <v>Cash</v>
          </cell>
          <cell r="R9">
            <v>0</v>
          </cell>
          <cell r="S9">
            <v>0</v>
          </cell>
          <cell r="T9">
            <v>0</v>
          </cell>
          <cell r="U9">
            <v>0</v>
          </cell>
          <cell r="V9" t="str">
            <v>E1109195908200015</v>
          </cell>
          <cell r="W9" t="str">
            <v>26 Old Railway line, Tengbeh Town, Freetown</v>
          </cell>
          <cell r="X9">
            <v>22326</v>
          </cell>
          <cell r="Y9">
            <v>54.713888888888889</v>
          </cell>
          <cell r="Z9" t="str">
            <v>Sierra Leonean</v>
          </cell>
          <cell r="AA9" t="str">
            <v>S</v>
          </cell>
          <cell r="AB9">
            <v>1</v>
          </cell>
          <cell r="AC9">
            <v>1</v>
          </cell>
          <cell r="AD9">
            <v>2</v>
          </cell>
          <cell r="AE9" t="str">
            <v>Sidike Conteh (friend) : 077 549 092</v>
          </cell>
        </row>
        <row r="10">
          <cell r="A10" t="str">
            <v>N14</v>
          </cell>
          <cell r="B10" t="str">
            <v>KENNEH</v>
          </cell>
          <cell r="C10" t="str">
            <v>Joseph, Mohamed</v>
          </cell>
          <cell r="D10" t="str">
            <v>M</v>
          </cell>
          <cell r="E10" t="str">
            <v>Admin. &amp; Finance Officer</v>
          </cell>
          <cell r="F10" t="str">
            <v>Freetown</v>
          </cell>
          <cell r="G10" t="str">
            <v>L8G2</v>
          </cell>
          <cell r="H10">
            <v>41925</v>
          </cell>
          <cell r="I10">
            <v>42125</v>
          </cell>
          <cell r="J10">
            <v>42338</v>
          </cell>
          <cell r="K10" t="str">
            <v>CDD</v>
          </cell>
          <cell r="L10" t="str">
            <v>Full time</v>
          </cell>
          <cell r="M10">
            <v>22</v>
          </cell>
          <cell r="N10">
            <v>40</v>
          </cell>
          <cell r="O10">
            <v>1992900</v>
          </cell>
          <cell r="P10">
            <v>1</v>
          </cell>
          <cell r="Q10" t="str">
            <v>Cash</v>
          </cell>
          <cell r="R10">
            <v>0</v>
          </cell>
          <cell r="S10">
            <v>0</v>
          </cell>
          <cell r="T10">
            <v>0</v>
          </cell>
          <cell r="U10">
            <v>0</v>
          </cell>
          <cell r="V10" t="str">
            <v>N2408198710140012</v>
          </cell>
          <cell r="W10" t="str">
            <v>123c Bai Bureh Road, Grassfield, Freetown</v>
          </cell>
          <cell r="X10">
            <v>32064</v>
          </cell>
          <cell r="Y10">
            <v>28.047222222222221</v>
          </cell>
          <cell r="Z10" t="str">
            <v>Sierra Leonean</v>
          </cell>
          <cell r="AA10" t="str">
            <v>M</v>
          </cell>
          <cell r="AB10">
            <v>1</v>
          </cell>
          <cell r="AC10">
            <v>1</v>
          </cell>
          <cell r="AD10">
            <v>2</v>
          </cell>
          <cell r="AE10" t="str">
            <v>Hawa Kenneh 079 19 54 28</v>
          </cell>
        </row>
        <row r="11">
          <cell r="A11" t="str">
            <v>N16</v>
          </cell>
          <cell r="B11" t="str">
            <v>FEFEGULA</v>
          </cell>
          <cell r="C11" t="str">
            <v>Christiana</v>
          </cell>
          <cell r="D11" t="str">
            <v>F</v>
          </cell>
          <cell r="E11" t="str">
            <v>Pharmacy Officer</v>
          </cell>
          <cell r="F11" t="str">
            <v>Freetown</v>
          </cell>
          <cell r="G11" t="str">
            <v>L9G3</v>
          </cell>
          <cell r="H11">
            <v>42073</v>
          </cell>
          <cell r="I11">
            <v>42073</v>
          </cell>
          <cell r="J11">
            <v>42369</v>
          </cell>
          <cell r="K11" t="str">
            <v>CDD</v>
          </cell>
          <cell r="L11" t="str">
            <v>Full time</v>
          </cell>
          <cell r="M11">
            <v>22</v>
          </cell>
          <cell r="N11">
            <v>40</v>
          </cell>
          <cell r="O11">
            <v>2590900</v>
          </cell>
          <cell r="P11">
            <v>0</v>
          </cell>
          <cell r="Q11" t="str">
            <v>Transfer</v>
          </cell>
          <cell r="R11" t="str">
            <v>005201000016110250</v>
          </cell>
          <cell r="S11" t="str">
            <v xml:space="preserve">Guaranty Trust Bank </v>
          </cell>
          <cell r="T11">
            <v>0</v>
          </cell>
          <cell r="U11">
            <v>0</v>
          </cell>
          <cell r="V11" t="str">
            <v>S0104198606270021</v>
          </cell>
          <cell r="W11" t="str">
            <v>14 Diamei Road Off Peninsula Road, Goderich, Freetown</v>
          </cell>
          <cell r="X11">
            <v>31590</v>
          </cell>
          <cell r="Y11">
            <v>29.344444444444445</v>
          </cell>
          <cell r="Z11" t="str">
            <v>Sierra Leonean</v>
          </cell>
          <cell r="AA11" t="str">
            <v>M</v>
          </cell>
          <cell r="AB11">
            <v>0</v>
          </cell>
          <cell r="AC11">
            <v>1</v>
          </cell>
          <cell r="AD11">
            <v>1</v>
          </cell>
          <cell r="AE11" t="str">
            <v>Joseph Mahmond Sesay ( Husband)-078 800 003</v>
          </cell>
        </row>
        <row r="12">
          <cell r="A12" t="str">
            <v>N17</v>
          </cell>
          <cell r="B12" t="str">
            <v>SORIE</v>
          </cell>
          <cell r="C12" t="str">
            <v>Aiah</v>
          </cell>
          <cell r="D12" t="str">
            <v>M</v>
          </cell>
          <cell r="E12" t="str">
            <v>Logistics Assistant</v>
          </cell>
          <cell r="F12" t="str">
            <v>Freetown</v>
          </cell>
          <cell r="G12" t="str">
            <v>L6G6</v>
          </cell>
          <cell r="H12">
            <v>42135</v>
          </cell>
          <cell r="I12">
            <v>42135</v>
          </cell>
          <cell r="J12">
            <v>42318</v>
          </cell>
          <cell r="K12" t="str">
            <v>CDD</v>
          </cell>
          <cell r="L12" t="str">
            <v>Full time</v>
          </cell>
          <cell r="M12">
            <v>22</v>
          </cell>
          <cell r="N12">
            <v>40</v>
          </cell>
          <cell r="O12">
            <v>1144000</v>
          </cell>
          <cell r="P12">
            <v>0</v>
          </cell>
          <cell r="Q12" t="str">
            <v>Cash</v>
          </cell>
          <cell r="R12">
            <v>0</v>
          </cell>
          <cell r="S12">
            <v>0</v>
          </cell>
          <cell r="T12">
            <v>0</v>
          </cell>
          <cell r="U12">
            <v>0</v>
          </cell>
          <cell r="V12" t="str">
            <v>E1313198611230014</v>
          </cell>
          <cell r="W12" t="str">
            <v>123 Bai Bureh Road, Freetown</v>
          </cell>
          <cell r="X12">
            <v>31739</v>
          </cell>
          <cell r="Y12">
            <v>28.93888888888889</v>
          </cell>
          <cell r="Z12" t="str">
            <v>Sierra Leonean</v>
          </cell>
          <cell r="AA12" t="str">
            <v>M</v>
          </cell>
          <cell r="AB12">
            <v>1</v>
          </cell>
          <cell r="AC12">
            <v>1</v>
          </cell>
          <cell r="AD12">
            <v>2</v>
          </cell>
          <cell r="AE12" t="str">
            <v>Matha Sorie ( Sister)-030 406 335</v>
          </cell>
        </row>
        <row r="13">
          <cell r="A13" t="str">
            <v>N18</v>
          </cell>
          <cell r="B13" t="str">
            <v>DAINKEH</v>
          </cell>
          <cell r="C13" t="str">
            <v>Hassan</v>
          </cell>
          <cell r="D13" t="str">
            <v>M</v>
          </cell>
          <cell r="E13" t="str">
            <v>Driver</v>
          </cell>
          <cell r="F13" t="str">
            <v>Freetown</v>
          </cell>
          <cell r="G13" t="str">
            <v>L4G1</v>
          </cell>
          <cell r="H13">
            <v>42156</v>
          </cell>
          <cell r="I13">
            <v>42156</v>
          </cell>
          <cell r="J13">
            <v>42338</v>
          </cell>
          <cell r="K13" t="str">
            <v>CDD</v>
          </cell>
          <cell r="L13" t="str">
            <v>Full time</v>
          </cell>
          <cell r="M13">
            <v>22</v>
          </cell>
          <cell r="N13">
            <v>20</v>
          </cell>
          <cell r="O13">
            <v>358150</v>
          </cell>
          <cell r="P13">
            <v>0</v>
          </cell>
          <cell r="Q13" t="str">
            <v>Cash</v>
          </cell>
          <cell r="R13">
            <v>0</v>
          </cell>
          <cell r="S13">
            <v>0</v>
          </cell>
          <cell r="T13">
            <v>0</v>
          </cell>
          <cell r="U13">
            <v>0</v>
          </cell>
          <cell r="V13" t="str">
            <v>W01015005433</v>
          </cell>
          <cell r="W13" t="str">
            <v>10L Industrial Estate, Wellington, Freetown</v>
          </cell>
          <cell r="X13">
            <v>28997</v>
          </cell>
          <cell r="Y13">
            <v>36.44166666666667</v>
          </cell>
          <cell r="Z13" t="str">
            <v>Sierra Leonean</v>
          </cell>
          <cell r="AA13" t="str">
            <v>M</v>
          </cell>
          <cell r="AB13">
            <v>2</v>
          </cell>
          <cell r="AC13">
            <v>1</v>
          </cell>
          <cell r="AD13">
            <v>3</v>
          </cell>
          <cell r="AE13" t="str">
            <v>Emilia Dainkeh (wife)-076 261 224</v>
          </cell>
        </row>
        <row r="14">
          <cell r="A14" t="str">
            <v>N19</v>
          </cell>
          <cell r="B14" t="str">
            <v>QUEE</v>
          </cell>
          <cell r="C14" t="str">
            <v>Sahr</v>
          </cell>
          <cell r="D14" t="str">
            <v>M</v>
          </cell>
          <cell r="E14" t="str">
            <v>Watchman</v>
          </cell>
          <cell r="F14" t="str">
            <v>Freetown</v>
          </cell>
          <cell r="G14" t="str">
            <v>L1G1</v>
          </cell>
          <cell r="H14">
            <v>42156</v>
          </cell>
          <cell r="I14">
            <v>42156</v>
          </cell>
          <cell r="J14">
            <v>42369</v>
          </cell>
          <cell r="K14" t="str">
            <v>CDD</v>
          </cell>
          <cell r="L14" t="str">
            <v>Full time</v>
          </cell>
          <cell r="M14">
            <v>22</v>
          </cell>
          <cell r="N14">
            <v>48</v>
          </cell>
          <cell r="O14">
            <v>336000</v>
          </cell>
          <cell r="P14">
            <v>0</v>
          </cell>
          <cell r="Q14" t="str">
            <v>Cash</v>
          </cell>
          <cell r="R14">
            <v>0</v>
          </cell>
          <cell r="S14">
            <v>0</v>
          </cell>
          <cell r="T14">
            <v>0</v>
          </cell>
          <cell r="U14">
            <v>0</v>
          </cell>
          <cell r="V14" t="str">
            <v>E1313197808310010</v>
          </cell>
          <cell r="W14" t="str">
            <v>18D Dwarzak, Freetown</v>
          </cell>
          <cell r="X14">
            <v>30189</v>
          </cell>
          <cell r="Y14">
            <v>33.180555555555557</v>
          </cell>
          <cell r="Z14" t="str">
            <v>Sierra Leonean</v>
          </cell>
          <cell r="AA14" t="str">
            <v>M</v>
          </cell>
          <cell r="AB14">
            <v>3</v>
          </cell>
          <cell r="AC14">
            <v>1</v>
          </cell>
          <cell r="AD14">
            <v>4</v>
          </cell>
          <cell r="AE14" t="str">
            <v xml:space="preserve">Bintu Quee ( wife)-030 517 383 / </v>
          </cell>
        </row>
        <row r="15">
          <cell r="A15" t="str">
            <v>N20</v>
          </cell>
          <cell r="B15" t="str">
            <v>ALLIEU</v>
          </cell>
          <cell r="C15" t="str">
            <v>Francis, S</v>
          </cell>
          <cell r="D15" t="str">
            <v>M</v>
          </cell>
          <cell r="E15" t="str">
            <v>Watchman</v>
          </cell>
          <cell r="F15" t="str">
            <v>Freetown</v>
          </cell>
          <cell r="G15" t="str">
            <v>L1G1</v>
          </cell>
          <cell r="H15">
            <v>42156</v>
          </cell>
          <cell r="I15">
            <v>42156</v>
          </cell>
          <cell r="J15">
            <v>42369</v>
          </cell>
          <cell r="K15" t="str">
            <v>CDD</v>
          </cell>
          <cell r="L15" t="str">
            <v>Full time</v>
          </cell>
          <cell r="M15">
            <v>22</v>
          </cell>
          <cell r="N15">
            <v>36</v>
          </cell>
          <cell r="O15">
            <v>252000</v>
          </cell>
          <cell r="P15">
            <v>0</v>
          </cell>
          <cell r="Q15" t="str">
            <v>Cash</v>
          </cell>
          <cell r="R15">
            <v>0</v>
          </cell>
          <cell r="S15">
            <v>0</v>
          </cell>
          <cell r="T15">
            <v>0</v>
          </cell>
          <cell r="U15">
            <v>0</v>
          </cell>
          <cell r="V15" t="str">
            <v>E1305199209180012</v>
          </cell>
          <cell r="W15" t="str">
            <v>43B Edmon Drive Malama, Freetown</v>
          </cell>
          <cell r="X15">
            <v>33865</v>
          </cell>
          <cell r="Y15">
            <v>23.119444444444444</v>
          </cell>
          <cell r="Z15" t="str">
            <v>Sierra Leonean</v>
          </cell>
          <cell r="AA15" t="str">
            <v>S</v>
          </cell>
          <cell r="AB15">
            <v>0</v>
          </cell>
          <cell r="AC15">
            <v>0</v>
          </cell>
          <cell r="AD15">
            <v>0</v>
          </cell>
          <cell r="AE15" t="str">
            <v>Komba Aruna ( Brother)-077 362 389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info"/>
      <sheetName val="CP Budget Template"/>
      <sheetName val="BRF"/>
      <sheetName val="APP 1 LC"/>
      <sheetName val="APP 1 USD"/>
      <sheetName val="APP 2 LC"/>
      <sheetName val="APP 2 USD"/>
      <sheetName val="Commodities and In-Kind for Dst"/>
      <sheetName val="Commodities for Monetization"/>
      <sheetName val="Sale Proceeds From Monetization"/>
      <sheetName val="National Staff Summary"/>
      <sheetName val="Support 1"/>
      <sheetName val="Support 2"/>
      <sheetName val="Support 3"/>
      <sheetName val="Support 4"/>
      <sheetName val="Support 5"/>
      <sheetName val="Support 6"/>
      <sheetName val="Support 7"/>
      <sheetName val="Support 8"/>
      <sheetName val="Locally Generated Income"/>
      <sheetName val="International Staff Summary"/>
      <sheetName val="Est Monetization Activity"/>
      <sheetName val="Field Notes Review Issues"/>
      <sheetName val="Rapport"/>
      <sheetName val="SF-424"/>
      <sheetName val="Master_info"/>
      <sheetName val="CP_Budget_Template"/>
      <sheetName val="APP_1_LC"/>
      <sheetName val="APP_1_USD"/>
      <sheetName val="APP_2_LC"/>
      <sheetName val="APP_2_USD"/>
      <sheetName val="Commodities_and_In-Kind_for_Dst"/>
      <sheetName val="Commodities_for_Monetization"/>
      <sheetName val="Sale_Proceeds_From_Monetization"/>
      <sheetName val="National_Staff_Summary"/>
      <sheetName val="Support_1"/>
      <sheetName val="Support_2"/>
      <sheetName val="Support_3"/>
      <sheetName val="Support_4"/>
      <sheetName val="Support_5"/>
      <sheetName val="Support_6"/>
      <sheetName val="Support_7"/>
      <sheetName val="Support_8"/>
      <sheetName val="Locally_Generated_Income"/>
      <sheetName val="International_Staff_Summary"/>
      <sheetName val="Est_Monetization_Activity"/>
      <sheetName val="Field_Notes_Review_Issues"/>
      <sheetName val="Master_info1"/>
      <sheetName val="CP_Budget_Template1"/>
      <sheetName val="APP_1_LC1"/>
      <sheetName val="APP_1_USD1"/>
      <sheetName val="APP_2_LC1"/>
      <sheetName val="APP_2_USD1"/>
      <sheetName val="Commodities_and_In-Kind_for_Ds1"/>
      <sheetName val="Commodities_for_Monetization1"/>
      <sheetName val="Sale_Proceeds_From_Monetizatio1"/>
      <sheetName val="National_Staff_Summary1"/>
      <sheetName val="Support_11"/>
      <sheetName val="Support_21"/>
      <sheetName val="Support_31"/>
      <sheetName val="Support_41"/>
      <sheetName val="Support_51"/>
      <sheetName val="Support_61"/>
      <sheetName val="Support_71"/>
      <sheetName val="Support_81"/>
      <sheetName val="Locally_Generated_Income1"/>
      <sheetName val="International_Staff_Summary1"/>
      <sheetName val="Est_Monetization_Activity1"/>
      <sheetName val="Field_Notes_Review_Issues1"/>
      <sheetName val="Master_info2"/>
      <sheetName val="CP_Budget_Template2"/>
      <sheetName val="APP_1_LC2"/>
      <sheetName val="APP_1_USD2"/>
      <sheetName val="APP_2_LC2"/>
      <sheetName val="APP_2_USD2"/>
      <sheetName val="Commodities_and_In-Kind_for_Ds2"/>
      <sheetName val="Commodities_for_Monetization2"/>
      <sheetName val="Sale_Proceeds_From_Monetizatio2"/>
      <sheetName val="National_Staff_Summary2"/>
      <sheetName val="Support_12"/>
      <sheetName val="Support_22"/>
      <sheetName val="Support_32"/>
      <sheetName val="Support_42"/>
      <sheetName val="Support_52"/>
      <sheetName val="Support_62"/>
      <sheetName val="Support_72"/>
      <sheetName val="Support_82"/>
      <sheetName val="Locally_Generated_Income2"/>
      <sheetName val="International_Staff_Summary2"/>
      <sheetName val="Est_Monetization_Activity2"/>
      <sheetName val="Field_Notes_Review_Issues2"/>
      <sheetName val="Master_info3"/>
      <sheetName val="CP_Budget_Template3"/>
      <sheetName val="APP_1_LC3"/>
      <sheetName val="APP_1_USD3"/>
      <sheetName val="APP_2_LC3"/>
      <sheetName val="APP_2_USD3"/>
      <sheetName val="Commodities_and_In-Kind_for_Ds3"/>
      <sheetName val="Commodities_for_Monetization3"/>
      <sheetName val="Sale_Proceeds_From_Monetizatio3"/>
      <sheetName val="National_Staff_Summary3"/>
      <sheetName val="Support_13"/>
      <sheetName val="Support_23"/>
      <sheetName val="Support_33"/>
      <sheetName val="Support_43"/>
      <sheetName val="Support_53"/>
      <sheetName val="Support_63"/>
      <sheetName val="Support_73"/>
      <sheetName val="Support_83"/>
      <sheetName val="Locally_Generated_Income3"/>
      <sheetName val="International_Staff_Summary3"/>
      <sheetName val="Est_Monetization_Activity3"/>
      <sheetName val="Field_Notes_Review_Issues3"/>
      <sheetName val="Master_info5"/>
      <sheetName val="CP_Budget_Template5"/>
      <sheetName val="APP_1_LC5"/>
      <sheetName val="APP_1_USD5"/>
      <sheetName val="APP_2_LC5"/>
      <sheetName val="APP_2_USD5"/>
      <sheetName val="Commodities_and_In-Kind_for_Ds5"/>
      <sheetName val="Commodities_for_Monetization5"/>
      <sheetName val="Sale_Proceeds_From_Monetizatio5"/>
      <sheetName val="National_Staff_Summary5"/>
      <sheetName val="Support_15"/>
      <sheetName val="Support_25"/>
      <sheetName val="Support_35"/>
      <sheetName val="Support_45"/>
      <sheetName val="Support_55"/>
      <sheetName val="Support_65"/>
      <sheetName val="Support_75"/>
      <sheetName val="Support_85"/>
      <sheetName val="Locally_Generated_Income5"/>
      <sheetName val="International_Staff_Summary5"/>
      <sheetName val="Est_Monetization_Activity5"/>
      <sheetName val="Field_Notes_Review_Issues5"/>
      <sheetName val="Master_info4"/>
      <sheetName val="CP_Budget_Template4"/>
      <sheetName val="APP_1_LC4"/>
      <sheetName val="APP_1_USD4"/>
      <sheetName val="APP_2_LC4"/>
      <sheetName val="APP_2_USD4"/>
      <sheetName val="Commodities_and_In-Kind_for_Ds4"/>
      <sheetName val="Commodities_for_Monetization4"/>
      <sheetName val="Sale_Proceeds_From_Monetizatio4"/>
      <sheetName val="National_Staff_Summary4"/>
      <sheetName val="Support_14"/>
      <sheetName val="Support_24"/>
      <sheetName val="Support_34"/>
      <sheetName val="Support_44"/>
      <sheetName val="Support_54"/>
      <sheetName val="Support_64"/>
      <sheetName val="Support_74"/>
      <sheetName val="Support_84"/>
      <sheetName val="Locally_Generated_Income4"/>
      <sheetName val="International_Staff_Summary4"/>
      <sheetName val="Est_Monetization_Activity4"/>
      <sheetName val="Field_Notes_Review_Issues4"/>
      <sheetName val="Master_info7"/>
      <sheetName val="CP_Budget_Template7"/>
      <sheetName val="APP_1_LC7"/>
      <sheetName val="APP_1_USD7"/>
      <sheetName val="APP_2_LC7"/>
      <sheetName val="APP_2_USD7"/>
      <sheetName val="Commodities_and_In-Kind_for_Ds7"/>
      <sheetName val="Commodities_for_Monetization7"/>
      <sheetName val="Sale_Proceeds_From_Monetizatio7"/>
      <sheetName val="National_Staff_Summary7"/>
      <sheetName val="Support_17"/>
      <sheetName val="Support_27"/>
      <sheetName val="Support_37"/>
      <sheetName val="Support_47"/>
      <sheetName val="Support_57"/>
      <sheetName val="Support_67"/>
      <sheetName val="Support_77"/>
      <sheetName val="Support_87"/>
      <sheetName val="Locally_Generated_Income7"/>
      <sheetName val="International_Staff_Summary7"/>
      <sheetName val="Est_Monetization_Activity7"/>
      <sheetName val="Field_Notes_Review_Issues7"/>
      <sheetName val="Master_info6"/>
      <sheetName val="CP_Budget_Template6"/>
      <sheetName val="APP_1_LC6"/>
      <sheetName val="APP_1_USD6"/>
      <sheetName val="APP_2_LC6"/>
      <sheetName val="APP_2_USD6"/>
      <sheetName val="Commodities_and_In-Kind_for_Ds6"/>
      <sheetName val="Commodities_for_Monetization6"/>
      <sheetName val="Sale_Proceeds_From_Monetizatio6"/>
      <sheetName val="National_Staff_Summary6"/>
      <sheetName val="Support_16"/>
      <sheetName val="Support_26"/>
      <sheetName val="Support_36"/>
      <sheetName val="Support_46"/>
      <sheetName val="Support_56"/>
      <sheetName val="Support_66"/>
      <sheetName val="Support_76"/>
      <sheetName val="Support_86"/>
      <sheetName val="Locally_Generated_Income6"/>
      <sheetName val="International_Staff_Summary6"/>
      <sheetName val="Est_Monetization_Activity6"/>
      <sheetName val="Field_Notes_Review_Issues6"/>
      <sheetName val="Master_info8"/>
      <sheetName val="CP_Budget_Template8"/>
      <sheetName val="APP_1_LC8"/>
      <sheetName val="APP_1_USD8"/>
      <sheetName val="APP_2_LC8"/>
      <sheetName val="APP_2_USD8"/>
      <sheetName val="Commodities_and_In-Kind_for_Ds8"/>
      <sheetName val="Commodities_for_Monetization8"/>
      <sheetName val="Sale_Proceeds_From_Monetizatio8"/>
      <sheetName val="National_Staff_Summary8"/>
      <sheetName val="Support_18"/>
      <sheetName val="Support_28"/>
      <sheetName val="Support_38"/>
      <sheetName val="Support_48"/>
      <sheetName val="Support_58"/>
      <sheetName val="Support_68"/>
      <sheetName val="Support_78"/>
      <sheetName val="Support_88"/>
      <sheetName val="Locally_Generated_Income8"/>
      <sheetName val="International_Staff_Summary8"/>
      <sheetName val="Est_Monetization_Activity8"/>
      <sheetName val="Field_Notes_Review_Issues8"/>
      <sheetName val="Master_info9"/>
      <sheetName val="CP_Budget_Template9"/>
      <sheetName val="APP_1_LC9"/>
      <sheetName val="APP_1_USD9"/>
      <sheetName val="APP_2_LC9"/>
      <sheetName val="APP_2_USD9"/>
      <sheetName val="Commodities_and_In-Kind_for_Ds9"/>
      <sheetName val="Commodities_for_Monetization9"/>
      <sheetName val="Sale_Proceeds_From_Monetizatio9"/>
      <sheetName val="National_Staff_Summary9"/>
      <sheetName val="Support_19"/>
      <sheetName val="Support_29"/>
      <sheetName val="Support_39"/>
      <sheetName val="Support_49"/>
      <sheetName val="Support_59"/>
      <sheetName val="Support_69"/>
      <sheetName val="Support_79"/>
      <sheetName val="Support_89"/>
      <sheetName val="Locally_Generated_Income9"/>
      <sheetName val="International_Staff_Summary9"/>
      <sheetName val="Est_Monetization_Activity9"/>
      <sheetName val="Field_Notes_Review_Issues9"/>
      <sheetName val="Master_info11"/>
      <sheetName val="CP_Budget_Template11"/>
      <sheetName val="APP_1_LC11"/>
      <sheetName val="APP_1_USD11"/>
      <sheetName val="APP_2_LC11"/>
      <sheetName val="APP_2_USD11"/>
      <sheetName val="Commodities_and_In-Kind_for_D11"/>
      <sheetName val="Commodities_for_Monetization11"/>
      <sheetName val="Sale_Proceeds_From_Monetizati11"/>
      <sheetName val="National_Staff_Summary11"/>
      <sheetName val="Support_111"/>
      <sheetName val="Support_211"/>
      <sheetName val="Support_311"/>
      <sheetName val="Support_411"/>
      <sheetName val="Support_511"/>
      <sheetName val="Support_611"/>
      <sheetName val="Support_711"/>
      <sheetName val="Support_811"/>
      <sheetName val="Locally_Generated_Income11"/>
      <sheetName val="International_Staff_Summary11"/>
      <sheetName val="Est_Monetization_Activity11"/>
      <sheetName val="Field_Notes_Review_Issues11"/>
      <sheetName val="Master_info10"/>
      <sheetName val="CP_Budget_Template10"/>
      <sheetName val="APP_1_LC10"/>
      <sheetName val="APP_1_USD10"/>
      <sheetName val="APP_2_LC10"/>
      <sheetName val="APP_2_USD10"/>
      <sheetName val="Commodities_and_In-Kind_for_D10"/>
      <sheetName val="Commodities_for_Monetization10"/>
      <sheetName val="Sale_Proceeds_From_Monetizati10"/>
      <sheetName val="National_Staff_Summary10"/>
      <sheetName val="Support_110"/>
      <sheetName val="Support_210"/>
      <sheetName val="Support_310"/>
      <sheetName val="Support_410"/>
      <sheetName val="Support_510"/>
      <sheetName val="Support_610"/>
      <sheetName val="Support_710"/>
      <sheetName val="Support_810"/>
      <sheetName val="Locally_Generated_Income10"/>
      <sheetName val="International_Staff_Summary10"/>
      <sheetName val="Est_Monetization_Activity10"/>
      <sheetName val="Field_Notes_Review_Issues10"/>
      <sheetName val="Master_info12"/>
      <sheetName val="CP_Budget_Template12"/>
      <sheetName val="APP_1_LC12"/>
      <sheetName val="APP_1_USD12"/>
      <sheetName val="APP_2_LC12"/>
      <sheetName val="APP_2_USD12"/>
      <sheetName val="Commodities_and_In-Kind_for_D12"/>
      <sheetName val="Commodities_for_Monetization12"/>
      <sheetName val="Sale_Proceeds_From_Monetizati12"/>
      <sheetName val="National_Staff_Summary12"/>
      <sheetName val="Support_112"/>
      <sheetName val="Support_212"/>
      <sheetName val="Support_312"/>
      <sheetName val="Support_412"/>
      <sheetName val="Support_512"/>
      <sheetName val="Support_612"/>
      <sheetName val="Support_712"/>
      <sheetName val="Support_812"/>
      <sheetName val="Locally_Generated_Income12"/>
      <sheetName val="International_Staff_Summary12"/>
      <sheetName val="Est_Monetization_Activity12"/>
      <sheetName val="Field_Notes_Review_Issues12"/>
      <sheetName val="Report Form"/>
      <sheetName val="Approved Budget"/>
      <sheetName val="NON-FS CS Valuation Guidance"/>
      <sheetName val="PERIOD 12-SEPT"/>
      <sheetName val="Sheet1"/>
      <sheetName val="repartition"/>
      <sheetName val="Master_info13"/>
      <sheetName val="CP_Budget_Template13"/>
      <sheetName val="APP_1_LC13"/>
      <sheetName val="APP_1_USD13"/>
      <sheetName val="APP_2_LC13"/>
      <sheetName val="APP_2_USD13"/>
      <sheetName val="Commodities_and_In-Kind_for_D13"/>
      <sheetName val="Commodities_for_Monetization13"/>
      <sheetName val="Sale_Proceeds_From_Monetizati13"/>
      <sheetName val="National_Staff_Summary13"/>
      <sheetName val="Support_113"/>
      <sheetName val="Support_213"/>
      <sheetName val="Support_313"/>
      <sheetName val="Support_413"/>
      <sheetName val="Support_513"/>
      <sheetName val="Support_613"/>
      <sheetName val="Support_713"/>
      <sheetName val="Support_813"/>
      <sheetName val="Locally_Generated_Income13"/>
      <sheetName val="International_Staff_Summary13"/>
      <sheetName val="Est_Monetization_Activity13"/>
      <sheetName val="Field_Notes_Review_Issues13"/>
      <sheetName val="Report_Form"/>
      <sheetName val="Approved_Budget"/>
      <sheetName val="NON-FS_CS_Valuation_Guidance"/>
      <sheetName val="Worksheet 1 Project budget"/>
      <sheetName val="H&amp;O rent"/>
      <sheetName val="Actuals"/>
      <sheetName val="Salary table"/>
      <sheetName val="Worksheet_1_Project_budget"/>
      <sheetName val="H&amp;O_rent"/>
      <sheetName val="Salary_table"/>
      <sheetName val="Worksheet_1_Project_budget1"/>
      <sheetName val="H&amp;O_rent1"/>
      <sheetName val="Salary_table1"/>
      <sheetName val="Worksheet_1_Project_budget2"/>
      <sheetName val="H&amp;O_rent2"/>
      <sheetName val="Salary_table2"/>
      <sheetName val="ListFCII "/>
      <sheetName val="List"/>
      <sheetName val="List Haiti Reads"/>
    </sheetNames>
    <sheetDataSet>
      <sheetData sheetId="0" refreshError="1">
        <row r="11">
          <cell r="B11">
            <v>606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1">
          <cell r="B11">
            <v>606</v>
          </cell>
        </row>
      </sheetData>
      <sheetData sheetId="26"/>
      <sheetData sheetId="27"/>
      <sheetData sheetId="28"/>
      <sheetData sheetId="29">
        <row r="11">
          <cell r="B11">
            <v>606</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row r="11">
          <cell r="B11">
            <v>606</v>
          </cell>
        </row>
      </sheetData>
      <sheetData sheetId="43">
        <row r="11">
          <cell r="B11">
            <v>606</v>
          </cell>
        </row>
      </sheetData>
      <sheetData sheetId="44"/>
      <sheetData sheetId="45"/>
      <sheetData sheetId="46"/>
      <sheetData sheetId="47">
        <row r="11">
          <cell r="B11">
            <v>606</v>
          </cell>
        </row>
      </sheetData>
      <sheetData sheetId="48">
        <row r="11">
          <cell r="B11">
            <v>606</v>
          </cell>
        </row>
      </sheetData>
      <sheetData sheetId="49"/>
      <sheetData sheetId="50"/>
      <sheetData sheetId="51"/>
      <sheetData sheetId="52"/>
      <sheetData sheetId="53"/>
      <sheetData sheetId="54"/>
      <sheetData sheetId="55"/>
      <sheetData sheetId="56"/>
      <sheetData sheetId="57"/>
      <sheetData sheetId="58"/>
      <sheetData sheetId="59"/>
      <sheetData sheetId="60"/>
      <sheetData sheetId="61">
        <row r="11">
          <cell r="B11">
            <v>606</v>
          </cell>
        </row>
      </sheetData>
      <sheetData sheetId="62">
        <row r="11">
          <cell r="B11">
            <v>606</v>
          </cell>
        </row>
      </sheetData>
      <sheetData sheetId="63"/>
      <sheetData sheetId="64"/>
      <sheetData sheetId="65"/>
      <sheetData sheetId="66">
        <row r="11">
          <cell r="B11">
            <v>606</v>
          </cell>
        </row>
      </sheetData>
      <sheetData sheetId="67"/>
      <sheetData sheetId="68"/>
      <sheetData sheetId="69">
        <row r="11">
          <cell r="B11">
            <v>606</v>
          </cell>
        </row>
      </sheetData>
      <sheetData sheetId="70">
        <row r="11">
          <cell r="B11">
            <v>606</v>
          </cell>
        </row>
      </sheetData>
      <sheetData sheetId="71"/>
      <sheetData sheetId="72"/>
      <sheetData sheetId="73"/>
      <sheetData sheetId="74"/>
      <sheetData sheetId="75"/>
      <sheetData sheetId="76"/>
      <sheetData sheetId="77"/>
      <sheetData sheetId="78"/>
      <sheetData sheetId="79"/>
      <sheetData sheetId="80">
        <row r="11">
          <cell r="B11">
            <v>606</v>
          </cell>
        </row>
      </sheetData>
      <sheetData sheetId="81">
        <row r="11">
          <cell r="B11">
            <v>606</v>
          </cell>
        </row>
      </sheetData>
      <sheetData sheetId="82"/>
      <sheetData sheetId="83"/>
      <sheetData sheetId="84"/>
      <sheetData sheetId="85"/>
      <sheetData sheetId="86"/>
      <sheetData sheetId="87"/>
      <sheetData sheetId="88">
        <row r="11">
          <cell r="B11">
            <v>606</v>
          </cell>
        </row>
      </sheetData>
      <sheetData sheetId="89"/>
      <sheetData sheetId="90"/>
      <sheetData sheetId="91">
        <row r="11">
          <cell r="B11">
            <v>606</v>
          </cell>
        </row>
      </sheetData>
      <sheetData sheetId="92">
        <row r="11">
          <cell r="B11">
            <v>606</v>
          </cell>
        </row>
      </sheetData>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ow r="11">
          <cell r="B11">
            <v>606</v>
          </cell>
        </row>
      </sheetData>
      <sheetData sheetId="122">
        <row r="11">
          <cell r="B11">
            <v>606</v>
          </cell>
        </row>
      </sheetData>
      <sheetData sheetId="123"/>
      <sheetData sheetId="124"/>
      <sheetData sheetId="125"/>
      <sheetData sheetId="126"/>
      <sheetData sheetId="127"/>
      <sheetData sheetId="128"/>
      <sheetData sheetId="129"/>
      <sheetData sheetId="130"/>
      <sheetData sheetId="131"/>
      <sheetData sheetId="132">
        <row r="11">
          <cell r="B11">
            <v>606</v>
          </cell>
        </row>
      </sheetData>
      <sheetData sheetId="133"/>
      <sheetData sheetId="134"/>
      <sheetData sheetId="135">
        <row r="11">
          <cell r="B11">
            <v>606</v>
          </cell>
        </row>
      </sheetData>
      <sheetData sheetId="136">
        <row r="11">
          <cell r="B11">
            <v>606</v>
          </cell>
        </row>
      </sheetData>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ow r="11">
          <cell r="B11">
            <v>606</v>
          </cell>
        </row>
      </sheetData>
      <sheetData sheetId="188">
        <row r="11">
          <cell r="B11">
            <v>606</v>
          </cell>
        </row>
      </sheetData>
      <sheetData sheetId="189"/>
      <sheetData sheetId="190"/>
      <sheetData sheetId="191"/>
      <sheetData sheetId="192"/>
      <sheetData sheetId="193"/>
      <sheetData sheetId="194"/>
      <sheetData sheetId="195"/>
      <sheetData sheetId="196"/>
      <sheetData sheetId="197"/>
      <sheetData sheetId="198">
        <row r="11">
          <cell r="B11">
            <v>606</v>
          </cell>
        </row>
      </sheetData>
      <sheetData sheetId="199"/>
      <sheetData sheetId="200"/>
      <sheetData sheetId="201">
        <row r="11">
          <cell r="B11">
            <v>606</v>
          </cell>
        </row>
      </sheetData>
      <sheetData sheetId="202">
        <row r="11">
          <cell r="B11">
            <v>606</v>
          </cell>
        </row>
      </sheetData>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ow r="11">
          <cell r="B11">
            <v>606</v>
          </cell>
        </row>
      </sheetData>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ow r="11">
          <cell r="B11">
            <v>606</v>
          </cell>
        </row>
      </sheetData>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refreshError="1"/>
      <sheetData sheetId="356" refreshError="1"/>
      <sheetData sheetId="3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 Mission"/>
      <sheetName val="Treasury"/>
      <sheetName val="SL CONSO"/>
      <sheetName val="NETHIPS 2018"/>
      <sheetName val="AP EMP I"/>
      <sheetName val="FDS"/>
      <sheetName val="TCD TB SPEED"/>
      <sheetName val="TCD"/>
      <sheetName val="Source File"/>
      <sheetName val="TB SPEED"/>
      <sheetName val="PROJET EMPOWER."/>
      <sheetName val="AFD Phase II"/>
      <sheetName val="ACFAFD"/>
      <sheetName val="TCD PROJET EMPOWER"/>
      <sheetName val="BUDGET MDPEMP"/>
      <sheetName val="BUDGET BLANCEMP"/>
      <sheetName val="BUDGET CAREMP"/>
      <sheetName val="BUDGET NACP2EMP"/>
      <sheetName val="TCD-CUPEMP"/>
      <sheetName val="AFD 50%"/>
      <sheetName val="SAGA18"/>
      <sheetName val="FDS18"/>
      <sheetName val="saga lignes int"/>
      <sheetName val="saga code cptbles"/>
      <sheetName val="SAGA lignes fin"/>
      <sheetName val="SAGA contrat"/>
      <sheetName val="TCD-CUP2EMP"/>
      <sheetName val="TCD-BLANCEMP"/>
      <sheetName val="TCD-AFD 50%"/>
      <sheetName val="Source 1"/>
      <sheetName val="Fixed figures"/>
      <sheetName val="Répartitions coûts"/>
      <sheetName val="PROJET EMPOWER Phase II"/>
      <sheetName val="TCD-FP"/>
      <sheetName val="TCD-MDP"/>
      <sheetName val="Synthèse_Mission"/>
      <sheetName val="SL_CONSO"/>
      <sheetName val="NETHIPS_2018"/>
      <sheetName val="AP_EMP_I"/>
      <sheetName val="TCD_TB_SPEED"/>
      <sheetName val="Source_File"/>
      <sheetName val="TB_SPEED"/>
      <sheetName val="PROJET_EMPOWER_"/>
      <sheetName val="AFD_Phase_II"/>
      <sheetName val="TCD_PROJET_EMPOWER"/>
      <sheetName val="BUDGET_MDPEMP"/>
      <sheetName val="BUDGET_BLANCEMP"/>
      <sheetName val="BUDGET_CAREMP"/>
      <sheetName val="BUDGET_NACP2EMP"/>
      <sheetName val="AFD_50%"/>
      <sheetName val="saga_lignes_int"/>
      <sheetName val="saga_code_cptbles"/>
      <sheetName val="SAGA_lignes_fin"/>
      <sheetName val="SAGA_contrat"/>
      <sheetName val="TCD-AFD_50%"/>
      <sheetName val="Source_1"/>
      <sheetName val="Fixed_figures"/>
      <sheetName val="Répartitions_coûts"/>
      <sheetName val="PROJET_EMPOWER_Phase_II"/>
    </sheetNames>
    <sheetDataSet>
      <sheetData sheetId="0"/>
      <sheetData sheetId="1"/>
      <sheetData sheetId="2"/>
      <sheetData sheetId="3">
        <row r="125">
          <cell r="G125">
            <v>4322500</v>
          </cell>
        </row>
      </sheetData>
      <sheetData sheetId="4"/>
      <sheetData sheetId="5"/>
      <sheetData sheetId="6"/>
      <sheetData sheetId="7"/>
      <sheetData sheetId="8"/>
      <sheetData sheetId="9">
        <row r="4">
          <cell r="B4">
            <v>1.1499999999999999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F2">
            <v>1.6941973739940702E-4</v>
          </cell>
        </row>
      </sheetData>
      <sheetData sheetId="30">
        <row r="10">
          <cell r="B10">
            <v>105000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ional Salaries=&gt;"/>
      <sheetName val="DD_Natl_Summary"/>
      <sheetName val="DD_Natl_Details"/>
      <sheetName val="Focal Points_PNLP"/>
      <sheetName val="Intl Salaries=&gt;"/>
      <sheetName val="Intl-Summary"/>
      <sheetName val="Intl-Details"/>
      <sheetName val="Summary"/>
    </sheetNames>
    <sheetDataSet>
      <sheetData sheetId="0"/>
      <sheetData sheetId="1"/>
      <sheetData sheetId="2"/>
      <sheetData sheetId="3"/>
      <sheetData sheetId="4"/>
      <sheetData sheetId="5"/>
      <sheetData sheetId="6">
        <row r="4">
          <cell r="G4">
            <v>30000</v>
          </cell>
        </row>
        <row r="5">
          <cell r="G5">
            <v>0</v>
          </cell>
          <cell r="J5"/>
          <cell r="L5"/>
        </row>
        <row r="6">
          <cell r="G6">
            <v>0</v>
          </cell>
          <cell r="J6"/>
          <cell r="L6"/>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étrages"/>
      <sheetName val="Expatriés"/>
      <sheetName val="Staff Nat."/>
      <sheetName val="Frais fonct."/>
      <sheetName val="Inventaire"/>
      <sheetName val="Medical-Nut"/>
      <sheetName val="Log-Sanitation"/>
      <sheetName val="Format-Appui local"/>
      <sheetName val="Transp-Fret-Stock"/>
      <sheetName val="Consult-Appui terrain"/>
      <sheetName val="Divers"/>
      <sheetName val="Total Projet"/>
      <sheetName val="Analyse des écarts"/>
      <sheetName val="Trésorerie"/>
      <sheetName val="TradBud"/>
      <sheetName val="Module1"/>
      <sheetName val="Français"/>
      <sheetName val="Anglais"/>
      <sheetName val="Espagnol"/>
      <sheetName val="Portugais"/>
      <sheetName val="Module2"/>
      <sheetName val="Module3"/>
      <sheetName val="Module BudInit"/>
      <sheetName val="Module Janvier"/>
      <sheetName val="Module Février"/>
      <sheetName val="Module Mars"/>
      <sheetName val="Module Avril"/>
      <sheetName val="Module Mai"/>
      <sheetName val="Module Juin"/>
      <sheetName val="Module Juillet"/>
      <sheetName val="Module Aout"/>
      <sheetName val="Module Septembre"/>
      <sheetName val="Module Octobre"/>
      <sheetName val="Module Novembre"/>
      <sheetName val="Module Décembre"/>
      <sheetName val="Module4"/>
      <sheetName val="Module5"/>
      <sheetName val="Internal Data - Main"/>
      <sheetName val="Staff_Nat_"/>
      <sheetName val="Frais_fonct_"/>
      <sheetName val="Format-Appui_local"/>
      <sheetName val="Consult-Appui_terrain"/>
      <sheetName val="Total_Projet"/>
      <sheetName val="Analyse_des_écarts"/>
      <sheetName val="Module_BudInit"/>
      <sheetName val="Module_Janvier"/>
      <sheetName val="Module_Février"/>
      <sheetName val="Module_Mars"/>
      <sheetName val="Module_Avril"/>
      <sheetName val="Module_Mai"/>
      <sheetName val="Module_Juin"/>
      <sheetName val="Module_Juillet"/>
      <sheetName val="Module_Aout"/>
      <sheetName val="Module_Septembre"/>
      <sheetName val="Module_Octobre"/>
      <sheetName val="Module_Novembre"/>
      <sheetName val="Module_Décembre"/>
      <sheetName val="Internal_Data_-_Main"/>
      <sheetName val="Expats"/>
      <sheetName val="Explications"/>
      <sheetName val="BK3"/>
      <sheetName val="D1"/>
      <sheetName val="BK6"/>
      <sheetName val="F1"/>
      <sheetName val="BK4"/>
      <sheetName val="BK5"/>
      <sheetName val="BK2"/>
      <sheetName val="D2"/>
      <sheetName val="EC"/>
      <sheetName val="DB"/>
      <sheetName val="abbreviations list"/>
      <sheetName val="encodage saga (excel)"/>
      <sheetName val="data"/>
      <sheetName val="Drop-down Options"/>
      <sheetName val="P3"/>
      <sheetName val="Range_Page"/>
    </sheetNames>
    <sheetDataSet>
      <sheetData sheetId="0" refreshError="1">
        <row r="8">
          <cell r="F8" t="str">
            <v>MSF</v>
          </cell>
        </row>
        <row r="22">
          <cell r="C22" t="str">
            <v>EUR</v>
          </cell>
          <cell r="D22" t="str">
            <v>EURO</v>
          </cell>
          <cell r="F22">
            <v>1</v>
          </cell>
        </row>
        <row r="23">
          <cell r="C23" t="str">
            <v>USD</v>
          </cell>
          <cell r="D23" t="str">
            <v xml:space="preserve">DOLLAR US </v>
          </cell>
          <cell r="F23">
            <v>1</v>
          </cell>
        </row>
        <row r="24">
          <cell r="C24" t="str">
            <v>??</v>
          </cell>
          <cell r="D24" t="str">
            <v>Monnaie locale (préciser)</v>
          </cell>
          <cell r="F24">
            <v>1</v>
          </cell>
        </row>
        <row r="25">
          <cell r="C25" t="str">
            <v>??</v>
          </cell>
          <cell r="D25" t="str">
            <v>Autre devise 1 (préciser)</v>
          </cell>
          <cell r="F25">
            <v>1</v>
          </cell>
        </row>
        <row r="26">
          <cell r="C26" t="str">
            <v>??</v>
          </cell>
          <cell r="D26" t="str">
            <v>Autre devise 2 (préciser)</v>
          </cell>
          <cell r="F2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Analysis of Mods"/>
      <sheetName val="Budget Summary"/>
      <sheetName val="Detail Budget"/>
      <sheetName val="WEI Budget"/>
      <sheetName val="USDA Template"/>
      <sheetName val="Lists"/>
      <sheetName val="Admin detail"/>
      <sheetName val="Foods"/>
      <sheetName val="WASH Activities"/>
      <sheetName val="Routine M&amp;E (not surveys)"/>
      <sheetName val="Sustainability activities"/>
      <sheetName val="Hygiene training"/>
      <sheetName val="Latr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info"/>
      <sheetName val="CP Budget Template"/>
      <sheetName val="BRF"/>
      <sheetName val="APP 1 LC"/>
      <sheetName val="APP 1 USD"/>
      <sheetName val="APP 2 LC"/>
      <sheetName val="APP 2 USD"/>
      <sheetName val="Commodities and In-Kind for Dst"/>
      <sheetName val="Commodities for Monetization"/>
      <sheetName val="Sale Proceeds From Monetization"/>
      <sheetName val="Addl Micro Loan Capital"/>
      <sheetName val="National Staff Summary"/>
      <sheetName val="Support 1"/>
      <sheetName val="Support 2"/>
      <sheetName val="Support 3"/>
      <sheetName val="Support 4"/>
      <sheetName val="Support 5"/>
      <sheetName val="Support 6"/>
      <sheetName val="Support 7"/>
      <sheetName val="Support 8"/>
      <sheetName val="Locally Generated Income"/>
      <sheetName val="International Staff Summary"/>
      <sheetName val="Est. Monetization Activity"/>
      <sheetName val="Budget Notes"/>
    </sheetNames>
    <sheetDataSet>
      <sheetData sheetId="0">
        <row r="12">
          <cell r="B12" t="str">
            <v>Peru</v>
          </cell>
        </row>
        <row r="16">
          <cell r="B16" t="str">
            <v>Luis Cordova</v>
          </cell>
        </row>
        <row r="17">
          <cell r="B17" t="str">
            <v>Junio 15,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D_2019_USD"/>
      <sheetName val="TCD_2019_Eur"/>
      <sheetName val="TCD_2018_Eur"/>
      <sheetName val="TCD_2018"/>
      <sheetName val="TCD SOURCE FOR INTERNAL BUDGET"/>
      <sheetName val="Feuil1"/>
      <sheetName val="0-Summary"/>
      <sheetName val="BUDGET 2020-INTERNAL FORMAT"/>
      <sheetName val="00-Synthesis Mission"/>
      <sheetName val="01-Synthèse Mission"/>
      <sheetName val="2-HR-OC 2021 &amp; 22"/>
      <sheetName val="4-Treasury"/>
      <sheetName val="TCD Source"/>
      <sheetName val="Intl staff + HQ Staff"/>
      <sheetName val="Housing allowances"/>
      <sheetName val="Feuil5"/>
      <sheetName val="Housing Allowance "/>
      <sheetName val="TCD"/>
      <sheetName val="Int Staff + HQ Staff "/>
      <sheetName val="Lists"/>
      <sheetName val="Sheet3"/>
      <sheetName val="Source File"/>
      <sheetName val="TCD-TB NCE"/>
      <sheetName val="Feuil2"/>
      <sheetName val="TBSPEED 2021-22"/>
      <sheetName val="TB SPEED"/>
      <sheetName val="Sheet1"/>
      <sheetName val="SL CONSO"/>
      <sheetName val="AFD Phase II"/>
      <sheetName val="ACFAFD"/>
      <sheetName val="Action Plan Phase 2"/>
      <sheetName val="AFD 50%"/>
      <sheetName val="PROJET EMPOWER."/>
      <sheetName val="SAGA21"/>
      <sheetName val="saga code cptbles_21"/>
      <sheetName val="saga code cptbles"/>
      <sheetName val="Sheet2"/>
      <sheetName val="SAGA contrat_21"/>
      <sheetName val="saga lignes int_21"/>
      <sheetName val="SAGA contrat"/>
      <sheetName val="saga lignes int"/>
      <sheetName val="SAGA lignes fin_21"/>
      <sheetName val="SAGA lignes fin"/>
      <sheetName val="Fixed figures"/>
    </sheetNames>
    <sheetDataSet>
      <sheetData sheetId="0" refreshError="1"/>
      <sheetData sheetId="1" refreshError="1"/>
      <sheetData sheetId="2" refreshError="1"/>
      <sheetData sheetId="3" refreshError="1"/>
      <sheetData sheetId="4" refreshError="1"/>
      <sheetData sheetId="5" refreshError="1"/>
      <sheetData sheetId="6">
        <row r="27">
          <cell r="E27" t="str">
            <v>EUR</v>
          </cell>
        </row>
        <row r="28">
          <cell r="E28" t="str">
            <v>SLL</v>
          </cell>
        </row>
        <row r="29">
          <cell r="E29" t="str">
            <v>GNF</v>
          </cell>
        </row>
        <row r="30">
          <cell r="E30" t="str">
            <v>USD</v>
          </cell>
        </row>
        <row r="31">
          <cell r="E31" t="str">
            <v>XOF</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
      <sheetName val="Cash"/>
      <sheetName val="Fields"/>
      <sheetName val="EMW"/>
      <sheetName val="Contract Follow Up"/>
      <sheetName val="Cash Inventory"/>
      <sheetName val="Bank Reconciliation"/>
      <sheetName val="EMW-Adv Report"/>
      <sheetName val="PNV-Advance form"/>
      <sheetName val="PNV-Payment form"/>
      <sheetName val="Forecast Feb 2012"/>
      <sheetName val="Bank_"/>
      <sheetName val="Contract_Follow_Up"/>
      <sheetName val="Cash_Inventory"/>
      <sheetName val="Bank_Reconciliation"/>
      <sheetName val="EMW-Adv_Report"/>
      <sheetName val="PNV-Advance_form"/>
      <sheetName val="PNV-Payment_form"/>
      <sheetName val="Forecast_Feb_2012"/>
    </sheetNames>
    <sheetDataSet>
      <sheetData sheetId="0"/>
      <sheetData sheetId="1"/>
      <sheetData sheetId="2"/>
      <sheetData sheetId="3"/>
      <sheetData sheetId="4"/>
      <sheetData sheetId="5"/>
      <sheetData sheetId="6"/>
      <sheetData sheetId="7"/>
      <sheetData sheetId="8"/>
      <sheetData sheetId="9"/>
      <sheetData sheetId="10">
        <row r="28">
          <cell r="B28" t="str">
            <v>2.1 EMW - Cell phone and gasoline</v>
          </cell>
        </row>
        <row r="29">
          <cell r="B29" t="str">
            <v>2.2 EMW - Travel</v>
          </cell>
        </row>
        <row r="30">
          <cell r="B30" t="str">
            <v>2.3 Project Manager - HCMC/Hanoi trips</v>
          </cell>
        </row>
        <row r="31">
          <cell r="B31" t="str">
            <v>2.4 Training Manager - HCMC/Hanoi trips</v>
          </cell>
        </row>
        <row r="32">
          <cell r="B32" t="str">
            <v>2.5 External Relation Manager - HCMC/HaNoi trips</v>
          </cell>
        </row>
        <row r="33">
          <cell r="B33" t="str">
            <v>2.6 Student Selection Process - Field trips</v>
          </cell>
        </row>
        <row r="34">
          <cell r="B34" t="str">
            <v>2.7 Family investgiation</v>
          </cell>
        </row>
        <row r="36">
          <cell r="B36" t="str">
            <v>3.1 Helmet + Bicycle</v>
          </cell>
        </row>
        <row r="37">
          <cell r="B37" t="str">
            <v>3.2 Computers</v>
          </cell>
        </row>
        <row r="38">
          <cell r="B38" t="str">
            <v>3.3 Computer maintenance course equipment</v>
          </cell>
        </row>
        <row r="39">
          <cell r="B39" t="str">
            <v>3.4 Books and teaching aid</v>
          </cell>
        </row>
        <row r="40">
          <cell r="B40" t="str">
            <v>3.5 Furniture (Classroom)</v>
          </cell>
        </row>
        <row r="41">
          <cell r="B41" t="str">
            <v>3.6 Laptops</v>
          </cell>
        </row>
        <row r="42">
          <cell r="B42" t="str">
            <v>3.7 Printers</v>
          </cell>
        </row>
        <row r="43">
          <cell r="B43" t="str">
            <v>3.8 Camera</v>
          </cell>
        </row>
        <row r="45">
          <cell r="B45" t="str">
            <v>4.1 Office and training centre rent</v>
          </cell>
        </row>
        <row r="46">
          <cell r="B46" t="str">
            <v>4.2 Office consumables</v>
          </cell>
        </row>
        <row r="47">
          <cell r="B47" t="str">
            <v>4.3 Other services (tel/fax, electricity, maintenance)</v>
          </cell>
        </row>
        <row r="48">
          <cell r="B48" t="str">
            <v>4.4 Offices upkeep</v>
          </cell>
        </row>
        <row r="49">
          <cell r="B49" t="str">
            <v>4.5 Houses &amp; Labs Leader</v>
          </cell>
        </row>
        <row r="51">
          <cell r="B51" t="str">
            <v>5.1 Ceremonies - graduation  and school opening for new promotion</v>
          </cell>
        </row>
        <row r="52">
          <cell r="B52" t="str">
            <v>5.2 T-Shirt &amp; shirts</v>
          </cell>
        </row>
        <row r="53">
          <cell r="B53" t="str">
            <v>5.3 Furniture</v>
          </cell>
        </row>
        <row r="54">
          <cell r="B54" t="str">
            <v>5.4 Others ( miscelanenous things for student life)</v>
          </cell>
        </row>
        <row r="55">
          <cell r="B55" t="str">
            <v xml:space="preserve">5.5 Health insurance </v>
          </cell>
        </row>
        <row r="56">
          <cell r="B56" t="str">
            <v>5.6 Housing Pepayment of Jan &amp; Feb 2012 in 2011</v>
          </cell>
        </row>
        <row r="57">
          <cell r="B57" t="str">
            <v>5.7 Food allowance</v>
          </cell>
        </row>
        <row r="58">
          <cell r="B58" t="str">
            <v>5.8 Other costs and services (expenses for outdoor activities, and others unexpected)</v>
          </cell>
        </row>
        <row r="59">
          <cell r="B59" t="str">
            <v>5.9 Job placement and travel for students for internship</v>
          </cell>
        </row>
      </sheetData>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HSS"/>
      <sheetName val="Org Chart"/>
      <sheetName val="UNC HQ costs"/>
      <sheetName val="Community"/>
      <sheetName val="Training"/>
      <sheetName val="Sup, Mon Coord"/>
      <sheetName val="Proj Start up"/>
      <sheetName val="Ann Program Review"/>
      <sheetName val="Incentives"/>
      <sheetName val="Taxes"/>
      <sheetName val="5.B.1 Unit Cost Key Personnel"/>
      <sheetName val="5.B.2 Unit Cost Support Staff"/>
      <sheetName val="5.C Detailed Budget"/>
      <sheetName val="5.D Price List Unit Price"/>
      <sheetName val="Detailed Estimates"/>
      <sheetName val="Price Quotes"/>
      <sheetName val="Org_Chart"/>
      <sheetName val="UNC_HQ_costs"/>
      <sheetName val="Sup,_Mon_Coord"/>
      <sheetName val="Proj_Start_up"/>
      <sheetName val="Ann_Program_Review"/>
      <sheetName val="5_B_1_Unit_Cost_Key_Personnel"/>
      <sheetName val="5_B_2_Unit_Cost_Support_Staff"/>
      <sheetName val="5_C_Detailed_Budget"/>
      <sheetName val="5_D_Price_List_Unit_Price"/>
      <sheetName val="Detailed_Estimates"/>
      <sheetName val="Price_Qu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info"/>
      <sheetName val="CP Budget Template"/>
      <sheetName val="BRF"/>
      <sheetName val="APP 1 LC"/>
      <sheetName val="APP 1 USD"/>
      <sheetName val="APP 2 LC"/>
      <sheetName val="APP 2 USD"/>
      <sheetName val="Commodities and In-Kind for Dst"/>
      <sheetName val="Commodities for Monetization"/>
      <sheetName val="Sale Proceeds From Monetization"/>
      <sheetName val="Addl Micro Loan Capital"/>
      <sheetName val="National Staff Summary"/>
      <sheetName val="Support 1"/>
      <sheetName val="Support 2"/>
      <sheetName val="Support 3"/>
      <sheetName val="Support 4"/>
      <sheetName val="Support 5"/>
      <sheetName val="Support 6"/>
      <sheetName val="Support 7"/>
      <sheetName val="Support 8"/>
      <sheetName val="Locally Generated Income"/>
      <sheetName val="International Staff Summary"/>
      <sheetName val="Est. Monetization Activity"/>
      <sheetName val="Field Notes, Review Issues"/>
    </sheetNames>
    <sheetDataSet>
      <sheetData sheetId="0">
        <row r="11">
          <cell r="B11">
            <v>658</v>
          </cell>
        </row>
      </sheetData>
      <sheetData sheetId="1"/>
      <sheetData sheetId="2"/>
      <sheetData sheetId="3"/>
      <sheetData sheetId="4">
        <row r="25">
          <cell r="E25">
            <v>253222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1"/>
      <sheetName val="year 2"/>
      <sheetName val="year 3"/>
      <sheetName val="year 4"/>
      <sheetName val="year 5"/>
      <sheetName val="Reference"/>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BB1C4-3C1B-4BDE-8361-A0D1018C0553}">
  <sheetPr>
    <tabColor theme="4" tint="0.79998168889431442"/>
  </sheetPr>
  <dimension ref="B2:E4"/>
  <sheetViews>
    <sheetView zoomScale="70" zoomScaleNormal="70" workbookViewId="0">
      <selection activeCell="B9" sqref="B9"/>
    </sheetView>
  </sheetViews>
  <sheetFormatPr baseColWidth="10" defaultColWidth="8.83203125" defaultRowHeight="15" x14ac:dyDescent="0.2"/>
  <cols>
    <col min="2" max="2" width="127.1640625" customWidth="1"/>
  </cols>
  <sheetData>
    <row r="2" spans="2:5" ht="36.75" customHeight="1" x14ac:dyDescent="0.2">
      <c r="B2" s="704" t="s">
        <v>0</v>
      </c>
      <c r="C2" s="704"/>
      <c r="D2" s="704"/>
      <c r="E2" s="704"/>
    </row>
    <row r="3" spans="2:5" ht="21.75" customHeight="1" thickBot="1" x14ac:dyDescent="0.25">
      <c r="B3" s="72" t="s">
        <v>1</v>
      </c>
      <c r="C3" s="75"/>
      <c r="D3" s="75"/>
      <c r="E3" s="75"/>
    </row>
    <row r="4" spans="2:5" ht="300" customHeight="1" thickBot="1" x14ac:dyDescent="0.25">
      <c r="B4" s="74" t="s">
        <v>2</v>
      </c>
    </row>
  </sheetData>
  <sheetProtection sheet="1" objects="1" scenarios="1"/>
  <mergeCells count="1">
    <mergeCell ref="B2:E2"/>
  </mergeCells>
  <pageMargins left="0.7" right="0.7" top="0.75" bottom="0.75" header="0.3" footer="0.3"/>
  <pageSetup paperSize="9" scale="70" orientation="portrait" horizontalDpi="4294967295" verticalDpi="4294967295" r:id="rId1"/>
  <colBreaks count="1" manualBreakCount="1">
    <brk id="1" max="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10F81-63B3-4DAD-853D-693540CD73AA}">
  <sheetPr>
    <tabColor rgb="FF00B050"/>
  </sheetPr>
  <dimension ref="A1:IK293"/>
  <sheetViews>
    <sheetView topLeftCell="B82" zoomScale="85" zoomScaleNormal="85" workbookViewId="0">
      <selection activeCell="B9" sqref="B9"/>
    </sheetView>
  </sheetViews>
  <sheetFormatPr baseColWidth="10" defaultColWidth="10.1640625" defaultRowHeight="16" outlineLevelRow="2" outlineLevelCol="1" x14ac:dyDescent="0.2"/>
  <cols>
    <col min="1" max="1" width="71.1640625" style="76" customWidth="1"/>
    <col min="2" max="2" width="57.83203125" style="76" customWidth="1"/>
    <col min="3" max="3" width="36.5" style="76" customWidth="1"/>
    <col min="4" max="4" width="12.5" style="76" customWidth="1"/>
    <col min="5" max="5" width="14.83203125" style="76" customWidth="1"/>
    <col min="6" max="6" width="19.5" style="76" customWidth="1"/>
    <col min="7" max="7" width="20.83203125" style="326" customWidth="1"/>
    <col min="8" max="8" width="19.1640625" style="327" bestFit="1" customWidth="1"/>
    <col min="9" max="9" width="17" style="76" hidden="1" customWidth="1"/>
    <col min="10" max="10" width="10" style="76" customWidth="1"/>
    <col min="11" max="11" width="9.83203125" style="459" customWidth="1"/>
    <col min="12" max="12" width="10.1640625" style="76"/>
    <col min="13" max="13" width="20.1640625" style="460" bestFit="1" customWidth="1" outlineLevel="1"/>
    <col min="14" max="91" width="10.1640625" style="76"/>
    <col min="92" max="92" width="69.1640625" style="76" bestFit="1" customWidth="1"/>
    <col min="93" max="93" width="15.5" style="76" customWidth="1"/>
    <col min="94" max="95" width="18.1640625" style="76" customWidth="1"/>
    <col min="96" max="96" width="16.5" style="76" bestFit="1" customWidth="1"/>
    <col min="97" max="97" width="17.5" style="76" bestFit="1" customWidth="1"/>
    <col min="98" max="98" width="13.83203125" style="76" bestFit="1" customWidth="1"/>
    <col min="99" max="99" width="17.5" style="76" bestFit="1" customWidth="1"/>
    <col min="100" max="100" width="13.83203125" style="76" bestFit="1" customWidth="1"/>
    <col min="101" max="101" width="17.5" style="76" bestFit="1" customWidth="1"/>
    <col min="102" max="102" width="14.1640625" style="76" bestFit="1" customWidth="1"/>
    <col min="103" max="245" width="10.1640625" style="76"/>
    <col min="246" max="246" width="71.1640625" style="76" customWidth="1"/>
    <col min="247" max="247" width="57.83203125" style="76" customWidth="1"/>
    <col min="248" max="253" width="5.1640625" style="76" customWidth="1"/>
    <col min="254" max="254" width="36.5" style="76" customWidth="1"/>
    <col min="255" max="255" width="12.5" style="76" customWidth="1"/>
    <col min="256" max="256" width="14.83203125" style="76" customWidth="1"/>
    <col min="257" max="257" width="19.5" style="76" bestFit="1" customWidth="1"/>
    <col min="258" max="258" width="20.83203125" style="76" customWidth="1"/>
    <col min="259" max="259" width="16.5" style="76" customWidth="1"/>
    <col min="260" max="260" width="17" style="76" customWidth="1"/>
    <col min="261" max="261" width="17.1640625" style="76" customWidth="1"/>
    <col min="262" max="262" width="15.1640625" style="76" bestFit="1" customWidth="1"/>
    <col min="263" max="263" width="20" style="76" bestFit="1" customWidth="1"/>
    <col min="264" max="266" width="16.5" style="76" customWidth="1"/>
    <col min="267" max="347" width="10.1640625" style="76"/>
    <col min="348" max="348" width="69.1640625" style="76" bestFit="1" customWidth="1"/>
    <col min="349" max="349" width="15.5" style="76" customWidth="1"/>
    <col min="350" max="351" width="18.1640625" style="76" customWidth="1"/>
    <col min="352" max="352" width="16.5" style="76" bestFit="1" customWidth="1"/>
    <col min="353" max="353" width="17.5" style="76" bestFit="1" customWidth="1"/>
    <col min="354" max="354" width="13.83203125" style="76" bestFit="1" customWidth="1"/>
    <col min="355" max="355" width="17.5" style="76" bestFit="1" customWidth="1"/>
    <col min="356" max="356" width="13.83203125" style="76" bestFit="1" customWidth="1"/>
    <col min="357" max="357" width="17.5" style="76" bestFit="1" customWidth="1"/>
    <col min="358" max="358" width="14.1640625" style="76" bestFit="1" customWidth="1"/>
    <col min="359" max="501" width="10.1640625" style="76"/>
    <col min="502" max="502" width="71.1640625" style="76" customWidth="1"/>
    <col min="503" max="503" width="57.83203125" style="76" customWidth="1"/>
    <col min="504" max="509" width="5.1640625" style="76" customWidth="1"/>
    <col min="510" max="510" width="36.5" style="76" customWidth="1"/>
    <col min="511" max="511" width="12.5" style="76" customWidth="1"/>
    <col min="512" max="512" width="14.83203125" style="76" customWidth="1"/>
    <col min="513" max="513" width="19.5" style="76" bestFit="1" customWidth="1"/>
    <col min="514" max="514" width="20.83203125" style="76" customWidth="1"/>
    <col min="515" max="515" width="16.5" style="76" customWidth="1"/>
    <col min="516" max="516" width="17" style="76" customWidth="1"/>
    <col min="517" max="517" width="17.1640625" style="76" customWidth="1"/>
    <col min="518" max="518" width="15.1640625" style="76" bestFit="1" customWidth="1"/>
    <col min="519" max="519" width="20" style="76" bestFit="1" customWidth="1"/>
    <col min="520" max="522" width="16.5" style="76" customWidth="1"/>
    <col min="523" max="603" width="10.1640625" style="76"/>
    <col min="604" max="604" width="69.1640625" style="76" bestFit="1" customWidth="1"/>
    <col min="605" max="605" width="15.5" style="76" customWidth="1"/>
    <col min="606" max="607" width="18.1640625" style="76" customWidth="1"/>
    <col min="608" max="608" width="16.5" style="76" bestFit="1" customWidth="1"/>
    <col min="609" max="609" width="17.5" style="76" bestFit="1" customWidth="1"/>
    <col min="610" max="610" width="13.83203125" style="76" bestFit="1" customWidth="1"/>
    <col min="611" max="611" width="17.5" style="76" bestFit="1" customWidth="1"/>
    <col min="612" max="612" width="13.83203125" style="76" bestFit="1" customWidth="1"/>
    <col min="613" max="613" width="17.5" style="76" bestFit="1" customWidth="1"/>
    <col min="614" max="614" width="14.1640625" style="76" bestFit="1" customWidth="1"/>
    <col min="615" max="757" width="10.1640625" style="76"/>
    <col min="758" max="758" width="71.1640625" style="76" customWidth="1"/>
    <col min="759" max="759" width="57.83203125" style="76" customWidth="1"/>
    <col min="760" max="765" width="5.1640625" style="76" customWidth="1"/>
    <col min="766" max="766" width="36.5" style="76" customWidth="1"/>
    <col min="767" max="767" width="12.5" style="76" customWidth="1"/>
    <col min="768" max="768" width="14.83203125" style="76" customWidth="1"/>
    <col min="769" max="769" width="19.5" style="76" bestFit="1" customWidth="1"/>
    <col min="770" max="770" width="20.83203125" style="76" customWidth="1"/>
    <col min="771" max="771" width="16.5" style="76" customWidth="1"/>
    <col min="772" max="772" width="17" style="76" customWidth="1"/>
    <col min="773" max="773" width="17.1640625" style="76" customWidth="1"/>
    <col min="774" max="774" width="15.1640625" style="76" bestFit="1" customWidth="1"/>
    <col min="775" max="775" width="20" style="76" bestFit="1" customWidth="1"/>
    <col min="776" max="778" width="16.5" style="76" customWidth="1"/>
    <col min="779" max="859" width="10.1640625" style="76"/>
    <col min="860" max="860" width="69.1640625" style="76" bestFit="1" customWidth="1"/>
    <col min="861" max="861" width="15.5" style="76" customWidth="1"/>
    <col min="862" max="863" width="18.1640625" style="76" customWidth="1"/>
    <col min="864" max="864" width="16.5" style="76" bestFit="1" customWidth="1"/>
    <col min="865" max="865" width="17.5" style="76" bestFit="1" customWidth="1"/>
    <col min="866" max="866" width="13.83203125" style="76" bestFit="1" customWidth="1"/>
    <col min="867" max="867" width="17.5" style="76" bestFit="1" customWidth="1"/>
    <col min="868" max="868" width="13.83203125" style="76" bestFit="1" customWidth="1"/>
    <col min="869" max="869" width="17.5" style="76" bestFit="1" customWidth="1"/>
    <col min="870" max="870" width="14.1640625" style="76" bestFit="1" customWidth="1"/>
    <col min="871" max="1013" width="10.1640625" style="76"/>
    <col min="1014" max="1014" width="71.1640625" style="76" customWidth="1"/>
    <col min="1015" max="1015" width="57.83203125" style="76" customWidth="1"/>
    <col min="1016" max="1021" width="5.1640625" style="76" customWidth="1"/>
    <col min="1022" max="1022" width="36.5" style="76" customWidth="1"/>
    <col min="1023" max="1023" width="12.5" style="76" customWidth="1"/>
    <col min="1024" max="1024" width="14.83203125" style="76" customWidth="1"/>
    <col min="1025" max="1025" width="19.5" style="76" bestFit="1" customWidth="1"/>
    <col min="1026" max="1026" width="20.83203125" style="76" customWidth="1"/>
    <col min="1027" max="1027" width="16.5" style="76" customWidth="1"/>
    <col min="1028" max="1028" width="17" style="76" customWidth="1"/>
    <col min="1029" max="1029" width="17.1640625" style="76" customWidth="1"/>
    <col min="1030" max="1030" width="15.1640625" style="76" bestFit="1" customWidth="1"/>
    <col min="1031" max="1031" width="20" style="76" bestFit="1" customWidth="1"/>
    <col min="1032" max="1034" width="16.5" style="76" customWidth="1"/>
    <col min="1035" max="1115" width="10.1640625" style="76"/>
    <col min="1116" max="1116" width="69.1640625" style="76" bestFit="1" customWidth="1"/>
    <col min="1117" max="1117" width="15.5" style="76" customWidth="1"/>
    <col min="1118" max="1119" width="18.1640625" style="76" customWidth="1"/>
    <col min="1120" max="1120" width="16.5" style="76" bestFit="1" customWidth="1"/>
    <col min="1121" max="1121" width="17.5" style="76" bestFit="1" customWidth="1"/>
    <col min="1122" max="1122" width="13.83203125" style="76" bestFit="1" customWidth="1"/>
    <col min="1123" max="1123" width="17.5" style="76" bestFit="1" customWidth="1"/>
    <col min="1124" max="1124" width="13.83203125" style="76" bestFit="1" customWidth="1"/>
    <col min="1125" max="1125" width="17.5" style="76" bestFit="1" customWidth="1"/>
    <col min="1126" max="1126" width="14.1640625" style="76" bestFit="1" customWidth="1"/>
    <col min="1127" max="1269" width="10.1640625" style="76"/>
    <col min="1270" max="1270" width="71.1640625" style="76" customWidth="1"/>
    <col min="1271" max="1271" width="57.83203125" style="76" customWidth="1"/>
    <col min="1272" max="1277" width="5.1640625" style="76" customWidth="1"/>
    <col min="1278" max="1278" width="36.5" style="76" customWidth="1"/>
    <col min="1279" max="1279" width="12.5" style="76" customWidth="1"/>
    <col min="1280" max="1280" width="14.83203125" style="76" customWidth="1"/>
    <col min="1281" max="1281" width="19.5" style="76" bestFit="1" customWidth="1"/>
    <col min="1282" max="1282" width="20.83203125" style="76" customWidth="1"/>
    <col min="1283" max="1283" width="16.5" style="76" customWidth="1"/>
    <col min="1284" max="1284" width="17" style="76" customWidth="1"/>
    <col min="1285" max="1285" width="17.1640625" style="76" customWidth="1"/>
    <col min="1286" max="1286" width="15.1640625" style="76" bestFit="1" customWidth="1"/>
    <col min="1287" max="1287" width="20" style="76" bestFit="1" customWidth="1"/>
    <col min="1288" max="1290" width="16.5" style="76" customWidth="1"/>
    <col min="1291" max="1371" width="10.1640625" style="76"/>
    <col min="1372" max="1372" width="69.1640625" style="76" bestFit="1" customWidth="1"/>
    <col min="1373" max="1373" width="15.5" style="76" customWidth="1"/>
    <col min="1374" max="1375" width="18.1640625" style="76" customWidth="1"/>
    <col min="1376" max="1376" width="16.5" style="76" bestFit="1" customWidth="1"/>
    <col min="1377" max="1377" width="17.5" style="76" bestFit="1" customWidth="1"/>
    <col min="1378" max="1378" width="13.83203125" style="76" bestFit="1" customWidth="1"/>
    <col min="1379" max="1379" width="17.5" style="76" bestFit="1" customWidth="1"/>
    <col min="1380" max="1380" width="13.83203125" style="76" bestFit="1" customWidth="1"/>
    <col min="1381" max="1381" width="17.5" style="76" bestFit="1" customWidth="1"/>
    <col min="1382" max="1382" width="14.1640625" style="76" bestFit="1" customWidth="1"/>
    <col min="1383" max="1525" width="10.1640625" style="76"/>
    <col min="1526" max="1526" width="71.1640625" style="76" customWidth="1"/>
    <col min="1527" max="1527" width="57.83203125" style="76" customWidth="1"/>
    <col min="1528" max="1533" width="5.1640625" style="76" customWidth="1"/>
    <col min="1534" max="1534" width="36.5" style="76" customWidth="1"/>
    <col min="1535" max="1535" width="12.5" style="76" customWidth="1"/>
    <col min="1536" max="1536" width="14.83203125" style="76" customWidth="1"/>
    <col min="1537" max="1537" width="19.5" style="76" bestFit="1" customWidth="1"/>
    <col min="1538" max="1538" width="20.83203125" style="76" customWidth="1"/>
    <col min="1539" max="1539" width="16.5" style="76" customWidth="1"/>
    <col min="1540" max="1540" width="17" style="76" customWidth="1"/>
    <col min="1541" max="1541" width="17.1640625" style="76" customWidth="1"/>
    <col min="1542" max="1542" width="15.1640625" style="76" bestFit="1" customWidth="1"/>
    <col min="1543" max="1543" width="20" style="76" bestFit="1" customWidth="1"/>
    <col min="1544" max="1546" width="16.5" style="76" customWidth="1"/>
    <col min="1547" max="1627" width="10.1640625" style="76"/>
    <col min="1628" max="1628" width="69.1640625" style="76" bestFit="1" customWidth="1"/>
    <col min="1629" max="1629" width="15.5" style="76" customWidth="1"/>
    <col min="1630" max="1631" width="18.1640625" style="76" customWidth="1"/>
    <col min="1632" max="1632" width="16.5" style="76" bestFit="1" customWidth="1"/>
    <col min="1633" max="1633" width="17.5" style="76" bestFit="1" customWidth="1"/>
    <col min="1634" max="1634" width="13.83203125" style="76" bestFit="1" customWidth="1"/>
    <col min="1635" max="1635" width="17.5" style="76" bestFit="1" customWidth="1"/>
    <col min="1636" max="1636" width="13.83203125" style="76" bestFit="1" customWidth="1"/>
    <col min="1637" max="1637" width="17.5" style="76" bestFit="1" customWidth="1"/>
    <col min="1638" max="1638" width="14.1640625" style="76" bestFit="1" customWidth="1"/>
    <col min="1639" max="1781" width="10.1640625" style="76"/>
    <col min="1782" max="1782" width="71.1640625" style="76" customWidth="1"/>
    <col min="1783" max="1783" width="57.83203125" style="76" customWidth="1"/>
    <col min="1784" max="1789" width="5.1640625" style="76" customWidth="1"/>
    <col min="1790" max="1790" width="36.5" style="76" customWidth="1"/>
    <col min="1791" max="1791" width="12.5" style="76" customWidth="1"/>
    <col min="1792" max="1792" width="14.83203125" style="76" customWidth="1"/>
    <col min="1793" max="1793" width="19.5" style="76" bestFit="1" customWidth="1"/>
    <col min="1794" max="1794" width="20.83203125" style="76" customWidth="1"/>
    <col min="1795" max="1795" width="16.5" style="76" customWidth="1"/>
    <col min="1796" max="1796" width="17" style="76" customWidth="1"/>
    <col min="1797" max="1797" width="17.1640625" style="76" customWidth="1"/>
    <col min="1798" max="1798" width="15.1640625" style="76" bestFit="1" customWidth="1"/>
    <col min="1799" max="1799" width="20" style="76" bestFit="1" customWidth="1"/>
    <col min="1800" max="1802" width="16.5" style="76" customWidth="1"/>
    <col min="1803" max="1883" width="10.1640625" style="76"/>
    <col min="1884" max="1884" width="69.1640625" style="76" bestFit="1" customWidth="1"/>
    <col min="1885" max="1885" width="15.5" style="76" customWidth="1"/>
    <col min="1886" max="1887" width="18.1640625" style="76" customWidth="1"/>
    <col min="1888" max="1888" width="16.5" style="76" bestFit="1" customWidth="1"/>
    <col min="1889" max="1889" width="17.5" style="76" bestFit="1" customWidth="1"/>
    <col min="1890" max="1890" width="13.83203125" style="76" bestFit="1" customWidth="1"/>
    <col min="1891" max="1891" width="17.5" style="76" bestFit="1" customWidth="1"/>
    <col min="1892" max="1892" width="13.83203125" style="76" bestFit="1" customWidth="1"/>
    <col min="1893" max="1893" width="17.5" style="76" bestFit="1" customWidth="1"/>
    <col min="1894" max="1894" width="14.1640625" style="76" bestFit="1" customWidth="1"/>
    <col min="1895" max="2037" width="10.1640625" style="76"/>
    <col min="2038" max="2038" width="71.1640625" style="76" customWidth="1"/>
    <col min="2039" max="2039" width="57.83203125" style="76" customWidth="1"/>
    <col min="2040" max="2045" width="5.1640625" style="76" customWidth="1"/>
    <col min="2046" max="2046" width="36.5" style="76" customWidth="1"/>
    <col min="2047" max="2047" width="12.5" style="76" customWidth="1"/>
    <col min="2048" max="2048" width="14.83203125" style="76" customWidth="1"/>
    <col min="2049" max="2049" width="19.5" style="76" bestFit="1" customWidth="1"/>
    <col min="2050" max="2050" width="20.83203125" style="76" customWidth="1"/>
    <col min="2051" max="2051" width="16.5" style="76" customWidth="1"/>
    <col min="2052" max="2052" width="17" style="76" customWidth="1"/>
    <col min="2053" max="2053" width="17.1640625" style="76" customWidth="1"/>
    <col min="2054" max="2054" width="15.1640625" style="76" bestFit="1" customWidth="1"/>
    <col min="2055" max="2055" width="20" style="76" bestFit="1" customWidth="1"/>
    <col min="2056" max="2058" width="16.5" style="76" customWidth="1"/>
    <col min="2059" max="2139" width="10.1640625" style="76"/>
    <col min="2140" max="2140" width="69.1640625" style="76" bestFit="1" customWidth="1"/>
    <col min="2141" max="2141" width="15.5" style="76" customWidth="1"/>
    <col min="2142" max="2143" width="18.1640625" style="76" customWidth="1"/>
    <col min="2144" max="2144" width="16.5" style="76" bestFit="1" customWidth="1"/>
    <col min="2145" max="2145" width="17.5" style="76" bestFit="1" customWidth="1"/>
    <col min="2146" max="2146" width="13.83203125" style="76" bestFit="1" customWidth="1"/>
    <col min="2147" max="2147" width="17.5" style="76" bestFit="1" customWidth="1"/>
    <col min="2148" max="2148" width="13.83203125" style="76" bestFit="1" customWidth="1"/>
    <col min="2149" max="2149" width="17.5" style="76" bestFit="1" customWidth="1"/>
    <col min="2150" max="2150" width="14.1640625" style="76" bestFit="1" customWidth="1"/>
    <col min="2151" max="2293" width="10.1640625" style="76"/>
    <col min="2294" max="2294" width="71.1640625" style="76" customWidth="1"/>
    <col min="2295" max="2295" width="57.83203125" style="76" customWidth="1"/>
    <col min="2296" max="2301" width="5.1640625" style="76" customWidth="1"/>
    <col min="2302" max="2302" width="36.5" style="76" customWidth="1"/>
    <col min="2303" max="2303" width="12.5" style="76" customWidth="1"/>
    <col min="2304" max="2304" width="14.83203125" style="76" customWidth="1"/>
    <col min="2305" max="2305" width="19.5" style="76" bestFit="1" customWidth="1"/>
    <col min="2306" max="2306" width="20.83203125" style="76" customWidth="1"/>
    <col min="2307" max="2307" width="16.5" style="76" customWidth="1"/>
    <col min="2308" max="2308" width="17" style="76" customWidth="1"/>
    <col min="2309" max="2309" width="17.1640625" style="76" customWidth="1"/>
    <col min="2310" max="2310" width="15.1640625" style="76" bestFit="1" customWidth="1"/>
    <col min="2311" max="2311" width="20" style="76" bestFit="1" customWidth="1"/>
    <col min="2312" max="2314" width="16.5" style="76" customWidth="1"/>
    <col min="2315" max="2395" width="10.1640625" style="76"/>
    <col min="2396" max="2396" width="69.1640625" style="76" bestFit="1" customWidth="1"/>
    <col min="2397" max="2397" width="15.5" style="76" customWidth="1"/>
    <col min="2398" max="2399" width="18.1640625" style="76" customWidth="1"/>
    <col min="2400" max="2400" width="16.5" style="76" bestFit="1" customWidth="1"/>
    <col min="2401" max="2401" width="17.5" style="76" bestFit="1" customWidth="1"/>
    <col min="2402" max="2402" width="13.83203125" style="76" bestFit="1" customWidth="1"/>
    <col min="2403" max="2403" width="17.5" style="76" bestFit="1" customWidth="1"/>
    <col min="2404" max="2404" width="13.83203125" style="76" bestFit="1" customWidth="1"/>
    <col min="2405" max="2405" width="17.5" style="76" bestFit="1" customWidth="1"/>
    <col min="2406" max="2406" width="14.1640625" style="76" bestFit="1" customWidth="1"/>
    <col min="2407" max="2549" width="10.1640625" style="76"/>
    <col min="2550" max="2550" width="71.1640625" style="76" customWidth="1"/>
    <col min="2551" max="2551" width="57.83203125" style="76" customWidth="1"/>
    <col min="2552" max="2557" width="5.1640625" style="76" customWidth="1"/>
    <col min="2558" max="2558" width="36.5" style="76" customWidth="1"/>
    <col min="2559" max="2559" width="12.5" style="76" customWidth="1"/>
    <col min="2560" max="2560" width="14.83203125" style="76" customWidth="1"/>
    <col min="2561" max="2561" width="19.5" style="76" bestFit="1" customWidth="1"/>
    <col min="2562" max="2562" width="20.83203125" style="76" customWidth="1"/>
    <col min="2563" max="2563" width="16.5" style="76" customWidth="1"/>
    <col min="2564" max="2564" width="17" style="76" customWidth="1"/>
    <col min="2565" max="2565" width="17.1640625" style="76" customWidth="1"/>
    <col min="2566" max="2566" width="15.1640625" style="76" bestFit="1" customWidth="1"/>
    <col min="2567" max="2567" width="20" style="76" bestFit="1" customWidth="1"/>
    <col min="2568" max="2570" width="16.5" style="76" customWidth="1"/>
    <col min="2571" max="2651" width="10.1640625" style="76"/>
    <col min="2652" max="2652" width="69.1640625" style="76" bestFit="1" customWidth="1"/>
    <col min="2653" max="2653" width="15.5" style="76" customWidth="1"/>
    <col min="2654" max="2655" width="18.1640625" style="76" customWidth="1"/>
    <col min="2656" max="2656" width="16.5" style="76" bestFit="1" customWidth="1"/>
    <col min="2657" max="2657" width="17.5" style="76" bestFit="1" customWidth="1"/>
    <col min="2658" max="2658" width="13.83203125" style="76" bestFit="1" customWidth="1"/>
    <col min="2659" max="2659" width="17.5" style="76" bestFit="1" customWidth="1"/>
    <col min="2660" max="2660" width="13.83203125" style="76" bestFit="1" customWidth="1"/>
    <col min="2661" max="2661" width="17.5" style="76" bestFit="1" customWidth="1"/>
    <col min="2662" max="2662" width="14.1640625" style="76" bestFit="1" customWidth="1"/>
    <col min="2663" max="2805" width="10.1640625" style="76"/>
    <col min="2806" max="2806" width="71.1640625" style="76" customWidth="1"/>
    <col min="2807" max="2807" width="57.83203125" style="76" customWidth="1"/>
    <col min="2808" max="2813" width="5.1640625" style="76" customWidth="1"/>
    <col min="2814" max="2814" width="36.5" style="76" customWidth="1"/>
    <col min="2815" max="2815" width="12.5" style="76" customWidth="1"/>
    <col min="2816" max="2816" width="14.83203125" style="76" customWidth="1"/>
    <col min="2817" max="2817" width="19.5" style="76" bestFit="1" customWidth="1"/>
    <col min="2818" max="2818" width="20.83203125" style="76" customWidth="1"/>
    <col min="2819" max="2819" width="16.5" style="76" customWidth="1"/>
    <col min="2820" max="2820" width="17" style="76" customWidth="1"/>
    <col min="2821" max="2821" width="17.1640625" style="76" customWidth="1"/>
    <col min="2822" max="2822" width="15.1640625" style="76" bestFit="1" customWidth="1"/>
    <col min="2823" max="2823" width="20" style="76" bestFit="1" customWidth="1"/>
    <col min="2824" max="2826" width="16.5" style="76" customWidth="1"/>
    <col min="2827" max="2907" width="10.1640625" style="76"/>
    <col min="2908" max="2908" width="69.1640625" style="76" bestFit="1" customWidth="1"/>
    <col min="2909" max="2909" width="15.5" style="76" customWidth="1"/>
    <col min="2910" max="2911" width="18.1640625" style="76" customWidth="1"/>
    <col min="2912" max="2912" width="16.5" style="76" bestFit="1" customWidth="1"/>
    <col min="2913" max="2913" width="17.5" style="76" bestFit="1" customWidth="1"/>
    <col min="2914" max="2914" width="13.83203125" style="76" bestFit="1" customWidth="1"/>
    <col min="2915" max="2915" width="17.5" style="76" bestFit="1" customWidth="1"/>
    <col min="2916" max="2916" width="13.83203125" style="76" bestFit="1" customWidth="1"/>
    <col min="2917" max="2917" width="17.5" style="76" bestFit="1" customWidth="1"/>
    <col min="2918" max="2918" width="14.1640625" style="76" bestFit="1" customWidth="1"/>
    <col min="2919" max="3061" width="10.1640625" style="76"/>
    <col min="3062" max="3062" width="71.1640625" style="76" customWidth="1"/>
    <col min="3063" max="3063" width="57.83203125" style="76" customWidth="1"/>
    <col min="3064" max="3069" width="5.1640625" style="76" customWidth="1"/>
    <col min="3070" max="3070" width="36.5" style="76" customWidth="1"/>
    <col min="3071" max="3071" width="12.5" style="76" customWidth="1"/>
    <col min="3072" max="3072" width="14.83203125" style="76" customWidth="1"/>
    <col min="3073" max="3073" width="19.5" style="76" bestFit="1" customWidth="1"/>
    <col min="3074" max="3074" width="20.83203125" style="76" customWidth="1"/>
    <col min="3075" max="3075" width="16.5" style="76" customWidth="1"/>
    <col min="3076" max="3076" width="17" style="76" customWidth="1"/>
    <col min="3077" max="3077" width="17.1640625" style="76" customWidth="1"/>
    <col min="3078" max="3078" width="15.1640625" style="76" bestFit="1" customWidth="1"/>
    <col min="3079" max="3079" width="20" style="76" bestFit="1" customWidth="1"/>
    <col min="3080" max="3082" width="16.5" style="76" customWidth="1"/>
    <col min="3083" max="3163" width="10.1640625" style="76"/>
    <col min="3164" max="3164" width="69.1640625" style="76" bestFit="1" customWidth="1"/>
    <col min="3165" max="3165" width="15.5" style="76" customWidth="1"/>
    <col min="3166" max="3167" width="18.1640625" style="76" customWidth="1"/>
    <col min="3168" max="3168" width="16.5" style="76" bestFit="1" customWidth="1"/>
    <col min="3169" max="3169" width="17.5" style="76" bestFit="1" customWidth="1"/>
    <col min="3170" max="3170" width="13.83203125" style="76" bestFit="1" customWidth="1"/>
    <col min="3171" max="3171" width="17.5" style="76" bestFit="1" customWidth="1"/>
    <col min="3172" max="3172" width="13.83203125" style="76" bestFit="1" customWidth="1"/>
    <col min="3173" max="3173" width="17.5" style="76" bestFit="1" customWidth="1"/>
    <col min="3174" max="3174" width="14.1640625" style="76" bestFit="1" customWidth="1"/>
    <col min="3175" max="3317" width="10.1640625" style="76"/>
    <col min="3318" max="3318" width="71.1640625" style="76" customWidth="1"/>
    <col min="3319" max="3319" width="57.83203125" style="76" customWidth="1"/>
    <col min="3320" max="3325" width="5.1640625" style="76" customWidth="1"/>
    <col min="3326" max="3326" width="36.5" style="76" customWidth="1"/>
    <col min="3327" max="3327" width="12.5" style="76" customWidth="1"/>
    <col min="3328" max="3328" width="14.83203125" style="76" customWidth="1"/>
    <col min="3329" max="3329" width="19.5" style="76" bestFit="1" customWidth="1"/>
    <col min="3330" max="3330" width="20.83203125" style="76" customWidth="1"/>
    <col min="3331" max="3331" width="16.5" style="76" customWidth="1"/>
    <col min="3332" max="3332" width="17" style="76" customWidth="1"/>
    <col min="3333" max="3333" width="17.1640625" style="76" customWidth="1"/>
    <col min="3334" max="3334" width="15.1640625" style="76" bestFit="1" customWidth="1"/>
    <col min="3335" max="3335" width="20" style="76" bestFit="1" customWidth="1"/>
    <col min="3336" max="3338" width="16.5" style="76" customWidth="1"/>
    <col min="3339" max="3419" width="10.1640625" style="76"/>
    <col min="3420" max="3420" width="69.1640625" style="76" bestFit="1" customWidth="1"/>
    <col min="3421" max="3421" width="15.5" style="76" customWidth="1"/>
    <col min="3422" max="3423" width="18.1640625" style="76" customWidth="1"/>
    <col min="3424" max="3424" width="16.5" style="76" bestFit="1" customWidth="1"/>
    <col min="3425" max="3425" width="17.5" style="76" bestFit="1" customWidth="1"/>
    <col min="3426" max="3426" width="13.83203125" style="76" bestFit="1" customWidth="1"/>
    <col min="3427" max="3427" width="17.5" style="76" bestFit="1" customWidth="1"/>
    <col min="3428" max="3428" width="13.83203125" style="76" bestFit="1" customWidth="1"/>
    <col min="3429" max="3429" width="17.5" style="76" bestFit="1" customWidth="1"/>
    <col min="3430" max="3430" width="14.1640625" style="76" bestFit="1" customWidth="1"/>
    <col min="3431" max="3573" width="10.1640625" style="76"/>
    <col min="3574" max="3574" width="71.1640625" style="76" customWidth="1"/>
    <col min="3575" max="3575" width="57.83203125" style="76" customWidth="1"/>
    <col min="3576" max="3581" width="5.1640625" style="76" customWidth="1"/>
    <col min="3582" max="3582" width="36.5" style="76" customWidth="1"/>
    <col min="3583" max="3583" width="12.5" style="76" customWidth="1"/>
    <col min="3584" max="3584" width="14.83203125" style="76" customWidth="1"/>
    <col min="3585" max="3585" width="19.5" style="76" bestFit="1" customWidth="1"/>
    <col min="3586" max="3586" width="20.83203125" style="76" customWidth="1"/>
    <col min="3587" max="3587" width="16.5" style="76" customWidth="1"/>
    <col min="3588" max="3588" width="17" style="76" customWidth="1"/>
    <col min="3589" max="3589" width="17.1640625" style="76" customWidth="1"/>
    <col min="3590" max="3590" width="15.1640625" style="76" bestFit="1" customWidth="1"/>
    <col min="3591" max="3591" width="20" style="76" bestFit="1" customWidth="1"/>
    <col min="3592" max="3594" width="16.5" style="76" customWidth="1"/>
    <col min="3595" max="3675" width="10.1640625" style="76"/>
    <col min="3676" max="3676" width="69.1640625" style="76" bestFit="1" customWidth="1"/>
    <col min="3677" max="3677" width="15.5" style="76" customWidth="1"/>
    <col min="3678" max="3679" width="18.1640625" style="76" customWidth="1"/>
    <col min="3680" max="3680" width="16.5" style="76" bestFit="1" customWidth="1"/>
    <col min="3681" max="3681" width="17.5" style="76" bestFit="1" customWidth="1"/>
    <col min="3682" max="3682" width="13.83203125" style="76" bestFit="1" customWidth="1"/>
    <col min="3683" max="3683" width="17.5" style="76" bestFit="1" customWidth="1"/>
    <col min="3684" max="3684" width="13.83203125" style="76" bestFit="1" customWidth="1"/>
    <col min="3685" max="3685" width="17.5" style="76" bestFit="1" customWidth="1"/>
    <col min="3686" max="3686" width="14.1640625" style="76" bestFit="1" customWidth="1"/>
    <col min="3687" max="3829" width="10.1640625" style="76"/>
    <col min="3830" max="3830" width="71.1640625" style="76" customWidth="1"/>
    <col min="3831" max="3831" width="57.83203125" style="76" customWidth="1"/>
    <col min="3832" max="3837" width="5.1640625" style="76" customWidth="1"/>
    <col min="3838" max="3838" width="36.5" style="76" customWidth="1"/>
    <col min="3839" max="3839" width="12.5" style="76" customWidth="1"/>
    <col min="3840" max="3840" width="14.83203125" style="76" customWidth="1"/>
    <col min="3841" max="3841" width="19.5" style="76" bestFit="1" customWidth="1"/>
    <col min="3842" max="3842" width="20.83203125" style="76" customWidth="1"/>
    <col min="3843" max="3843" width="16.5" style="76" customWidth="1"/>
    <col min="3844" max="3844" width="17" style="76" customWidth="1"/>
    <col min="3845" max="3845" width="17.1640625" style="76" customWidth="1"/>
    <col min="3846" max="3846" width="15.1640625" style="76" bestFit="1" customWidth="1"/>
    <col min="3847" max="3847" width="20" style="76" bestFit="1" customWidth="1"/>
    <col min="3848" max="3850" width="16.5" style="76" customWidth="1"/>
    <col min="3851" max="3931" width="10.1640625" style="76"/>
    <col min="3932" max="3932" width="69.1640625" style="76" bestFit="1" customWidth="1"/>
    <col min="3933" max="3933" width="15.5" style="76" customWidth="1"/>
    <col min="3934" max="3935" width="18.1640625" style="76" customWidth="1"/>
    <col min="3936" max="3936" width="16.5" style="76" bestFit="1" customWidth="1"/>
    <col min="3937" max="3937" width="17.5" style="76" bestFit="1" customWidth="1"/>
    <col min="3938" max="3938" width="13.83203125" style="76" bestFit="1" customWidth="1"/>
    <col min="3939" max="3939" width="17.5" style="76" bestFit="1" customWidth="1"/>
    <col min="3940" max="3940" width="13.83203125" style="76" bestFit="1" customWidth="1"/>
    <col min="3941" max="3941" width="17.5" style="76" bestFit="1" customWidth="1"/>
    <col min="3942" max="3942" width="14.1640625" style="76" bestFit="1" customWidth="1"/>
    <col min="3943" max="4085" width="10.1640625" style="76"/>
    <col min="4086" max="4086" width="71.1640625" style="76" customWidth="1"/>
    <col min="4087" max="4087" width="57.83203125" style="76" customWidth="1"/>
    <col min="4088" max="4093" width="5.1640625" style="76" customWidth="1"/>
    <col min="4094" max="4094" width="36.5" style="76" customWidth="1"/>
    <col min="4095" max="4095" width="12.5" style="76" customWidth="1"/>
    <col min="4096" max="4096" width="14.83203125" style="76" customWidth="1"/>
    <col min="4097" max="4097" width="19.5" style="76" bestFit="1" customWidth="1"/>
    <col min="4098" max="4098" width="20.83203125" style="76" customWidth="1"/>
    <col min="4099" max="4099" width="16.5" style="76" customWidth="1"/>
    <col min="4100" max="4100" width="17" style="76" customWidth="1"/>
    <col min="4101" max="4101" width="17.1640625" style="76" customWidth="1"/>
    <col min="4102" max="4102" width="15.1640625" style="76" bestFit="1" customWidth="1"/>
    <col min="4103" max="4103" width="20" style="76" bestFit="1" customWidth="1"/>
    <col min="4104" max="4106" width="16.5" style="76" customWidth="1"/>
    <col min="4107" max="4187" width="10.1640625" style="76"/>
    <col min="4188" max="4188" width="69.1640625" style="76" bestFit="1" customWidth="1"/>
    <col min="4189" max="4189" width="15.5" style="76" customWidth="1"/>
    <col min="4190" max="4191" width="18.1640625" style="76" customWidth="1"/>
    <col min="4192" max="4192" width="16.5" style="76" bestFit="1" customWidth="1"/>
    <col min="4193" max="4193" width="17.5" style="76" bestFit="1" customWidth="1"/>
    <col min="4194" max="4194" width="13.83203125" style="76" bestFit="1" customWidth="1"/>
    <col min="4195" max="4195" width="17.5" style="76" bestFit="1" customWidth="1"/>
    <col min="4196" max="4196" width="13.83203125" style="76" bestFit="1" customWidth="1"/>
    <col min="4197" max="4197" width="17.5" style="76" bestFit="1" customWidth="1"/>
    <col min="4198" max="4198" width="14.1640625" style="76" bestFit="1" customWidth="1"/>
    <col min="4199" max="4341" width="10.1640625" style="76"/>
    <col min="4342" max="4342" width="71.1640625" style="76" customWidth="1"/>
    <col min="4343" max="4343" width="57.83203125" style="76" customWidth="1"/>
    <col min="4344" max="4349" width="5.1640625" style="76" customWidth="1"/>
    <col min="4350" max="4350" width="36.5" style="76" customWidth="1"/>
    <col min="4351" max="4351" width="12.5" style="76" customWidth="1"/>
    <col min="4352" max="4352" width="14.83203125" style="76" customWidth="1"/>
    <col min="4353" max="4353" width="19.5" style="76" bestFit="1" customWidth="1"/>
    <col min="4354" max="4354" width="20.83203125" style="76" customWidth="1"/>
    <col min="4355" max="4355" width="16.5" style="76" customWidth="1"/>
    <col min="4356" max="4356" width="17" style="76" customWidth="1"/>
    <col min="4357" max="4357" width="17.1640625" style="76" customWidth="1"/>
    <col min="4358" max="4358" width="15.1640625" style="76" bestFit="1" customWidth="1"/>
    <col min="4359" max="4359" width="20" style="76" bestFit="1" customWidth="1"/>
    <col min="4360" max="4362" width="16.5" style="76" customWidth="1"/>
    <col min="4363" max="4443" width="10.1640625" style="76"/>
    <col min="4444" max="4444" width="69.1640625" style="76" bestFit="1" customWidth="1"/>
    <col min="4445" max="4445" width="15.5" style="76" customWidth="1"/>
    <col min="4446" max="4447" width="18.1640625" style="76" customWidth="1"/>
    <col min="4448" max="4448" width="16.5" style="76" bestFit="1" customWidth="1"/>
    <col min="4449" max="4449" width="17.5" style="76" bestFit="1" customWidth="1"/>
    <col min="4450" max="4450" width="13.83203125" style="76" bestFit="1" customWidth="1"/>
    <col min="4451" max="4451" width="17.5" style="76" bestFit="1" customWidth="1"/>
    <col min="4452" max="4452" width="13.83203125" style="76" bestFit="1" customWidth="1"/>
    <col min="4453" max="4453" width="17.5" style="76" bestFit="1" customWidth="1"/>
    <col min="4454" max="4454" width="14.1640625" style="76" bestFit="1" customWidth="1"/>
    <col min="4455" max="4597" width="10.1640625" style="76"/>
    <col min="4598" max="4598" width="71.1640625" style="76" customWidth="1"/>
    <col min="4599" max="4599" width="57.83203125" style="76" customWidth="1"/>
    <col min="4600" max="4605" width="5.1640625" style="76" customWidth="1"/>
    <col min="4606" max="4606" width="36.5" style="76" customWidth="1"/>
    <col min="4607" max="4607" width="12.5" style="76" customWidth="1"/>
    <col min="4608" max="4608" width="14.83203125" style="76" customWidth="1"/>
    <col min="4609" max="4609" width="19.5" style="76" bestFit="1" customWidth="1"/>
    <col min="4610" max="4610" width="20.83203125" style="76" customWidth="1"/>
    <col min="4611" max="4611" width="16.5" style="76" customWidth="1"/>
    <col min="4612" max="4612" width="17" style="76" customWidth="1"/>
    <col min="4613" max="4613" width="17.1640625" style="76" customWidth="1"/>
    <col min="4614" max="4614" width="15.1640625" style="76" bestFit="1" customWidth="1"/>
    <col min="4615" max="4615" width="20" style="76" bestFit="1" customWidth="1"/>
    <col min="4616" max="4618" width="16.5" style="76" customWidth="1"/>
    <col min="4619" max="4699" width="10.1640625" style="76"/>
    <col min="4700" max="4700" width="69.1640625" style="76" bestFit="1" customWidth="1"/>
    <col min="4701" max="4701" width="15.5" style="76" customWidth="1"/>
    <col min="4702" max="4703" width="18.1640625" style="76" customWidth="1"/>
    <col min="4704" max="4704" width="16.5" style="76" bestFit="1" customWidth="1"/>
    <col min="4705" max="4705" width="17.5" style="76" bestFit="1" customWidth="1"/>
    <col min="4706" max="4706" width="13.83203125" style="76" bestFit="1" customWidth="1"/>
    <col min="4707" max="4707" width="17.5" style="76" bestFit="1" customWidth="1"/>
    <col min="4708" max="4708" width="13.83203125" style="76" bestFit="1" customWidth="1"/>
    <col min="4709" max="4709" width="17.5" style="76" bestFit="1" customWidth="1"/>
    <col min="4710" max="4710" width="14.1640625" style="76" bestFit="1" customWidth="1"/>
    <col min="4711" max="4853" width="10.1640625" style="76"/>
    <col min="4854" max="4854" width="71.1640625" style="76" customWidth="1"/>
    <col min="4855" max="4855" width="57.83203125" style="76" customWidth="1"/>
    <col min="4856" max="4861" width="5.1640625" style="76" customWidth="1"/>
    <col min="4862" max="4862" width="36.5" style="76" customWidth="1"/>
    <col min="4863" max="4863" width="12.5" style="76" customWidth="1"/>
    <col min="4864" max="4864" width="14.83203125" style="76" customWidth="1"/>
    <col min="4865" max="4865" width="19.5" style="76" bestFit="1" customWidth="1"/>
    <col min="4866" max="4866" width="20.83203125" style="76" customWidth="1"/>
    <col min="4867" max="4867" width="16.5" style="76" customWidth="1"/>
    <col min="4868" max="4868" width="17" style="76" customWidth="1"/>
    <col min="4869" max="4869" width="17.1640625" style="76" customWidth="1"/>
    <col min="4870" max="4870" width="15.1640625" style="76" bestFit="1" customWidth="1"/>
    <col min="4871" max="4871" width="20" style="76" bestFit="1" customWidth="1"/>
    <col min="4872" max="4874" width="16.5" style="76" customWidth="1"/>
    <col min="4875" max="4955" width="10.1640625" style="76"/>
    <col min="4956" max="4956" width="69.1640625" style="76" bestFit="1" customWidth="1"/>
    <col min="4957" max="4957" width="15.5" style="76" customWidth="1"/>
    <col min="4958" max="4959" width="18.1640625" style="76" customWidth="1"/>
    <col min="4960" max="4960" width="16.5" style="76" bestFit="1" customWidth="1"/>
    <col min="4961" max="4961" width="17.5" style="76" bestFit="1" customWidth="1"/>
    <col min="4962" max="4962" width="13.83203125" style="76" bestFit="1" customWidth="1"/>
    <col min="4963" max="4963" width="17.5" style="76" bestFit="1" customWidth="1"/>
    <col min="4964" max="4964" width="13.83203125" style="76" bestFit="1" customWidth="1"/>
    <col min="4965" max="4965" width="17.5" style="76" bestFit="1" customWidth="1"/>
    <col min="4966" max="4966" width="14.1640625" style="76" bestFit="1" customWidth="1"/>
    <col min="4967" max="5109" width="10.1640625" style="76"/>
    <col min="5110" max="5110" width="71.1640625" style="76" customWidth="1"/>
    <col min="5111" max="5111" width="57.83203125" style="76" customWidth="1"/>
    <col min="5112" max="5117" width="5.1640625" style="76" customWidth="1"/>
    <col min="5118" max="5118" width="36.5" style="76" customWidth="1"/>
    <col min="5119" max="5119" width="12.5" style="76" customWidth="1"/>
    <col min="5120" max="5120" width="14.83203125" style="76" customWidth="1"/>
    <col min="5121" max="5121" width="19.5" style="76" bestFit="1" customWidth="1"/>
    <col min="5122" max="5122" width="20.83203125" style="76" customWidth="1"/>
    <col min="5123" max="5123" width="16.5" style="76" customWidth="1"/>
    <col min="5124" max="5124" width="17" style="76" customWidth="1"/>
    <col min="5125" max="5125" width="17.1640625" style="76" customWidth="1"/>
    <col min="5126" max="5126" width="15.1640625" style="76" bestFit="1" customWidth="1"/>
    <col min="5127" max="5127" width="20" style="76" bestFit="1" customWidth="1"/>
    <col min="5128" max="5130" width="16.5" style="76" customWidth="1"/>
    <col min="5131" max="5211" width="10.1640625" style="76"/>
    <col min="5212" max="5212" width="69.1640625" style="76" bestFit="1" customWidth="1"/>
    <col min="5213" max="5213" width="15.5" style="76" customWidth="1"/>
    <col min="5214" max="5215" width="18.1640625" style="76" customWidth="1"/>
    <col min="5216" max="5216" width="16.5" style="76" bestFit="1" customWidth="1"/>
    <col min="5217" max="5217" width="17.5" style="76" bestFit="1" customWidth="1"/>
    <col min="5218" max="5218" width="13.83203125" style="76" bestFit="1" customWidth="1"/>
    <col min="5219" max="5219" width="17.5" style="76" bestFit="1" customWidth="1"/>
    <col min="5220" max="5220" width="13.83203125" style="76" bestFit="1" customWidth="1"/>
    <col min="5221" max="5221" width="17.5" style="76" bestFit="1" customWidth="1"/>
    <col min="5222" max="5222" width="14.1640625" style="76" bestFit="1" customWidth="1"/>
    <col min="5223" max="5365" width="10.1640625" style="76"/>
    <col min="5366" max="5366" width="71.1640625" style="76" customWidth="1"/>
    <col min="5367" max="5367" width="57.83203125" style="76" customWidth="1"/>
    <col min="5368" max="5373" width="5.1640625" style="76" customWidth="1"/>
    <col min="5374" max="5374" width="36.5" style="76" customWidth="1"/>
    <col min="5375" max="5375" width="12.5" style="76" customWidth="1"/>
    <col min="5376" max="5376" width="14.83203125" style="76" customWidth="1"/>
    <col min="5377" max="5377" width="19.5" style="76" bestFit="1" customWidth="1"/>
    <col min="5378" max="5378" width="20.83203125" style="76" customWidth="1"/>
    <col min="5379" max="5379" width="16.5" style="76" customWidth="1"/>
    <col min="5380" max="5380" width="17" style="76" customWidth="1"/>
    <col min="5381" max="5381" width="17.1640625" style="76" customWidth="1"/>
    <col min="5382" max="5382" width="15.1640625" style="76" bestFit="1" customWidth="1"/>
    <col min="5383" max="5383" width="20" style="76" bestFit="1" customWidth="1"/>
    <col min="5384" max="5386" width="16.5" style="76" customWidth="1"/>
    <col min="5387" max="5467" width="10.1640625" style="76"/>
    <col min="5468" max="5468" width="69.1640625" style="76" bestFit="1" customWidth="1"/>
    <col min="5469" max="5469" width="15.5" style="76" customWidth="1"/>
    <col min="5470" max="5471" width="18.1640625" style="76" customWidth="1"/>
    <col min="5472" max="5472" width="16.5" style="76" bestFit="1" customWidth="1"/>
    <col min="5473" max="5473" width="17.5" style="76" bestFit="1" customWidth="1"/>
    <col min="5474" max="5474" width="13.83203125" style="76" bestFit="1" customWidth="1"/>
    <col min="5475" max="5475" width="17.5" style="76" bestFit="1" customWidth="1"/>
    <col min="5476" max="5476" width="13.83203125" style="76" bestFit="1" customWidth="1"/>
    <col min="5477" max="5477" width="17.5" style="76" bestFit="1" customWidth="1"/>
    <col min="5478" max="5478" width="14.1640625" style="76" bestFit="1" customWidth="1"/>
    <col min="5479" max="5621" width="10.1640625" style="76"/>
    <col min="5622" max="5622" width="71.1640625" style="76" customWidth="1"/>
    <col min="5623" max="5623" width="57.83203125" style="76" customWidth="1"/>
    <col min="5624" max="5629" width="5.1640625" style="76" customWidth="1"/>
    <col min="5630" max="5630" width="36.5" style="76" customWidth="1"/>
    <col min="5631" max="5631" width="12.5" style="76" customWidth="1"/>
    <col min="5632" max="5632" width="14.83203125" style="76" customWidth="1"/>
    <col min="5633" max="5633" width="19.5" style="76" bestFit="1" customWidth="1"/>
    <col min="5634" max="5634" width="20.83203125" style="76" customWidth="1"/>
    <col min="5635" max="5635" width="16.5" style="76" customWidth="1"/>
    <col min="5636" max="5636" width="17" style="76" customWidth="1"/>
    <col min="5637" max="5637" width="17.1640625" style="76" customWidth="1"/>
    <col min="5638" max="5638" width="15.1640625" style="76" bestFit="1" customWidth="1"/>
    <col min="5639" max="5639" width="20" style="76" bestFit="1" customWidth="1"/>
    <col min="5640" max="5642" width="16.5" style="76" customWidth="1"/>
    <col min="5643" max="5723" width="10.1640625" style="76"/>
    <col min="5724" max="5724" width="69.1640625" style="76" bestFit="1" customWidth="1"/>
    <col min="5725" max="5725" width="15.5" style="76" customWidth="1"/>
    <col min="5726" max="5727" width="18.1640625" style="76" customWidth="1"/>
    <col min="5728" max="5728" width="16.5" style="76" bestFit="1" customWidth="1"/>
    <col min="5729" max="5729" width="17.5" style="76" bestFit="1" customWidth="1"/>
    <col min="5730" max="5730" width="13.83203125" style="76" bestFit="1" customWidth="1"/>
    <col min="5731" max="5731" width="17.5" style="76" bestFit="1" customWidth="1"/>
    <col min="5732" max="5732" width="13.83203125" style="76" bestFit="1" customWidth="1"/>
    <col min="5733" max="5733" width="17.5" style="76" bestFit="1" customWidth="1"/>
    <col min="5734" max="5734" width="14.1640625" style="76" bestFit="1" customWidth="1"/>
    <col min="5735" max="5877" width="10.1640625" style="76"/>
    <col min="5878" max="5878" width="71.1640625" style="76" customWidth="1"/>
    <col min="5879" max="5879" width="57.83203125" style="76" customWidth="1"/>
    <col min="5880" max="5885" width="5.1640625" style="76" customWidth="1"/>
    <col min="5886" max="5886" width="36.5" style="76" customWidth="1"/>
    <col min="5887" max="5887" width="12.5" style="76" customWidth="1"/>
    <col min="5888" max="5888" width="14.83203125" style="76" customWidth="1"/>
    <col min="5889" max="5889" width="19.5" style="76" bestFit="1" customWidth="1"/>
    <col min="5890" max="5890" width="20.83203125" style="76" customWidth="1"/>
    <col min="5891" max="5891" width="16.5" style="76" customWidth="1"/>
    <col min="5892" max="5892" width="17" style="76" customWidth="1"/>
    <col min="5893" max="5893" width="17.1640625" style="76" customWidth="1"/>
    <col min="5894" max="5894" width="15.1640625" style="76" bestFit="1" customWidth="1"/>
    <col min="5895" max="5895" width="20" style="76" bestFit="1" customWidth="1"/>
    <col min="5896" max="5898" width="16.5" style="76" customWidth="1"/>
    <col min="5899" max="5979" width="10.1640625" style="76"/>
    <col min="5980" max="5980" width="69.1640625" style="76" bestFit="1" customWidth="1"/>
    <col min="5981" max="5981" width="15.5" style="76" customWidth="1"/>
    <col min="5982" max="5983" width="18.1640625" style="76" customWidth="1"/>
    <col min="5984" max="5984" width="16.5" style="76" bestFit="1" customWidth="1"/>
    <col min="5985" max="5985" width="17.5" style="76" bestFit="1" customWidth="1"/>
    <col min="5986" max="5986" width="13.83203125" style="76" bestFit="1" customWidth="1"/>
    <col min="5987" max="5987" width="17.5" style="76" bestFit="1" customWidth="1"/>
    <col min="5988" max="5988" width="13.83203125" style="76" bestFit="1" customWidth="1"/>
    <col min="5989" max="5989" width="17.5" style="76" bestFit="1" customWidth="1"/>
    <col min="5990" max="5990" width="14.1640625" style="76" bestFit="1" customWidth="1"/>
    <col min="5991" max="6133" width="10.1640625" style="76"/>
    <col min="6134" max="6134" width="71.1640625" style="76" customWidth="1"/>
    <col min="6135" max="6135" width="57.83203125" style="76" customWidth="1"/>
    <col min="6136" max="6141" width="5.1640625" style="76" customWidth="1"/>
    <col min="6142" max="6142" width="36.5" style="76" customWidth="1"/>
    <col min="6143" max="6143" width="12.5" style="76" customWidth="1"/>
    <col min="6144" max="6144" width="14.83203125" style="76" customWidth="1"/>
    <col min="6145" max="6145" width="19.5" style="76" bestFit="1" customWidth="1"/>
    <col min="6146" max="6146" width="20.83203125" style="76" customWidth="1"/>
    <col min="6147" max="6147" width="16.5" style="76" customWidth="1"/>
    <col min="6148" max="6148" width="17" style="76" customWidth="1"/>
    <col min="6149" max="6149" width="17.1640625" style="76" customWidth="1"/>
    <col min="6150" max="6150" width="15.1640625" style="76" bestFit="1" customWidth="1"/>
    <col min="6151" max="6151" width="20" style="76" bestFit="1" customWidth="1"/>
    <col min="6152" max="6154" width="16.5" style="76" customWidth="1"/>
    <col min="6155" max="6235" width="10.1640625" style="76"/>
    <col min="6236" max="6236" width="69.1640625" style="76" bestFit="1" customWidth="1"/>
    <col min="6237" max="6237" width="15.5" style="76" customWidth="1"/>
    <col min="6238" max="6239" width="18.1640625" style="76" customWidth="1"/>
    <col min="6240" max="6240" width="16.5" style="76" bestFit="1" customWidth="1"/>
    <col min="6241" max="6241" width="17.5" style="76" bestFit="1" customWidth="1"/>
    <col min="6242" max="6242" width="13.83203125" style="76" bestFit="1" customWidth="1"/>
    <col min="6243" max="6243" width="17.5" style="76" bestFit="1" customWidth="1"/>
    <col min="6244" max="6244" width="13.83203125" style="76" bestFit="1" customWidth="1"/>
    <col min="6245" max="6245" width="17.5" style="76" bestFit="1" customWidth="1"/>
    <col min="6246" max="6246" width="14.1640625" style="76" bestFit="1" customWidth="1"/>
    <col min="6247" max="6389" width="10.1640625" style="76"/>
    <col min="6390" max="6390" width="71.1640625" style="76" customWidth="1"/>
    <col min="6391" max="6391" width="57.83203125" style="76" customWidth="1"/>
    <col min="6392" max="6397" width="5.1640625" style="76" customWidth="1"/>
    <col min="6398" max="6398" width="36.5" style="76" customWidth="1"/>
    <col min="6399" max="6399" width="12.5" style="76" customWidth="1"/>
    <col min="6400" max="6400" width="14.83203125" style="76" customWidth="1"/>
    <col min="6401" max="6401" width="19.5" style="76" bestFit="1" customWidth="1"/>
    <col min="6402" max="6402" width="20.83203125" style="76" customWidth="1"/>
    <col min="6403" max="6403" width="16.5" style="76" customWidth="1"/>
    <col min="6404" max="6404" width="17" style="76" customWidth="1"/>
    <col min="6405" max="6405" width="17.1640625" style="76" customWidth="1"/>
    <col min="6406" max="6406" width="15.1640625" style="76" bestFit="1" customWidth="1"/>
    <col min="6407" max="6407" width="20" style="76" bestFit="1" customWidth="1"/>
    <col min="6408" max="6410" width="16.5" style="76" customWidth="1"/>
    <col min="6411" max="6491" width="10.1640625" style="76"/>
    <col min="6492" max="6492" width="69.1640625" style="76" bestFit="1" customWidth="1"/>
    <col min="6493" max="6493" width="15.5" style="76" customWidth="1"/>
    <col min="6494" max="6495" width="18.1640625" style="76" customWidth="1"/>
    <col min="6496" max="6496" width="16.5" style="76" bestFit="1" customWidth="1"/>
    <col min="6497" max="6497" width="17.5" style="76" bestFit="1" customWidth="1"/>
    <col min="6498" max="6498" width="13.83203125" style="76" bestFit="1" customWidth="1"/>
    <col min="6499" max="6499" width="17.5" style="76" bestFit="1" customWidth="1"/>
    <col min="6500" max="6500" width="13.83203125" style="76" bestFit="1" customWidth="1"/>
    <col min="6501" max="6501" width="17.5" style="76" bestFit="1" customWidth="1"/>
    <col min="6502" max="6502" width="14.1640625" style="76" bestFit="1" customWidth="1"/>
    <col min="6503" max="6645" width="10.1640625" style="76"/>
    <col min="6646" max="6646" width="71.1640625" style="76" customWidth="1"/>
    <col min="6647" max="6647" width="57.83203125" style="76" customWidth="1"/>
    <col min="6648" max="6653" width="5.1640625" style="76" customWidth="1"/>
    <col min="6654" max="6654" width="36.5" style="76" customWidth="1"/>
    <col min="6655" max="6655" width="12.5" style="76" customWidth="1"/>
    <col min="6656" max="6656" width="14.83203125" style="76" customWidth="1"/>
    <col min="6657" max="6657" width="19.5" style="76" bestFit="1" customWidth="1"/>
    <col min="6658" max="6658" width="20.83203125" style="76" customWidth="1"/>
    <col min="6659" max="6659" width="16.5" style="76" customWidth="1"/>
    <col min="6660" max="6660" width="17" style="76" customWidth="1"/>
    <col min="6661" max="6661" width="17.1640625" style="76" customWidth="1"/>
    <col min="6662" max="6662" width="15.1640625" style="76" bestFit="1" customWidth="1"/>
    <col min="6663" max="6663" width="20" style="76" bestFit="1" customWidth="1"/>
    <col min="6664" max="6666" width="16.5" style="76" customWidth="1"/>
    <col min="6667" max="6747" width="10.1640625" style="76"/>
    <col min="6748" max="6748" width="69.1640625" style="76" bestFit="1" customWidth="1"/>
    <col min="6749" max="6749" width="15.5" style="76" customWidth="1"/>
    <col min="6750" max="6751" width="18.1640625" style="76" customWidth="1"/>
    <col min="6752" max="6752" width="16.5" style="76" bestFit="1" customWidth="1"/>
    <col min="6753" max="6753" width="17.5" style="76" bestFit="1" customWidth="1"/>
    <col min="6754" max="6754" width="13.83203125" style="76" bestFit="1" customWidth="1"/>
    <col min="6755" max="6755" width="17.5" style="76" bestFit="1" customWidth="1"/>
    <col min="6756" max="6756" width="13.83203125" style="76" bestFit="1" customWidth="1"/>
    <col min="6757" max="6757" width="17.5" style="76" bestFit="1" customWidth="1"/>
    <col min="6758" max="6758" width="14.1640625" style="76" bestFit="1" customWidth="1"/>
    <col min="6759" max="6901" width="10.1640625" style="76"/>
    <col min="6902" max="6902" width="71.1640625" style="76" customWidth="1"/>
    <col min="6903" max="6903" width="57.83203125" style="76" customWidth="1"/>
    <col min="6904" max="6909" width="5.1640625" style="76" customWidth="1"/>
    <col min="6910" max="6910" width="36.5" style="76" customWidth="1"/>
    <col min="6911" max="6911" width="12.5" style="76" customWidth="1"/>
    <col min="6912" max="6912" width="14.83203125" style="76" customWidth="1"/>
    <col min="6913" max="6913" width="19.5" style="76" bestFit="1" customWidth="1"/>
    <col min="6914" max="6914" width="20.83203125" style="76" customWidth="1"/>
    <col min="6915" max="6915" width="16.5" style="76" customWidth="1"/>
    <col min="6916" max="6916" width="17" style="76" customWidth="1"/>
    <col min="6917" max="6917" width="17.1640625" style="76" customWidth="1"/>
    <col min="6918" max="6918" width="15.1640625" style="76" bestFit="1" customWidth="1"/>
    <col min="6919" max="6919" width="20" style="76" bestFit="1" customWidth="1"/>
    <col min="6920" max="6922" width="16.5" style="76" customWidth="1"/>
    <col min="6923" max="7003" width="10.1640625" style="76"/>
    <col min="7004" max="7004" width="69.1640625" style="76" bestFit="1" customWidth="1"/>
    <col min="7005" max="7005" width="15.5" style="76" customWidth="1"/>
    <col min="7006" max="7007" width="18.1640625" style="76" customWidth="1"/>
    <col min="7008" max="7008" width="16.5" style="76" bestFit="1" customWidth="1"/>
    <col min="7009" max="7009" width="17.5" style="76" bestFit="1" customWidth="1"/>
    <col min="7010" max="7010" width="13.83203125" style="76" bestFit="1" customWidth="1"/>
    <col min="7011" max="7011" width="17.5" style="76" bestFit="1" customWidth="1"/>
    <col min="7012" max="7012" width="13.83203125" style="76" bestFit="1" customWidth="1"/>
    <col min="7013" max="7013" width="17.5" style="76" bestFit="1" customWidth="1"/>
    <col min="7014" max="7014" width="14.1640625" style="76" bestFit="1" customWidth="1"/>
    <col min="7015" max="7157" width="10.1640625" style="76"/>
    <col min="7158" max="7158" width="71.1640625" style="76" customWidth="1"/>
    <col min="7159" max="7159" width="57.83203125" style="76" customWidth="1"/>
    <col min="7160" max="7165" width="5.1640625" style="76" customWidth="1"/>
    <col min="7166" max="7166" width="36.5" style="76" customWidth="1"/>
    <col min="7167" max="7167" width="12.5" style="76" customWidth="1"/>
    <col min="7168" max="7168" width="14.83203125" style="76" customWidth="1"/>
    <col min="7169" max="7169" width="19.5" style="76" bestFit="1" customWidth="1"/>
    <col min="7170" max="7170" width="20.83203125" style="76" customWidth="1"/>
    <col min="7171" max="7171" width="16.5" style="76" customWidth="1"/>
    <col min="7172" max="7172" width="17" style="76" customWidth="1"/>
    <col min="7173" max="7173" width="17.1640625" style="76" customWidth="1"/>
    <col min="7174" max="7174" width="15.1640625" style="76" bestFit="1" customWidth="1"/>
    <col min="7175" max="7175" width="20" style="76" bestFit="1" customWidth="1"/>
    <col min="7176" max="7178" width="16.5" style="76" customWidth="1"/>
    <col min="7179" max="7259" width="10.1640625" style="76"/>
    <col min="7260" max="7260" width="69.1640625" style="76" bestFit="1" customWidth="1"/>
    <col min="7261" max="7261" width="15.5" style="76" customWidth="1"/>
    <col min="7262" max="7263" width="18.1640625" style="76" customWidth="1"/>
    <col min="7264" max="7264" width="16.5" style="76" bestFit="1" customWidth="1"/>
    <col min="7265" max="7265" width="17.5" style="76" bestFit="1" customWidth="1"/>
    <col min="7266" max="7266" width="13.83203125" style="76" bestFit="1" customWidth="1"/>
    <col min="7267" max="7267" width="17.5" style="76" bestFit="1" customWidth="1"/>
    <col min="7268" max="7268" width="13.83203125" style="76" bestFit="1" customWidth="1"/>
    <col min="7269" max="7269" width="17.5" style="76" bestFit="1" customWidth="1"/>
    <col min="7270" max="7270" width="14.1640625" style="76" bestFit="1" customWidth="1"/>
    <col min="7271" max="7413" width="10.1640625" style="76"/>
    <col min="7414" max="7414" width="71.1640625" style="76" customWidth="1"/>
    <col min="7415" max="7415" width="57.83203125" style="76" customWidth="1"/>
    <col min="7416" max="7421" width="5.1640625" style="76" customWidth="1"/>
    <col min="7422" max="7422" width="36.5" style="76" customWidth="1"/>
    <col min="7423" max="7423" width="12.5" style="76" customWidth="1"/>
    <col min="7424" max="7424" width="14.83203125" style="76" customWidth="1"/>
    <col min="7425" max="7425" width="19.5" style="76" bestFit="1" customWidth="1"/>
    <col min="7426" max="7426" width="20.83203125" style="76" customWidth="1"/>
    <col min="7427" max="7427" width="16.5" style="76" customWidth="1"/>
    <col min="7428" max="7428" width="17" style="76" customWidth="1"/>
    <col min="7429" max="7429" width="17.1640625" style="76" customWidth="1"/>
    <col min="7430" max="7430" width="15.1640625" style="76" bestFit="1" customWidth="1"/>
    <col min="7431" max="7431" width="20" style="76" bestFit="1" customWidth="1"/>
    <col min="7432" max="7434" width="16.5" style="76" customWidth="1"/>
    <col min="7435" max="7515" width="10.1640625" style="76"/>
    <col min="7516" max="7516" width="69.1640625" style="76" bestFit="1" customWidth="1"/>
    <col min="7517" max="7517" width="15.5" style="76" customWidth="1"/>
    <col min="7518" max="7519" width="18.1640625" style="76" customWidth="1"/>
    <col min="7520" max="7520" width="16.5" style="76" bestFit="1" customWidth="1"/>
    <col min="7521" max="7521" width="17.5" style="76" bestFit="1" customWidth="1"/>
    <col min="7522" max="7522" width="13.83203125" style="76" bestFit="1" customWidth="1"/>
    <col min="7523" max="7523" width="17.5" style="76" bestFit="1" customWidth="1"/>
    <col min="7524" max="7524" width="13.83203125" style="76" bestFit="1" customWidth="1"/>
    <col min="7525" max="7525" width="17.5" style="76" bestFit="1" customWidth="1"/>
    <col min="7526" max="7526" width="14.1640625" style="76" bestFit="1" customWidth="1"/>
    <col min="7527" max="7669" width="10.1640625" style="76"/>
    <col min="7670" max="7670" width="71.1640625" style="76" customWidth="1"/>
    <col min="7671" max="7671" width="57.83203125" style="76" customWidth="1"/>
    <col min="7672" max="7677" width="5.1640625" style="76" customWidth="1"/>
    <col min="7678" max="7678" width="36.5" style="76" customWidth="1"/>
    <col min="7679" max="7679" width="12.5" style="76" customWidth="1"/>
    <col min="7680" max="7680" width="14.83203125" style="76" customWidth="1"/>
    <col min="7681" max="7681" width="19.5" style="76" bestFit="1" customWidth="1"/>
    <col min="7682" max="7682" width="20.83203125" style="76" customWidth="1"/>
    <col min="7683" max="7683" width="16.5" style="76" customWidth="1"/>
    <col min="7684" max="7684" width="17" style="76" customWidth="1"/>
    <col min="7685" max="7685" width="17.1640625" style="76" customWidth="1"/>
    <col min="7686" max="7686" width="15.1640625" style="76" bestFit="1" customWidth="1"/>
    <col min="7687" max="7687" width="20" style="76" bestFit="1" customWidth="1"/>
    <col min="7688" max="7690" width="16.5" style="76" customWidth="1"/>
    <col min="7691" max="7771" width="10.1640625" style="76"/>
    <col min="7772" max="7772" width="69.1640625" style="76" bestFit="1" customWidth="1"/>
    <col min="7773" max="7773" width="15.5" style="76" customWidth="1"/>
    <col min="7774" max="7775" width="18.1640625" style="76" customWidth="1"/>
    <col min="7776" max="7776" width="16.5" style="76" bestFit="1" customWidth="1"/>
    <col min="7777" max="7777" width="17.5" style="76" bestFit="1" customWidth="1"/>
    <col min="7778" max="7778" width="13.83203125" style="76" bestFit="1" customWidth="1"/>
    <col min="7779" max="7779" width="17.5" style="76" bestFit="1" customWidth="1"/>
    <col min="7780" max="7780" width="13.83203125" style="76" bestFit="1" customWidth="1"/>
    <col min="7781" max="7781" width="17.5" style="76" bestFit="1" customWidth="1"/>
    <col min="7782" max="7782" width="14.1640625" style="76" bestFit="1" customWidth="1"/>
    <col min="7783" max="7925" width="10.1640625" style="76"/>
    <col min="7926" max="7926" width="71.1640625" style="76" customWidth="1"/>
    <col min="7927" max="7927" width="57.83203125" style="76" customWidth="1"/>
    <col min="7928" max="7933" width="5.1640625" style="76" customWidth="1"/>
    <col min="7934" max="7934" width="36.5" style="76" customWidth="1"/>
    <col min="7935" max="7935" width="12.5" style="76" customWidth="1"/>
    <col min="7936" max="7936" width="14.83203125" style="76" customWidth="1"/>
    <col min="7937" max="7937" width="19.5" style="76" bestFit="1" customWidth="1"/>
    <col min="7938" max="7938" width="20.83203125" style="76" customWidth="1"/>
    <col min="7939" max="7939" width="16.5" style="76" customWidth="1"/>
    <col min="7940" max="7940" width="17" style="76" customWidth="1"/>
    <col min="7941" max="7941" width="17.1640625" style="76" customWidth="1"/>
    <col min="7942" max="7942" width="15.1640625" style="76" bestFit="1" customWidth="1"/>
    <col min="7943" max="7943" width="20" style="76" bestFit="1" customWidth="1"/>
    <col min="7944" max="7946" width="16.5" style="76" customWidth="1"/>
    <col min="7947" max="8027" width="10.1640625" style="76"/>
    <col min="8028" max="8028" width="69.1640625" style="76" bestFit="1" customWidth="1"/>
    <col min="8029" max="8029" width="15.5" style="76" customWidth="1"/>
    <col min="8030" max="8031" width="18.1640625" style="76" customWidth="1"/>
    <col min="8032" max="8032" width="16.5" style="76" bestFit="1" customWidth="1"/>
    <col min="8033" max="8033" width="17.5" style="76" bestFit="1" customWidth="1"/>
    <col min="8034" max="8034" width="13.83203125" style="76" bestFit="1" customWidth="1"/>
    <col min="8035" max="8035" width="17.5" style="76" bestFit="1" customWidth="1"/>
    <col min="8036" max="8036" width="13.83203125" style="76" bestFit="1" customWidth="1"/>
    <col min="8037" max="8037" width="17.5" style="76" bestFit="1" customWidth="1"/>
    <col min="8038" max="8038" width="14.1640625" style="76" bestFit="1" customWidth="1"/>
    <col min="8039" max="8181" width="10.1640625" style="76"/>
    <col min="8182" max="8182" width="71.1640625" style="76" customWidth="1"/>
    <col min="8183" max="8183" width="57.83203125" style="76" customWidth="1"/>
    <col min="8184" max="8189" width="5.1640625" style="76" customWidth="1"/>
    <col min="8190" max="8190" width="36.5" style="76" customWidth="1"/>
    <col min="8191" max="8191" width="12.5" style="76" customWidth="1"/>
    <col min="8192" max="8192" width="14.83203125" style="76" customWidth="1"/>
    <col min="8193" max="8193" width="19.5" style="76" bestFit="1" customWidth="1"/>
    <col min="8194" max="8194" width="20.83203125" style="76" customWidth="1"/>
    <col min="8195" max="8195" width="16.5" style="76" customWidth="1"/>
    <col min="8196" max="8196" width="17" style="76" customWidth="1"/>
    <col min="8197" max="8197" width="17.1640625" style="76" customWidth="1"/>
    <col min="8198" max="8198" width="15.1640625" style="76" bestFit="1" customWidth="1"/>
    <col min="8199" max="8199" width="20" style="76" bestFit="1" customWidth="1"/>
    <col min="8200" max="8202" width="16.5" style="76" customWidth="1"/>
    <col min="8203" max="8283" width="10.1640625" style="76"/>
    <col min="8284" max="8284" width="69.1640625" style="76" bestFit="1" customWidth="1"/>
    <col min="8285" max="8285" width="15.5" style="76" customWidth="1"/>
    <col min="8286" max="8287" width="18.1640625" style="76" customWidth="1"/>
    <col min="8288" max="8288" width="16.5" style="76" bestFit="1" customWidth="1"/>
    <col min="8289" max="8289" width="17.5" style="76" bestFit="1" customWidth="1"/>
    <col min="8290" max="8290" width="13.83203125" style="76" bestFit="1" customWidth="1"/>
    <col min="8291" max="8291" width="17.5" style="76" bestFit="1" customWidth="1"/>
    <col min="8292" max="8292" width="13.83203125" style="76" bestFit="1" customWidth="1"/>
    <col min="8293" max="8293" width="17.5" style="76" bestFit="1" customWidth="1"/>
    <col min="8294" max="8294" width="14.1640625" style="76" bestFit="1" customWidth="1"/>
    <col min="8295" max="8437" width="10.1640625" style="76"/>
    <col min="8438" max="8438" width="71.1640625" style="76" customWidth="1"/>
    <col min="8439" max="8439" width="57.83203125" style="76" customWidth="1"/>
    <col min="8440" max="8445" width="5.1640625" style="76" customWidth="1"/>
    <col min="8446" max="8446" width="36.5" style="76" customWidth="1"/>
    <col min="8447" max="8447" width="12.5" style="76" customWidth="1"/>
    <col min="8448" max="8448" width="14.83203125" style="76" customWidth="1"/>
    <col min="8449" max="8449" width="19.5" style="76" bestFit="1" customWidth="1"/>
    <col min="8450" max="8450" width="20.83203125" style="76" customWidth="1"/>
    <col min="8451" max="8451" width="16.5" style="76" customWidth="1"/>
    <col min="8452" max="8452" width="17" style="76" customWidth="1"/>
    <col min="8453" max="8453" width="17.1640625" style="76" customWidth="1"/>
    <col min="8454" max="8454" width="15.1640625" style="76" bestFit="1" customWidth="1"/>
    <col min="8455" max="8455" width="20" style="76" bestFit="1" customWidth="1"/>
    <col min="8456" max="8458" width="16.5" style="76" customWidth="1"/>
    <col min="8459" max="8539" width="10.1640625" style="76"/>
    <col min="8540" max="8540" width="69.1640625" style="76" bestFit="1" customWidth="1"/>
    <col min="8541" max="8541" width="15.5" style="76" customWidth="1"/>
    <col min="8542" max="8543" width="18.1640625" style="76" customWidth="1"/>
    <col min="8544" max="8544" width="16.5" style="76" bestFit="1" customWidth="1"/>
    <col min="8545" max="8545" width="17.5" style="76" bestFit="1" customWidth="1"/>
    <col min="8546" max="8546" width="13.83203125" style="76" bestFit="1" customWidth="1"/>
    <col min="8547" max="8547" width="17.5" style="76" bestFit="1" customWidth="1"/>
    <col min="8548" max="8548" width="13.83203125" style="76" bestFit="1" customWidth="1"/>
    <col min="8549" max="8549" width="17.5" style="76" bestFit="1" customWidth="1"/>
    <col min="8550" max="8550" width="14.1640625" style="76" bestFit="1" customWidth="1"/>
    <col min="8551" max="8693" width="10.1640625" style="76"/>
    <col min="8694" max="8694" width="71.1640625" style="76" customWidth="1"/>
    <col min="8695" max="8695" width="57.83203125" style="76" customWidth="1"/>
    <col min="8696" max="8701" width="5.1640625" style="76" customWidth="1"/>
    <col min="8702" max="8702" width="36.5" style="76" customWidth="1"/>
    <col min="8703" max="8703" width="12.5" style="76" customWidth="1"/>
    <col min="8704" max="8704" width="14.83203125" style="76" customWidth="1"/>
    <col min="8705" max="8705" width="19.5" style="76" bestFit="1" customWidth="1"/>
    <col min="8706" max="8706" width="20.83203125" style="76" customWidth="1"/>
    <col min="8707" max="8707" width="16.5" style="76" customWidth="1"/>
    <col min="8708" max="8708" width="17" style="76" customWidth="1"/>
    <col min="8709" max="8709" width="17.1640625" style="76" customWidth="1"/>
    <col min="8710" max="8710" width="15.1640625" style="76" bestFit="1" customWidth="1"/>
    <col min="8711" max="8711" width="20" style="76" bestFit="1" customWidth="1"/>
    <col min="8712" max="8714" width="16.5" style="76" customWidth="1"/>
    <col min="8715" max="8795" width="10.1640625" style="76"/>
    <col min="8796" max="8796" width="69.1640625" style="76" bestFit="1" customWidth="1"/>
    <col min="8797" max="8797" width="15.5" style="76" customWidth="1"/>
    <col min="8798" max="8799" width="18.1640625" style="76" customWidth="1"/>
    <col min="8800" max="8800" width="16.5" style="76" bestFit="1" customWidth="1"/>
    <col min="8801" max="8801" width="17.5" style="76" bestFit="1" customWidth="1"/>
    <col min="8802" max="8802" width="13.83203125" style="76" bestFit="1" customWidth="1"/>
    <col min="8803" max="8803" width="17.5" style="76" bestFit="1" customWidth="1"/>
    <col min="8804" max="8804" width="13.83203125" style="76" bestFit="1" customWidth="1"/>
    <col min="8805" max="8805" width="17.5" style="76" bestFit="1" customWidth="1"/>
    <col min="8806" max="8806" width="14.1640625" style="76" bestFit="1" customWidth="1"/>
    <col min="8807" max="8949" width="10.1640625" style="76"/>
    <col min="8950" max="8950" width="71.1640625" style="76" customWidth="1"/>
    <col min="8951" max="8951" width="57.83203125" style="76" customWidth="1"/>
    <col min="8952" max="8957" width="5.1640625" style="76" customWidth="1"/>
    <col min="8958" max="8958" width="36.5" style="76" customWidth="1"/>
    <col min="8959" max="8959" width="12.5" style="76" customWidth="1"/>
    <col min="8960" max="8960" width="14.83203125" style="76" customWidth="1"/>
    <col min="8961" max="8961" width="19.5" style="76" bestFit="1" customWidth="1"/>
    <col min="8962" max="8962" width="20.83203125" style="76" customWidth="1"/>
    <col min="8963" max="8963" width="16.5" style="76" customWidth="1"/>
    <col min="8964" max="8964" width="17" style="76" customWidth="1"/>
    <col min="8965" max="8965" width="17.1640625" style="76" customWidth="1"/>
    <col min="8966" max="8966" width="15.1640625" style="76" bestFit="1" customWidth="1"/>
    <col min="8967" max="8967" width="20" style="76" bestFit="1" customWidth="1"/>
    <col min="8968" max="8970" width="16.5" style="76" customWidth="1"/>
    <col min="8971" max="9051" width="10.1640625" style="76"/>
    <col min="9052" max="9052" width="69.1640625" style="76" bestFit="1" customWidth="1"/>
    <col min="9053" max="9053" width="15.5" style="76" customWidth="1"/>
    <col min="9054" max="9055" width="18.1640625" style="76" customWidth="1"/>
    <col min="9056" max="9056" width="16.5" style="76" bestFit="1" customWidth="1"/>
    <col min="9057" max="9057" width="17.5" style="76" bestFit="1" customWidth="1"/>
    <col min="9058" max="9058" width="13.83203125" style="76" bestFit="1" customWidth="1"/>
    <col min="9059" max="9059" width="17.5" style="76" bestFit="1" customWidth="1"/>
    <col min="9060" max="9060" width="13.83203125" style="76" bestFit="1" customWidth="1"/>
    <col min="9061" max="9061" width="17.5" style="76" bestFit="1" customWidth="1"/>
    <col min="9062" max="9062" width="14.1640625" style="76" bestFit="1" customWidth="1"/>
    <col min="9063" max="9205" width="10.1640625" style="76"/>
    <col min="9206" max="9206" width="71.1640625" style="76" customWidth="1"/>
    <col min="9207" max="9207" width="57.83203125" style="76" customWidth="1"/>
    <col min="9208" max="9213" width="5.1640625" style="76" customWidth="1"/>
    <col min="9214" max="9214" width="36.5" style="76" customWidth="1"/>
    <col min="9215" max="9215" width="12.5" style="76" customWidth="1"/>
    <col min="9216" max="9216" width="14.83203125" style="76" customWidth="1"/>
    <col min="9217" max="9217" width="19.5" style="76" bestFit="1" customWidth="1"/>
    <col min="9218" max="9218" width="20.83203125" style="76" customWidth="1"/>
    <col min="9219" max="9219" width="16.5" style="76" customWidth="1"/>
    <col min="9220" max="9220" width="17" style="76" customWidth="1"/>
    <col min="9221" max="9221" width="17.1640625" style="76" customWidth="1"/>
    <col min="9222" max="9222" width="15.1640625" style="76" bestFit="1" customWidth="1"/>
    <col min="9223" max="9223" width="20" style="76" bestFit="1" customWidth="1"/>
    <col min="9224" max="9226" width="16.5" style="76" customWidth="1"/>
    <col min="9227" max="9307" width="10.1640625" style="76"/>
    <col min="9308" max="9308" width="69.1640625" style="76" bestFit="1" customWidth="1"/>
    <col min="9309" max="9309" width="15.5" style="76" customWidth="1"/>
    <col min="9310" max="9311" width="18.1640625" style="76" customWidth="1"/>
    <col min="9312" max="9312" width="16.5" style="76" bestFit="1" customWidth="1"/>
    <col min="9313" max="9313" width="17.5" style="76" bestFit="1" customWidth="1"/>
    <col min="9314" max="9314" width="13.83203125" style="76" bestFit="1" customWidth="1"/>
    <col min="9315" max="9315" width="17.5" style="76" bestFit="1" customWidth="1"/>
    <col min="9316" max="9316" width="13.83203125" style="76" bestFit="1" customWidth="1"/>
    <col min="9317" max="9317" width="17.5" style="76" bestFit="1" customWidth="1"/>
    <col min="9318" max="9318" width="14.1640625" style="76" bestFit="1" customWidth="1"/>
    <col min="9319" max="9461" width="10.1640625" style="76"/>
    <col min="9462" max="9462" width="71.1640625" style="76" customWidth="1"/>
    <col min="9463" max="9463" width="57.83203125" style="76" customWidth="1"/>
    <col min="9464" max="9469" width="5.1640625" style="76" customWidth="1"/>
    <col min="9470" max="9470" width="36.5" style="76" customWidth="1"/>
    <col min="9471" max="9471" width="12.5" style="76" customWidth="1"/>
    <col min="9472" max="9472" width="14.83203125" style="76" customWidth="1"/>
    <col min="9473" max="9473" width="19.5" style="76" bestFit="1" customWidth="1"/>
    <col min="9474" max="9474" width="20.83203125" style="76" customWidth="1"/>
    <col min="9475" max="9475" width="16.5" style="76" customWidth="1"/>
    <col min="9476" max="9476" width="17" style="76" customWidth="1"/>
    <col min="9477" max="9477" width="17.1640625" style="76" customWidth="1"/>
    <col min="9478" max="9478" width="15.1640625" style="76" bestFit="1" customWidth="1"/>
    <col min="9479" max="9479" width="20" style="76" bestFit="1" customWidth="1"/>
    <col min="9480" max="9482" width="16.5" style="76" customWidth="1"/>
    <col min="9483" max="9563" width="10.1640625" style="76"/>
    <col min="9564" max="9564" width="69.1640625" style="76" bestFit="1" customWidth="1"/>
    <col min="9565" max="9565" width="15.5" style="76" customWidth="1"/>
    <col min="9566" max="9567" width="18.1640625" style="76" customWidth="1"/>
    <col min="9568" max="9568" width="16.5" style="76" bestFit="1" customWidth="1"/>
    <col min="9569" max="9569" width="17.5" style="76" bestFit="1" customWidth="1"/>
    <col min="9570" max="9570" width="13.83203125" style="76" bestFit="1" customWidth="1"/>
    <col min="9571" max="9571" width="17.5" style="76" bestFit="1" customWidth="1"/>
    <col min="9572" max="9572" width="13.83203125" style="76" bestFit="1" customWidth="1"/>
    <col min="9573" max="9573" width="17.5" style="76" bestFit="1" customWidth="1"/>
    <col min="9574" max="9574" width="14.1640625" style="76" bestFit="1" customWidth="1"/>
    <col min="9575" max="9717" width="10.1640625" style="76"/>
    <col min="9718" max="9718" width="71.1640625" style="76" customWidth="1"/>
    <col min="9719" max="9719" width="57.83203125" style="76" customWidth="1"/>
    <col min="9720" max="9725" width="5.1640625" style="76" customWidth="1"/>
    <col min="9726" max="9726" width="36.5" style="76" customWidth="1"/>
    <col min="9727" max="9727" width="12.5" style="76" customWidth="1"/>
    <col min="9728" max="9728" width="14.83203125" style="76" customWidth="1"/>
    <col min="9729" max="9729" width="19.5" style="76" bestFit="1" customWidth="1"/>
    <col min="9730" max="9730" width="20.83203125" style="76" customWidth="1"/>
    <col min="9731" max="9731" width="16.5" style="76" customWidth="1"/>
    <col min="9732" max="9732" width="17" style="76" customWidth="1"/>
    <col min="9733" max="9733" width="17.1640625" style="76" customWidth="1"/>
    <col min="9734" max="9734" width="15.1640625" style="76" bestFit="1" customWidth="1"/>
    <col min="9735" max="9735" width="20" style="76" bestFit="1" customWidth="1"/>
    <col min="9736" max="9738" width="16.5" style="76" customWidth="1"/>
    <col min="9739" max="9819" width="10.1640625" style="76"/>
    <col min="9820" max="9820" width="69.1640625" style="76" bestFit="1" customWidth="1"/>
    <col min="9821" max="9821" width="15.5" style="76" customWidth="1"/>
    <col min="9822" max="9823" width="18.1640625" style="76" customWidth="1"/>
    <col min="9824" max="9824" width="16.5" style="76" bestFit="1" customWidth="1"/>
    <col min="9825" max="9825" width="17.5" style="76" bestFit="1" customWidth="1"/>
    <col min="9826" max="9826" width="13.83203125" style="76" bestFit="1" customWidth="1"/>
    <col min="9827" max="9827" width="17.5" style="76" bestFit="1" customWidth="1"/>
    <col min="9828" max="9828" width="13.83203125" style="76" bestFit="1" customWidth="1"/>
    <col min="9829" max="9829" width="17.5" style="76" bestFit="1" customWidth="1"/>
    <col min="9830" max="9830" width="14.1640625" style="76" bestFit="1" customWidth="1"/>
    <col min="9831" max="9973" width="10.1640625" style="76"/>
    <col min="9974" max="9974" width="71.1640625" style="76" customWidth="1"/>
    <col min="9975" max="9975" width="57.83203125" style="76" customWidth="1"/>
    <col min="9976" max="9981" width="5.1640625" style="76" customWidth="1"/>
    <col min="9982" max="9982" width="36.5" style="76" customWidth="1"/>
    <col min="9983" max="9983" width="12.5" style="76" customWidth="1"/>
    <col min="9984" max="9984" width="14.83203125" style="76" customWidth="1"/>
    <col min="9985" max="9985" width="19.5" style="76" bestFit="1" customWidth="1"/>
    <col min="9986" max="9986" width="20.83203125" style="76" customWidth="1"/>
    <col min="9987" max="9987" width="16.5" style="76" customWidth="1"/>
    <col min="9988" max="9988" width="17" style="76" customWidth="1"/>
    <col min="9989" max="9989" width="17.1640625" style="76" customWidth="1"/>
    <col min="9990" max="9990" width="15.1640625" style="76" bestFit="1" customWidth="1"/>
    <col min="9991" max="9991" width="20" style="76" bestFit="1" customWidth="1"/>
    <col min="9992" max="9994" width="16.5" style="76" customWidth="1"/>
    <col min="9995" max="10075" width="10.1640625" style="76"/>
    <col min="10076" max="10076" width="69.1640625" style="76" bestFit="1" customWidth="1"/>
    <col min="10077" max="10077" width="15.5" style="76" customWidth="1"/>
    <col min="10078" max="10079" width="18.1640625" style="76" customWidth="1"/>
    <col min="10080" max="10080" width="16.5" style="76" bestFit="1" customWidth="1"/>
    <col min="10081" max="10081" width="17.5" style="76" bestFit="1" customWidth="1"/>
    <col min="10082" max="10082" width="13.83203125" style="76" bestFit="1" customWidth="1"/>
    <col min="10083" max="10083" width="17.5" style="76" bestFit="1" customWidth="1"/>
    <col min="10084" max="10084" width="13.83203125" style="76" bestFit="1" customWidth="1"/>
    <col min="10085" max="10085" width="17.5" style="76" bestFit="1" customWidth="1"/>
    <col min="10086" max="10086" width="14.1640625" style="76" bestFit="1" customWidth="1"/>
    <col min="10087" max="10229" width="10.1640625" style="76"/>
    <col min="10230" max="10230" width="71.1640625" style="76" customWidth="1"/>
    <col min="10231" max="10231" width="57.83203125" style="76" customWidth="1"/>
    <col min="10232" max="10237" width="5.1640625" style="76" customWidth="1"/>
    <col min="10238" max="10238" width="36.5" style="76" customWidth="1"/>
    <col min="10239" max="10239" width="12.5" style="76" customWidth="1"/>
    <col min="10240" max="10240" width="14.83203125" style="76" customWidth="1"/>
    <col min="10241" max="10241" width="19.5" style="76" bestFit="1" customWidth="1"/>
    <col min="10242" max="10242" width="20.83203125" style="76" customWidth="1"/>
    <col min="10243" max="10243" width="16.5" style="76" customWidth="1"/>
    <col min="10244" max="10244" width="17" style="76" customWidth="1"/>
    <col min="10245" max="10245" width="17.1640625" style="76" customWidth="1"/>
    <col min="10246" max="10246" width="15.1640625" style="76" bestFit="1" customWidth="1"/>
    <col min="10247" max="10247" width="20" style="76" bestFit="1" customWidth="1"/>
    <col min="10248" max="10250" width="16.5" style="76" customWidth="1"/>
    <col min="10251" max="10331" width="10.1640625" style="76"/>
    <col min="10332" max="10332" width="69.1640625" style="76" bestFit="1" customWidth="1"/>
    <col min="10333" max="10333" width="15.5" style="76" customWidth="1"/>
    <col min="10334" max="10335" width="18.1640625" style="76" customWidth="1"/>
    <col min="10336" max="10336" width="16.5" style="76" bestFit="1" customWidth="1"/>
    <col min="10337" max="10337" width="17.5" style="76" bestFit="1" customWidth="1"/>
    <col min="10338" max="10338" width="13.83203125" style="76" bestFit="1" customWidth="1"/>
    <col min="10339" max="10339" width="17.5" style="76" bestFit="1" customWidth="1"/>
    <col min="10340" max="10340" width="13.83203125" style="76" bestFit="1" customWidth="1"/>
    <col min="10341" max="10341" width="17.5" style="76" bestFit="1" customWidth="1"/>
    <col min="10342" max="10342" width="14.1640625" style="76" bestFit="1" customWidth="1"/>
    <col min="10343" max="10485" width="10.1640625" style="76"/>
    <col min="10486" max="10486" width="71.1640625" style="76" customWidth="1"/>
    <col min="10487" max="10487" width="57.83203125" style="76" customWidth="1"/>
    <col min="10488" max="10493" width="5.1640625" style="76" customWidth="1"/>
    <col min="10494" max="10494" width="36.5" style="76" customWidth="1"/>
    <col min="10495" max="10495" width="12.5" style="76" customWidth="1"/>
    <col min="10496" max="10496" width="14.83203125" style="76" customWidth="1"/>
    <col min="10497" max="10497" width="19.5" style="76" bestFit="1" customWidth="1"/>
    <col min="10498" max="10498" width="20.83203125" style="76" customWidth="1"/>
    <col min="10499" max="10499" width="16.5" style="76" customWidth="1"/>
    <col min="10500" max="10500" width="17" style="76" customWidth="1"/>
    <col min="10501" max="10501" width="17.1640625" style="76" customWidth="1"/>
    <col min="10502" max="10502" width="15.1640625" style="76" bestFit="1" customWidth="1"/>
    <col min="10503" max="10503" width="20" style="76" bestFit="1" customWidth="1"/>
    <col min="10504" max="10506" width="16.5" style="76" customWidth="1"/>
    <col min="10507" max="10587" width="10.1640625" style="76"/>
    <col min="10588" max="10588" width="69.1640625" style="76" bestFit="1" customWidth="1"/>
    <col min="10589" max="10589" width="15.5" style="76" customWidth="1"/>
    <col min="10590" max="10591" width="18.1640625" style="76" customWidth="1"/>
    <col min="10592" max="10592" width="16.5" style="76" bestFit="1" customWidth="1"/>
    <col min="10593" max="10593" width="17.5" style="76" bestFit="1" customWidth="1"/>
    <col min="10594" max="10594" width="13.83203125" style="76" bestFit="1" customWidth="1"/>
    <col min="10595" max="10595" width="17.5" style="76" bestFit="1" customWidth="1"/>
    <col min="10596" max="10596" width="13.83203125" style="76" bestFit="1" customWidth="1"/>
    <col min="10597" max="10597" width="17.5" style="76" bestFit="1" customWidth="1"/>
    <col min="10598" max="10598" width="14.1640625" style="76" bestFit="1" customWidth="1"/>
    <col min="10599" max="10741" width="10.1640625" style="76"/>
    <col min="10742" max="10742" width="71.1640625" style="76" customWidth="1"/>
    <col min="10743" max="10743" width="57.83203125" style="76" customWidth="1"/>
    <col min="10744" max="10749" width="5.1640625" style="76" customWidth="1"/>
    <col min="10750" max="10750" width="36.5" style="76" customWidth="1"/>
    <col min="10751" max="10751" width="12.5" style="76" customWidth="1"/>
    <col min="10752" max="10752" width="14.83203125" style="76" customWidth="1"/>
    <col min="10753" max="10753" width="19.5" style="76" bestFit="1" customWidth="1"/>
    <col min="10754" max="10754" width="20.83203125" style="76" customWidth="1"/>
    <col min="10755" max="10755" width="16.5" style="76" customWidth="1"/>
    <col min="10756" max="10756" width="17" style="76" customWidth="1"/>
    <col min="10757" max="10757" width="17.1640625" style="76" customWidth="1"/>
    <col min="10758" max="10758" width="15.1640625" style="76" bestFit="1" customWidth="1"/>
    <col min="10759" max="10759" width="20" style="76" bestFit="1" customWidth="1"/>
    <col min="10760" max="10762" width="16.5" style="76" customWidth="1"/>
    <col min="10763" max="10843" width="10.1640625" style="76"/>
    <col min="10844" max="10844" width="69.1640625" style="76" bestFit="1" customWidth="1"/>
    <col min="10845" max="10845" width="15.5" style="76" customWidth="1"/>
    <col min="10846" max="10847" width="18.1640625" style="76" customWidth="1"/>
    <col min="10848" max="10848" width="16.5" style="76" bestFit="1" customWidth="1"/>
    <col min="10849" max="10849" width="17.5" style="76" bestFit="1" customWidth="1"/>
    <col min="10850" max="10850" width="13.83203125" style="76" bestFit="1" customWidth="1"/>
    <col min="10851" max="10851" width="17.5" style="76" bestFit="1" customWidth="1"/>
    <col min="10852" max="10852" width="13.83203125" style="76" bestFit="1" customWidth="1"/>
    <col min="10853" max="10853" width="17.5" style="76" bestFit="1" customWidth="1"/>
    <col min="10854" max="10854" width="14.1640625" style="76" bestFit="1" customWidth="1"/>
    <col min="10855" max="10997" width="10.1640625" style="76"/>
    <col min="10998" max="10998" width="71.1640625" style="76" customWidth="1"/>
    <col min="10999" max="10999" width="57.83203125" style="76" customWidth="1"/>
    <col min="11000" max="11005" width="5.1640625" style="76" customWidth="1"/>
    <col min="11006" max="11006" width="36.5" style="76" customWidth="1"/>
    <col min="11007" max="11007" width="12.5" style="76" customWidth="1"/>
    <col min="11008" max="11008" width="14.83203125" style="76" customWidth="1"/>
    <col min="11009" max="11009" width="19.5" style="76" bestFit="1" customWidth="1"/>
    <col min="11010" max="11010" width="20.83203125" style="76" customWidth="1"/>
    <col min="11011" max="11011" width="16.5" style="76" customWidth="1"/>
    <col min="11012" max="11012" width="17" style="76" customWidth="1"/>
    <col min="11013" max="11013" width="17.1640625" style="76" customWidth="1"/>
    <col min="11014" max="11014" width="15.1640625" style="76" bestFit="1" customWidth="1"/>
    <col min="11015" max="11015" width="20" style="76" bestFit="1" customWidth="1"/>
    <col min="11016" max="11018" width="16.5" style="76" customWidth="1"/>
    <col min="11019" max="11099" width="10.1640625" style="76"/>
    <col min="11100" max="11100" width="69.1640625" style="76" bestFit="1" customWidth="1"/>
    <col min="11101" max="11101" width="15.5" style="76" customWidth="1"/>
    <col min="11102" max="11103" width="18.1640625" style="76" customWidth="1"/>
    <col min="11104" max="11104" width="16.5" style="76" bestFit="1" customWidth="1"/>
    <col min="11105" max="11105" width="17.5" style="76" bestFit="1" customWidth="1"/>
    <col min="11106" max="11106" width="13.83203125" style="76" bestFit="1" customWidth="1"/>
    <col min="11107" max="11107" width="17.5" style="76" bestFit="1" customWidth="1"/>
    <col min="11108" max="11108" width="13.83203125" style="76" bestFit="1" customWidth="1"/>
    <col min="11109" max="11109" width="17.5" style="76" bestFit="1" customWidth="1"/>
    <col min="11110" max="11110" width="14.1640625" style="76" bestFit="1" customWidth="1"/>
    <col min="11111" max="11253" width="10.1640625" style="76"/>
    <col min="11254" max="11254" width="71.1640625" style="76" customWidth="1"/>
    <col min="11255" max="11255" width="57.83203125" style="76" customWidth="1"/>
    <col min="11256" max="11261" width="5.1640625" style="76" customWidth="1"/>
    <col min="11262" max="11262" width="36.5" style="76" customWidth="1"/>
    <col min="11263" max="11263" width="12.5" style="76" customWidth="1"/>
    <col min="11264" max="11264" width="14.83203125" style="76" customWidth="1"/>
    <col min="11265" max="11265" width="19.5" style="76" bestFit="1" customWidth="1"/>
    <col min="11266" max="11266" width="20.83203125" style="76" customWidth="1"/>
    <col min="11267" max="11267" width="16.5" style="76" customWidth="1"/>
    <col min="11268" max="11268" width="17" style="76" customWidth="1"/>
    <col min="11269" max="11269" width="17.1640625" style="76" customWidth="1"/>
    <col min="11270" max="11270" width="15.1640625" style="76" bestFit="1" customWidth="1"/>
    <col min="11271" max="11271" width="20" style="76" bestFit="1" customWidth="1"/>
    <col min="11272" max="11274" width="16.5" style="76" customWidth="1"/>
    <col min="11275" max="11355" width="10.1640625" style="76"/>
    <col min="11356" max="11356" width="69.1640625" style="76" bestFit="1" customWidth="1"/>
    <col min="11357" max="11357" width="15.5" style="76" customWidth="1"/>
    <col min="11358" max="11359" width="18.1640625" style="76" customWidth="1"/>
    <col min="11360" max="11360" width="16.5" style="76" bestFit="1" customWidth="1"/>
    <col min="11361" max="11361" width="17.5" style="76" bestFit="1" customWidth="1"/>
    <col min="11362" max="11362" width="13.83203125" style="76" bestFit="1" customWidth="1"/>
    <col min="11363" max="11363" width="17.5" style="76" bestFit="1" customWidth="1"/>
    <col min="11364" max="11364" width="13.83203125" style="76" bestFit="1" customWidth="1"/>
    <col min="11365" max="11365" width="17.5" style="76" bestFit="1" customWidth="1"/>
    <col min="11366" max="11366" width="14.1640625" style="76" bestFit="1" customWidth="1"/>
    <col min="11367" max="11509" width="10.1640625" style="76"/>
    <col min="11510" max="11510" width="71.1640625" style="76" customWidth="1"/>
    <col min="11511" max="11511" width="57.83203125" style="76" customWidth="1"/>
    <col min="11512" max="11517" width="5.1640625" style="76" customWidth="1"/>
    <col min="11518" max="11518" width="36.5" style="76" customWidth="1"/>
    <col min="11519" max="11519" width="12.5" style="76" customWidth="1"/>
    <col min="11520" max="11520" width="14.83203125" style="76" customWidth="1"/>
    <col min="11521" max="11521" width="19.5" style="76" bestFit="1" customWidth="1"/>
    <col min="11522" max="11522" width="20.83203125" style="76" customWidth="1"/>
    <col min="11523" max="11523" width="16.5" style="76" customWidth="1"/>
    <col min="11524" max="11524" width="17" style="76" customWidth="1"/>
    <col min="11525" max="11525" width="17.1640625" style="76" customWidth="1"/>
    <col min="11526" max="11526" width="15.1640625" style="76" bestFit="1" customWidth="1"/>
    <col min="11527" max="11527" width="20" style="76" bestFit="1" customWidth="1"/>
    <col min="11528" max="11530" width="16.5" style="76" customWidth="1"/>
    <col min="11531" max="11611" width="10.1640625" style="76"/>
    <col min="11612" max="11612" width="69.1640625" style="76" bestFit="1" customWidth="1"/>
    <col min="11613" max="11613" width="15.5" style="76" customWidth="1"/>
    <col min="11614" max="11615" width="18.1640625" style="76" customWidth="1"/>
    <col min="11616" max="11616" width="16.5" style="76" bestFit="1" customWidth="1"/>
    <col min="11617" max="11617" width="17.5" style="76" bestFit="1" customWidth="1"/>
    <col min="11618" max="11618" width="13.83203125" style="76" bestFit="1" customWidth="1"/>
    <col min="11619" max="11619" width="17.5" style="76" bestFit="1" customWidth="1"/>
    <col min="11620" max="11620" width="13.83203125" style="76" bestFit="1" customWidth="1"/>
    <col min="11621" max="11621" width="17.5" style="76" bestFit="1" customWidth="1"/>
    <col min="11622" max="11622" width="14.1640625" style="76" bestFit="1" customWidth="1"/>
    <col min="11623" max="11765" width="10.1640625" style="76"/>
    <col min="11766" max="11766" width="71.1640625" style="76" customWidth="1"/>
    <col min="11767" max="11767" width="57.83203125" style="76" customWidth="1"/>
    <col min="11768" max="11773" width="5.1640625" style="76" customWidth="1"/>
    <col min="11774" max="11774" width="36.5" style="76" customWidth="1"/>
    <col min="11775" max="11775" width="12.5" style="76" customWidth="1"/>
    <col min="11776" max="11776" width="14.83203125" style="76" customWidth="1"/>
    <col min="11777" max="11777" width="19.5" style="76" bestFit="1" customWidth="1"/>
    <col min="11778" max="11778" width="20.83203125" style="76" customWidth="1"/>
    <col min="11779" max="11779" width="16.5" style="76" customWidth="1"/>
    <col min="11780" max="11780" width="17" style="76" customWidth="1"/>
    <col min="11781" max="11781" width="17.1640625" style="76" customWidth="1"/>
    <col min="11782" max="11782" width="15.1640625" style="76" bestFit="1" customWidth="1"/>
    <col min="11783" max="11783" width="20" style="76" bestFit="1" customWidth="1"/>
    <col min="11784" max="11786" width="16.5" style="76" customWidth="1"/>
    <col min="11787" max="11867" width="10.1640625" style="76"/>
    <col min="11868" max="11868" width="69.1640625" style="76" bestFit="1" customWidth="1"/>
    <col min="11869" max="11869" width="15.5" style="76" customWidth="1"/>
    <col min="11870" max="11871" width="18.1640625" style="76" customWidth="1"/>
    <col min="11872" max="11872" width="16.5" style="76" bestFit="1" customWidth="1"/>
    <col min="11873" max="11873" width="17.5" style="76" bestFit="1" customWidth="1"/>
    <col min="11874" max="11874" width="13.83203125" style="76" bestFit="1" customWidth="1"/>
    <col min="11875" max="11875" width="17.5" style="76" bestFit="1" customWidth="1"/>
    <col min="11876" max="11876" width="13.83203125" style="76" bestFit="1" customWidth="1"/>
    <col min="11877" max="11877" width="17.5" style="76" bestFit="1" customWidth="1"/>
    <col min="11878" max="11878" width="14.1640625" style="76" bestFit="1" customWidth="1"/>
    <col min="11879" max="12021" width="10.1640625" style="76"/>
    <col min="12022" max="12022" width="71.1640625" style="76" customWidth="1"/>
    <col min="12023" max="12023" width="57.83203125" style="76" customWidth="1"/>
    <col min="12024" max="12029" width="5.1640625" style="76" customWidth="1"/>
    <col min="12030" max="12030" width="36.5" style="76" customWidth="1"/>
    <col min="12031" max="12031" width="12.5" style="76" customWidth="1"/>
    <col min="12032" max="12032" width="14.83203125" style="76" customWidth="1"/>
    <col min="12033" max="12033" width="19.5" style="76" bestFit="1" customWidth="1"/>
    <col min="12034" max="12034" width="20.83203125" style="76" customWidth="1"/>
    <col min="12035" max="12035" width="16.5" style="76" customWidth="1"/>
    <col min="12036" max="12036" width="17" style="76" customWidth="1"/>
    <col min="12037" max="12037" width="17.1640625" style="76" customWidth="1"/>
    <col min="12038" max="12038" width="15.1640625" style="76" bestFit="1" customWidth="1"/>
    <col min="12039" max="12039" width="20" style="76" bestFit="1" customWidth="1"/>
    <col min="12040" max="12042" width="16.5" style="76" customWidth="1"/>
    <col min="12043" max="12123" width="10.1640625" style="76"/>
    <col min="12124" max="12124" width="69.1640625" style="76" bestFit="1" customWidth="1"/>
    <col min="12125" max="12125" width="15.5" style="76" customWidth="1"/>
    <col min="12126" max="12127" width="18.1640625" style="76" customWidth="1"/>
    <col min="12128" max="12128" width="16.5" style="76" bestFit="1" customWidth="1"/>
    <col min="12129" max="12129" width="17.5" style="76" bestFit="1" customWidth="1"/>
    <col min="12130" max="12130" width="13.83203125" style="76" bestFit="1" customWidth="1"/>
    <col min="12131" max="12131" width="17.5" style="76" bestFit="1" customWidth="1"/>
    <col min="12132" max="12132" width="13.83203125" style="76" bestFit="1" customWidth="1"/>
    <col min="12133" max="12133" width="17.5" style="76" bestFit="1" customWidth="1"/>
    <col min="12134" max="12134" width="14.1640625" style="76" bestFit="1" customWidth="1"/>
    <col min="12135" max="12277" width="10.1640625" style="76"/>
    <col min="12278" max="12278" width="71.1640625" style="76" customWidth="1"/>
    <col min="12279" max="12279" width="57.83203125" style="76" customWidth="1"/>
    <col min="12280" max="12285" width="5.1640625" style="76" customWidth="1"/>
    <col min="12286" max="12286" width="36.5" style="76" customWidth="1"/>
    <col min="12287" max="12287" width="12.5" style="76" customWidth="1"/>
    <col min="12288" max="12288" width="14.83203125" style="76" customWidth="1"/>
    <col min="12289" max="12289" width="19.5" style="76" bestFit="1" customWidth="1"/>
    <col min="12290" max="12290" width="20.83203125" style="76" customWidth="1"/>
    <col min="12291" max="12291" width="16.5" style="76" customWidth="1"/>
    <col min="12292" max="12292" width="17" style="76" customWidth="1"/>
    <col min="12293" max="12293" width="17.1640625" style="76" customWidth="1"/>
    <col min="12294" max="12294" width="15.1640625" style="76" bestFit="1" customWidth="1"/>
    <col min="12295" max="12295" width="20" style="76" bestFit="1" customWidth="1"/>
    <col min="12296" max="12298" width="16.5" style="76" customWidth="1"/>
    <col min="12299" max="12379" width="10.1640625" style="76"/>
    <col min="12380" max="12380" width="69.1640625" style="76" bestFit="1" customWidth="1"/>
    <col min="12381" max="12381" width="15.5" style="76" customWidth="1"/>
    <col min="12382" max="12383" width="18.1640625" style="76" customWidth="1"/>
    <col min="12384" max="12384" width="16.5" style="76" bestFit="1" customWidth="1"/>
    <col min="12385" max="12385" width="17.5" style="76" bestFit="1" customWidth="1"/>
    <col min="12386" max="12386" width="13.83203125" style="76" bestFit="1" customWidth="1"/>
    <col min="12387" max="12387" width="17.5" style="76" bestFit="1" customWidth="1"/>
    <col min="12388" max="12388" width="13.83203125" style="76" bestFit="1" customWidth="1"/>
    <col min="12389" max="12389" width="17.5" style="76" bestFit="1" customWidth="1"/>
    <col min="12390" max="12390" width="14.1640625" style="76" bestFit="1" customWidth="1"/>
    <col min="12391" max="12533" width="10.1640625" style="76"/>
    <col min="12534" max="12534" width="71.1640625" style="76" customWidth="1"/>
    <col min="12535" max="12535" width="57.83203125" style="76" customWidth="1"/>
    <col min="12536" max="12541" width="5.1640625" style="76" customWidth="1"/>
    <col min="12542" max="12542" width="36.5" style="76" customWidth="1"/>
    <col min="12543" max="12543" width="12.5" style="76" customWidth="1"/>
    <col min="12544" max="12544" width="14.83203125" style="76" customWidth="1"/>
    <col min="12545" max="12545" width="19.5" style="76" bestFit="1" customWidth="1"/>
    <col min="12546" max="12546" width="20.83203125" style="76" customWidth="1"/>
    <col min="12547" max="12547" width="16.5" style="76" customWidth="1"/>
    <col min="12548" max="12548" width="17" style="76" customWidth="1"/>
    <col min="12549" max="12549" width="17.1640625" style="76" customWidth="1"/>
    <col min="12550" max="12550" width="15.1640625" style="76" bestFit="1" customWidth="1"/>
    <col min="12551" max="12551" width="20" style="76" bestFit="1" customWidth="1"/>
    <col min="12552" max="12554" width="16.5" style="76" customWidth="1"/>
    <col min="12555" max="12635" width="10.1640625" style="76"/>
    <col min="12636" max="12636" width="69.1640625" style="76" bestFit="1" customWidth="1"/>
    <col min="12637" max="12637" width="15.5" style="76" customWidth="1"/>
    <col min="12638" max="12639" width="18.1640625" style="76" customWidth="1"/>
    <col min="12640" max="12640" width="16.5" style="76" bestFit="1" customWidth="1"/>
    <col min="12641" max="12641" width="17.5" style="76" bestFit="1" customWidth="1"/>
    <col min="12642" max="12642" width="13.83203125" style="76" bestFit="1" customWidth="1"/>
    <col min="12643" max="12643" width="17.5" style="76" bestFit="1" customWidth="1"/>
    <col min="12644" max="12644" width="13.83203125" style="76" bestFit="1" customWidth="1"/>
    <col min="12645" max="12645" width="17.5" style="76" bestFit="1" customWidth="1"/>
    <col min="12646" max="12646" width="14.1640625" style="76" bestFit="1" customWidth="1"/>
    <col min="12647" max="12789" width="10.1640625" style="76"/>
    <col min="12790" max="12790" width="71.1640625" style="76" customWidth="1"/>
    <col min="12791" max="12791" width="57.83203125" style="76" customWidth="1"/>
    <col min="12792" max="12797" width="5.1640625" style="76" customWidth="1"/>
    <col min="12798" max="12798" width="36.5" style="76" customWidth="1"/>
    <col min="12799" max="12799" width="12.5" style="76" customWidth="1"/>
    <col min="12800" max="12800" width="14.83203125" style="76" customWidth="1"/>
    <col min="12801" max="12801" width="19.5" style="76" bestFit="1" customWidth="1"/>
    <col min="12802" max="12802" width="20.83203125" style="76" customWidth="1"/>
    <col min="12803" max="12803" width="16.5" style="76" customWidth="1"/>
    <col min="12804" max="12804" width="17" style="76" customWidth="1"/>
    <col min="12805" max="12805" width="17.1640625" style="76" customWidth="1"/>
    <col min="12806" max="12806" width="15.1640625" style="76" bestFit="1" customWidth="1"/>
    <col min="12807" max="12807" width="20" style="76" bestFit="1" customWidth="1"/>
    <col min="12808" max="12810" width="16.5" style="76" customWidth="1"/>
    <col min="12811" max="12891" width="10.1640625" style="76"/>
    <col min="12892" max="12892" width="69.1640625" style="76" bestFit="1" customWidth="1"/>
    <col min="12893" max="12893" width="15.5" style="76" customWidth="1"/>
    <col min="12894" max="12895" width="18.1640625" style="76" customWidth="1"/>
    <col min="12896" max="12896" width="16.5" style="76" bestFit="1" customWidth="1"/>
    <col min="12897" max="12897" width="17.5" style="76" bestFit="1" customWidth="1"/>
    <col min="12898" max="12898" width="13.83203125" style="76" bestFit="1" customWidth="1"/>
    <col min="12899" max="12899" width="17.5" style="76" bestFit="1" customWidth="1"/>
    <col min="12900" max="12900" width="13.83203125" style="76" bestFit="1" customWidth="1"/>
    <col min="12901" max="12901" width="17.5" style="76" bestFit="1" customWidth="1"/>
    <col min="12902" max="12902" width="14.1640625" style="76" bestFit="1" customWidth="1"/>
    <col min="12903" max="13045" width="10.1640625" style="76"/>
    <col min="13046" max="13046" width="71.1640625" style="76" customWidth="1"/>
    <col min="13047" max="13047" width="57.83203125" style="76" customWidth="1"/>
    <col min="13048" max="13053" width="5.1640625" style="76" customWidth="1"/>
    <col min="13054" max="13054" width="36.5" style="76" customWidth="1"/>
    <col min="13055" max="13055" width="12.5" style="76" customWidth="1"/>
    <col min="13056" max="13056" width="14.83203125" style="76" customWidth="1"/>
    <col min="13057" max="13057" width="19.5" style="76" bestFit="1" customWidth="1"/>
    <col min="13058" max="13058" width="20.83203125" style="76" customWidth="1"/>
    <col min="13059" max="13059" width="16.5" style="76" customWidth="1"/>
    <col min="13060" max="13060" width="17" style="76" customWidth="1"/>
    <col min="13061" max="13061" width="17.1640625" style="76" customWidth="1"/>
    <col min="13062" max="13062" width="15.1640625" style="76" bestFit="1" customWidth="1"/>
    <col min="13063" max="13063" width="20" style="76" bestFit="1" customWidth="1"/>
    <col min="13064" max="13066" width="16.5" style="76" customWidth="1"/>
    <col min="13067" max="13147" width="10.1640625" style="76"/>
    <col min="13148" max="13148" width="69.1640625" style="76" bestFit="1" customWidth="1"/>
    <col min="13149" max="13149" width="15.5" style="76" customWidth="1"/>
    <col min="13150" max="13151" width="18.1640625" style="76" customWidth="1"/>
    <col min="13152" max="13152" width="16.5" style="76" bestFit="1" customWidth="1"/>
    <col min="13153" max="13153" width="17.5" style="76" bestFit="1" customWidth="1"/>
    <col min="13154" max="13154" width="13.83203125" style="76" bestFit="1" customWidth="1"/>
    <col min="13155" max="13155" width="17.5" style="76" bestFit="1" customWidth="1"/>
    <col min="13156" max="13156" width="13.83203125" style="76" bestFit="1" customWidth="1"/>
    <col min="13157" max="13157" width="17.5" style="76" bestFit="1" customWidth="1"/>
    <col min="13158" max="13158" width="14.1640625" style="76" bestFit="1" customWidth="1"/>
    <col min="13159" max="13301" width="10.1640625" style="76"/>
    <col min="13302" max="13302" width="71.1640625" style="76" customWidth="1"/>
    <col min="13303" max="13303" width="57.83203125" style="76" customWidth="1"/>
    <col min="13304" max="13309" width="5.1640625" style="76" customWidth="1"/>
    <col min="13310" max="13310" width="36.5" style="76" customWidth="1"/>
    <col min="13311" max="13311" width="12.5" style="76" customWidth="1"/>
    <col min="13312" max="13312" width="14.83203125" style="76" customWidth="1"/>
    <col min="13313" max="13313" width="19.5" style="76" bestFit="1" customWidth="1"/>
    <col min="13314" max="13314" width="20.83203125" style="76" customWidth="1"/>
    <col min="13315" max="13315" width="16.5" style="76" customWidth="1"/>
    <col min="13316" max="13316" width="17" style="76" customWidth="1"/>
    <col min="13317" max="13317" width="17.1640625" style="76" customWidth="1"/>
    <col min="13318" max="13318" width="15.1640625" style="76" bestFit="1" customWidth="1"/>
    <col min="13319" max="13319" width="20" style="76" bestFit="1" customWidth="1"/>
    <col min="13320" max="13322" width="16.5" style="76" customWidth="1"/>
    <col min="13323" max="13403" width="10.1640625" style="76"/>
    <col min="13404" max="13404" width="69.1640625" style="76" bestFit="1" customWidth="1"/>
    <col min="13405" max="13405" width="15.5" style="76" customWidth="1"/>
    <col min="13406" max="13407" width="18.1640625" style="76" customWidth="1"/>
    <col min="13408" max="13408" width="16.5" style="76" bestFit="1" customWidth="1"/>
    <col min="13409" max="13409" width="17.5" style="76" bestFit="1" customWidth="1"/>
    <col min="13410" max="13410" width="13.83203125" style="76" bestFit="1" customWidth="1"/>
    <col min="13411" max="13411" width="17.5" style="76" bestFit="1" customWidth="1"/>
    <col min="13412" max="13412" width="13.83203125" style="76" bestFit="1" customWidth="1"/>
    <col min="13413" max="13413" width="17.5" style="76" bestFit="1" customWidth="1"/>
    <col min="13414" max="13414" width="14.1640625" style="76" bestFit="1" customWidth="1"/>
    <col min="13415" max="13557" width="10.1640625" style="76"/>
    <col min="13558" max="13558" width="71.1640625" style="76" customWidth="1"/>
    <col min="13559" max="13559" width="57.83203125" style="76" customWidth="1"/>
    <col min="13560" max="13565" width="5.1640625" style="76" customWidth="1"/>
    <col min="13566" max="13566" width="36.5" style="76" customWidth="1"/>
    <col min="13567" max="13567" width="12.5" style="76" customWidth="1"/>
    <col min="13568" max="13568" width="14.83203125" style="76" customWidth="1"/>
    <col min="13569" max="13569" width="19.5" style="76" bestFit="1" customWidth="1"/>
    <col min="13570" max="13570" width="20.83203125" style="76" customWidth="1"/>
    <col min="13571" max="13571" width="16.5" style="76" customWidth="1"/>
    <col min="13572" max="13572" width="17" style="76" customWidth="1"/>
    <col min="13573" max="13573" width="17.1640625" style="76" customWidth="1"/>
    <col min="13574" max="13574" width="15.1640625" style="76" bestFit="1" customWidth="1"/>
    <col min="13575" max="13575" width="20" style="76" bestFit="1" customWidth="1"/>
    <col min="13576" max="13578" width="16.5" style="76" customWidth="1"/>
    <col min="13579" max="13659" width="10.1640625" style="76"/>
    <col min="13660" max="13660" width="69.1640625" style="76" bestFit="1" customWidth="1"/>
    <col min="13661" max="13661" width="15.5" style="76" customWidth="1"/>
    <col min="13662" max="13663" width="18.1640625" style="76" customWidth="1"/>
    <col min="13664" max="13664" width="16.5" style="76" bestFit="1" customWidth="1"/>
    <col min="13665" max="13665" width="17.5" style="76" bestFit="1" customWidth="1"/>
    <col min="13666" max="13666" width="13.83203125" style="76" bestFit="1" customWidth="1"/>
    <col min="13667" max="13667" width="17.5" style="76" bestFit="1" customWidth="1"/>
    <col min="13668" max="13668" width="13.83203125" style="76" bestFit="1" customWidth="1"/>
    <col min="13669" max="13669" width="17.5" style="76" bestFit="1" customWidth="1"/>
    <col min="13670" max="13670" width="14.1640625" style="76" bestFit="1" customWidth="1"/>
    <col min="13671" max="13813" width="10.1640625" style="76"/>
    <col min="13814" max="13814" width="71.1640625" style="76" customWidth="1"/>
    <col min="13815" max="13815" width="57.83203125" style="76" customWidth="1"/>
    <col min="13816" max="13821" width="5.1640625" style="76" customWidth="1"/>
    <col min="13822" max="13822" width="36.5" style="76" customWidth="1"/>
    <col min="13823" max="13823" width="12.5" style="76" customWidth="1"/>
    <col min="13824" max="13824" width="14.83203125" style="76" customWidth="1"/>
    <col min="13825" max="13825" width="19.5" style="76" bestFit="1" customWidth="1"/>
    <col min="13826" max="13826" width="20.83203125" style="76" customWidth="1"/>
    <col min="13827" max="13827" width="16.5" style="76" customWidth="1"/>
    <col min="13828" max="13828" width="17" style="76" customWidth="1"/>
    <col min="13829" max="13829" width="17.1640625" style="76" customWidth="1"/>
    <col min="13830" max="13830" width="15.1640625" style="76" bestFit="1" customWidth="1"/>
    <col min="13831" max="13831" width="20" style="76" bestFit="1" customWidth="1"/>
    <col min="13832" max="13834" width="16.5" style="76" customWidth="1"/>
    <col min="13835" max="13915" width="10.1640625" style="76"/>
    <col min="13916" max="13916" width="69.1640625" style="76" bestFit="1" customWidth="1"/>
    <col min="13917" max="13917" width="15.5" style="76" customWidth="1"/>
    <col min="13918" max="13919" width="18.1640625" style="76" customWidth="1"/>
    <col min="13920" max="13920" width="16.5" style="76" bestFit="1" customWidth="1"/>
    <col min="13921" max="13921" width="17.5" style="76" bestFit="1" customWidth="1"/>
    <col min="13922" max="13922" width="13.83203125" style="76" bestFit="1" customWidth="1"/>
    <col min="13923" max="13923" width="17.5" style="76" bestFit="1" customWidth="1"/>
    <col min="13924" max="13924" width="13.83203125" style="76" bestFit="1" customWidth="1"/>
    <col min="13925" max="13925" width="17.5" style="76" bestFit="1" customWidth="1"/>
    <col min="13926" max="13926" width="14.1640625" style="76" bestFit="1" customWidth="1"/>
    <col min="13927" max="14069" width="10.1640625" style="76"/>
    <col min="14070" max="14070" width="71.1640625" style="76" customWidth="1"/>
    <col min="14071" max="14071" width="57.83203125" style="76" customWidth="1"/>
    <col min="14072" max="14077" width="5.1640625" style="76" customWidth="1"/>
    <col min="14078" max="14078" width="36.5" style="76" customWidth="1"/>
    <col min="14079" max="14079" width="12.5" style="76" customWidth="1"/>
    <col min="14080" max="14080" width="14.83203125" style="76" customWidth="1"/>
    <col min="14081" max="14081" width="19.5" style="76" bestFit="1" customWidth="1"/>
    <col min="14082" max="14082" width="20.83203125" style="76" customWidth="1"/>
    <col min="14083" max="14083" width="16.5" style="76" customWidth="1"/>
    <col min="14084" max="14084" width="17" style="76" customWidth="1"/>
    <col min="14085" max="14085" width="17.1640625" style="76" customWidth="1"/>
    <col min="14086" max="14086" width="15.1640625" style="76" bestFit="1" customWidth="1"/>
    <col min="14087" max="14087" width="20" style="76" bestFit="1" customWidth="1"/>
    <col min="14088" max="14090" width="16.5" style="76" customWidth="1"/>
    <col min="14091" max="14171" width="10.1640625" style="76"/>
    <col min="14172" max="14172" width="69.1640625" style="76" bestFit="1" customWidth="1"/>
    <col min="14173" max="14173" width="15.5" style="76" customWidth="1"/>
    <col min="14174" max="14175" width="18.1640625" style="76" customWidth="1"/>
    <col min="14176" max="14176" width="16.5" style="76" bestFit="1" customWidth="1"/>
    <col min="14177" max="14177" width="17.5" style="76" bestFit="1" customWidth="1"/>
    <col min="14178" max="14178" width="13.83203125" style="76" bestFit="1" customWidth="1"/>
    <col min="14179" max="14179" width="17.5" style="76" bestFit="1" customWidth="1"/>
    <col min="14180" max="14180" width="13.83203125" style="76" bestFit="1" customWidth="1"/>
    <col min="14181" max="14181" width="17.5" style="76" bestFit="1" customWidth="1"/>
    <col min="14182" max="14182" width="14.1640625" style="76" bestFit="1" customWidth="1"/>
    <col min="14183" max="14325" width="10.1640625" style="76"/>
    <col min="14326" max="14326" width="71.1640625" style="76" customWidth="1"/>
    <col min="14327" max="14327" width="57.83203125" style="76" customWidth="1"/>
    <col min="14328" max="14333" width="5.1640625" style="76" customWidth="1"/>
    <col min="14334" max="14334" width="36.5" style="76" customWidth="1"/>
    <col min="14335" max="14335" width="12.5" style="76" customWidth="1"/>
    <col min="14336" max="14336" width="14.83203125" style="76" customWidth="1"/>
    <col min="14337" max="14337" width="19.5" style="76" bestFit="1" customWidth="1"/>
    <col min="14338" max="14338" width="20.83203125" style="76" customWidth="1"/>
    <col min="14339" max="14339" width="16.5" style="76" customWidth="1"/>
    <col min="14340" max="14340" width="17" style="76" customWidth="1"/>
    <col min="14341" max="14341" width="17.1640625" style="76" customWidth="1"/>
    <col min="14342" max="14342" width="15.1640625" style="76" bestFit="1" customWidth="1"/>
    <col min="14343" max="14343" width="20" style="76" bestFit="1" customWidth="1"/>
    <col min="14344" max="14346" width="16.5" style="76" customWidth="1"/>
    <col min="14347" max="14427" width="10.1640625" style="76"/>
    <col min="14428" max="14428" width="69.1640625" style="76" bestFit="1" customWidth="1"/>
    <col min="14429" max="14429" width="15.5" style="76" customWidth="1"/>
    <col min="14430" max="14431" width="18.1640625" style="76" customWidth="1"/>
    <col min="14432" max="14432" width="16.5" style="76" bestFit="1" customWidth="1"/>
    <col min="14433" max="14433" width="17.5" style="76" bestFit="1" customWidth="1"/>
    <col min="14434" max="14434" width="13.83203125" style="76" bestFit="1" customWidth="1"/>
    <col min="14435" max="14435" width="17.5" style="76" bestFit="1" customWidth="1"/>
    <col min="14436" max="14436" width="13.83203125" style="76" bestFit="1" customWidth="1"/>
    <col min="14437" max="14437" width="17.5" style="76" bestFit="1" customWidth="1"/>
    <col min="14438" max="14438" width="14.1640625" style="76" bestFit="1" customWidth="1"/>
    <col min="14439" max="14581" width="10.1640625" style="76"/>
    <col min="14582" max="14582" width="71.1640625" style="76" customWidth="1"/>
    <col min="14583" max="14583" width="57.83203125" style="76" customWidth="1"/>
    <col min="14584" max="14589" width="5.1640625" style="76" customWidth="1"/>
    <col min="14590" max="14590" width="36.5" style="76" customWidth="1"/>
    <col min="14591" max="14591" width="12.5" style="76" customWidth="1"/>
    <col min="14592" max="14592" width="14.83203125" style="76" customWidth="1"/>
    <col min="14593" max="14593" width="19.5" style="76" bestFit="1" customWidth="1"/>
    <col min="14594" max="14594" width="20.83203125" style="76" customWidth="1"/>
    <col min="14595" max="14595" width="16.5" style="76" customWidth="1"/>
    <col min="14596" max="14596" width="17" style="76" customWidth="1"/>
    <col min="14597" max="14597" width="17.1640625" style="76" customWidth="1"/>
    <col min="14598" max="14598" width="15.1640625" style="76" bestFit="1" customWidth="1"/>
    <col min="14599" max="14599" width="20" style="76" bestFit="1" customWidth="1"/>
    <col min="14600" max="14602" width="16.5" style="76" customWidth="1"/>
    <col min="14603" max="14683" width="10.1640625" style="76"/>
    <col min="14684" max="14684" width="69.1640625" style="76" bestFit="1" customWidth="1"/>
    <col min="14685" max="14685" width="15.5" style="76" customWidth="1"/>
    <col min="14686" max="14687" width="18.1640625" style="76" customWidth="1"/>
    <col min="14688" max="14688" width="16.5" style="76" bestFit="1" customWidth="1"/>
    <col min="14689" max="14689" width="17.5" style="76" bestFit="1" customWidth="1"/>
    <col min="14690" max="14690" width="13.83203125" style="76" bestFit="1" customWidth="1"/>
    <col min="14691" max="14691" width="17.5" style="76" bestFit="1" customWidth="1"/>
    <col min="14692" max="14692" width="13.83203125" style="76" bestFit="1" customWidth="1"/>
    <col min="14693" max="14693" width="17.5" style="76" bestFit="1" customWidth="1"/>
    <col min="14694" max="14694" width="14.1640625" style="76" bestFit="1" customWidth="1"/>
    <col min="14695" max="14837" width="10.1640625" style="76"/>
    <col min="14838" max="14838" width="71.1640625" style="76" customWidth="1"/>
    <col min="14839" max="14839" width="57.83203125" style="76" customWidth="1"/>
    <col min="14840" max="14845" width="5.1640625" style="76" customWidth="1"/>
    <col min="14846" max="14846" width="36.5" style="76" customWidth="1"/>
    <col min="14847" max="14847" width="12.5" style="76" customWidth="1"/>
    <col min="14848" max="14848" width="14.83203125" style="76" customWidth="1"/>
    <col min="14849" max="14849" width="19.5" style="76" bestFit="1" customWidth="1"/>
    <col min="14850" max="14850" width="20.83203125" style="76" customWidth="1"/>
    <col min="14851" max="14851" width="16.5" style="76" customWidth="1"/>
    <col min="14852" max="14852" width="17" style="76" customWidth="1"/>
    <col min="14853" max="14853" width="17.1640625" style="76" customWidth="1"/>
    <col min="14854" max="14854" width="15.1640625" style="76" bestFit="1" customWidth="1"/>
    <col min="14855" max="14855" width="20" style="76" bestFit="1" customWidth="1"/>
    <col min="14856" max="14858" width="16.5" style="76" customWidth="1"/>
    <col min="14859" max="14939" width="10.1640625" style="76"/>
    <col min="14940" max="14940" width="69.1640625" style="76" bestFit="1" customWidth="1"/>
    <col min="14941" max="14941" width="15.5" style="76" customWidth="1"/>
    <col min="14942" max="14943" width="18.1640625" style="76" customWidth="1"/>
    <col min="14944" max="14944" width="16.5" style="76" bestFit="1" customWidth="1"/>
    <col min="14945" max="14945" width="17.5" style="76" bestFit="1" customWidth="1"/>
    <col min="14946" max="14946" width="13.83203125" style="76" bestFit="1" customWidth="1"/>
    <col min="14947" max="14947" width="17.5" style="76" bestFit="1" customWidth="1"/>
    <col min="14948" max="14948" width="13.83203125" style="76" bestFit="1" customWidth="1"/>
    <col min="14949" max="14949" width="17.5" style="76" bestFit="1" customWidth="1"/>
    <col min="14950" max="14950" width="14.1640625" style="76" bestFit="1" customWidth="1"/>
    <col min="14951" max="15093" width="10.1640625" style="76"/>
    <col min="15094" max="15094" width="71.1640625" style="76" customWidth="1"/>
    <col min="15095" max="15095" width="57.83203125" style="76" customWidth="1"/>
    <col min="15096" max="15101" width="5.1640625" style="76" customWidth="1"/>
    <col min="15102" max="15102" width="36.5" style="76" customWidth="1"/>
    <col min="15103" max="15103" width="12.5" style="76" customWidth="1"/>
    <col min="15104" max="15104" width="14.83203125" style="76" customWidth="1"/>
    <col min="15105" max="15105" width="19.5" style="76" bestFit="1" customWidth="1"/>
    <col min="15106" max="15106" width="20.83203125" style="76" customWidth="1"/>
    <col min="15107" max="15107" width="16.5" style="76" customWidth="1"/>
    <col min="15108" max="15108" width="17" style="76" customWidth="1"/>
    <col min="15109" max="15109" width="17.1640625" style="76" customWidth="1"/>
    <col min="15110" max="15110" width="15.1640625" style="76" bestFit="1" customWidth="1"/>
    <col min="15111" max="15111" width="20" style="76" bestFit="1" customWidth="1"/>
    <col min="15112" max="15114" width="16.5" style="76" customWidth="1"/>
    <col min="15115" max="15195" width="10.1640625" style="76"/>
    <col min="15196" max="15196" width="69.1640625" style="76" bestFit="1" customWidth="1"/>
    <col min="15197" max="15197" width="15.5" style="76" customWidth="1"/>
    <col min="15198" max="15199" width="18.1640625" style="76" customWidth="1"/>
    <col min="15200" max="15200" width="16.5" style="76" bestFit="1" customWidth="1"/>
    <col min="15201" max="15201" width="17.5" style="76" bestFit="1" customWidth="1"/>
    <col min="15202" max="15202" width="13.83203125" style="76" bestFit="1" customWidth="1"/>
    <col min="15203" max="15203" width="17.5" style="76" bestFit="1" customWidth="1"/>
    <col min="15204" max="15204" width="13.83203125" style="76" bestFit="1" customWidth="1"/>
    <col min="15205" max="15205" width="17.5" style="76" bestFit="1" customWidth="1"/>
    <col min="15206" max="15206" width="14.1640625" style="76" bestFit="1" customWidth="1"/>
    <col min="15207" max="15349" width="10.1640625" style="76"/>
    <col min="15350" max="15350" width="71.1640625" style="76" customWidth="1"/>
    <col min="15351" max="15351" width="57.83203125" style="76" customWidth="1"/>
    <col min="15352" max="15357" width="5.1640625" style="76" customWidth="1"/>
    <col min="15358" max="15358" width="36.5" style="76" customWidth="1"/>
    <col min="15359" max="15359" width="12.5" style="76" customWidth="1"/>
    <col min="15360" max="15360" width="14.83203125" style="76" customWidth="1"/>
    <col min="15361" max="15361" width="19.5" style="76" bestFit="1" customWidth="1"/>
    <col min="15362" max="15362" width="20.83203125" style="76" customWidth="1"/>
    <col min="15363" max="15363" width="16.5" style="76" customWidth="1"/>
    <col min="15364" max="15364" width="17" style="76" customWidth="1"/>
    <col min="15365" max="15365" width="17.1640625" style="76" customWidth="1"/>
    <col min="15366" max="15366" width="15.1640625" style="76" bestFit="1" customWidth="1"/>
    <col min="15367" max="15367" width="20" style="76" bestFit="1" customWidth="1"/>
    <col min="15368" max="15370" width="16.5" style="76" customWidth="1"/>
    <col min="15371" max="15451" width="10.1640625" style="76"/>
    <col min="15452" max="15452" width="69.1640625" style="76" bestFit="1" customWidth="1"/>
    <col min="15453" max="15453" width="15.5" style="76" customWidth="1"/>
    <col min="15454" max="15455" width="18.1640625" style="76" customWidth="1"/>
    <col min="15456" max="15456" width="16.5" style="76" bestFit="1" customWidth="1"/>
    <col min="15457" max="15457" width="17.5" style="76" bestFit="1" customWidth="1"/>
    <col min="15458" max="15458" width="13.83203125" style="76" bestFit="1" customWidth="1"/>
    <col min="15459" max="15459" width="17.5" style="76" bestFit="1" customWidth="1"/>
    <col min="15460" max="15460" width="13.83203125" style="76" bestFit="1" customWidth="1"/>
    <col min="15461" max="15461" width="17.5" style="76" bestFit="1" customWidth="1"/>
    <col min="15462" max="15462" width="14.1640625" style="76" bestFit="1" customWidth="1"/>
    <col min="15463" max="15605" width="10.1640625" style="76"/>
    <col min="15606" max="15606" width="71.1640625" style="76" customWidth="1"/>
    <col min="15607" max="15607" width="57.83203125" style="76" customWidth="1"/>
    <col min="15608" max="15613" width="5.1640625" style="76" customWidth="1"/>
    <col min="15614" max="15614" width="36.5" style="76" customWidth="1"/>
    <col min="15615" max="15615" width="12.5" style="76" customWidth="1"/>
    <col min="15616" max="15616" width="14.83203125" style="76" customWidth="1"/>
    <col min="15617" max="15617" width="19.5" style="76" bestFit="1" customWidth="1"/>
    <col min="15618" max="15618" width="20.83203125" style="76" customWidth="1"/>
    <col min="15619" max="15619" width="16.5" style="76" customWidth="1"/>
    <col min="15620" max="15620" width="17" style="76" customWidth="1"/>
    <col min="15621" max="15621" width="17.1640625" style="76" customWidth="1"/>
    <col min="15622" max="15622" width="15.1640625" style="76" bestFit="1" customWidth="1"/>
    <col min="15623" max="15623" width="20" style="76" bestFit="1" customWidth="1"/>
    <col min="15624" max="15626" width="16.5" style="76" customWidth="1"/>
    <col min="15627" max="15707" width="10.1640625" style="76"/>
    <col min="15708" max="15708" width="69.1640625" style="76" bestFit="1" customWidth="1"/>
    <col min="15709" max="15709" width="15.5" style="76" customWidth="1"/>
    <col min="15710" max="15711" width="18.1640625" style="76" customWidth="1"/>
    <col min="15712" max="15712" width="16.5" style="76" bestFit="1" customWidth="1"/>
    <col min="15713" max="15713" width="17.5" style="76" bestFit="1" customWidth="1"/>
    <col min="15714" max="15714" width="13.83203125" style="76" bestFit="1" customWidth="1"/>
    <col min="15715" max="15715" width="17.5" style="76" bestFit="1" customWidth="1"/>
    <col min="15716" max="15716" width="13.83203125" style="76" bestFit="1" customWidth="1"/>
    <col min="15717" max="15717" width="17.5" style="76" bestFit="1" customWidth="1"/>
    <col min="15718" max="15718" width="14.1640625" style="76" bestFit="1" customWidth="1"/>
    <col min="15719" max="15861" width="10.1640625" style="76"/>
    <col min="15862" max="15862" width="71.1640625" style="76" customWidth="1"/>
    <col min="15863" max="15863" width="57.83203125" style="76" customWidth="1"/>
    <col min="15864" max="15869" width="5.1640625" style="76" customWidth="1"/>
    <col min="15870" max="15870" width="36.5" style="76" customWidth="1"/>
    <col min="15871" max="15871" width="12.5" style="76" customWidth="1"/>
    <col min="15872" max="15872" width="14.83203125" style="76" customWidth="1"/>
    <col min="15873" max="15873" width="19.5" style="76" bestFit="1" customWidth="1"/>
    <col min="15874" max="15874" width="20.83203125" style="76" customWidth="1"/>
    <col min="15875" max="15875" width="16.5" style="76" customWidth="1"/>
    <col min="15876" max="15876" width="17" style="76" customWidth="1"/>
    <col min="15877" max="15877" width="17.1640625" style="76" customWidth="1"/>
    <col min="15878" max="15878" width="15.1640625" style="76" bestFit="1" customWidth="1"/>
    <col min="15879" max="15879" width="20" style="76" bestFit="1" customWidth="1"/>
    <col min="15880" max="15882" width="16.5" style="76" customWidth="1"/>
    <col min="15883" max="15963" width="10.1640625" style="76"/>
    <col min="15964" max="15964" width="69.1640625" style="76" bestFit="1" customWidth="1"/>
    <col min="15965" max="15965" width="15.5" style="76" customWidth="1"/>
    <col min="15966" max="15967" width="18.1640625" style="76" customWidth="1"/>
    <col min="15968" max="15968" width="16.5" style="76" bestFit="1" customWidth="1"/>
    <col min="15969" max="15969" width="17.5" style="76" bestFit="1" customWidth="1"/>
    <col min="15970" max="15970" width="13.83203125" style="76" bestFit="1" customWidth="1"/>
    <col min="15971" max="15971" width="17.5" style="76" bestFit="1" customWidth="1"/>
    <col min="15972" max="15972" width="13.83203125" style="76" bestFit="1" customWidth="1"/>
    <col min="15973" max="15973" width="17.5" style="76" bestFit="1" customWidth="1"/>
    <col min="15974" max="15974" width="14.1640625" style="76" bestFit="1" customWidth="1"/>
    <col min="15975" max="16117" width="10.1640625" style="76"/>
    <col min="16118" max="16118" width="71.1640625" style="76" customWidth="1"/>
    <col min="16119" max="16119" width="57.83203125" style="76" customWidth="1"/>
    <col min="16120" max="16125" width="5.1640625" style="76" customWidth="1"/>
    <col min="16126" max="16126" width="36.5" style="76" customWidth="1"/>
    <col min="16127" max="16127" width="12.5" style="76" customWidth="1"/>
    <col min="16128" max="16128" width="14.83203125" style="76" customWidth="1"/>
    <col min="16129" max="16129" width="19.5" style="76" bestFit="1" customWidth="1"/>
    <col min="16130" max="16130" width="20.83203125" style="76" customWidth="1"/>
    <col min="16131" max="16131" width="16.5" style="76" customWidth="1"/>
    <col min="16132" max="16132" width="17" style="76" customWidth="1"/>
    <col min="16133" max="16133" width="17.1640625" style="76" customWidth="1"/>
    <col min="16134" max="16134" width="15.1640625" style="76" bestFit="1" customWidth="1"/>
    <col min="16135" max="16135" width="20" style="76" bestFit="1" customWidth="1"/>
    <col min="16136" max="16138" width="16.5" style="76" customWidth="1"/>
    <col min="16139" max="16219" width="10.1640625" style="76"/>
    <col min="16220" max="16220" width="69.1640625" style="76" bestFit="1" customWidth="1"/>
    <col min="16221" max="16221" width="15.5" style="76" customWidth="1"/>
    <col min="16222" max="16223" width="18.1640625" style="76" customWidth="1"/>
    <col min="16224" max="16224" width="16.5" style="76" bestFit="1" customWidth="1"/>
    <col min="16225" max="16225" width="17.5" style="76" bestFit="1" customWidth="1"/>
    <col min="16226" max="16226" width="13.83203125" style="76" bestFit="1" customWidth="1"/>
    <col min="16227" max="16227" width="17.5" style="76" bestFit="1" customWidth="1"/>
    <col min="16228" max="16228" width="13.83203125" style="76" bestFit="1" customWidth="1"/>
    <col min="16229" max="16229" width="17.5" style="76" bestFit="1" customWidth="1"/>
    <col min="16230" max="16230" width="14.1640625" style="76" bestFit="1" customWidth="1"/>
    <col min="16231" max="16384" width="10.1640625" style="76"/>
  </cols>
  <sheetData>
    <row r="1" spans="1:245" ht="31.5" customHeight="1" x14ac:dyDescent="0.2">
      <c r="A1" s="328" t="s">
        <v>378</v>
      </c>
      <c r="B1" s="329"/>
      <c r="C1" s="329"/>
      <c r="D1" s="329"/>
      <c r="E1" s="329"/>
      <c r="F1" s="329"/>
      <c r="G1" s="329"/>
      <c r="H1" s="329"/>
      <c r="I1" s="329"/>
      <c r="J1" s="329"/>
      <c r="K1" s="417"/>
      <c r="M1" s="458"/>
    </row>
    <row r="2" spans="1:245" ht="6" customHeight="1" x14ac:dyDescent="0.2">
      <c r="A2" s="77" t="s">
        <v>379</v>
      </c>
      <c r="B2" s="77"/>
      <c r="G2" s="324"/>
      <c r="H2" s="325"/>
    </row>
    <row r="3" spans="1:245" ht="21" customHeight="1" x14ac:dyDescent="0.2">
      <c r="A3" s="785" t="s">
        <v>264</v>
      </c>
      <c r="B3" s="781" t="s">
        <v>265</v>
      </c>
      <c r="C3" s="781" t="s">
        <v>266</v>
      </c>
      <c r="D3" s="781" t="s">
        <v>267</v>
      </c>
      <c r="E3" s="781" t="s">
        <v>268</v>
      </c>
      <c r="F3" s="781" t="s">
        <v>269</v>
      </c>
      <c r="G3" s="787" t="s">
        <v>270</v>
      </c>
      <c r="H3" s="789" t="s">
        <v>271</v>
      </c>
      <c r="I3" s="781" t="s">
        <v>380</v>
      </c>
      <c r="J3" s="783"/>
      <c r="K3" s="372">
        <v>15.7</v>
      </c>
      <c r="M3" s="461"/>
    </row>
    <row r="4" spans="1:245" ht="21" customHeight="1" x14ac:dyDescent="0.2">
      <c r="A4" s="786"/>
      <c r="B4" s="782"/>
      <c r="C4" s="782"/>
      <c r="D4" s="782"/>
      <c r="E4" s="782"/>
      <c r="F4" s="782"/>
      <c r="G4" s="788"/>
      <c r="H4" s="790"/>
      <c r="I4" s="782"/>
      <c r="J4" s="784"/>
      <c r="K4" s="418"/>
      <c r="M4" s="462"/>
    </row>
    <row r="5" spans="1:245" x14ac:dyDescent="0.2">
      <c r="A5" s="82" t="s">
        <v>381</v>
      </c>
      <c r="B5" s="83"/>
      <c r="C5" s="83"/>
      <c r="D5" s="83"/>
      <c r="E5" s="83"/>
      <c r="F5" s="83"/>
      <c r="G5" s="84"/>
      <c r="H5" s="83"/>
      <c r="I5" s="83"/>
      <c r="J5" s="83"/>
      <c r="K5" s="418"/>
      <c r="M5" s="463"/>
    </row>
    <row r="6" spans="1:245" s="93" customFormat="1" ht="39" customHeight="1" outlineLevel="1" x14ac:dyDescent="0.2">
      <c r="A6" s="409" t="s">
        <v>382</v>
      </c>
      <c r="B6" s="115" t="s">
        <v>64</v>
      </c>
      <c r="C6" s="85"/>
      <c r="D6" s="86"/>
      <c r="E6" s="86"/>
      <c r="F6" s="87"/>
      <c r="G6" s="88"/>
      <c r="H6" s="89"/>
      <c r="I6" s="90"/>
      <c r="J6" s="415"/>
      <c r="K6" s="418"/>
      <c r="M6" s="464"/>
    </row>
    <row r="7" spans="1:245" s="93" customFormat="1" ht="20" customHeight="1" outlineLevel="2" x14ac:dyDescent="0.2">
      <c r="A7" s="85" t="s">
        <v>369</v>
      </c>
      <c r="B7" s="394" t="s">
        <v>383</v>
      </c>
      <c r="C7" s="85" t="s">
        <v>339</v>
      </c>
      <c r="D7" s="86">
        <f>40*5</f>
        <v>200</v>
      </c>
      <c r="E7" s="86">
        <v>4</v>
      </c>
      <c r="F7" s="87">
        <f>150</f>
        <v>150</v>
      </c>
      <c r="G7" s="88">
        <f t="shared" ref="G7:G12" si="0">(D7*E7*F7)</f>
        <v>120000</v>
      </c>
      <c r="H7" s="89">
        <f t="shared" ref="H7:H13" si="1">G7/$K$3</f>
        <v>7643.3121019108285</v>
      </c>
      <c r="I7" s="90">
        <f>H7</f>
        <v>7643.3121019108285</v>
      </c>
      <c r="J7" s="415"/>
      <c r="K7" s="418"/>
      <c r="M7" s="357"/>
    </row>
    <row r="8" spans="1:245" s="93" customFormat="1" ht="20" customHeight="1" outlineLevel="2" x14ac:dyDescent="0.2">
      <c r="A8" s="85" t="s">
        <v>323</v>
      </c>
      <c r="B8" s="394" t="s">
        <v>323</v>
      </c>
      <c r="C8" s="85" t="s">
        <v>364</v>
      </c>
      <c r="D8" s="86">
        <f>40*5</f>
        <v>200</v>
      </c>
      <c r="E8" s="86">
        <v>4</v>
      </c>
      <c r="F8" s="87">
        <v>300</v>
      </c>
      <c r="G8" s="88">
        <f t="shared" si="0"/>
        <v>240000</v>
      </c>
      <c r="H8" s="89">
        <f t="shared" si="1"/>
        <v>15286.624203821657</v>
      </c>
      <c r="I8" s="90">
        <f t="shared" ref="I8:I13" si="2">H8</f>
        <v>15286.624203821657</v>
      </c>
      <c r="J8" s="415"/>
      <c r="K8" s="418"/>
      <c r="M8" s="357"/>
    </row>
    <row r="9" spans="1:245" s="93" customFormat="1" ht="20" customHeight="1" outlineLevel="2" x14ac:dyDescent="0.2">
      <c r="A9" s="85" t="s">
        <v>336</v>
      </c>
      <c r="B9" s="394" t="s">
        <v>286</v>
      </c>
      <c r="C9" s="85" t="s">
        <v>287</v>
      </c>
      <c r="D9" s="86">
        <f>2*2</f>
        <v>4</v>
      </c>
      <c r="E9" s="86">
        <v>2</v>
      </c>
      <c r="F9" s="87">
        <v>3000</v>
      </c>
      <c r="G9" s="88">
        <f t="shared" si="0"/>
        <v>24000</v>
      </c>
      <c r="H9" s="89">
        <f t="shared" si="1"/>
        <v>1528.6624203821657</v>
      </c>
      <c r="I9" s="90">
        <f t="shared" si="2"/>
        <v>1528.6624203821657</v>
      </c>
      <c r="J9" s="415"/>
      <c r="K9" s="418"/>
      <c r="M9" s="357"/>
    </row>
    <row r="10" spans="1:245" s="93" customFormat="1" ht="20" customHeight="1" outlineLevel="2" x14ac:dyDescent="0.2">
      <c r="A10" s="85" t="s">
        <v>282</v>
      </c>
      <c r="B10" s="394" t="s">
        <v>283</v>
      </c>
      <c r="C10" s="85" t="s">
        <v>284</v>
      </c>
      <c r="D10" s="86">
        <v>5</v>
      </c>
      <c r="E10" s="86">
        <v>1</v>
      </c>
      <c r="F10" s="87">
        <v>1000</v>
      </c>
      <c r="G10" s="88">
        <f t="shared" si="0"/>
        <v>5000</v>
      </c>
      <c r="H10" s="89">
        <f t="shared" si="1"/>
        <v>318.47133757961785</v>
      </c>
      <c r="I10" s="90">
        <f t="shared" si="2"/>
        <v>318.47133757961785</v>
      </c>
      <c r="J10" s="415"/>
      <c r="K10" s="418"/>
      <c r="M10" s="357"/>
    </row>
    <row r="11" spans="1:245" s="93" customFormat="1" ht="20" customHeight="1" outlineLevel="2" x14ac:dyDescent="0.2">
      <c r="A11" s="85"/>
      <c r="B11" s="394"/>
      <c r="C11" s="85"/>
      <c r="D11" s="86"/>
      <c r="E11" s="86"/>
      <c r="F11" s="87"/>
      <c r="G11" s="88">
        <f t="shared" si="0"/>
        <v>0</v>
      </c>
      <c r="H11" s="89">
        <f t="shared" si="1"/>
        <v>0</v>
      </c>
      <c r="I11" s="90">
        <f t="shared" si="2"/>
        <v>0</v>
      </c>
      <c r="J11" s="415"/>
      <c r="K11" s="418"/>
      <c r="M11" s="357"/>
    </row>
    <row r="12" spans="1:245" s="93" customFormat="1" ht="20" customHeight="1" outlineLevel="2" x14ac:dyDescent="0.2">
      <c r="A12" s="85"/>
      <c r="B12" s="394"/>
      <c r="C12" s="85"/>
      <c r="D12" s="86"/>
      <c r="E12" s="86"/>
      <c r="F12" s="87"/>
      <c r="G12" s="88">
        <f t="shared" si="0"/>
        <v>0</v>
      </c>
      <c r="H12" s="89">
        <f t="shared" si="1"/>
        <v>0</v>
      </c>
      <c r="I12" s="90">
        <f t="shared" si="2"/>
        <v>0</v>
      </c>
      <c r="J12" s="415"/>
      <c r="K12" s="418"/>
      <c r="M12" s="357"/>
    </row>
    <row r="13" spans="1:245" s="93" customFormat="1" ht="20" customHeight="1" outlineLevel="2" x14ac:dyDescent="0.2">
      <c r="A13" s="85"/>
      <c r="B13" s="394"/>
      <c r="C13" s="85"/>
      <c r="D13" s="86"/>
      <c r="E13" s="86"/>
      <c r="F13" s="87"/>
      <c r="G13" s="88">
        <f>(D13*E13*F13)</f>
        <v>0</v>
      </c>
      <c r="H13" s="89">
        <f t="shared" si="1"/>
        <v>0</v>
      </c>
      <c r="I13" s="90">
        <f t="shared" si="2"/>
        <v>0</v>
      </c>
      <c r="J13" s="415"/>
      <c r="K13" s="418"/>
      <c r="M13" s="357"/>
    </row>
    <row r="14" spans="1:245" s="105" customFormat="1" ht="15.5" customHeight="1" outlineLevel="1" x14ac:dyDescent="0.2">
      <c r="A14" s="94" t="s">
        <v>288</v>
      </c>
      <c r="B14" s="95"/>
      <c r="C14" s="98"/>
      <c r="D14" s="98"/>
      <c r="E14" s="95"/>
      <c r="F14" s="96"/>
      <c r="G14" s="99">
        <f>SUM(G7:G13)</f>
        <v>389000</v>
      </c>
      <c r="H14" s="406">
        <f>SUM(H7:H13)</f>
        <v>24777.070063694267</v>
      </c>
      <c r="I14" s="96">
        <f>SUM(I7:I13)</f>
        <v>24777.070063694267</v>
      </c>
      <c r="J14" s="416">
        <f>SUM(J7:J13)</f>
        <v>0</v>
      </c>
      <c r="K14" s="418"/>
      <c r="L14" s="100"/>
      <c r="M14" s="464">
        <f>$H14</f>
        <v>24777.070063694267</v>
      </c>
      <c r="N14" s="102"/>
      <c r="O14" s="103"/>
      <c r="P14" s="100"/>
      <c r="Q14" s="104"/>
      <c r="R14" s="100"/>
      <c r="S14" s="100"/>
      <c r="T14" s="100"/>
      <c r="U14" s="101"/>
      <c r="V14" s="101"/>
      <c r="W14" s="102"/>
      <c r="X14" s="103"/>
      <c r="Y14" s="100"/>
      <c r="Z14" s="104"/>
      <c r="AA14" s="100"/>
      <c r="AB14" s="100"/>
      <c r="AC14" s="100"/>
      <c r="AD14" s="101"/>
      <c r="AE14" s="101"/>
      <c r="AF14" s="102"/>
      <c r="AG14" s="103"/>
      <c r="AH14" s="100"/>
      <c r="AI14" s="104"/>
      <c r="AJ14" s="100"/>
      <c r="AK14" s="100"/>
      <c r="AL14" s="100"/>
      <c r="AM14" s="101"/>
      <c r="AN14" s="101"/>
      <c r="AO14" s="102"/>
      <c r="AP14" s="103"/>
      <c r="AQ14" s="100"/>
      <c r="AR14" s="104"/>
      <c r="AS14" s="100"/>
      <c r="AT14" s="100"/>
      <c r="AU14" s="100"/>
      <c r="AV14" s="101"/>
      <c r="AW14" s="101"/>
      <c r="AX14" s="102"/>
      <c r="AY14" s="103"/>
      <c r="AZ14" s="100"/>
      <c r="BA14" s="104"/>
      <c r="BB14" s="100"/>
      <c r="BC14" s="100"/>
      <c r="BD14" s="100"/>
      <c r="BE14" s="101"/>
      <c r="BF14" s="101"/>
      <c r="BG14" s="102"/>
      <c r="BH14" s="103"/>
      <c r="BI14" s="100"/>
      <c r="BJ14" s="104"/>
      <c r="BK14" s="100"/>
      <c r="BL14" s="100"/>
      <c r="BM14" s="100"/>
      <c r="BN14" s="101"/>
      <c r="BO14" s="101"/>
      <c r="BP14" s="102"/>
      <c r="BQ14" s="103"/>
      <c r="BR14" s="100"/>
      <c r="BS14" s="104"/>
      <c r="BT14" s="100"/>
      <c r="BU14" s="100"/>
      <c r="BV14" s="100"/>
      <c r="BW14" s="101"/>
      <c r="BX14" s="101"/>
      <c r="BY14" s="102"/>
      <c r="BZ14" s="103"/>
      <c r="CA14" s="100"/>
      <c r="CB14" s="104"/>
      <c r="CC14" s="100"/>
      <c r="CD14" s="100"/>
      <c r="CE14" s="100"/>
      <c r="CF14" s="101"/>
      <c r="CG14" s="101"/>
      <c r="CH14" s="102"/>
      <c r="CI14" s="103"/>
      <c r="CJ14" s="100"/>
      <c r="CK14" s="104"/>
      <c r="CL14" s="100"/>
      <c r="CM14" s="100"/>
      <c r="CN14" s="100"/>
      <c r="CO14" s="101"/>
      <c r="CP14" s="101"/>
      <c r="CQ14" s="102"/>
      <c r="CR14" s="103"/>
      <c r="CS14" s="100"/>
      <c r="CT14" s="104"/>
      <c r="CU14" s="100"/>
      <c r="CV14" s="100"/>
      <c r="CW14" s="100"/>
      <c r="CX14" s="101"/>
      <c r="CY14" s="101"/>
      <c r="CZ14" s="102"/>
      <c r="DA14" s="103"/>
      <c r="DB14" s="100"/>
      <c r="DC14" s="104"/>
      <c r="DD14" s="100"/>
      <c r="DE14" s="100"/>
      <c r="DF14" s="100"/>
      <c r="DG14" s="101"/>
      <c r="DH14" s="101"/>
      <c r="DI14" s="102"/>
      <c r="DJ14" s="103"/>
      <c r="DK14" s="100"/>
      <c r="DL14" s="104"/>
      <c r="DM14" s="100"/>
      <c r="DN14" s="100"/>
      <c r="DO14" s="100"/>
      <c r="DP14" s="101"/>
      <c r="DQ14" s="101"/>
      <c r="DR14" s="102"/>
      <c r="DS14" s="103"/>
      <c r="DT14" s="100"/>
      <c r="DU14" s="104"/>
      <c r="DV14" s="100"/>
      <c r="DW14" s="100"/>
      <c r="DX14" s="100"/>
      <c r="DY14" s="101"/>
      <c r="DZ14" s="101"/>
      <c r="EA14" s="102"/>
      <c r="EB14" s="103"/>
      <c r="EC14" s="100"/>
      <c r="ED14" s="104"/>
      <c r="EE14" s="100"/>
      <c r="EF14" s="100"/>
      <c r="EG14" s="100"/>
      <c r="EH14" s="101"/>
      <c r="EI14" s="101"/>
      <c r="EJ14" s="102"/>
      <c r="EK14" s="103"/>
      <c r="EL14" s="100"/>
      <c r="EM14" s="104"/>
      <c r="EN14" s="100"/>
      <c r="EO14" s="100"/>
      <c r="EP14" s="100"/>
      <c r="EQ14" s="101"/>
      <c r="ER14" s="101"/>
      <c r="ES14" s="102"/>
      <c r="ET14" s="103"/>
      <c r="EU14" s="100"/>
      <c r="EV14" s="104"/>
      <c r="EW14" s="100"/>
      <c r="EX14" s="100"/>
      <c r="EY14" s="100"/>
      <c r="EZ14" s="101"/>
      <c r="FA14" s="101"/>
      <c r="FB14" s="102"/>
      <c r="FC14" s="103"/>
      <c r="FD14" s="100"/>
      <c r="FE14" s="104"/>
      <c r="FF14" s="100"/>
      <c r="FG14" s="100"/>
      <c r="FH14" s="100"/>
      <c r="FI14" s="101"/>
      <c r="FJ14" s="101"/>
      <c r="FK14" s="102"/>
      <c r="FL14" s="103"/>
      <c r="FM14" s="100"/>
      <c r="FN14" s="104"/>
      <c r="FO14" s="100"/>
      <c r="FP14" s="100"/>
      <c r="FQ14" s="100"/>
      <c r="FR14" s="101"/>
      <c r="FS14" s="101"/>
      <c r="FT14" s="102"/>
      <c r="FU14" s="103"/>
      <c r="FV14" s="100"/>
      <c r="FW14" s="104"/>
      <c r="FX14" s="100"/>
      <c r="FY14" s="100"/>
      <c r="FZ14" s="100"/>
      <c r="GA14" s="101"/>
      <c r="GB14" s="101"/>
      <c r="GC14" s="102"/>
      <c r="GD14" s="103"/>
      <c r="GE14" s="100"/>
      <c r="GF14" s="104"/>
      <c r="GG14" s="100"/>
      <c r="GH14" s="100"/>
      <c r="GI14" s="100"/>
      <c r="GJ14" s="101"/>
      <c r="GK14" s="101"/>
      <c r="GL14" s="102"/>
      <c r="GM14" s="103"/>
      <c r="GN14" s="100"/>
      <c r="GO14" s="104"/>
      <c r="GP14" s="100"/>
      <c r="GQ14" s="100"/>
      <c r="GR14" s="100"/>
      <c r="GS14" s="101"/>
      <c r="GT14" s="101"/>
      <c r="GU14" s="102"/>
      <c r="GV14" s="103"/>
      <c r="GW14" s="100"/>
      <c r="GX14" s="104"/>
      <c r="GY14" s="100"/>
      <c r="GZ14" s="100"/>
      <c r="HA14" s="100"/>
      <c r="HB14" s="101"/>
      <c r="HC14" s="101"/>
      <c r="HD14" s="102"/>
      <c r="HE14" s="103"/>
      <c r="HF14" s="100"/>
      <c r="HG14" s="104"/>
      <c r="HH14" s="100"/>
      <c r="HI14" s="100"/>
      <c r="HJ14" s="100"/>
      <c r="HK14" s="101"/>
      <c r="HL14" s="101"/>
      <c r="HM14" s="102"/>
      <c r="HN14" s="103"/>
      <c r="HO14" s="100"/>
      <c r="HP14" s="104"/>
      <c r="HQ14" s="100"/>
      <c r="HR14" s="100"/>
      <c r="HS14" s="100"/>
      <c r="HT14" s="101"/>
      <c r="HU14" s="101"/>
      <c r="HV14" s="102"/>
      <c r="HW14" s="103"/>
      <c r="HX14" s="100"/>
      <c r="HY14" s="104"/>
      <c r="HZ14" s="100"/>
      <c r="IA14" s="100"/>
      <c r="IB14" s="100"/>
      <c r="IC14" s="101"/>
      <c r="ID14" s="101"/>
      <c r="IE14" s="102"/>
      <c r="IF14" s="103"/>
      <c r="IG14" s="100"/>
      <c r="IH14" s="104"/>
      <c r="II14" s="100"/>
      <c r="IJ14" s="100"/>
      <c r="IK14" s="100"/>
    </row>
    <row r="15" spans="1:245" s="93" customFormat="1" ht="39" customHeight="1" outlineLevel="1" x14ac:dyDescent="0.2">
      <c r="A15" s="409" t="s">
        <v>384</v>
      </c>
      <c r="B15" s="115" t="s">
        <v>385</v>
      </c>
      <c r="C15" s="85"/>
      <c r="D15" s="86"/>
      <c r="E15" s="86"/>
      <c r="F15" s="87"/>
      <c r="G15" s="88"/>
      <c r="H15" s="89"/>
      <c r="I15" s="90"/>
      <c r="J15" s="415"/>
      <c r="K15" s="418"/>
      <c r="M15" s="464"/>
    </row>
    <row r="16" spans="1:245" s="93" customFormat="1" ht="20" customHeight="1" outlineLevel="2" x14ac:dyDescent="0.2">
      <c r="A16" s="85" t="s">
        <v>369</v>
      </c>
      <c r="B16" s="394" t="s">
        <v>386</v>
      </c>
      <c r="C16" s="85" t="s">
        <v>339</v>
      </c>
      <c r="D16" s="86">
        <f>15*5+5+5</f>
        <v>85</v>
      </c>
      <c r="E16" s="86">
        <f>4*2</f>
        <v>8</v>
      </c>
      <c r="F16" s="87">
        <f>150</f>
        <v>150</v>
      </c>
      <c r="G16" s="88">
        <f t="shared" ref="G16:G21" si="3">(D16*E16*F16)</f>
        <v>102000</v>
      </c>
      <c r="H16" s="89">
        <f t="shared" ref="H16:H22" si="4">G16/$K$3</f>
        <v>6496.8152866242044</v>
      </c>
      <c r="I16" s="90">
        <f>H16</f>
        <v>6496.8152866242044</v>
      </c>
      <c r="J16" s="415"/>
      <c r="K16" s="418"/>
      <c r="M16" s="357"/>
    </row>
    <row r="17" spans="1:245" s="93" customFormat="1" ht="20" customHeight="1" outlineLevel="2" x14ac:dyDescent="0.2">
      <c r="A17" s="85" t="s">
        <v>323</v>
      </c>
      <c r="B17" s="394" t="s">
        <v>387</v>
      </c>
      <c r="C17" s="85" t="s">
        <v>280</v>
      </c>
      <c r="D17" s="86">
        <f>50*2</f>
        <v>100</v>
      </c>
      <c r="E17" s="86">
        <v>8</v>
      </c>
      <c r="F17" s="87">
        <v>700</v>
      </c>
      <c r="G17" s="88">
        <f t="shared" si="3"/>
        <v>560000</v>
      </c>
      <c r="H17" s="89">
        <f t="shared" si="4"/>
        <v>35668.789808917201</v>
      </c>
      <c r="I17" s="90">
        <f t="shared" ref="I17:I22" si="5">H17</f>
        <v>35668.789808917201</v>
      </c>
      <c r="J17" s="415"/>
      <c r="K17" s="418"/>
      <c r="M17" s="357"/>
    </row>
    <row r="18" spans="1:245" s="93" customFormat="1" ht="20" customHeight="1" outlineLevel="2" x14ac:dyDescent="0.2">
      <c r="A18" s="85" t="s">
        <v>336</v>
      </c>
      <c r="B18" s="394" t="s">
        <v>286</v>
      </c>
      <c r="C18" s="85" t="s">
        <v>287</v>
      </c>
      <c r="D18" s="86">
        <f>2*2</f>
        <v>4</v>
      </c>
      <c r="E18" s="86">
        <v>5</v>
      </c>
      <c r="F18" s="87">
        <v>3000</v>
      </c>
      <c r="G18" s="88">
        <f t="shared" si="3"/>
        <v>60000</v>
      </c>
      <c r="H18" s="89">
        <f t="shared" si="4"/>
        <v>3821.6560509554142</v>
      </c>
      <c r="I18" s="90">
        <f t="shared" si="5"/>
        <v>3821.6560509554142</v>
      </c>
      <c r="J18" s="415"/>
      <c r="K18" s="418"/>
      <c r="M18" s="357"/>
    </row>
    <row r="19" spans="1:245" s="93" customFormat="1" ht="20" customHeight="1" outlineLevel="2" x14ac:dyDescent="0.2">
      <c r="A19" s="85"/>
      <c r="B19" s="394"/>
      <c r="C19" s="85"/>
      <c r="D19" s="86"/>
      <c r="E19" s="86"/>
      <c r="F19" s="87"/>
      <c r="G19" s="88">
        <f t="shared" si="3"/>
        <v>0</v>
      </c>
      <c r="H19" s="89">
        <f t="shared" si="4"/>
        <v>0</v>
      </c>
      <c r="I19" s="90">
        <f t="shared" si="5"/>
        <v>0</v>
      </c>
      <c r="J19" s="415"/>
      <c r="K19" s="418"/>
      <c r="M19" s="357"/>
    </row>
    <row r="20" spans="1:245" s="93" customFormat="1" ht="20" customHeight="1" outlineLevel="2" x14ac:dyDescent="0.2">
      <c r="A20" s="85"/>
      <c r="B20" s="394"/>
      <c r="C20" s="85"/>
      <c r="D20" s="86"/>
      <c r="E20" s="86"/>
      <c r="F20" s="87"/>
      <c r="G20" s="88">
        <f t="shared" si="3"/>
        <v>0</v>
      </c>
      <c r="H20" s="89">
        <f t="shared" si="4"/>
        <v>0</v>
      </c>
      <c r="I20" s="90">
        <f t="shared" si="5"/>
        <v>0</v>
      </c>
      <c r="J20" s="415"/>
      <c r="K20" s="418"/>
      <c r="M20" s="357"/>
    </row>
    <row r="21" spans="1:245" s="93" customFormat="1" ht="20" customHeight="1" outlineLevel="2" x14ac:dyDescent="0.2">
      <c r="A21" s="85"/>
      <c r="B21" s="394"/>
      <c r="C21" s="85"/>
      <c r="D21" s="86"/>
      <c r="E21" s="86"/>
      <c r="F21" s="87"/>
      <c r="G21" s="88">
        <f t="shared" si="3"/>
        <v>0</v>
      </c>
      <c r="H21" s="89">
        <f t="shared" si="4"/>
        <v>0</v>
      </c>
      <c r="I21" s="90">
        <f t="shared" si="5"/>
        <v>0</v>
      </c>
      <c r="J21" s="415"/>
      <c r="K21" s="418"/>
      <c r="M21" s="357"/>
    </row>
    <row r="22" spans="1:245" s="93" customFormat="1" ht="20" customHeight="1" outlineLevel="2" x14ac:dyDescent="0.2">
      <c r="A22" s="85"/>
      <c r="B22" s="394"/>
      <c r="C22" s="85"/>
      <c r="D22" s="86"/>
      <c r="E22" s="86"/>
      <c r="F22" s="87"/>
      <c r="G22" s="88">
        <f>(D22*E22*F22)</f>
        <v>0</v>
      </c>
      <c r="H22" s="89">
        <f t="shared" si="4"/>
        <v>0</v>
      </c>
      <c r="I22" s="90">
        <f t="shared" si="5"/>
        <v>0</v>
      </c>
      <c r="J22" s="415"/>
      <c r="K22" s="418"/>
      <c r="M22" s="357"/>
    </row>
    <row r="23" spans="1:245" s="105" customFormat="1" ht="15.5" customHeight="1" outlineLevel="1" x14ac:dyDescent="0.2">
      <c r="A23" s="94" t="s">
        <v>288</v>
      </c>
      <c r="B23" s="95"/>
      <c r="C23" s="98"/>
      <c r="D23" s="98"/>
      <c r="E23" s="95"/>
      <c r="F23" s="96"/>
      <c r="G23" s="99">
        <f>SUM(G16:G22)</f>
        <v>722000</v>
      </c>
      <c r="H23" s="406">
        <f>SUM(H16:H22)</f>
        <v>45987.261146496814</v>
      </c>
      <c r="I23" s="96">
        <f>SUM(I16:I22)</f>
        <v>45987.261146496814</v>
      </c>
      <c r="J23" s="416">
        <f>SUM(J16:J22)</f>
        <v>0</v>
      </c>
      <c r="K23" s="418"/>
      <c r="L23" s="100"/>
      <c r="M23" s="464">
        <f>$H23</f>
        <v>45987.261146496814</v>
      </c>
      <c r="N23" s="102"/>
      <c r="O23" s="103"/>
      <c r="P23" s="100"/>
      <c r="Q23" s="104"/>
      <c r="R23" s="100"/>
      <c r="S23" s="100"/>
      <c r="T23" s="100"/>
      <c r="U23" s="101"/>
      <c r="V23" s="101"/>
      <c r="W23" s="102"/>
      <c r="X23" s="103"/>
      <c r="Y23" s="100"/>
      <c r="Z23" s="104"/>
      <c r="AA23" s="100"/>
      <c r="AB23" s="100"/>
      <c r="AC23" s="100"/>
      <c r="AD23" s="101"/>
      <c r="AE23" s="101"/>
      <c r="AF23" s="102"/>
      <c r="AG23" s="103"/>
      <c r="AH23" s="100"/>
      <c r="AI23" s="104"/>
      <c r="AJ23" s="100"/>
      <c r="AK23" s="100"/>
      <c r="AL23" s="100"/>
      <c r="AM23" s="101"/>
      <c r="AN23" s="101"/>
      <c r="AO23" s="102"/>
      <c r="AP23" s="103"/>
      <c r="AQ23" s="100"/>
      <c r="AR23" s="104"/>
      <c r="AS23" s="100"/>
      <c r="AT23" s="100"/>
      <c r="AU23" s="100"/>
      <c r="AV23" s="101"/>
      <c r="AW23" s="101"/>
      <c r="AX23" s="102"/>
      <c r="AY23" s="103"/>
      <c r="AZ23" s="100"/>
      <c r="BA23" s="104"/>
      <c r="BB23" s="100"/>
      <c r="BC23" s="100"/>
      <c r="BD23" s="100"/>
      <c r="BE23" s="101"/>
      <c r="BF23" s="101"/>
      <c r="BG23" s="102"/>
      <c r="BH23" s="103"/>
      <c r="BI23" s="100"/>
      <c r="BJ23" s="104"/>
      <c r="BK23" s="100"/>
      <c r="BL23" s="100"/>
      <c r="BM23" s="100"/>
      <c r="BN23" s="101"/>
      <c r="BO23" s="101"/>
      <c r="BP23" s="102"/>
      <c r="BQ23" s="103"/>
      <c r="BR23" s="100"/>
      <c r="BS23" s="104"/>
      <c r="BT23" s="100"/>
      <c r="BU23" s="100"/>
      <c r="BV23" s="100"/>
      <c r="BW23" s="101"/>
      <c r="BX23" s="101"/>
      <c r="BY23" s="102"/>
      <c r="BZ23" s="103"/>
      <c r="CA23" s="100"/>
      <c r="CB23" s="104"/>
      <c r="CC23" s="100"/>
      <c r="CD23" s="100"/>
      <c r="CE23" s="100"/>
      <c r="CF23" s="101"/>
      <c r="CG23" s="101"/>
      <c r="CH23" s="102"/>
      <c r="CI23" s="103"/>
      <c r="CJ23" s="100"/>
      <c r="CK23" s="104"/>
      <c r="CL23" s="100"/>
      <c r="CM23" s="100"/>
      <c r="CN23" s="100"/>
      <c r="CO23" s="101"/>
      <c r="CP23" s="101"/>
      <c r="CQ23" s="102"/>
      <c r="CR23" s="103"/>
      <c r="CS23" s="100"/>
      <c r="CT23" s="104"/>
      <c r="CU23" s="100"/>
      <c r="CV23" s="100"/>
      <c r="CW23" s="100"/>
      <c r="CX23" s="101"/>
      <c r="CY23" s="101"/>
      <c r="CZ23" s="102"/>
      <c r="DA23" s="103"/>
      <c r="DB23" s="100"/>
      <c r="DC23" s="104"/>
      <c r="DD23" s="100"/>
      <c r="DE23" s="100"/>
      <c r="DF23" s="100"/>
      <c r="DG23" s="101"/>
      <c r="DH23" s="101"/>
      <c r="DI23" s="102"/>
      <c r="DJ23" s="103"/>
      <c r="DK23" s="100"/>
      <c r="DL23" s="104"/>
      <c r="DM23" s="100"/>
      <c r="DN23" s="100"/>
      <c r="DO23" s="100"/>
      <c r="DP23" s="101"/>
      <c r="DQ23" s="101"/>
      <c r="DR23" s="102"/>
      <c r="DS23" s="103"/>
      <c r="DT23" s="100"/>
      <c r="DU23" s="104"/>
      <c r="DV23" s="100"/>
      <c r="DW23" s="100"/>
      <c r="DX23" s="100"/>
      <c r="DY23" s="101"/>
      <c r="DZ23" s="101"/>
      <c r="EA23" s="102"/>
      <c r="EB23" s="103"/>
      <c r="EC23" s="100"/>
      <c r="ED23" s="104"/>
      <c r="EE23" s="100"/>
      <c r="EF23" s="100"/>
      <c r="EG23" s="100"/>
      <c r="EH23" s="101"/>
      <c r="EI23" s="101"/>
      <c r="EJ23" s="102"/>
      <c r="EK23" s="103"/>
      <c r="EL23" s="100"/>
      <c r="EM23" s="104"/>
      <c r="EN23" s="100"/>
      <c r="EO23" s="100"/>
      <c r="EP23" s="100"/>
      <c r="EQ23" s="101"/>
      <c r="ER23" s="101"/>
      <c r="ES23" s="102"/>
      <c r="ET23" s="103"/>
      <c r="EU23" s="100"/>
      <c r="EV23" s="104"/>
      <c r="EW23" s="100"/>
      <c r="EX23" s="100"/>
      <c r="EY23" s="100"/>
      <c r="EZ23" s="101"/>
      <c r="FA23" s="101"/>
      <c r="FB23" s="102"/>
      <c r="FC23" s="103"/>
      <c r="FD23" s="100"/>
      <c r="FE23" s="104"/>
      <c r="FF23" s="100"/>
      <c r="FG23" s="100"/>
      <c r="FH23" s="100"/>
      <c r="FI23" s="101"/>
      <c r="FJ23" s="101"/>
      <c r="FK23" s="102"/>
      <c r="FL23" s="103"/>
      <c r="FM23" s="100"/>
      <c r="FN23" s="104"/>
      <c r="FO23" s="100"/>
      <c r="FP23" s="100"/>
      <c r="FQ23" s="100"/>
      <c r="FR23" s="101"/>
      <c r="FS23" s="101"/>
      <c r="FT23" s="102"/>
      <c r="FU23" s="103"/>
      <c r="FV23" s="100"/>
      <c r="FW23" s="104"/>
      <c r="FX23" s="100"/>
      <c r="FY23" s="100"/>
      <c r="FZ23" s="100"/>
      <c r="GA23" s="101"/>
      <c r="GB23" s="101"/>
      <c r="GC23" s="102"/>
      <c r="GD23" s="103"/>
      <c r="GE23" s="100"/>
      <c r="GF23" s="104"/>
      <c r="GG23" s="100"/>
      <c r="GH23" s="100"/>
      <c r="GI23" s="100"/>
      <c r="GJ23" s="101"/>
      <c r="GK23" s="101"/>
      <c r="GL23" s="102"/>
      <c r="GM23" s="103"/>
      <c r="GN23" s="100"/>
      <c r="GO23" s="104"/>
      <c r="GP23" s="100"/>
      <c r="GQ23" s="100"/>
      <c r="GR23" s="100"/>
      <c r="GS23" s="101"/>
      <c r="GT23" s="101"/>
      <c r="GU23" s="102"/>
      <c r="GV23" s="103"/>
      <c r="GW23" s="100"/>
      <c r="GX23" s="104"/>
      <c r="GY23" s="100"/>
      <c r="GZ23" s="100"/>
      <c r="HA23" s="100"/>
      <c r="HB23" s="101"/>
      <c r="HC23" s="101"/>
      <c r="HD23" s="102"/>
      <c r="HE23" s="103"/>
      <c r="HF23" s="100"/>
      <c r="HG23" s="104"/>
      <c r="HH23" s="100"/>
      <c r="HI23" s="100"/>
      <c r="HJ23" s="100"/>
      <c r="HK23" s="101"/>
      <c r="HL23" s="101"/>
      <c r="HM23" s="102"/>
      <c r="HN23" s="103"/>
      <c r="HO23" s="100"/>
      <c r="HP23" s="104"/>
      <c r="HQ23" s="100"/>
      <c r="HR23" s="100"/>
      <c r="HS23" s="100"/>
      <c r="HT23" s="101"/>
      <c r="HU23" s="101"/>
      <c r="HV23" s="102"/>
      <c r="HW23" s="103"/>
      <c r="HX23" s="100"/>
      <c r="HY23" s="104"/>
      <c r="HZ23" s="100"/>
      <c r="IA23" s="100"/>
      <c r="IB23" s="100"/>
      <c r="IC23" s="101"/>
      <c r="ID23" s="101"/>
      <c r="IE23" s="102"/>
      <c r="IF23" s="103"/>
      <c r="IG23" s="100"/>
      <c r="IH23" s="104"/>
      <c r="II23" s="100"/>
      <c r="IJ23" s="100"/>
      <c r="IK23" s="100"/>
    </row>
    <row r="24" spans="1:245" s="93" customFormat="1" ht="39" customHeight="1" outlineLevel="1" x14ac:dyDescent="0.2">
      <c r="A24" s="409" t="s">
        <v>388</v>
      </c>
      <c r="B24" s="115" t="s">
        <v>389</v>
      </c>
      <c r="C24" s="85"/>
      <c r="D24" s="86"/>
      <c r="E24" s="86"/>
      <c r="F24" s="87"/>
      <c r="G24" s="88"/>
      <c r="H24" s="89"/>
      <c r="I24" s="90"/>
      <c r="J24" s="415"/>
      <c r="K24" s="418"/>
      <c r="M24" s="464"/>
    </row>
    <row r="25" spans="1:245" s="93" customFormat="1" ht="20" customHeight="1" outlineLevel="2" x14ac:dyDescent="0.2">
      <c r="A25" s="85" t="s">
        <v>369</v>
      </c>
      <c r="B25" s="394" t="s">
        <v>390</v>
      </c>
      <c r="C25" s="85" t="s">
        <v>339</v>
      </c>
      <c r="D25" s="86">
        <f>10*5</f>
        <v>50</v>
      </c>
      <c r="E25" s="86">
        <v>5</v>
      </c>
      <c r="F25" s="87">
        <f>150</f>
        <v>150</v>
      </c>
      <c r="G25" s="88">
        <f t="shared" ref="G25:G30" si="6">(D25*E25*F25)</f>
        <v>37500</v>
      </c>
      <c r="H25" s="89">
        <f t="shared" ref="H25:H31" si="7">G25/$K$3</f>
        <v>2388.5350318471337</v>
      </c>
      <c r="I25" s="90">
        <f>H25</f>
        <v>2388.5350318471337</v>
      </c>
      <c r="J25" s="415"/>
      <c r="K25" s="418"/>
      <c r="M25" s="357"/>
    </row>
    <row r="26" spans="1:245" s="93" customFormat="1" ht="20" customHeight="1" outlineLevel="2" x14ac:dyDescent="0.2">
      <c r="A26" s="85" t="s">
        <v>323</v>
      </c>
      <c r="B26" s="394" t="s">
        <v>387</v>
      </c>
      <c r="C26" s="85" t="s">
        <v>280</v>
      </c>
      <c r="D26" s="86">
        <f>10*5</f>
        <v>50</v>
      </c>
      <c r="E26" s="86">
        <v>5</v>
      </c>
      <c r="F26" s="87">
        <v>700</v>
      </c>
      <c r="G26" s="88">
        <f t="shared" si="6"/>
        <v>175000</v>
      </c>
      <c r="H26" s="89">
        <f t="shared" si="7"/>
        <v>11146.496815286624</v>
      </c>
      <c r="I26" s="90">
        <f t="shared" ref="I26:I31" si="8">H26</f>
        <v>11146.496815286624</v>
      </c>
      <c r="J26" s="415"/>
      <c r="K26" s="418"/>
      <c r="M26" s="357"/>
    </row>
    <row r="27" spans="1:245" s="93" customFormat="1" ht="20" customHeight="1" outlineLevel="2" x14ac:dyDescent="0.2">
      <c r="A27" s="85" t="s">
        <v>336</v>
      </c>
      <c r="B27" s="394" t="s">
        <v>286</v>
      </c>
      <c r="C27" s="85" t="s">
        <v>287</v>
      </c>
      <c r="D27" s="86">
        <f>2*2</f>
        <v>4</v>
      </c>
      <c r="E27" s="86">
        <v>5</v>
      </c>
      <c r="F27" s="87">
        <v>3000</v>
      </c>
      <c r="G27" s="88">
        <f t="shared" si="6"/>
        <v>60000</v>
      </c>
      <c r="H27" s="89">
        <f t="shared" si="7"/>
        <v>3821.6560509554142</v>
      </c>
      <c r="I27" s="90">
        <f t="shared" si="8"/>
        <v>3821.6560509554142</v>
      </c>
      <c r="J27" s="415"/>
      <c r="K27" s="418"/>
      <c r="M27" s="357"/>
    </row>
    <row r="28" spans="1:245" s="93" customFormat="1" ht="20" customHeight="1" outlineLevel="2" x14ac:dyDescent="0.2">
      <c r="A28" s="85"/>
      <c r="B28" s="394"/>
      <c r="C28" s="85"/>
      <c r="D28" s="86"/>
      <c r="E28" s="86"/>
      <c r="F28" s="87"/>
      <c r="G28" s="88">
        <f t="shared" si="6"/>
        <v>0</v>
      </c>
      <c r="H28" s="89">
        <f t="shared" si="7"/>
        <v>0</v>
      </c>
      <c r="I28" s="90">
        <f t="shared" si="8"/>
        <v>0</v>
      </c>
      <c r="J28" s="415"/>
      <c r="K28" s="418"/>
      <c r="M28" s="357"/>
    </row>
    <row r="29" spans="1:245" s="93" customFormat="1" ht="20" customHeight="1" outlineLevel="2" x14ac:dyDescent="0.2">
      <c r="A29" s="85"/>
      <c r="B29" s="394"/>
      <c r="C29" s="85"/>
      <c r="D29" s="86"/>
      <c r="E29" s="86"/>
      <c r="F29" s="87"/>
      <c r="G29" s="88">
        <f t="shared" si="6"/>
        <v>0</v>
      </c>
      <c r="H29" s="89">
        <f t="shared" si="7"/>
        <v>0</v>
      </c>
      <c r="I29" s="90">
        <f t="shared" si="8"/>
        <v>0</v>
      </c>
      <c r="J29" s="415"/>
      <c r="K29" s="418"/>
      <c r="M29" s="357"/>
    </row>
    <row r="30" spans="1:245" s="93" customFormat="1" ht="20" customHeight="1" outlineLevel="2" x14ac:dyDescent="0.2">
      <c r="A30" s="85"/>
      <c r="B30" s="394"/>
      <c r="C30" s="85"/>
      <c r="D30" s="86"/>
      <c r="E30" s="86"/>
      <c r="F30" s="87"/>
      <c r="G30" s="88">
        <f t="shared" si="6"/>
        <v>0</v>
      </c>
      <c r="H30" s="89">
        <f t="shared" si="7"/>
        <v>0</v>
      </c>
      <c r="I30" s="90">
        <f t="shared" si="8"/>
        <v>0</v>
      </c>
      <c r="J30" s="415"/>
      <c r="K30" s="418"/>
      <c r="M30" s="357"/>
    </row>
    <row r="31" spans="1:245" s="93" customFormat="1" ht="20" customHeight="1" outlineLevel="2" x14ac:dyDescent="0.2">
      <c r="A31" s="85"/>
      <c r="B31" s="394"/>
      <c r="C31" s="85"/>
      <c r="D31" s="86"/>
      <c r="E31" s="86"/>
      <c r="F31" s="87"/>
      <c r="G31" s="88">
        <f>(D31*E31*F31)</f>
        <v>0</v>
      </c>
      <c r="H31" s="89">
        <f t="shared" si="7"/>
        <v>0</v>
      </c>
      <c r="I31" s="90">
        <f t="shared" si="8"/>
        <v>0</v>
      </c>
      <c r="J31" s="415"/>
      <c r="K31" s="418"/>
      <c r="M31" s="357"/>
    </row>
    <row r="32" spans="1:245" s="105" customFormat="1" ht="15.5" customHeight="1" outlineLevel="1" x14ac:dyDescent="0.2">
      <c r="A32" s="94" t="s">
        <v>288</v>
      </c>
      <c r="B32" s="95"/>
      <c r="C32" s="98"/>
      <c r="D32" s="98"/>
      <c r="E32" s="95"/>
      <c r="F32" s="96"/>
      <c r="G32" s="99">
        <f>SUM(G25:G31)</f>
        <v>272500</v>
      </c>
      <c r="H32" s="406">
        <f>SUM(H25:H31)</f>
        <v>17356.687898089171</v>
      </c>
      <c r="I32" s="96">
        <f>SUM(I25:I31)</f>
        <v>17356.687898089171</v>
      </c>
      <c r="J32" s="416">
        <f>SUM(J25:J31)</f>
        <v>0</v>
      </c>
      <c r="K32" s="418"/>
      <c r="L32" s="100"/>
      <c r="M32" s="464">
        <f>$H32</f>
        <v>17356.687898089171</v>
      </c>
      <c r="N32" s="102"/>
      <c r="O32" s="103"/>
      <c r="P32" s="100"/>
      <c r="Q32" s="104"/>
      <c r="R32" s="100"/>
      <c r="S32" s="100"/>
      <c r="T32" s="100"/>
      <c r="U32" s="101"/>
      <c r="V32" s="101"/>
      <c r="W32" s="102"/>
      <c r="X32" s="103"/>
      <c r="Y32" s="100"/>
      <c r="Z32" s="104"/>
      <c r="AA32" s="100"/>
      <c r="AB32" s="100"/>
      <c r="AC32" s="100"/>
      <c r="AD32" s="101"/>
      <c r="AE32" s="101"/>
      <c r="AF32" s="102"/>
      <c r="AG32" s="103"/>
      <c r="AH32" s="100"/>
      <c r="AI32" s="104"/>
      <c r="AJ32" s="100"/>
      <c r="AK32" s="100"/>
      <c r="AL32" s="100"/>
      <c r="AM32" s="101"/>
      <c r="AN32" s="101"/>
      <c r="AO32" s="102"/>
      <c r="AP32" s="103"/>
      <c r="AQ32" s="100"/>
      <c r="AR32" s="104"/>
      <c r="AS32" s="100"/>
      <c r="AT32" s="100"/>
      <c r="AU32" s="100"/>
      <c r="AV32" s="101"/>
      <c r="AW32" s="101"/>
      <c r="AX32" s="102"/>
      <c r="AY32" s="103"/>
      <c r="AZ32" s="100"/>
      <c r="BA32" s="104"/>
      <c r="BB32" s="100"/>
      <c r="BC32" s="100"/>
      <c r="BD32" s="100"/>
      <c r="BE32" s="101"/>
      <c r="BF32" s="101"/>
      <c r="BG32" s="102"/>
      <c r="BH32" s="103"/>
      <c r="BI32" s="100"/>
      <c r="BJ32" s="104"/>
      <c r="BK32" s="100"/>
      <c r="BL32" s="100"/>
      <c r="BM32" s="100"/>
      <c r="BN32" s="101"/>
      <c r="BO32" s="101"/>
      <c r="BP32" s="102"/>
      <c r="BQ32" s="103"/>
      <c r="BR32" s="100"/>
      <c r="BS32" s="104"/>
      <c r="BT32" s="100"/>
      <c r="BU32" s="100"/>
      <c r="BV32" s="100"/>
      <c r="BW32" s="101"/>
      <c r="BX32" s="101"/>
      <c r="BY32" s="102"/>
      <c r="BZ32" s="103"/>
      <c r="CA32" s="100"/>
      <c r="CB32" s="104"/>
      <c r="CC32" s="100"/>
      <c r="CD32" s="100"/>
      <c r="CE32" s="100"/>
      <c r="CF32" s="101"/>
      <c r="CG32" s="101"/>
      <c r="CH32" s="102"/>
      <c r="CI32" s="103"/>
      <c r="CJ32" s="100"/>
      <c r="CK32" s="104"/>
      <c r="CL32" s="100"/>
      <c r="CM32" s="100"/>
      <c r="CN32" s="100"/>
      <c r="CO32" s="101"/>
      <c r="CP32" s="101"/>
      <c r="CQ32" s="102"/>
      <c r="CR32" s="103"/>
      <c r="CS32" s="100"/>
      <c r="CT32" s="104"/>
      <c r="CU32" s="100"/>
      <c r="CV32" s="100"/>
      <c r="CW32" s="100"/>
      <c r="CX32" s="101"/>
      <c r="CY32" s="101"/>
      <c r="CZ32" s="102"/>
      <c r="DA32" s="103"/>
      <c r="DB32" s="100"/>
      <c r="DC32" s="104"/>
      <c r="DD32" s="100"/>
      <c r="DE32" s="100"/>
      <c r="DF32" s="100"/>
      <c r="DG32" s="101"/>
      <c r="DH32" s="101"/>
      <c r="DI32" s="102"/>
      <c r="DJ32" s="103"/>
      <c r="DK32" s="100"/>
      <c r="DL32" s="104"/>
      <c r="DM32" s="100"/>
      <c r="DN32" s="100"/>
      <c r="DO32" s="100"/>
      <c r="DP32" s="101"/>
      <c r="DQ32" s="101"/>
      <c r="DR32" s="102"/>
      <c r="DS32" s="103"/>
      <c r="DT32" s="100"/>
      <c r="DU32" s="104"/>
      <c r="DV32" s="100"/>
      <c r="DW32" s="100"/>
      <c r="DX32" s="100"/>
      <c r="DY32" s="101"/>
      <c r="DZ32" s="101"/>
      <c r="EA32" s="102"/>
      <c r="EB32" s="103"/>
      <c r="EC32" s="100"/>
      <c r="ED32" s="104"/>
      <c r="EE32" s="100"/>
      <c r="EF32" s="100"/>
      <c r="EG32" s="100"/>
      <c r="EH32" s="101"/>
      <c r="EI32" s="101"/>
      <c r="EJ32" s="102"/>
      <c r="EK32" s="103"/>
      <c r="EL32" s="100"/>
      <c r="EM32" s="104"/>
      <c r="EN32" s="100"/>
      <c r="EO32" s="100"/>
      <c r="EP32" s="100"/>
      <c r="EQ32" s="101"/>
      <c r="ER32" s="101"/>
      <c r="ES32" s="102"/>
      <c r="ET32" s="103"/>
      <c r="EU32" s="100"/>
      <c r="EV32" s="104"/>
      <c r="EW32" s="100"/>
      <c r="EX32" s="100"/>
      <c r="EY32" s="100"/>
      <c r="EZ32" s="101"/>
      <c r="FA32" s="101"/>
      <c r="FB32" s="102"/>
      <c r="FC32" s="103"/>
      <c r="FD32" s="100"/>
      <c r="FE32" s="104"/>
      <c r="FF32" s="100"/>
      <c r="FG32" s="100"/>
      <c r="FH32" s="100"/>
      <c r="FI32" s="101"/>
      <c r="FJ32" s="101"/>
      <c r="FK32" s="102"/>
      <c r="FL32" s="103"/>
      <c r="FM32" s="100"/>
      <c r="FN32" s="104"/>
      <c r="FO32" s="100"/>
      <c r="FP32" s="100"/>
      <c r="FQ32" s="100"/>
      <c r="FR32" s="101"/>
      <c r="FS32" s="101"/>
      <c r="FT32" s="102"/>
      <c r="FU32" s="103"/>
      <c r="FV32" s="100"/>
      <c r="FW32" s="104"/>
      <c r="FX32" s="100"/>
      <c r="FY32" s="100"/>
      <c r="FZ32" s="100"/>
      <c r="GA32" s="101"/>
      <c r="GB32" s="101"/>
      <c r="GC32" s="102"/>
      <c r="GD32" s="103"/>
      <c r="GE32" s="100"/>
      <c r="GF32" s="104"/>
      <c r="GG32" s="100"/>
      <c r="GH32" s="100"/>
      <c r="GI32" s="100"/>
      <c r="GJ32" s="101"/>
      <c r="GK32" s="101"/>
      <c r="GL32" s="102"/>
      <c r="GM32" s="103"/>
      <c r="GN32" s="100"/>
      <c r="GO32" s="104"/>
      <c r="GP32" s="100"/>
      <c r="GQ32" s="100"/>
      <c r="GR32" s="100"/>
      <c r="GS32" s="101"/>
      <c r="GT32" s="101"/>
      <c r="GU32" s="102"/>
      <c r="GV32" s="103"/>
      <c r="GW32" s="100"/>
      <c r="GX32" s="104"/>
      <c r="GY32" s="100"/>
      <c r="GZ32" s="100"/>
      <c r="HA32" s="100"/>
      <c r="HB32" s="101"/>
      <c r="HC32" s="101"/>
      <c r="HD32" s="102"/>
      <c r="HE32" s="103"/>
      <c r="HF32" s="100"/>
      <c r="HG32" s="104"/>
      <c r="HH32" s="100"/>
      <c r="HI32" s="100"/>
      <c r="HJ32" s="100"/>
      <c r="HK32" s="101"/>
      <c r="HL32" s="101"/>
      <c r="HM32" s="102"/>
      <c r="HN32" s="103"/>
      <c r="HO32" s="100"/>
      <c r="HP32" s="104"/>
      <c r="HQ32" s="100"/>
      <c r="HR32" s="100"/>
      <c r="HS32" s="100"/>
      <c r="HT32" s="101"/>
      <c r="HU32" s="101"/>
      <c r="HV32" s="102"/>
      <c r="HW32" s="103"/>
      <c r="HX32" s="100"/>
      <c r="HY32" s="104"/>
      <c r="HZ32" s="100"/>
      <c r="IA32" s="100"/>
      <c r="IB32" s="100"/>
      <c r="IC32" s="101"/>
      <c r="ID32" s="101"/>
      <c r="IE32" s="102"/>
      <c r="IF32" s="103"/>
      <c r="IG32" s="100"/>
      <c r="IH32" s="104"/>
      <c r="II32" s="100"/>
      <c r="IJ32" s="100"/>
      <c r="IK32" s="100"/>
    </row>
    <row r="33" spans="1:245" ht="15.5" customHeight="1" x14ac:dyDescent="0.2">
      <c r="A33" s="82" t="s">
        <v>391</v>
      </c>
      <c r="B33" s="83"/>
      <c r="C33" s="83"/>
      <c r="D33" s="83"/>
      <c r="E33" s="83"/>
      <c r="F33" s="83"/>
      <c r="G33" s="84"/>
      <c r="H33" s="83"/>
      <c r="I33" s="83"/>
      <c r="J33" s="83"/>
      <c r="K33" s="418"/>
      <c r="L33" s="93"/>
      <c r="M33" s="83"/>
    </row>
    <row r="34" spans="1:245" s="410" customFormat="1" x14ac:dyDescent="0.2">
      <c r="A34" s="137"/>
      <c r="B34" s="138"/>
      <c r="C34" s="138"/>
      <c r="D34" s="138"/>
      <c r="E34" s="138"/>
      <c r="F34" s="138"/>
      <c r="G34" s="138"/>
      <c r="H34" s="138"/>
      <c r="I34" s="138"/>
      <c r="J34" s="138"/>
      <c r="K34" s="418"/>
      <c r="L34" s="93"/>
      <c r="M34" s="138"/>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row>
    <row r="35" spans="1:245" s="468" customFormat="1" ht="39" customHeight="1" outlineLevel="1" x14ac:dyDescent="0.2">
      <c r="A35" s="647" t="s">
        <v>392</v>
      </c>
      <c r="B35" s="465" t="s">
        <v>290</v>
      </c>
      <c r="C35" s="466"/>
      <c r="D35" s="467"/>
      <c r="E35" s="467"/>
      <c r="F35" s="357"/>
      <c r="G35" s="357"/>
      <c r="H35" s="357"/>
      <c r="I35" s="357"/>
      <c r="J35" s="357"/>
      <c r="M35" s="357"/>
    </row>
    <row r="36" spans="1:245" s="468" customFormat="1" ht="20" customHeight="1" outlineLevel="2" x14ac:dyDescent="0.2">
      <c r="A36" s="466" t="s">
        <v>291</v>
      </c>
      <c r="B36" s="469"/>
      <c r="C36" s="466" t="s">
        <v>292</v>
      </c>
      <c r="D36" s="467">
        <v>5</v>
      </c>
      <c r="E36" s="467">
        <v>2</v>
      </c>
      <c r="F36" s="357">
        <v>7000</v>
      </c>
      <c r="G36" s="357">
        <f t="shared" ref="G36:G41" si="9">(D36*E36*F36)</f>
        <v>70000</v>
      </c>
      <c r="H36" s="357">
        <f t="shared" ref="H36:H42" si="10">G36/$K$3</f>
        <v>4458.5987261146502</v>
      </c>
      <c r="I36" s="357">
        <f>H36</f>
        <v>4458.5987261146502</v>
      </c>
      <c r="J36" s="357"/>
      <c r="M36" s="357"/>
    </row>
    <row r="37" spans="1:245" s="468" customFormat="1" ht="32.5" customHeight="1" outlineLevel="2" x14ac:dyDescent="0.2">
      <c r="A37" s="466" t="s">
        <v>393</v>
      </c>
      <c r="B37" s="469"/>
      <c r="C37" s="466" t="s">
        <v>292</v>
      </c>
      <c r="D37" s="467">
        <v>5</v>
      </c>
      <c r="E37" s="467">
        <v>2</v>
      </c>
      <c r="F37" s="357">
        <v>7000</v>
      </c>
      <c r="G37" s="357">
        <f t="shared" si="9"/>
        <v>70000</v>
      </c>
      <c r="H37" s="357">
        <f t="shared" si="10"/>
        <v>4458.5987261146502</v>
      </c>
      <c r="I37" s="357">
        <f t="shared" ref="I37:I42" si="11">H37</f>
        <v>4458.5987261146502</v>
      </c>
      <c r="J37" s="357"/>
      <c r="M37" s="357"/>
    </row>
    <row r="38" spans="1:245" s="468" customFormat="1" ht="20" customHeight="1" outlineLevel="2" x14ac:dyDescent="0.2">
      <c r="A38" s="466" t="s">
        <v>293</v>
      </c>
      <c r="B38" s="469"/>
      <c r="C38" s="466" t="s">
        <v>294</v>
      </c>
      <c r="D38" s="467">
        <v>5</v>
      </c>
      <c r="E38" s="467">
        <v>1</v>
      </c>
      <c r="F38" s="357">
        <v>1500</v>
      </c>
      <c r="G38" s="357">
        <f t="shared" si="9"/>
        <v>7500</v>
      </c>
      <c r="H38" s="357">
        <f t="shared" si="10"/>
        <v>477.70700636942678</v>
      </c>
      <c r="I38" s="357">
        <f t="shared" si="11"/>
        <v>477.70700636942678</v>
      </c>
      <c r="J38" s="357"/>
      <c r="M38" s="357"/>
    </row>
    <row r="39" spans="1:245" s="468" customFormat="1" ht="20" customHeight="1" outlineLevel="2" x14ac:dyDescent="0.2">
      <c r="A39" s="466" t="s">
        <v>295</v>
      </c>
      <c r="B39" s="469"/>
      <c r="C39" s="466" t="s">
        <v>296</v>
      </c>
      <c r="D39" s="467">
        <v>5</v>
      </c>
      <c r="E39" s="467">
        <v>2</v>
      </c>
      <c r="F39" s="357">
        <v>1500</v>
      </c>
      <c r="G39" s="357">
        <f t="shared" si="9"/>
        <v>15000</v>
      </c>
      <c r="H39" s="357">
        <f t="shared" si="10"/>
        <v>955.41401273885356</v>
      </c>
      <c r="I39" s="357">
        <f t="shared" si="11"/>
        <v>955.41401273885356</v>
      </c>
      <c r="J39" s="357"/>
      <c r="M39" s="357"/>
    </row>
    <row r="40" spans="1:245" s="468" customFormat="1" ht="20" customHeight="1" outlineLevel="2" x14ac:dyDescent="0.2">
      <c r="A40" s="466"/>
      <c r="B40" s="469"/>
      <c r="C40" s="466"/>
      <c r="D40" s="467"/>
      <c r="E40" s="467"/>
      <c r="F40" s="357"/>
      <c r="G40" s="357">
        <f t="shared" si="9"/>
        <v>0</v>
      </c>
      <c r="H40" s="357">
        <f t="shared" si="10"/>
        <v>0</v>
      </c>
      <c r="I40" s="357">
        <f t="shared" si="11"/>
        <v>0</v>
      </c>
      <c r="J40" s="357"/>
      <c r="M40" s="357"/>
    </row>
    <row r="41" spans="1:245" s="468" customFormat="1" ht="20" customHeight="1" outlineLevel="2" x14ac:dyDescent="0.2">
      <c r="A41" s="466"/>
      <c r="B41" s="469"/>
      <c r="C41" s="466"/>
      <c r="D41" s="467"/>
      <c r="E41" s="467"/>
      <c r="F41" s="357"/>
      <c r="G41" s="357">
        <f t="shared" si="9"/>
        <v>0</v>
      </c>
      <c r="H41" s="357">
        <f t="shared" si="10"/>
        <v>0</v>
      </c>
      <c r="I41" s="357">
        <f t="shared" si="11"/>
        <v>0</v>
      </c>
      <c r="J41" s="357"/>
      <c r="M41" s="357"/>
    </row>
    <row r="42" spans="1:245" s="468" customFormat="1" ht="20" customHeight="1" outlineLevel="2" x14ac:dyDescent="0.2">
      <c r="A42" s="466"/>
      <c r="B42" s="469"/>
      <c r="C42" s="466"/>
      <c r="D42" s="467"/>
      <c r="E42" s="467"/>
      <c r="F42" s="357"/>
      <c r="G42" s="357">
        <f>(D42*E42*F42)</f>
        <v>0</v>
      </c>
      <c r="H42" s="357">
        <f t="shared" si="10"/>
        <v>0</v>
      </c>
      <c r="I42" s="357">
        <f t="shared" si="11"/>
        <v>0</v>
      </c>
      <c r="J42" s="357"/>
      <c r="M42" s="357"/>
    </row>
    <row r="43" spans="1:245" s="475" customFormat="1" outlineLevel="1" x14ac:dyDescent="0.2">
      <c r="A43" s="470" t="s">
        <v>288</v>
      </c>
      <c r="B43" s="471"/>
      <c r="C43" s="471"/>
      <c r="D43" s="471"/>
      <c r="E43" s="471"/>
      <c r="F43" s="464"/>
      <c r="G43" s="464">
        <f>SUM(G36:G42)</f>
        <v>162500</v>
      </c>
      <c r="H43" s="471">
        <f>SUM(H36:H42)</f>
        <v>10350.318471337579</v>
      </c>
      <c r="I43" s="464">
        <f>SUM(I36:I42)</f>
        <v>10350.318471337579</v>
      </c>
      <c r="J43" s="464">
        <f>SUM(J36:J42)</f>
        <v>0</v>
      </c>
      <c r="K43" s="468"/>
      <c r="L43" s="472"/>
      <c r="M43" s="464">
        <f>$H43</f>
        <v>10350.318471337579</v>
      </c>
      <c r="N43" s="473"/>
      <c r="O43" s="472"/>
      <c r="P43" s="472"/>
      <c r="Q43" s="474"/>
      <c r="R43" s="472"/>
      <c r="S43" s="472"/>
      <c r="T43" s="472"/>
      <c r="U43" s="473"/>
      <c r="V43" s="473"/>
      <c r="W43" s="473"/>
      <c r="X43" s="472"/>
      <c r="Y43" s="472"/>
      <c r="Z43" s="474"/>
      <c r="AA43" s="472"/>
      <c r="AB43" s="472"/>
      <c r="AC43" s="472"/>
      <c r="AD43" s="473"/>
      <c r="AE43" s="473"/>
      <c r="AF43" s="473"/>
      <c r="AG43" s="472"/>
      <c r="AH43" s="472"/>
      <c r="AI43" s="474"/>
      <c r="AJ43" s="472"/>
      <c r="AK43" s="472"/>
      <c r="AL43" s="472"/>
      <c r="AM43" s="473"/>
      <c r="AN43" s="473"/>
      <c r="AO43" s="473"/>
      <c r="AP43" s="472"/>
      <c r="AQ43" s="472"/>
      <c r="AR43" s="474"/>
      <c r="AS43" s="472"/>
      <c r="AT43" s="472"/>
      <c r="AU43" s="472"/>
      <c r="AV43" s="473"/>
      <c r="AW43" s="473"/>
      <c r="AX43" s="473"/>
      <c r="AY43" s="472"/>
      <c r="AZ43" s="472"/>
      <c r="BA43" s="474"/>
      <c r="BB43" s="472"/>
      <c r="BC43" s="472"/>
      <c r="BD43" s="472"/>
      <c r="BE43" s="473"/>
      <c r="BF43" s="473"/>
      <c r="BG43" s="473"/>
      <c r="BH43" s="472"/>
      <c r="BI43" s="472"/>
      <c r="BJ43" s="474"/>
      <c r="BK43" s="472"/>
      <c r="BL43" s="472"/>
      <c r="BM43" s="472"/>
      <c r="BN43" s="473"/>
      <c r="BO43" s="473"/>
      <c r="BP43" s="473"/>
      <c r="BQ43" s="472"/>
      <c r="BR43" s="472"/>
      <c r="BS43" s="474"/>
      <c r="BT43" s="472"/>
      <c r="BU43" s="472"/>
      <c r="BV43" s="472"/>
      <c r="BW43" s="473"/>
      <c r="BX43" s="473"/>
      <c r="BY43" s="473"/>
      <c r="BZ43" s="472"/>
      <c r="CA43" s="472"/>
      <c r="CB43" s="474"/>
      <c r="CC43" s="472"/>
      <c r="CD43" s="472"/>
      <c r="CE43" s="472"/>
      <c r="CF43" s="473"/>
      <c r="CG43" s="473"/>
      <c r="CH43" s="473"/>
      <c r="CI43" s="472"/>
      <c r="CJ43" s="472"/>
      <c r="CK43" s="474"/>
      <c r="CL43" s="472"/>
      <c r="CM43" s="472"/>
      <c r="CN43" s="472"/>
      <c r="CO43" s="473"/>
      <c r="CP43" s="473"/>
      <c r="CQ43" s="473"/>
      <c r="CR43" s="472"/>
      <c r="CS43" s="472"/>
      <c r="CT43" s="474"/>
      <c r="CU43" s="472"/>
      <c r="CV43" s="472"/>
      <c r="CW43" s="472"/>
      <c r="CX43" s="473"/>
      <c r="CY43" s="473"/>
      <c r="CZ43" s="473"/>
      <c r="DA43" s="472"/>
      <c r="DB43" s="472"/>
      <c r="DC43" s="474"/>
      <c r="DD43" s="472"/>
      <c r="DE43" s="472"/>
      <c r="DF43" s="472"/>
      <c r="DG43" s="473"/>
      <c r="DH43" s="473"/>
      <c r="DI43" s="473"/>
      <c r="DJ43" s="472"/>
      <c r="DK43" s="472"/>
      <c r="DL43" s="474"/>
      <c r="DM43" s="472"/>
      <c r="DN43" s="472"/>
      <c r="DO43" s="472"/>
      <c r="DP43" s="473"/>
      <c r="DQ43" s="473"/>
      <c r="DR43" s="473"/>
      <c r="DS43" s="472"/>
      <c r="DT43" s="472"/>
      <c r="DU43" s="474"/>
      <c r="DV43" s="472"/>
      <c r="DW43" s="472"/>
      <c r="DX43" s="472"/>
      <c r="DY43" s="473"/>
      <c r="DZ43" s="473"/>
      <c r="EA43" s="473"/>
      <c r="EB43" s="472"/>
      <c r="EC43" s="472"/>
      <c r="ED43" s="474"/>
      <c r="EE43" s="472"/>
      <c r="EF43" s="472"/>
      <c r="EG43" s="472"/>
      <c r="EH43" s="473"/>
      <c r="EI43" s="473"/>
      <c r="EJ43" s="473"/>
      <c r="EK43" s="472"/>
      <c r="EL43" s="472"/>
      <c r="EM43" s="474"/>
      <c r="EN43" s="472"/>
      <c r="EO43" s="472"/>
      <c r="EP43" s="472"/>
      <c r="EQ43" s="473"/>
      <c r="ER43" s="473"/>
      <c r="ES43" s="473"/>
      <c r="ET43" s="472"/>
      <c r="EU43" s="472"/>
      <c r="EV43" s="474"/>
      <c r="EW43" s="472"/>
      <c r="EX43" s="472"/>
      <c r="EY43" s="472"/>
      <c r="EZ43" s="473"/>
      <c r="FA43" s="473"/>
      <c r="FB43" s="473"/>
      <c r="FC43" s="472"/>
      <c r="FD43" s="472"/>
      <c r="FE43" s="474"/>
      <c r="FF43" s="472"/>
      <c r="FG43" s="472"/>
      <c r="FH43" s="472"/>
      <c r="FI43" s="473"/>
      <c r="FJ43" s="473"/>
      <c r="FK43" s="473"/>
      <c r="FL43" s="472"/>
      <c r="FM43" s="472"/>
      <c r="FN43" s="474"/>
      <c r="FO43" s="472"/>
      <c r="FP43" s="472"/>
      <c r="FQ43" s="472"/>
      <c r="FR43" s="473"/>
      <c r="FS43" s="473"/>
      <c r="FT43" s="473"/>
      <c r="FU43" s="472"/>
      <c r="FV43" s="472"/>
      <c r="FW43" s="474"/>
      <c r="FX43" s="472"/>
      <c r="FY43" s="472"/>
      <c r="FZ43" s="472"/>
      <c r="GA43" s="473"/>
      <c r="GB43" s="473"/>
      <c r="GC43" s="473"/>
      <c r="GD43" s="472"/>
      <c r="GE43" s="472"/>
      <c r="GF43" s="474"/>
      <c r="GG43" s="472"/>
      <c r="GH43" s="472"/>
      <c r="GI43" s="472"/>
      <c r="GJ43" s="473"/>
      <c r="GK43" s="473"/>
      <c r="GL43" s="473"/>
      <c r="GM43" s="472"/>
      <c r="GN43" s="472"/>
      <c r="GO43" s="474"/>
      <c r="GP43" s="472"/>
      <c r="GQ43" s="472"/>
      <c r="GR43" s="472"/>
      <c r="GS43" s="473"/>
      <c r="GT43" s="473"/>
      <c r="GU43" s="473"/>
      <c r="GV43" s="472"/>
      <c r="GW43" s="472"/>
      <c r="GX43" s="474"/>
      <c r="GY43" s="472"/>
      <c r="GZ43" s="472"/>
      <c r="HA43" s="472"/>
      <c r="HB43" s="473"/>
      <c r="HC43" s="473"/>
      <c r="HD43" s="473"/>
      <c r="HE43" s="472"/>
      <c r="HF43" s="472"/>
      <c r="HG43" s="474"/>
      <c r="HH43" s="472"/>
      <c r="HI43" s="472"/>
      <c r="HJ43" s="472"/>
      <c r="HK43" s="473"/>
      <c r="HL43" s="473"/>
      <c r="HM43" s="473"/>
      <c r="HN43" s="472"/>
      <c r="HO43" s="472"/>
      <c r="HP43" s="474"/>
      <c r="HQ43" s="472"/>
      <c r="HR43" s="472"/>
      <c r="HS43" s="472"/>
      <c r="HT43" s="473"/>
      <c r="HU43" s="473"/>
      <c r="HV43" s="473"/>
      <c r="HW43" s="472"/>
      <c r="HX43" s="472"/>
      <c r="HY43" s="474"/>
      <c r="HZ43" s="472"/>
      <c r="IA43" s="472"/>
      <c r="IB43" s="472"/>
      <c r="IC43" s="473"/>
      <c r="ID43" s="473"/>
      <c r="IE43" s="473"/>
      <c r="IF43" s="472"/>
      <c r="IG43" s="472"/>
      <c r="IH43" s="474"/>
      <c r="II43" s="472"/>
      <c r="IJ43" s="472"/>
      <c r="IK43" s="472"/>
    </row>
    <row r="44" spans="1:245" s="93" customFormat="1" ht="39" customHeight="1" outlineLevel="1" x14ac:dyDescent="0.2">
      <c r="A44" s="409" t="s">
        <v>394</v>
      </c>
      <c r="B44" s="115" t="s">
        <v>395</v>
      </c>
      <c r="C44" s="85"/>
      <c r="D44" s="86"/>
      <c r="E44" s="86"/>
      <c r="F44" s="87"/>
      <c r="G44" s="88"/>
      <c r="H44" s="89"/>
      <c r="I44" s="90"/>
      <c r="J44" s="415"/>
      <c r="K44" s="418"/>
      <c r="M44" s="357"/>
    </row>
    <row r="45" spans="1:245" s="93" customFormat="1" ht="20" customHeight="1" outlineLevel="2" x14ac:dyDescent="0.2">
      <c r="A45" s="85" t="s">
        <v>369</v>
      </c>
      <c r="B45" s="394" t="s">
        <v>396</v>
      </c>
      <c r="C45" s="85" t="s">
        <v>339</v>
      </c>
      <c r="D45" s="86">
        <f>3*5+5+5</f>
        <v>25</v>
      </c>
      <c r="E45" s="86">
        <v>5</v>
      </c>
      <c r="F45" s="87">
        <v>150</v>
      </c>
      <c r="G45" s="88">
        <f t="shared" ref="G45:G48" si="12">(D45*E45*F45)</f>
        <v>18750</v>
      </c>
      <c r="H45" s="89">
        <f t="shared" ref="H45:H51" si="13">G45/$K$3</f>
        <v>1194.2675159235669</v>
      </c>
      <c r="I45" s="90">
        <f>H45</f>
        <v>1194.2675159235669</v>
      </c>
      <c r="J45" s="415"/>
      <c r="K45" s="418"/>
      <c r="M45" s="464"/>
    </row>
    <row r="46" spans="1:245" s="93" customFormat="1" ht="20" customHeight="1" outlineLevel="2" x14ac:dyDescent="0.2">
      <c r="A46" s="85" t="s">
        <v>323</v>
      </c>
      <c r="B46" s="394" t="s">
        <v>323</v>
      </c>
      <c r="C46" s="85" t="s">
        <v>364</v>
      </c>
      <c r="D46" s="86">
        <f>3*5</f>
        <v>15</v>
      </c>
      <c r="E46" s="86">
        <v>5</v>
      </c>
      <c r="F46" s="87">
        <v>150</v>
      </c>
      <c r="G46" s="88">
        <f t="shared" si="12"/>
        <v>11250</v>
      </c>
      <c r="H46" s="89">
        <f t="shared" si="13"/>
        <v>716.56050955414014</v>
      </c>
      <c r="I46" s="90">
        <f t="shared" ref="I46:I48" si="14">H46</f>
        <v>716.56050955414014</v>
      </c>
      <c r="J46" s="415"/>
      <c r="K46" s="418"/>
      <c r="M46" s="357"/>
    </row>
    <row r="47" spans="1:245" s="93" customFormat="1" ht="20" customHeight="1" outlineLevel="2" x14ac:dyDescent="0.2">
      <c r="A47" s="85" t="s">
        <v>397</v>
      </c>
      <c r="B47" s="394" t="s">
        <v>398</v>
      </c>
      <c r="C47" s="85" t="s">
        <v>287</v>
      </c>
      <c r="D47" s="86">
        <v>5</v>
      </c>
      <c r="E47" s="86">
        <v>5</v>
      </c>
      <c r="F47" s="87">
        <v>3000</v>
      </c>
      <c r="G47" s="88">
        <f t="shared" si="12"/>
        <v>75000</v>
      </c>
      <c r="H47" s="89">
        <f t="shared" si="13"/>
        <v>4777.0700636942674</v>
      </c>
      <c r="I47" s="90">
        <f t="shared" si="14"/>
        <v>4777.0700636942674</v>
      </c>
      <c r="J47" s="415"/>
      <c r="K47" s="418"/>
      <c r="M47" s="357"/>
    </row>
    <row r="48" spans="1:245" s="93" customFormat="1" ht="20" customHeight="1" outlineLevel="2" x14ac:dyDescent="0.2">
      <c r="A48" s="85"/>
      <c r="B48" s="394"/>
      <c r="C48" s="85"/>
      <c r="D48" s="86"/>
      <c r="E48" s="86"/>
      <c r="F48" s="87"/>
      <c r="G48" s="88">
        <f t="shared" si="12"/>
        <v>0</v>
      </c>
      <c r="H48" s="89">
        <f t="shared" si="13"/>
        <v>0</v>
      </c>
      <c r="I48" s="90">
        <f t="shared" si="14"/>
        <v>0</v>
      </c>
      <c r="J48" s="415"/>
      <c r="K48" s="418"/>
      <c r="M48" s="357"/>
    </row>
    <row r="49" spans="1:245" s="93" customFormat="1" ht="20" customHeight="1" outlineLevel="2" x14ac:dyDescent="0.2">
      <c r="A49" s="85"/>
      <c r="B49" s="394"/>
      <c r="C49" s="85" t="s">
        <v>308</v>
      </c>
      <c r="D49" s="86"/>
      <c r="E49" s="86"/>
      <c r="F49" s="87"/>
      <c r="G49" s="88">
        <f t="shared" ref="G49:G50" si="15">(D49*E49*F49)</f>
        <v>0</v>
      </c>
      <c r="H49" s="89">
        <f t="shared" si="13"/>
        <v>0</v>
      </c>
      <c r="I49" s="90">
        <f t="shared" ref="I49:I51" si="16">H49</f>
        <v>0</v>
      </c>
      <c r="J49" s="415"/>
      <c r="K49" s="418"/>
      <c r="M49" s="357"/>
    </row>
    <row r="50" spans="1:245" s="93" customFormat="1" ht="20" customHeight="1" outlineLevel="2" x14ac:dyDescent="0.2">
      <c r="A50" s="85"/>
      <c r="B50" s="394"/>
      <c r="C50" s="85" t="s">
        <v>399</v>
      </c>
      <c r="D50" s="86"/>
      <c r="E50" s="86"/>
      <c r="F50" s="87"/>
      <c r="G50" s="88">
        <f t="shared" si="15"/>
        <v>0</v>
      </c>
      <c r="H50" s="89">
        <f t="shared" si="13"/>
        <v>0</v>
      </c>
      <c r="I50" s="90">
        <f t="shared" si="16"/>
        <v>0</v>
      </c>
      <c r="J50" s="415"/>
      <c r="K50" s="418"/>
      <c r="M50" s="357"/>
    </row>
    <row r="51" spans="1:245" s="93" customFormat="1" ht="20" customHeight="1" outlineLevel="2" x14ac:dyDescent="0.2">
      <c r="A51" s="85"/>
      <c r="B51" s="394"/>
      <c r="C51" s="85" t="s">
        <v>292</v>
      </c>
      <c r="D51" s="86"/>
      <c r="E51" s="86"/>
      <c r="F51" s="87"/>
      <c r="G51" s="88">
        <f>(D51*E51*F51)</f>
        <v>0</v>
      </c>
      <c r="H51" s="89">
        <f t="shared" si="13"/>
        <v>0</v>
      </c>
      <c r="I51" s="90">
        <f t="shared" si="16"/>
        <v>0</v>
      </c>
      <c r="J51" s="415"/>
      <c r="K51" s="418"/>
      <c r="M51" s="357"/>
    </row>
    <row r="52" spans="1:245" s="105" customFormat="1" outlineLevel="1" x14ac:dyDescent="0.2">
      <c r="A52" s="94" t="s">
        <v>288</v>
      </c>
      <c r="B52" s="95"/>
      <c r="C52" s="98"/>
      <c r="D52" s="98"/>
      <c r="E52" s="95"/>
      <c r="F52" s="96"/>
      <c r="G52" s="99">
        <f>SUM(G45:G51)</f>
        <v>105000</v>
      </c>
      <c r="H52" s="406">
        <f>SUM(H45:H51)</f>
        <v>6687.8980891719748</v>
      </c>
      <c r="I52" s="96">
        <f>SUM(I45:I51)</f>
        <v>6687.8980891719748</v>
      </c>
      <c r="J52" s="416">
        <f>SUM(J45:J51)</f>
        <v>0</v>
      </c>
      <c r="K52" s="418"/>
      <c r="L52" s="100"/>
      <c r="M52" s="464">
        <f>$H52</f>
        <v>6687.8980891719748</v>
      </c>
      <c r="N52" s="102"/>
      <c r="O52" s="103"/>
      <c r="P52" s="100"/>
      <c r="Q52" s="104"/>
      <c r="R52" s="100"/>
      <c r="S52" s="100"/>
      <c r="T52" s="100"/>
      <c r="U52" s="101"/>
      <c r="V52" s="101"/>
      <c r="W52" s="102"/>
      <c r="X52" s="103"/>
      <c r="Y52" s="100"/>
      <c r="Z52" s="104"/>
      <c r="AA52" s="100"/>
      <c r="AB52" s="100"/>
      <c r="AC52" s="100"/>
      <c r="AD52" s="101"/>
      <c r="AE52" s="101"/>
      <c r="AF52" s="102"/>
      <c r="AG52" s="103"/>
      <c r="AH52" s="100"/>
      <c r="AI52" s="104"/>
      <c r="AJ52" s="100"/>
      <c r="AK52" s="100"/>
      <c r="AL52" s="100"/>
      <c r="AM52" s="101"/>
      <c r="AN52" s="101"/>
      <c r="AO52" s="102"/>
      <c r="AP52" s="103"/>
      <c r="AQ52" s="100"/>
      <c r="AR52" s="104"/>
      <c r="AS52" s="100"/>
      <c r="AT52" s="100"/>
      <c r="AU52" s="100"/>
      <c r="AV52" s="101"/>
      <c r="AW52" s="101"/>
      <c r="AX52" s="102"/>
      <c r="AY52" s="103"/>
      <c r="AZ52" s="100"/>
      <c r="BA52" s="104"/>
      <c r="BB52" s="100"/>
      <c r="BC52" s="100"/>
      <c r="BD52" s="100"/>
      <c r="BE52" s="101"/>
      <c r="BF52" s="101"/>
      <c r="BG52" s="102"/>
      <c r="BH52" s="103"/>
      <c r="BI52" s="100"/>
      <c r="BJ52" s="104"/>
      <c r="BK52" s="100"/>
      <c r="BL52" s="100"/>
      <c r="BM52" s="100"/>
      <c r="BN52" s="101"/>
      <c r="BO52" s="101"/>
      <c r="BP52" s="102"/>
      <c r="BQ52" s="103"/>
      <c r="BR52" s="100"/>
      <c r="BS52" s="104"/>
      <c r="BT52" s="100"/>
      <c r="BU52" s="100"/>
      <c r="BV52" s="100"/>
      <c r="BW52" s="101"/>
      <c r="BX52" s="101"/>
      <c r="BY52" s="102"/>
      <c r="BZ52" s="103"/>
      <c r="CA52" s="100"/>
      <c r="CB52" s="104"/>
      <c r="CC52" s="100"/>
      <c r="CD52" s="100"/>
      <c r="CE52" s="100"/>
      <c r="CF52" s="101"/>
      <c r="CG52" s="101"/>
      <c r="CH52" s="102"/>
      <c r="CI52" s="103"/>
      <c r="CJ52" s="100"/>
      <c r="CK52" s="104"/>
      <c r="CL52" s="100"/>
      <c r="CM52" s="100"/>
      <c r="CN52" s="100"/>
      <c r="CO52" s="101"/>
      <c r="CP52" s="101"/>
      <c r="CQ52" s="102"/>
      <c r="CR52" s="103"/>
      <c r="CS52" s="100"/>
      <c r="CT52" s="104"/>
      <c r="CU52" s="100"/>
      <c r="CV52" s="100"/>
      <c r="CW52" s="100"/>
      <c r="CX52" s="101"/>
      <c r="CY52" s="101"/>
      <c r="CZ52" s="102"/>
      <c r="DA52" s="103"/>
      <c r="DB52" s="100"/>
      <c r="DC52" s="104"/>
      <c r="DD52" s="100"/>
      <c r="DE52" s="100"/>
      <c r="DF52" s="100"/>
      <c r="DG52" s="101"/>
      <c r="DH52" s="101"/>
      <c r="DI52" s="102"/>
      <c r="DJ52" s="103"/>
      <c r="DK52" s="100"/>
      <c r="DL52" s="104"/>
      <c r="DM52" s="100"/>
      <c r="DN52" s="100"/>
      <c r="DO52" s="100"/>
      <c r="DP52" s="101"/>
      <c r="DQ52" s="101"/>
      <c r="DR52" s="102"/>
      <c r="DS52" s="103"/>
      <c r="DT52" s="100"/>
      <c r="DU52" s="104"/>
      <c r="DV52" s="100"/>
      <c r="DW52" s="100"/>
      <c r="DX52" s="100"/>
      <c r="DY52" s="101"/>
      <c r="DZ52" s="101"/>
      <c r="EA52" s="102"/>
      <c r="EB52" s="103"/>
      <c r="EC52" s="100"/>
      <c r="ED52" s="104"/>
      <c r="EE52" s="100"/>
      <c r="EF52" s="100"/>
      <c r="EG52" s="100"/>
      <c r="EH52" s="101"/>
      <c r="EI52" s="101"/>
      <c r="EJ52" s="102"/>
      <c r="EK52" s="103"/>
      <c r="EL52" s="100"/>
      <c r="EM52" s="104"/>
      <c r="EN52" s="100"/>
      <c r="EO52" s="100"/>
      <c r="EP52" s="100"/>
      <c r="EQ52" s="101"/>
      <c r="ER52" s="101"/>
      <c r="ES52" s="102"/>
      <c r="ET52" s="103"/>
      <c r="EU52" s="100"/>
      <c r="EV52" s="104"/>
      <c r="EW52" s="100"/>
      <c r="EX52" s="100"/>
      <c r="EY52" s="100"/>
      <c r="EZ52" s="101"/>
      <c r="FA52" s="101"/>
      <c r="FB52" s="102"/>
      <c r="FC52" s="103"/>
      <c r="FD52" s="100"/>
      <c r="FE52" s="104"/>
      <c r="FF52" s="100"/>
      <c r="FG52" s="100"/>
      <c r="FH52" s="100"/>
      <c r="FI52" s="101"/>
      <c r="FJ52" s="101"/>
      <c r="FK52" s="102"/>
      <c r="FL52" s="103"/>
      <c r="FM52" s="100"/>
      <c r="FN52" s="104"/>
      <c r="FO52" s="100"/>
      <c r="FP52" s="100"/>
      <c r="FQ52" s="100"/>
      <c r="FR52" s="101"/>
      <c r="FS52" s="101"/>
      <c r="FT52" s="102"/>
      <c r="FU52" s="103"/>
      <c r="FV52" s="100"/>
      <c r="FW52" s="104"/>
      <c r="FX52" s="100"/>
      <c r="FY52" s="100"/>
      <c r="FZ52" s="100"/>
      <c r="GA52" s="101"/>
      <c r="GB52" s="101"/>
      <c r="GC52" s="102"/>
      <c r="GD52" s="103"/>
      <c r="GE52" s="100"/>
      <c r="GF52" s="104"/>
      <c r="GG52" s="100"/>
      <c r="GH52" s="100"/>
      <c r="GI52" s="100"/>
      <c r="GJ52" s="101"/>
      <c r="GK52" s="101"/>
      <c r="GL52" s="102"/>
      <c r="GM52" s="103"/>
      <c r="GN52" s="100"/>
      <c r="GO52" s="104"/>
      <c r="GP52" s="100"/>
      <c r="GQ52" s="100"/>
      <c r="GR52" s="100"/>
      <c r="GS52" s="101"/>
      <c r="GT52" s="101"/>
      <c r="GU52" s="102"/>
      <c r="GV52" s="103"/>
      <c r="GW52" s="100"/>
      <c r="GX52" s="104"/>
      <c r="GY52" s="100"/>
      <c r="GZ52" s="100"/>
      <c r="HA52" s="100"/>
      <c r="HB52" s="101"/>
      <c r="HC52" s="101"/>
      <c r="HD52" s="102"/>
      <c r="HE52" s="103"/>
      <c r="HF52" s="100"/>
      <c r="HG52" s="104"/>
      <c r="HH52" s="100"/>
      <c r="HI52" s="100"/>
      <c r="HJ52" s="100"/>
      <c r="HK52" s="101"/>
      <c r="HL52" s="101"/>
      <c r="HM52" s="102"/>
      <c r="HN52" s="103"/>
      <c r="HO52" s="100"/>
      <c r="HP52" s="104"/>
      <c r="HQ52" s="100"/>
      <c r="HR52" s="100"/>
      <c r="HS52" s="100"/>
      <c r="HT52" s="101"/>
      <c r="HU52" s="101"/>
      <c r="HV52" s="102"/>
      <c r="HW52" s="103"/>
      <c r="HX52" s="100"/>
      <c r="HY52" s="104"/>
      <c r="HZ52" s="100"/>
      <c r="IA52" s="100"/>
      <c r="IB52" s="100"/>
      <c r="IC52" s="101"/>
      <c r="ID52" s="101"/>
      <c r="IE52" s="102"/>
      <c r="IF52" s="103"/>
      <c r="IG52" s="100"/>
      <c r="IH52" s="104"/>
      <c r="II52" s="100"/>
      <c r="IJ52" s="100"/>
      <c r="IK52" s="100"/>
    </row>
    <row r="53" spans="1:245" s="93" customFormat="1" ht="39" customHeight="1" outlineLevel="1" x14ac:dyDescent="0.2">
      <c r="A53" s="409" t="s">
        <v>400</v>
      </c>
      <c r="B53" s="115"/>
      <c r="C53" s="85"/>
      <c r="D53" s="86"/>
      <c r="E53" s="86"/>
      <c r="F53" s="87"/>
      <c r="G53" s="88"/>
      <c r="H53" s="89"/>
      <c r="I53" s="90"/>
      <c r="J53" s="415"/>
      <c r="K53" s="418"/>
      <c r="M53" s="357"/>
    </row>
    <row r="54" spans="1:245" s="93" customFormat="1" ht="20" customHeight="1" outlineLevel="2" x14ac:dyDescent="0.2">
      <c r="A54" s="85" t="s">
        <v>369</v>
      </c>
      <c r="B54" s="394" t="s">
        <v>396</v>
      </c>
      <c r="C54" s="85" t="s">
        <v>339</v>
      </c>
      <c r="D54" s="86">
        <f>5*6+5+5</f>
        <v>40</v>
      </c>
      <c r="E54" s="86">
        <f>2*4</f>
        <v>8</v>
      </c>
      <c r="F54" s="87">
        <v>150</v>
      </c>
      <c r="G54" s="88">
        <f t="shared" ref="G54:G56" si="17">(D54*E54*F54)</f>
        <v>48000</v>
      </c>
      <c r="H54" s="89">
        <f t="shared" ref="H54:H60" si="18">G54/$K$3</f>
        <v>3057.3248407643314</v>
      </c>
      <c r="I54" s="90">
        <f>H54</f>
        <v>3057.3248407643314</v>
      </c>
      <c r="J54" s="415"/>
      <c r="K54" s="418"/>
      <c r="M54" s="464"/>
    </row>
    <row r="55" spans="1:245" s="93" customFormat="1" ht="20" customHeight="1" outlineLevel="2" x14ac:dyDescent="0.2">
      <c r="A55" s="85" t="s">
        <v>323</v>
      </c>
      <c r="B55" s="394" t="s">
        <v>323</v>
      </c>
      <c r="C55" s="85" t="s">
        <v>364</v>
      </c>
      <c r="D55" s="86">
        <f>5*6</f>
        <v>30</v>
      </c>
      <c r="E55" s="86">
        <v>8</v>
      </c>
      <c r="F55" s="87">
        <v>300</v>
      </c>
      <c r="G55" s="88">
        <f t="shared" si="17"/>
        <v>72000</v>
      </c>
      <c r="H55" s="89">
        <f t="shared" si="18"/>
        <v>4585.9872611464971</v>
      </c>
      <c r="I55" s="90">
        <f t="shared" ref="I55:I56" si="19">H55</f>
        <v>4585.9872611464971</v>
      </c>
      <c r="J55" s="415"/>
      <c r="K55" s="418"/>
      <c r="M55" s="357"/>
    </row>
    <row r="56" spans="1:245" s="93" customFormat="1" ht="20" customHeight="1" outlineLevel="2" x14ac:dyDescent="0.2">
      <c r="A56" s="85" t="s">
        <v>336</v>
      </c>
      <c r="B56" s="394" t="s">
        <v>286</v>
      </c>
      <c r="C56" s="85" t="s">
        <v>287</v>
      </c>
      <c r="D56" s="86">
        <v>1</v>
      </c>
      <c r="E56" s="86">
        <f>2*4</f>
        <v>8</v>
      </c>
      <c r="F56" s="87">
        <v>3000</v>
      </c>
      <c r="G56" s="88">
        <f t="shared" si="17"/>
        <v>24000</v>
      </c>
      <c r="H56" s="89">
        <f t="shared" si="18"/>
        <v>1528.6624203821657</v>
      </c>
      <c r="I56" s="90">
        <f t="shared" si="19"/>
        <v>1528.6624203821657</v>
      </c>
      <c r="J56" s="415"/>
      <c r="K56" s="418"/>
      <c r="M56" s="357"/>
    </row>
    <row r="57" spans="1:245" s="93" customFormat="1" ht="20" customHeight="1" outlineLevel="2" x14ac:dyDescent="0.2">
      <c r="A57" s="85"/>
      <c r="B57" s="394"/>
      <c r="C57" s="85"/>
      <c r="D57" s="86"/>
      <c r="E57" s="86"/>
      <c r="F57" s="87"/>
      <c r="G57" s="88">
        <f t="shared" ref="G57:G59" si="20">(D57*E57*F57)</f>
        <v>0</v>
      </c>
      <c r="H57" s="89">
        <f t="shared" si="18"/>
        <v>0</v>
      </c>
      <c r="I57" s="90">
        <f t="shared" ref="I57:I60" si="21">H57</f>
        <v>0</v>
      </c>
      <c r="J57" s="415"/>
      <c r="K57" s="418"/>
      <c r="M57" s="357"/>
    </row>
    <row r="58" spans="1:245" s="93" customFormat="1" ht="20" customHeight="1" outlineLevel="2" x14ac:dyDescent="0.2">
      <c r="A58" s="85"/>
      <c r="B58" s="394"/>
      <c r="C58" s="85" t="s">
        <v>308</v>
      </c>
      <c r="D58" s="86"/>
      <c r="E58" s="86"/>
      <c r="F58" s="87"/>
      <c r="G58" s="88">
        <f t="shared" si="20"/>
        <v>0</v>
      </c>
      <c r="H58" s="89">
        <f t="shared" si="18"/>
        <v>0</v>
      </c>
      <c r="I58" s="90">
        <f t="shared" si="21"/>
        <v>0</v>
      </c>
      <c r="J58" s="415"/>
      <c r="K58" s="418"/>
      <c r="M58" s="357"/>
    </row>
    <row r="59" spans="1:245" s="93" customFormat="1" ht="20" customHeight="1" outlineLevel="2" x14ac:dyDescent="0.2">
      <c r="A59" s="85"/>
      <c r="B59" s="394"/>
      <c r="C59" s="85" t="s">
        <v>399</v>
      </c>
      <c r="D59" s="86"/>
      <c r="E59" s="86"/>
      <c r="F59" s="87"/>
      <c r="G59" s="88">
        <f t="shared" si="20"/>
        <v>0</v>
      </c>
      <c r="H59" s="89">
        <f t="shared" si="18"/>
        <v>0</v>
      </c>
      <c r="I59" s="90">
        <f t="shared" si="21"/>
        <v>0</v>
      </c>
      <c r="J59" s="415"/>
      <c r="K59" s="418"/>
      <c r="M59" s="357"/>
    </row>
    <row r="60" spans="1:245" s="93" customFormat="1" ht="20" customHeight="1" outlineLevel="2" x14ac:dyDescent="0.2">
      <c r="A60" s="85"/>
      <c r="B60" s="394"/>
      <c r="C60" s="85" t="s">
        <v>292</v>
      </c>
      <c r="D60" s="86"/>
      <c r="E60" s="86"/>
      <c r="F60" s="87"/>
      <c r="G60" s="88">
        <f>(D60*E60*F60)</f>
        <v>0</v>
      </c>
      <c r="H60" s="89">
        <f t="shared" si="18"/>
        <v>0</v>
      </c>
      <c r="I60" s="90">
        <f t="shared" si="21"/>
        <v>0</v>
      </c>
      <c r="J60" s="415"/>
      <c r="K60" s="418"/>
      <c r="M60" s="357"/>
    </row>
    <row r="61" spans="1:245" s="105" customFormat="1" outlineLevel="1" x14ac:dyDescent="0.2">
      <c r="A61" s="94" t="s">
        <v>288</v>
      </c>
      <c r="B61" s="95"/>
      <c r="C61" s="98"/>
      <c r="D61" s="98"/>
      <c r="E61" s="95"/>
      <c r="F61" s="96"/>
      <c r="G61" s="99">
        <f>SUM(G54:G60)</f>
        <v>144000</v>
      </c>
      <c r="H61" s="406">
        <f>SUM(H54:H60)</f>
        <v>9171.9745222929942</v>
      </c>
      <c r="I61" s="96">
        <f>SUM(I54:I60)</f>
        <v>9171.9745222929942</v>
      </c>
      <c r="J61" s="416">
        <f>SUM(J54:J60)</f>
        <v>0</v>
      </c>
      <c r="K61" s="418"/>
      <c r="L61" s="100"/>
      <c r="M61" s="464">
        <f>$H61</f>
        <v>9171.9745222929942</v>
      </c>
      <c r="N61" s="102"/>
      <c r="O61" s="103"/>
      <c r="P61" s="100"/>
      <c r="Q61" s="104"/>
      <c r="R61" s="100"/>
      <c r="S61" s="100"/>
      <c r="T61" s="100"/>
      <c r="U61" s="101"/>
      <c r="V61" s="101"/>
      <c r="W61" s="102"/>
      <c r="X61" s="103"/>
      <c r="Y61" s="100"/>
      <c r="Z61" s="104"/>
      <c r="AA61" s="100"/>
      <c r="AB61" s="100"/>
      <c r="AC61" s="100"/>
      <c r="AD61" s="101"/>
      <c r="AE61" s="101"/>
      <c r="AF61" s="102"/>
      <c r="AG61" s="103"/>
      <c r="AH61" s="100"/>
      <c r="AI61" s="104"/>
      <c r="AJ61" s="100"/>
      <c r="AK61" s="100"/>
      <c r="AL61" s="100"/>
      <c r="AM61" s="101"/>
      <c r="AN61" s="101"/>
      <c r="AO61" s="102"/>
      <c r="AP61" s="103"/>
      <c r="AQ61" s="100"/>
      <c r="AR61" s="104"/>
      <c r="AS61" s="100"/>
      <c r="AT61" s="100"/>
      <c r="AU61" s="100"/>
      <c r="AV61" s="101"/>
      <c r="AW61" s="101"/>
      <c r="AX61" s="102"/>
      <c r="AY61" s="103"/>
      <c r="AZ61" s="100"/>
      <c r="BA61" s="104"/>
      <c r="BB61" s="100"/>
      <c r="BC61" s="100"/>
      <c r="BD61" s="100"/>
      <c r="BE61" s="101"/>
      <c r="BF61" s="101"/>
      <c r="BG61" s="102"/>
      <c r="BH61" s="103"/>
      <c r="BI61" s="100"/>
      <c r="BJ61" s="104"/>
      <c r="BK61" s="100"/>
      <c r="BL61" s="100"/>
      <c r="BM61" s="100"/>
      <c r="BN61" s="101"/>
      <c r="BO61" s="101"/>
      <c r="BP61" s="102"/>
      <c r="BQ61" s="103"/>
      <c r="BR61" s="100"/>
      <c r="BS61" s="104"/>
      <c r="BT61" s="100"/>
      <c r="BU61" s="100"/>
      <c r="BV61" s="100"/>
      <c r="BW61" s="101"/>
      <c r="BX61" s="101"/>
      <c r="BY61" s="102"/>
      <c r="BZ61" s="103"/>
      <c r="CA61" s="100"/>
      <c r="CB61" s="104"/>
      <c r="CC61" s="100"/>
      <c r="CD61" s="100"/>
      <c r="CE61" s="100"/>
      <c r="CF61" s="101"/>
      <c r="CG61" s="101"/>
      <c r="CH61" s="102"/>
      <c r="CI61" s="103"/>
      <c r="CJ61" s="100"/>
      <c r="CK61" s="104"/>
      <c r="CL61" s="100"/>
      <c r="CM61" s="100"/>
      <c r="CN61" s="100"/>
      <c r="CO61" s="101"/>
      <c r="CP61" s="101"/>
      <c r="CQ61" s="102"/>
      <c r="CR61" s="103"/>
      <c r="CS61" s="100"/>
      <c r="CT61" s="104"/>
      <c r="CU61" s="100"/>
      <c r="CV61" s="100"/>
      <c r="CW61" s="100"/>
      <c r="CX61" s="101"/>
      <c r="CY61" s="101"/>
      <c r="CZ61" s="102"/>
      <c r="DA61" s="103"/>
      <c r="DB61" s="100"/>
      <c r="DC61" s="104"/>
      <c r="DD61" s="100"/>
      <c r="DE61" s="100"/>
      <c r="DF61" s="100"/>
      <c r="DG61" s="101"/>
      <c r="DH61" s="101"/>
      <c r="DI61" s="102"/>
      <c r="DJ61" s="103"/>
      <c r="DK61" s="100"/>
      <c r="DL61" s="104"/>
      <c r="DM61" s="100"/>
      <c r="DN61" s="100"/>
      <c r="DO61" s="100"/>
      <c r="DP61" s="101"/>
      <c r="DQ61" s="101"/>
      <c r="DR61" s="102"/>
      <c r="DS61" s="103"/>
      <c r="DT61" s="100"/>
      <c r="DU61" s="104"/>
      <c r="DV61" s="100"/>
      <c r="DW61" s="100"/>
      <c r="DX61" s="100"/>
      <c r="DY61" s="101"/>
      <c r="DZ61" s="101"/>
      <c r="EA61" s="102"/>
      <c r="EB61" s="103"/>
      <c r="EC61" s="100"/>
      <c r="ED61" s="104"/>
      <c r="EE61" s="100"/>
      <c r="EF61" s="100"/>
      <c r="EG61" s="100"/>
      <c r="EH61" s="101"/>
      <c r="EI61" s="101"/>
      <c r="EJ61" s="102"/>
      <c r="EK61" s="103"/>
      <c r="EL61" s="100"/>
      <c r="EM61" s="104"/>
      <c r="EN61" s="100"/>
      <c r="EO61" s="100"/>
      <c r="EP61" s="100"/>
      <c r="EQ61" s="101"/>
      <c r="ER61" s="101"/>
      <c r="ES61" s="102"/>
      <c r="ET61" s="103"/>
      <c r="EU61" s="100"/>
      <c r="EV61" s="104"/>
      <c r="EW61" s="100"/>
      <c r="EX61" s="100"/>
      <c r="EY61" s="100"/>
      <c r="EZ61" s="101"/>
      <c r="FA61" s="101"/>
      <c r="FB61" s="102"/>
      <c r="FC61" s="103"/>
      <c r="FD61" s="100"/>
      <c r="FE61" s="104"/>
      <c r="FF61" s="100"/>
      <c r="FG61" s="100"/>
      <c r="FH61" s="100"/>
      <c r="FI61" s="101"/>
      <c r="FJ61" s="101"/>
      <c r="FK61" s="102"/>
      <c r="FL61" s="103"/>
      <c r="FM61" s="100"/>
      <c r="FN61" s="104"/>
      <c r="FO61" s="100"/>
      <c r="FP61" s="100"/>
      <c r="FQ61" s="100"/>
      <c r="FR61" s="101"/>
      <c r="FS61" s="101"/>
      <c r="FT61" s="102"/>
      <c r="FU61" s="103"/>
      <c r="FV61" s="100"/>
      <c r="FW61" s="104"/>
      <c r="FX61" s="100"/>
      <c r="FY61" s="100"/>
      <c r="FZ61" s="100"/>
      <c r="GA61" s="101"/>
      <c r="GB61" s="101"/>
      <c r="GC61" s="102"/>
      <c r="GD61" s="103"/>
      <c r="GE61" s="100"/>
      <c r="GF61" s="104"/>
      <c r="GG61" s="100"/>
      <c r="GH61" s="100"/>
      <c r="GI61" s="100"/>
      <c r="GJ61" s="101"/>
      <c r="GK61" s="101"/>
      <c r="GL61" s="102"/>
      <c r="GM61" s="103"/>
      <c r="GN61" s="100"/>
      <c r="GO61" s="104"/>
      <c r="GP61" s="100"/>
      <c r="GQ61" s="100"/>
      <c r="GR61" s="100"/>
      <c r="GS61" s="101"/>
      <c r="GT61" s="101"/>
      <c r="GU61" s="102"/>
      <c r="GV61" s="103"/>
      <c r="GW61" s="100"/>
      <c r="GX61" s="104"/>
      <c r="GY61" s="100"/>
      <c r="GZ61" s="100"/>
      <c r="HA61" s="100"/>
      <c r="HB61" s="101"/>
      <c r="HC61" s="101"/>
      <c r="HD61" s="102"/>
      <c r="HE61" s="103"/>
      <c r="HF61" s="100"/>
      <c r="HG61" s="104"/>
      <c r="HH61" s="100"/>
      <c r="HI61" s="100"/>
      <c r="HJ61" s="100"/>
      <c r="HK61" s="101"/>
      <c r="HL61" s="101"/>
      <c r="HM61" s="102"/>
      <c r="HN61" s="103"/>
      <c r="HO61" s="100"/>
      <c r="HP61" s="104"/>
      <c r="HQ61" s="100"/>
      <c r="HR61" s="100"/>
      <c r="HS61" s="100"/>
      <c r="HT61" s="101"/>
      <c r="HU61" s="101"/>
      <c r="HV61" s="102"/>
      <c r="HW61" s="103"/>
      <c r="HX61" s="100"/>
      <c r="HY61" s="104"/>
      <c r="HZ61" s="100"/>
      <c r="IA61" s="100"/>
      <c r="IB61" s="100"/>
      <c r="IC61" s="101"/>
      <c r="ID61" s="101"/>
      <c r="IE61" s="102"/>
      <c r="IF61" s="103"/>
      <c r="IG61" s="100"/>
      <c r="IH61" s="104"/>
      <c r="II61" s="100"/>
      <c r="IJ61" s="100"/>
      <c r="IK61" s="100"/>
    </row>
    <row r="62" spans="1:245" s="93" customFormat="1" ht="39" customHeight="1" outlineLevel="1" x14ac:dyDescent="0.2">
      <c r="A62" s="409" t="s">
        <v>401</v>
      </c>
      <c r="B62" s="115"/>
      <c r="C62" s="85"/>
      <c r="D62" s="86"/>
      <c r="E62" s="86"/>
      <c r="F62" s="87"/>
      <c r="G62" s="88"/>
      <c r="H62" s="89"/>
      <c r="I62" s="90"/>
      <c r="J62" s="415"/>
      <c r="K62" s="418"/>
      <c r="M62" s="357"/>
    </row>
    <row r="63" spans="1:245" s="93" customFormat="1" ht="20" customHeight="1" outlineLevel="2" x14ac:dyDescent="0.2">
      <c r="A63" s="85" t="s">
        <v>369</v>
      </c>
      <c r="B63" s="394" t="s">
        <v>396</v>
      </c>
      <c r="C63" s="85" t="s">
        <v>339</v>
      </c>
      <c r="D63" s="86">
        <f>5*6+5+5</f>
        <v>40</v>
      </c>
      <c r="E63" s="86">
        <v>5</v>
      </c>
      <c r="F63" s="87">
        <v>150</v>
      </c>
      <c r="G63" s="88">
        <f t="shared" ref="G63:G65" si="22">(D63*E63*F63)</f>
        <v>30000</v>
      </c>
      <c r="H63" s="89">
        <f t="shared" ref="H63:H69" si="23">G63/$K$3</f>
        <v>1910.8280254777071</v>
      </c>
      <c r="I63" s="90">
        <f>H63</f>
        <v>1910.8280254777071</v>
      </c>
      <c r="J63" s="415"/>
      <c r="K63" s="418"/>
      <c r="M63" s="464"/>
    </row>
    <row r="64" spans="1:245" s="93" customFormat="1" ht="20" customHeight="1" outlineLevel="2" x14ac:dyDescent="0.2">
      <c r="A64" s="85" t="s">
        <v>323</v>
      </c>
      <c r="B64" s="394" t="s">
        <v>323</v>
      </c>
      <c r="C64" s="85" t="s">
        <v>364</v>
      </c>
      <c r="D64" s="86">
        <f>5*6</f>
        <v>30</v>
      </c>
      <c r="E64" s="86">
        <v>5</v>
      </c>
      <c r="F64" s="87">
        <v>300</v>
      </c>
      <c r="G64" s="88">
        <f t="shared" si="22"/>
        <v>45000</v>
      </c>
      <c r="H64" s="89">
        <f t="shared" si="23"/>
        <v>2866.2420382165606</v>
      </c>
      <c r="I64" s="90">
        <f t="shared" ref="I64:I65" si="24">H64</f>
        <v>2866.2420382165606</v>
      </c>
      <c r="J64" s="415"/>
      <c r="K64" s="418"/>
      <c r="M64" s="357"/>
    </row>
    <row r="65" spans="1:245" s="93" customFormat="1" ht="20" customHeight="1" outlineLevel="2" x14ac:dyDescent="0.2">
      <c r="A65" s="85" t="s">
        <v>336</v>
      </c>
      <c r="B65" s="394" t="s">
        <v>286</v>
      </c>
      <c r="C65" s="85" t="s">
        <v>287</v>
      </c>
      <c r="D65" s="86">
        <v>1</v>
      </c>
      <c r="E65" s="86">
        <v>5</v>
      </c>
      <c r="F65" s="87">
        <v>3000</v>
      </c>
      <c r="G65" s="88">
        <f t="shared" si="22"/>
        <v>15000</v>
      </c>
      <c r="H65" s="89">
        <f t="shared" si="23"/>
        <v>955.41401273885356</v>
      </c>
      <c r="I65" s="90">
        <f t="shared" si="24"/>
        <v>955.41401273885356</v>
      </c>
      <c r="J65" s="415"/>
      <c r="K65" s="418"/>
      <c r="M65" s="357"/>
    </row>
    <row r="66" spans="1:245" s="93" customFormat="1" ht="20" customHeight="1" outlineLevel="2" x14ac:dyDescent="0.2">
      <c r="A66" s="85"/>
      <c r="B66" s="394"/>
      <c r="C66" s="85"/>
      <c r="D66" s="86"/>
      <c r="E66" s="86"/>
      <c r="F66" s="87"/>
      <c r="G66" s="88">
        <f t="shared" ref="G66:G68" si="25">(D66*E66*F66)</f>
        <v>0</v>
      </c>
      <c r="H66" s="89">
        <f t="shared" si="23"/>
        <v>0</v>
      </c>
      <c r="I66" s="90">
        <f t="shared" ref="I66:I69" si="26">H66</f>
        <v>0</v>
      </c>
      <c r="J66" s="415"/>
      <c r="K66" s="418"/>
      <c r="M66" s="357"/>
    </row>
    <row r="67" spans="1:245" s="93" customFormat="1" ht="20" customHeight="1" outlineLevel="2" x14ac:dyDescent="0.2">
      <c r="A67" s="85"/>
      <c r="B67" s="394"/>
      <c r="C67" s="85" t="s">
        <v>308</v>
      </c>
      <c r="D67" s="86"/>
      <c r="E67" s="86"/>
      <c r="F67" s="87"/>
      <c r="G67" s="88">
        <f t="shared" si="25"/>
        <v>0</v>
      </c>
      <c r="H67" s="89">
        <f t="shared" si="23"/>
        <v>0</v>
      </c>
      <c r="I67" s="90">
        <f t="shared" si="26"/>
        <v>0</v>
      </c>
      <c r="J67" s="415"/>
      <c r="K67" s="418"/>
      <c r="M67" s="357"/>
    </row>
    <row r="68" spans="1:245" s="93" customFormat="1" ht="20" customHeight="1" outlineLevel="2" x14ac:dyDescent="0.2">
      <c r="A68" s="85"/>
      <c r="B68" s="394"/>
      <c r="C68" s="85" t="s">
        <v>399</v>
      </c>
      <c r="D68" s="86"/>
      <c r="E68" s="86"/>
      <c r="F68" s="87"/>
      <c r="G68" s="88">
        <f t="shared" si="25"/>
        <v>0</v>
      </c>
      <c r="H68" s="89">
        <f t="shared" si="23"/>
        <v>0</v>
      </c>
      <c r="I68" s="90">
        <f t="shared" si="26"/>
        <v>0</v>
      </c>
      <c r="J68" s="415"/>
      <c r="K68" s="418"/>
      <c r="M68" s="357"/>
    </row>
    <row r="69" spans="1:245" s="93" customFormat="1" ht="20" customHeight="1" outlineLevel="2" x14ac:dyDescent="0.2">
      <c r="A69" s="85"/>
      <c r="B69" s="394"/>
      <c r="C69" s="85" t="s">
        <v>292</v>
      </c>
      <c r="D69" s="86"/>
      <c r="E69" s="86"/>
      <c r="F69" s="87"/>
      <c r="G69" s="88">
        <f>(D69*E69*F69)</f>
        <v>0</v>
      </c>
      <c r="H69" s="89">
        <f t="shared" si="23"/>
        <v>0</v>
      </c>
      <c r="I69" s="90">
        <f t="shared" si="26"/>
        <v>0</v>
      </c>
      <c r="J69" s="415"/>
      <c r="K69" s="418"/>
      <c r="M69" s="357"/>
    </row>
    <row r="70" spans="1:245" s="105" customFormat="1" outlineLevel="1" x14ac:dyDescent="0.2">
      <c r="A70" s="94" t="s">
        <v>288</v>
      </c>
      <c r="B70" s="95"/>
      <c r="C70" s="98"/>
      <c r="D70" s="98"/>
      <c r="E70" s="95"/>
      <c r="F70" s="96"/>
      <c r="G70" s="99">
        <f>SUM(G63:G69)</f>
        <v>90000</v>
      </c>
      <c r="H70" s="406">
        <f>SUM(H63:H69)</f>
        <v>5732.4840764331211</v>
      </c>
      <c r="I70" s="96">
        <f>SUM(I63:I69)</f>
        <v>5732.4840764331211</v>
      </c>
      <c r="J70" s="416">
        <f>SUM(J63:J69)</f>
        <v>0</v>
      </c>
      <c r="K70" s="418"/>
      <c r="L70" s="100"/>
      <c r="M70" s="464">
        <f>$H70</f>
        <v>5732.4840764331211</v>
      </c>
      <c r="N70" s="102"/>
      <c r="O70" s="103"/>
      <c r="P70" s="100"/>
      <c r="Q70" s="104"/>
      <c r="R70" s="100"/>
      <c r="S70" s="100"/>
      <c r="T70" s="100"/>
      <c r="U70" s="101"/>
      <c r="V70" s="101"/>
      <c r="W70" s="102"/>
      <c r="X70" s="103"/>
      <c r="Y70" s="100"/>
      <c r="Z70" s="104"/>
      <c r="AA70" s="100"/>
      <c r="AB70" s="100"/>
      <c r="AC70" s="100"/>
      <c r="AD70" s="101"/>
      <c r="AE70" s="101"/>
      <c r="AF70" s="102"/>
      <c r="AG70" s="103"/>
      <c r="AH70" s="100"/>
      <c r="AI70" s="104"/>
      <c r="AJ70" s="100"/>
      <c r="AK70" s="100"/>
      <c r="AL70" s="100"/>
      <c r="AM70" s="101"/>
      <c r="AN70" s="101"/>
      <c r="AO70" s="102"/>
      <c r="AP70" s="103"/>
      <c r="AQ70" s="100"/>
      <c r="AR70" s="104"/>
      <c r="AS70" s="100"/>
      <c r="AT70" s="100"/>
      <c r="AU70" s="100"/>
      <c r="AV70" s="101"/>
      <c r="AW70" s="101"/>
      <c r="AX70" s="102"/>
      <c r="AY70" s="103"/>
      <c r="AZ70" s="100"/>
      <c r="BA70" s="104"/>
      <c r="BB70" s="100"/>
      <c r="BC70" s="100"/>
      <c r="BD70" s="100"/>
      <c r="BE70" s="101"/>
      <c r="BF70" s="101"/>
      <c r="BG70" s="102"/>
      <c r="BH70" s="103"/>
      <c r="BI70" s="100"/>
      <c r="BJ70" s="104"/>
      <c r="BK70" s="100"/>
      <c r="BL70" s="100"/>
      <c r="BM70" s="100"/>
      <c r="BN70" s="101"/>
      <c r="BO70" s="101"/>
      <c r="BP70" s="102"/>
      <c r="BQ70" s="103"/>
      <c r="BR70" s="100"/>
      <c r="BS70" s="104"/>
      <c r="BT70" s="100"/>
      <c r="BU70" s="100"/>
      <c r="BV70" s="100"/>
      <c r="BW70" s="101"/>
      <c r="BX70" s="101"/>
      <c r="BY70" s="102"/>
      <c r="BZ70" s="103"/>
      <c r="CA70" s="100"/>
      <c r="CB70" s="104"/>
      <c r="CC70" s="100"/>
      <c r="CD70" s="100"/>
      <c r="CE70" s="100"/>
      <c r="CF70" s="101"/>
      <c r="CG70" s="101"/>
      <c r="CH70" s="102"/>
      <c r="CI70" s="103"/>
      <c r="CJ70" s="100"/>
      <c r="CK70" s="104"/>
      <c r="CL70" s="100"/>
      <c r="CM70" s="100"/>
      <c r="CN70" s="100"/>
      <c r="CO70" s="101"/>
      <c r="CP70" s="101"/>
      <c r="CQ70" s="102"/>
      <c r="CR70" s="103"/>
      <c r="CS70" s="100"/>
      <c r="CT70" s="104"/>
      <c r="CU70" s="100"/>
      <c r="CV70" s="100"/>
      <c r="CW70" s="100"/>
      <c r="CX70" s="101"/>
      <c r="CY70" s="101"/>
      <c r="CZ70" s="102"/>
      <c r="DA70" s="103"/>
      <c r="DB70" s="100"/>
      <c r="DC70" s="104"/>
      <c r="DD70" s="100"/>
      <c r="DE70" s="100"/>
      <c r="DF70" s="100"/>
      <c r="DG70" s="101"/>
      <c r="DH70" s="101"/>
      <c r="DI70" s="102"/>
      <c r="DJ70" s="103"/>
      <c r="DK70" s="100"/>
      <c r="DL70" s="104"/>
      <c r="DM70" s="100"/>
      <c r="DN70" s="100"/>
      <c r="DO70" s="100"/>
      <c r="DP70" s="101"/>
      <c r="DQ70" s="101"/>
      <c r="DR70" s="102"/>
      <c r="DS70" s="103"/>
      <c r="DT70" s="100"/>
      <c r="DU70" s="104"/>
      <c r="DV70" s="100"/>
      <c r="DW70" s="100"/>
      <c r="DX70" s="100"/>
      <c r="DY70" s="101"/>
      <c r="DZ70" s="101"/>
      <c r="EA70" s="102"/>
      <c r="EB70" s="103"/>
      <c r="EC70" s="100"/>
      <c r="ED70" s="104"/>
      <c r="EE70" s="100"/>
      <c r="EF70" s="100"/>
      <c r="EG70" s="100"/>
      <c r="EH70" s="101"/>
      <c r="EI70" s="101"/>
      <c r="EJ70" s="102"/>
      <c r="EK70" s="103"/>
      <c r="EL70" s="100"/>
      <c r="EM70" s="104"/>
      <c r="EN70" s="100"/>
      <c r="EO70" s="100"/>
      <c r="EP70" s="100"/>
      <c r="EQ70" s="101"/>
      <c r="ER70" s="101"/>
      <c r="ES70" s="102"/>
      <c r="ET70" s="103"/>
      <c r="EU70" s="100"/>
      <c r="EV70" s="104"/>
      <c r="EW70" s="100"/>
      <c r="EX70" s="100"/>
      <c r="EY70" s="100"/>
      <c r="EZ70" s="101"/>
      <c r="FA70" s="101"/>
      <c r="FB70" s="102"/>
      <c r="FC70" s="103"/>
      <c r="FD70" s="100"/>
      <c r="FE70" s="104"/>
      <c r="FF70" s="100"/>
      <c r="FG70" s="100"/>
      <c r="FH70" s="100"/>
      <c r="FI70" s="101"/>
      <c r="FJ70" s="101"/>
      <c r="FK70" s="102"/>
      <c r="FL70" s="103"/>
      <c r="FM70" s="100"/>
      <c r="FN70" s="104"/>
      <c r="FO70" s="100"/>
      <c r="FP70" s="100"/>
      <c r="FQ70" s="100"/>
      <c r="FR70" s="101"/>
      <c r="FS70" s="101"/>
      <c r="FT70" s="102"/>
      <c r="FU70" s="103"/>
      <c r="FV70" s="100"/>
      <c r="FW70" s="104"/>
      <c r="FX70" s="100"/>
      <c r="FY70" s="100"/>
      <c r="FZ70" s="100"/>
      <c r="GA70" s="101"/>
      <c r="GB70" s="101"/>
      <c r="GC70" s="102"/>
      <c r="GD70" s="103"/>
      <c r="GE70" s="100"/>
      <c r="GF70" s="104"/>
      <c r="GG70" s="100"/>
      <c r="GH70" s="100"/>
      <c r="GI70" s="100"/>
      <c r="GJ70" s="101"/>
      <c r="GK70" s="101"/>
      <c r="GL70" s="102"/>
      <c r="GM70" s="103"/>
      <c r="GN70" s="100"/>
      <c r="GO70" s="104"/>
      <c r="GP70" s="100"/>
      <c r="GQ70" s="100"/>
      <c r="GR70" s="100"/>
      <c r="GS70" s="101"/>
      <c r="GT70" s="101"/>
      <c r="GU70" s="102"/>
      <c r="GV70" s="103"/>
      <c r="GW70" s="100"/>
      <c r="GX70" s="104"/>
      <c r="GY70" s="100"/>
      <c r="GZ70" s="100"/>
      <c r="HA70" s="100"/>
      <c r="HB70" s="101"/>
      <c r="HC70" s="101"/>
      <c r="HD70" s="102"/>
      <c r="HE70" s="103"/>
      <c r="HF70" s="100"/>
      <c r="HG70" s="104"/>
      <c r="HH70" s="100"/>
      <c r="HI70" s="100"/>
      <c r="HJ70" s="100"/>
      <c r="HK70" s="101"/>
      <c r="HL70" s="101"/>
      <c r="HM70" s="102"/>
      <c r="HN70" s="103"/>
      <c r="HO70" s="100"/>
      <c r="HP70" s="104"/>
      <c r="HQ70" s="100"/>
      <c r="HR70" s="100"/>
      <c r="HS70" s="100"/>
      <c r="HT70" s="101"/>
      <c r="HU70" s="101"/>
      <c r="HV70" s="102"/>
      <c r="HW70" s="103"/>
      <c r="HX70" s="100"/>
      <c r="HY70" s="104"/>
      <c r="HZ70" s="100"/>
      <c r="IA70" s="100"/>
      <c r="IB70" s="100"/>
      <c r="IC70" s="101"/>
      <c r="ID70" s="101"/>
      <c r="IE70" s="102"/>
      <c r="IF70" s="103"/>
      <c r="IG70" s="100"/>
      <c r="IH70" s="104"/>
      <c r="II70" s="100"/>
      <c r="IJ70" s="100"/>
      <c r="IK70" s="100"/>
    </row>
    <row r="71" spans="1:245" x14ac:dyDescent="0.2">
      <c r="A71" s="82" t="s">
        <v>402</v>
      </c>
      <c r="B71" s="83"/>
      <c r="C71" s="83"/>
      <c r="D71" s="83"/>
      <c r="E71" s="83"/>
      <c r="F71" s="83"/>
      <c r="G71" s="84"/>
      <c r="H71" s="83"/>
      <c r="I71" s="83"/>
      <c r="J71" s="83"/>
      <c r="K71" s="418"/>
      <c r="L71" s="100"/>
      <c r="M71" s="83"/>
    </row>
    <row r="72" spans="1:245" s="410" customFormat="1" x14ac:dyDescent="0.2">
      <c r="A72" s="137"/>
      <c r="B72" s="138"/>
      <c r="C72" s="138"/>
      <c r="D72" s="138"/>
      <c r="E72" s="138"/>
      <c r="F72" s="138"/>
      <c r="G72" s="138"/>
      <c r="H72" s="138"/>
      <c r="I72" s="138"/>
      <c r="J72" s="138"/>
      <c r="K72" s="418"/>
      <c r="L72" s="100"/>
      <c r="M72" s="138"/>
      <c r="N72" s="411"/>
      <c r="O72" s="411"/>
      <c r="P72" s="411"/>
      <c r="Q72" s="411"/>
      <c r="R72" s="411"/>
      <c r="S72" s="411"/>
      <c r="T72" s="411"/>
      <c r="U72" s="411"/>
      <c r="V72" s="411"/>
      <c r="W72" s="411"/>
      <c r="X72" s="411"/>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11"/>
      <c r="AX72" s="411"/>
      <c r="AY72" s="411"/>
      <c r="AZ72" s="411"/>
      <c r="BA72" s="411"/>
      <c r="BB72" s="411"/>
      <c r="BC72" s="411"/>
      <c r="BD72" s="411"/>
      <c r="BE72" s="411"/>
      <c r="BF72" s="411"/>
      <c r="BG72" s="411"/>
      <c r="BH72" s="411"/>
      <c r="BI72" s="411"/>
      <c r="BJ72" s="411"/>
      <c r="BK72" s="411"/>
      <c r="BL72" s="411"/>
      <c r="BM72" s="411"/>
      <c r="BN72" s="411"/>
      <c r="BO72" s="411"/>
      <c r="BP72" s="411"/>
      <c r="BQ72" s="411"/>
      <c r="BR72" s="411"/>
      <c r="BS72" s="411"/>
      <c r="BT72" s="411"/>
      <c r="BU72" s="411"/>
      <c r="BV72" s="411"/>
      <c r="BW72" s="411"/>
      <c r="BX72" s="411"/>
      <c r="BY72" s="411"/>
      <c r="BZ72" s="411"/>
      <c r="CA72" s="411"/>
      <c r="CB72" s="411"/>
      <c r="CC72" s="411"/>
      <c r="CD72" s="411"/>
      <c r="CE72" s="411"/>
      <c r="CF72" s="411"/>
      <c r="CG72" s="411"/>
      <c r="CH72" s="411"/>
      <c r="CI72" s="411"/>
      <c r="CJ72" s="411"/>
      <c r="CK72" s="411"/>
      <c r="CL72" s="411"/>
      <c r="CM72" s="411"/>
      <c r="CN72" s="411"/>
      <c r="CO72" s="411"/>
      <c r="CP72" s="411"/>
      <c r="CQ72" s="411"/>
      <c r="CR72" s="411"/>
      <c r="CS72" s="411"/>
      <c r="CT72" s="411"/>
      <c r="CU72" s="411"/>
      <c r="CV72" s="411"/>
      <c r="CW72" s="411"/>
      <c r="CX72" s="411"/>
      <c r="CY72" s="411"/>
      <c r="CZ72" s="411"/>
      <c r="DA72" s="411"/>
      <c r="DB72" s="411"/>
      <c r="DC72" s="411"/>
      <c r="DD72" s="411"/>
      <c r="DE72" s="411"/>
      <c r="DF72" s="411"/>
      <c r="DG72" s="411"/>
      <c r="DH72" s="411"/>
      <c r="DI72" s="411"/>
      <c r="DJ72" s="411"/>
      <c r="DK72" s="411"/>
      <c r="DL72" s="411"/>
      <c r="DM72" s="411"/>
      <c r="DN72" s="411"/>
      <c r="DO72" s="411"/>
      <c r="DP72" s="411"/>
      <c r="DQ72" s="411"/>
      <c r="DR72" s="411"/>
      <c r="DS72" s="411"/>
      <c r="DT72" s="411"/>
      <c r="DU72" s="411"/>
      <c r="DV72" s="411"/>
      <c r="DW72" s="411"/>
      <c r="DX72" s="411"/>
      <c r="DY72" s="411"/>
      <c r="DZ72" s="411"/>
      <c r="EA72" s="411"/>
      <c r="EB72" s="411"/>
      <c r="EC72" s="411"/>
      <c r="ED72" s="411"/>
      <c r="EE72" s="411"/>
      <c r="EF72" s="411"/>
      <c r="EG72" s="411"/>
      <c r="EH72" s="411"/>
      <c r="EI72" s="411"/>
      <c r="EJ72" s="411"/>
      <c r="EK72" s="411"/>
      <c r="EL72" s="411"/>
      <c r="EM72" s="411"/>
      <c r="EN72" s="411"/>
      <c r="EO72" s="411"/>
      <c r="EP72" s="411"/>
      <c r="EQ72" s="411"/>
      <c r="ER72" s="411"/>
      <c r="ES72" s="411"/>
      <c r="ET72" s="411"/>
      <c r="EU72" s="411"/>
      <c r="EV72" s="411"/>
      <c r="EW72" s="411"/>
      <c r="EX72" s="411"/>
      <c r="EY72" s="411"/>
      <c r="EZ72" s="411"/>
      <c r="FA72" s="411"/>
      <c r="FB72" s="411"/>
      <c r="FC72" s="411"/>
      <c r="FD72" s="411"/>
      <c r="FE72" s="411"/>
      <c r="FF72" s="411"/>
      <c r="FG72" s="411"/>
      <c r="FH72" s="411"/>
      <c r="FI72" s="411"/>
      <c r="FJ72" s="411"/>
      <c r="FK72" s="411"/>
      <c r="FL72" s="411"/>
      <c r="FM72" s="411"/>
      <c r="FN72" s="411"/>
      <c r="FO72" s="411"/>
      <c r="FP72" s="411"/>
      <c r="FQ72" s="411"/>
      <c r="FR72" s="411"/>
      <c r="FS72" s="411"/>
      <c r="FT72" s="411"/>
      <c r="FU72" s="411"/>
      <c r="FV72" s="411"/>
      <c r="FW72" s="411"/>
      <c r="FX72" s="411"/>
      <c r="FY72" s="411"/>
      <c r="FZ72" s="411"/>
      <c r="GA72" s="411"/>
      <c r="GB72" s="411"/>
      <c r="GC72" s="411"/>
      <c r="GD72" s="411"/>
      <c r="GE72" s="411"/>
      <c r="GF72" s="411"/>
      <c r="GG72" s="411"/>
      <c r="GH72" s="411"/>
      <c r="GI72" s="411"/>
      <c r="GJ72" s="411"/>
      <c r="GK72" s="411"/>
      <c r="GL72" s="411"/>
      <c r="GM72" s="411"/>
      <c r="GN72" s="411"/>
      <c r="GO72" s="411"/>
      <c r="GP72" s="411"/>
      <c r="GQ72" s="411"/>
      <c r="GR72" s="411"/>
      <c r="GS72" s="411"/>
      <c r="GT72" s="411"/>
      <c r="GU72" s="411"/>
      <c r="GV72" s="411"/>
      <c r="GW72" s="411"/>
      <c r="GX72" s="411"/>
      <c r="GY72" s="411"/>
      <c r="GZ72" s="411"/>
      <c r="HA72" s="411"/>
      <c r="HB72" s="411"/>
      <c r="HC72" s="411"/>
      <c r="HD72" s="411"/>
      <c r="HE72" s="411"/>
      <c r="HF72" s="411"/>
      <c r="HG72" s="411"/>
      <c r="HH72" s="411"/>
      <c r="HI72" s="411"/>
      <c r="HJ72" s="411"/>
      <c r="HK72" s="411"/>
      <c r="HL72" s="411"/>
      <c r="HM72" s="411"/>
      <c r="HN72" s="411"/>
      <c r="HO72" s="411"/>
      <c r="HP72" s="411"/>
      <c r="HQ72" s="411"/>
      <c r="HR72" s="411"/>
      <c r="HS72" s="411"/>
      <c r="HT72" s="411"/>
      <c r="HU72" s="411"/>
      <c r="HV72" s="411"/>
      <c r="HW72" s="411"/>
      <c r="HX72" s="411"/>
      <c r="HY72" s="411"/>
      <c r="HZ72" s="411"/>
      <c r="IA72" s="411"/>
      <c r="IB72" s="411"/>
      <c r="IC72" s="411"/>
      <c r="ID72" s="411"/>
      <c r="IE72" s="411"/>
      <c r="IF72" s="411"/>
      <c r="IG72" s="411"/>
      <c r="IH72" s="411"/>
      <c r="II72" s="411"/>
      <c r="IJ72" s="411"/>
      <c r="IK72" s="411"/>
    </row>
    <row r="73" spans="1:245" s="93" customFormat="1" ht="39" customHeight="1" outlineLevel="1" x14ac:dyDescent="0.2">
      <c r="A73" s="139" t="s">
        <v>403</v>
      </c>
      <c r="B73" s="116"/>
      <c r="C73" s="85"/>
      <c r="D73" s="86"/>
      <c r="E73" s="86"/>
      <c r="F73" s="87"/>
      <c r="G73" s="88"/>
      <c r="H73" s="89"/>
      <c r="I73" s="90"/>
      <c r="J73" s="415"/>
      <c r="K73" s="418"/>
      <c r="L73" s="100"/>
      <c r="M73" s="476"/>
    </row>
    <row r="74" spans="1:245" s="393" customFormat="1" ht="27" customHeight="1" outlineLevel="2" x14ac:dyDescent="0.2">
      <c r="A74" s="390" t="s">
        <v>275</v>
      </c>
      <c r="B74" s="391" t="s">
        <v>276</v>
      </c>
      <c r="C74" s="390" t="s">
        <v>277</v>
      </c>
      <c r="D74" s="392">
        <v>82</v>
      </c>
      <c r="E74" s="392">
        <f>2*2</f>
        <v>4</v>
      </c>
      <c r="F74" s="367">
        <f>50+150</f>
        <v>200</v>
      </c>
      <c r="G74" s="367">
        <f>(D74*E74*F74)</f>
        <v>65600</v>
      </c>
      <c r="H74" s="367">
        <f t="shared" ref="H74:H80" si="27">G74/$K$3</f>
        <v>4178.3439490445862</v>
      </c>
      <c r="I74" s="367">
        <f>H74</f>
        <v>4178.3439490445862</v>
      </c>
      <c r="J74" s="367"/>
    </row>
    <row r="75" spans="1:245" s="393" customFormat="1" ht="20" customHeight="1" outlineLevel="2" x14ac:dyDescent="0.2">
      <c r="A75" s="390" t="s">
        <v>278</v>
      </c>
      <c r="B75" s="391" t="s">
        <v>279</v>
      </c>
      <c r="C75" s="390" t="s">
        <v>280</v>
      </c>
      <c r="D75" s="392">
        <f>5*15</f>
        <v>75</v>
      </c>
      <c r="E75" s="392">
        <f>2*2</f>
        <v>4</v>
      </c>
      <c r="F75" s="367">
        <v>150</v>
      </c>
      <c r="G75" s="367">
        <f t="shared" ref="G75:G78" si="28">(D75*E75*F75)</f>
        <v>45000</v>
      </c>
      <c r="H75" s="367">
        <f t="shared" si="27"/>
        <v>2866.2420382165606</v>
      </c>
      <c r="I75" s="367">
        <f t="shared" ref="I75:I78" si="29">H75</f>
        <v>2866.2420382165606</v>
      </c>
      <c r="J75" s="367"/>
    </row>
    <row r="76" spans="1:245" s="393" customFormat="1" ht="20" customHeight="1" outlineLevel="2" x14ac:dyDescent="0.2">
      <c r="A76" s="390" t="s">
        <v>281</v>
      </c>
      <c r="B76" s="391" t="s">
        <v>279</v>
      </c>
      <c r="C76" s="390" t="s">
        <v>280</v>
      </c>
      <c r="D76" s="392">
        <f>5*15</f>
        <v>75</v>
      </c>
      <c r="E76" s="392">
        <v>10</v>
      </c>
      <c r="F76" s="367">
        <v>150</v>
      </c>
      <c r="G76" s="367">
        <f t="shared" si="28"/>
        <v>112500</v>
      </c>
      <c r="H76" s="367">
        <f t="shared" si="27"/>
        <v>7165.6050955414012</v>
      </c>
      <c r="I76" s="367">
        <f t="shared" si="29"/>
        <v>7165.6050955414012</v>
      </c>
      <c r="J76" s="367"/>
    </row>
    <row r="77" spans="1:245" s="393" customFormat="1" ht="33" customHeight="1" outlineLevel="2" x14ac:dyDescent="0.2">
      <c r="A77" s="390" t="s">
        <v>282</v>
      </c>
      <c r="B77" s="391" t="s">
        <v>283</v>
      </c>
      <c r="C77" s="390" t="s">
        <v>284</v>
      </c>
      <c r="D77" s="392">
        <v>5</v>
      </c>
      <c r="E77" s="392">
        <v>2</v>
      </c>
      <c r="F77" s="367">
        <v>1000</v>
      </c>
      <c r="G77" s="367">
        <f t="shared" si="28"/>
        <v>10000</v>
      </c>
      <c r="H77" s="367">
        <f t="shared" si="27"/>
        <v>636.9426751592357</v>
      </c>
      <c r="I77" s="367">
        <f t="shared" si="29"/>
        <v>636.9426751592357</v>
      </c>
      <c r="J77" s="367"/>
    </row>
    <row r="78" spans="1:245" s="393" customFormat="1" ht="20" customHeight="1" outlineLevel="2" x14ac:dyDescent="0.2">
      <c r="A78" s="390" t="s">
        <v>285</v>
      </c>
      <c r="B78" s="391" t="s">
        <v>286</v>
      </c>
      <c r="C78" s="390" t="s">
        <v>287</v>
      </c>
      <c r="D78" s="392">
        <v>5</v>
      </c>
      <c r="E78" s="392">
        <f>2*2</f>
        <v>4</v>
      </c>
      <c r="F78" s="367">
        <v>3000</v>
      </c>
      <c r="G78" s="367">
        <f t="shared" si="28"/>
        <v>60000</v>
      </c>
      <c r="H78" s="367">
        <f t="shared" si="27"/>
        <v>3821.6560509554142</v>
      </c>
      <c r="I78" s="367">
        <f t="shared" si="29"/>
        <v>3821.6560509554142</v>
      </c>
      <c r="J78" s="367"/>
    </row>
    <row r="79" spans="1:245" s="93" customFormat="1" ht="20" customHeight="1" outlineLevel="2" x14ac:dyDescent="0.2">
      <c r="A79" s="85"/>
      <c r="B79" s="394"/>
      <c r="C79" s="85"/>
      <c r="D79" s="86"/>
      <c r="E79" s="86"/>
      <c r="F79" s="87"/>
      <c r="G79" s="88">
        <f t="shared" ref="G79" si="30">(D79*E79*F79)</f>
        <v>0</v>
      </c>
      <c r="H79" s="89">
        <f t="shared" si="27"/>
        <v>0</v>
      </c>
      <c r="I79" s="90">
        <f t="shared" ref="I79:I80" si="31">H79</f>
        <v>0</v>
      </c>
      <c r="J79" s="415"/>
      <c r="K79" s="418"/>
      <c r="L79" s="100"/>
      <c r="M79" s="357"/>
    </row>
    <row r="80" spans="1:245" s="93" customFormat="1" ht="20" customHeight="1" outlineLevel="2" x14ac:dyDescent="0.2">
      <c r="A80" s="85"/>
      <c r="B80" s="394"/>
      <c r="C80" s="85"/>
      <c r="D80" s="86"/>
      <c r="E80" s="86"/>
      <c r="F80" s="87"/>
      <c r="G80" s="88">
        <f>(D80*E80*F80)</f>
        <v>0</v>
      </c>
      <c r="H80" s="89">
        <f t="shared" si="27"/>
        <v>0</v>
      </c>
      <c r="I80" s="90">
        <f t="shared" si="31"/>
        <v>0</v>
      </c>
      <c r="J80" s="415"/>
      <c r="K80" s="418"/>
      <c r="L80" s="100"/>
      <c r="M80" s="357"/>
    </row>
    <row r="81" spans="1:245" s="105" customFormat="1" outlineLevel="1" x14ac:dyDescent="0.2">
      <c r="A81" s="94" t="s">
        <v>288</v>
      </c>
      <c r="B81" s="95"/>
      <c r="C81" s="98"/>
      <c r="D81" s="98"/>
      <c r="E81" s="95"/>
      <c r="F81" s="96"/>
      <c r="G81" s="99">
        <f>SUM(G74:G80)</f>
        <v>293100</v>
      </c>
      <c r="H81" s="406">
        <f>SUM(H74:H80)</f>
        <v>18668.789808917198</v>
      </c>
      <c r="I81" s="96">
        <f>SUM(I74:I80)</f>
        <v>18668.789808917198</v>
      </c>
      <c r="J81" s="416">
        <f>SUM(J74:J80)</f>
        <v>0</v>
      </c>
      <c r="K81" s="418"/>
      <c r="L81" s="100"/>
      <c r="M81" s="357"/>
      <c r="N81" s="102"/>
      <c r="O81" s="103"/>
      <c r="P81" s="100"/>
      <c r="Q81" s="104"/>
      <c r="R81" s="100"/>
      <c r="S81" s="100"/>
      <c r="T81" s="100"/>
      <c r="U81" s="101"/>
      <c r="V81" s="101"/>
      <c r="W81" s="102"/>
      <c r="X81" s="103"/>
      <c r="Y81" s="100"/>
      <c r="Z81" s="104"/>
      <c r="AA81" s="100"/>
      <c r="AB81" s="100"/>
      <c r="AC81" s="100"/>
      <c r="AD81" s="101"/>
      <c r="AE81" s="101"/>
      <c r="AF81" s="102"/>
      <c r="AG81" s="103"/>
      <c r="AH81" s="100"/>
      <c r="AI81" s="104"/>
      <c r="AJ81" s="100"/>
      <c r="AK81" s="100"/>
      <c r="AL81" s="100"/>
      <c r="AM81" s="101"/>
      <c r="AN81" s="101"/>
      <c r="AO81" s="102"/>
      <c r="AP81" s="103"/>
      <c r="AQ81" s="100"/>
      <c r="AR81" s="104"/>
      <c r="AS81" s="100"/>
      <c r="AT81" s="100"/>
      <c r="AU81" s="100"/>
      <c r="AV81" s="101"/>
      <c r="AW81" s="101"/>
      <c r="AX81" s="102"/>
      <c r="AY81" s="103"/>
      <c r="AZ81" s="100"/>
      <c r="BA81" s="104"/>
      <c r="BB81" s="100"/>
      <c r="BC81" s="100"/>
      <c r="BD81" s="100"/>
      <c r="BE81" s="101"/>
      <c r="BF81" s="101"/>
      <c r="BG81" s="102"/>
      <c r="BH81" s="103"/>
      <c r="BI81" s="100"/>
      <c r="BJ81" s="104"/>
      <c r="BK81" s="100"/>
      <c r="BL81" s="100"/>
      <c r="BM81" s="100"/>
      <c r="BN81" s="101"/>
      <c r="BO81" s="101"/>
      <c r="BP81" s="102"/>
      <c r="BQ81" s="103"/>
      <c r="BR81" s="100"/>
      <c r="BS81" s="104"/>
      <c r="BT81" s="100"/>
      <c r="BU81" s="100"/>
      <c r="BV81" s="100"/>
      <c r="BW81" s="101"/>
      <c r="BX81" s="101"/>
      <c r="BY81" s="102"/>
      <c r="BZ81" s="103"/>
      <c r="CA81" s="100"/>
      <c r="CB81" s="104"/>
      <c r="CC81" s="100"/>
      <c r="CD81" s="100"/>
      <c r="CE81" s="100"/>
      <c r="CF81" s="101"/>
      <c r="CG81" s="101"/>
      <c r="CH81" s="102"/>
      <c r="CI81" s="103"/>
      <c r="CJ81" s="100"/>
      <c r="CK81" s="104"/>
      <c r="CL81" s="100"/>
      <c r="CM81" s="100"/>
      <c r="CN81" s="100"/>
      <c r="CO81" s="101"/>
      <c r="CP81" s="101"/>
      <c r="CQ81" s="102"/>
      <c r="CR81" s="103"/>
      <c r="CS81" s="100"/>
      <c r="CT81" s="104"/>
      <c r="CU81" s="100"/>
      <c r="CV81" s="100"/>
      <c r="CW81" s="100"/>
      <c r="CX81" s="101"/>
      <c r="CY81" s="101"/>
      <c r="CZ81" s="102"/>
      <c r="DA81" s="103"/>
      <c r="DB81" s="100"/>
      <c r="DC81" s="104"/>
      <c r="DD81" s="100"/>
      <c r="DE81" s="100"/>
      <c r="DF81" s="100"/>
      <c r="DG81" s="101"/>
      <c r="DH81" s="101"/>
      <c r="DI81" s="102"/>
      <c r="DJ81" s="103"/>
      <c r="DK81" s="100"/>
      <c r="DL81" s="104"/>
      <c r="DM81" s="100"/>
      <c r="DN81" s="100"/>
      <c r="DO81" s="100"/>
      <c r="DP81" s="101"/>
      <c r="DQ81" s="101"/>
      <c r="DR81" s="102"/>
      <c r="DS81" s="103"/>
      <c r="DT81" s="100"/>
      <c r="DU81" s="104"/>
      <c r="DV81" s="100"/>
      <c r="DW81" s="100"/>
      <c r="DX81" s="100"/>
      <c r="DY81" s="101"/>
      <c r="DZ81" s="101"/>
      <c r="EA81" s="102"/>
      <c r="EB81" s="103"/>
      <c r="EC81" s="100"/>
      <c r="ED81" s="104"/>
      <c r="EE81" s="100"/>
      <c r="EF81" s="100"/>
      <c r="EG81" s="100"/>
      <c r="EH81" s="101"/>
      <c r="EI81" s="101"/>
      <c r="EJ81" s="102"/>
      <c r="EK81" s="103"/>
      <c r="EL81" s="100"/>
      <c r="EM81" s="104"/>
      <c r="EN81" s="100"/>
      <c r="EO81" s="100"/>
      <c r="EP81" s="100"/>
      <c r="EQ81" s="101"/>
      <c r="ER81" s="101"/>
      <c r="ES81" s="102"/>
      <c r="ET81" s="103"/>
      <c r="EU81" s="100"/>
      <c r="EV81" s="104"/>
      <c r="EW81" s="100"/>
      <c r="EX81" s="100"/>
      <c r="EY81" s="100"/>
      <c r="EZ81" s="101"/>
      <c r="FA81" s="101"/>
      <c r="FB81" s="102"/>
      <c r="FC81" s="103"/>
      <c r="FD81" s="100"/>
      <c r="FE81" s="104"/>
      <c r="FF81" s="100"/>
      <c r="FG81" s="100"/>
      <c r="FH81" s="100"/>
      <c r="FI81" s="101"/>
      <c r="FJ81" s="101"/>
      <c r="FK81" s="102"/>
      <c r="FL81" s="103"/>
      <c r="FM81" s="100"/>
      <c r="FN81" s="104"/>
      <c r="FO81" s="100"/>
      <c r="FP81" s="100"/>
      <c r="FQ81" s="100"/>
      <c r="FR81" s="101"/>
      <c r="FS81" s="101"/>
      <c r="FT81" s="102"/>
      <c r="FU81" s="103"/>
      <c r="FV81" s="100"/>
      <c r="FW81" s="104"/>
      <c r="FX81" s="100"/>
      <c r="FY81" s="100"/>
      <c r="FZ81" s="100"/>
      <c r="GA81" s="101"/>
      <c r="GB81" s="101"/>
      <c r="GC81" s="102"/>
      <c r="GD81" s="103"/>
      <c r="GE81" s="100"/>
      <c r="GF81" s="104"/>
      <c r="GG81" s="100"/>
      <c r="GH81" s="100"/>
      <c r="GI81" s="100"/>
      <c r="GJ81" s="101"/>
      <c r="GK81" s="101"/>
      <c r="GL81" s="102"/>
      <c r="GM81" s="103"/>
      <c r="GN81" s="100"/>
      <c r="GO81" s="104"/>
      <c r="GP81" s="100"/>
      <c r="GQ81" s="100"/>
      <c r="GR81" s="100"/>
      <c r="GS81" s="101"/>
      <c r="GT81" s="101"/>
      <c r="GU81" s="102"/>
      <c r="GV81" s="103"/>
      <c r="GW81" s="100"/>
      <c r="GX81" s="104"/>
      <c r="GY81" s="100"/>
      <c r="GZ81" s="100"/>
      <c r="HA81" s="100"/>
      <c r="HB81" s="101"/>
      <c r="HC81" s="101"/>
      <c r="HD81" s="102"/>
      <c r="HE81" s="103"/>
      <c r="HF81" s="100"/>
      <c r="HG81" s="104"/>
      <c r="HH81" s="100"/>
      <c r="HI81" s="100"/>
      <c r="HJ81" s="100"/>
      <c r="HK81" s="101"/>
      <c r="HL81" s="101"/>
      <c r="HM81" s="102"/>
      <c r="HN81" s="103"/>
      <c r="HO81" s="100"/>
      <c r="HP81" s="104"/>
      <c r="HQ81" s="100"/>
      <c r="HR81" s="100"/>
      <c r="HS81" s="100"/>
      <c r="HT81" s="101"/>
      <c r="HU81" s="101"/>
      <c r="HV81" s="102"/>
      <c r="HW81" s="103"/>
      <c r="HX81" s="100"/>
      <c r="HY81" s="104"/>
      <c r="HZ81" s="100"/>
      <c r="IA81" s="100"/>
      <c r="IB81" s="100"/>
      <c r="IC81" s="101"/>
      <c r="ID81" s="101"/>
      <c r="IE81" s="102"/>
      <c r="IF81" s="103"/>
      <c r="IG81" s="100"/>
      <c r="IH81" s="104"/>
      <c r="II81" s="100"/>
      <c r="IJ81" s="100"/>
      <c r="IK81" s="100"/>
    </row>
    <row r="82" spans="1:245" s="93" customFormat="1" ht="39" customHeight="1" outlineLevel="1" x14ac:dyDescent="0.2">
      <c r="A82" s="139" t="s">
        <v>404</v>
      </c>
      <c r="B82" s="115"/>
      <c r="C82" s="85"/>
      <c r="D82" s="86"/>
      <c r="E82" s="86"/>
      <c r="F82" s="87"/>
      <c r="G82" s="88"/>
      <c r="H82" s="89"/>
      <c r="I82" s="90"/>
      <c r="J82" s="415"/>
      <c r="K82" s="418"/>
      <c r="M82" s="464"/>
    </row>
    <row r="83" spans="1:245" s="93" customFormat="1" ht="20" customHeight="1" outlineLevel="2" x14ac:dyDescent="0.2">
      <c r="A83" s="85" t="s">
        <v>275</v>
      </c>
      <c r="B83" s="394" t="s">
        <v>87</v>
      </c>
      <c r="C83" s="85" t="s">
        <v>339</v>
      </c>
      <c r="D83" s="86">
        <f>6*5*30</f>
        <v>900</v>
      </c>
      <c r="E83" s="86">
        <f>2*2</f>
        <v>4</v>
      </c>
      <c r="F83" s="367">
        <f>50+150</f>
        <v>200</v>
      </c>
      <c r="G83" s="88">
        <f t="shared" ref="G83:G88" si="32">(D83*E83*F83)</f>
        <v>720000</v>
      </c>
      <c r="H83" s="89">
        <f t="shared" ref="H83:H89" si="33">G83/$K$3</f>
        <v>45859.872611464969</v>
      </c>
      <c r="I83" s="90">
        <f>H83</f>
        <v>45859.872611464969</v>
      </c>
      <c r="J83" s="415"/>
      <c r="K83" s="418"/>
      <c r="M83" s="357"/>
    </row>
    <row r="84" spans="1:245" s="93" customFormat="1" ht="20" customHeight="1" outlineLevel="2" x14ac:dyDescent="0.2">
      <c r="A84" s="85" t="s">
        <v>336</v>
      </c>
      <c r="B84" s="394" t="s">
        <v>286</v>
      </c>
      <c r="C84" s="85" t="s">
        <v>287</v>
      </c>
      <c r="D84" s="86">
        <v>5</v>
      </c>
      <c r="E84" s="86">
        <f>2*2</f>
        <v>4</v>
      </c>
      <c r="F84" s="87">
        <v>3000</v>
      </c>
      <c r="G84" s="88">
        <f t="shared" si="32"/>
        <v>60000</v>
      </c>
      <c r="H84" s="89">
        <f t="shared" si="33"/>
        <v>3821.6560509554142</v>
      </c>
      <c r="I84" s="90">
        <f t="shared" ref="I84:I89" si="34">H84</f>
        <v>3821.6560509554142</v>
      </c>
      <c r="J84" s="415"/>
      <c r="K84" s="418"/>
      <c r="M84" s="357"/>
    </row>
    <row r="85" spans="1:245" s="93" customFormat="1" ht="20" customHeight="1" outlineLevel="2" x14ac:dyDescent="0.2">
      <c r="A85" s="85" t="s">
        <v>405</v>
      </c>
      <c r="B85" s="394" t="s">
        <v>406</v>
      </c>
      <c r="C85" s="85" t="s">
        <v>280</v>
      </c>
      <c r="D85" s="86">
        <f>6*5*20</f>
        <v>600</v>
      </c>
      <c r="E85" s="86">
        <v>3</v>
      </c>
      <c r="F85" s="87">
        <v>500</v>
      </c>
      <c r="G85" s="88">
        <f t="shared" si="32"/>
        <v>900000</v>
      </c>
      <c r="H85" s="89">
        <f t="shared" si="33"/>
        <v>57324.840764331209</v>
      </c>
      <c r="I85" s="90">
        <f t="shared" si="34"/>
        <v>57324.840764331209</v>
      </c>
      <c r="J85" s="415"/>
      <c r="K85" s="418"/>
      <c r="M85" s="357"/>
    </row>
    <row r="86" spans="1:245" s="93" customFormat="1" ht="20" customHeight="1" outlineLevel="2" x14ac:dyDescent="0.2">
      <c r="A86" s="85" t="s">
        <v>407</v>
      </c>
      <c r="B86" s="394" t="s">
        <v>283</v>
      </c>
      <c r="C86" s="85" t="s">
        <v>284</v>
      </c>
      <c r="D86" s="86">
        <v>1</v>
      </c>
      <c r="E86" s="86">
        <v>5</v>
      </c>
      <c r="F86" s="87">
        <v>1000</v>
      </c>
      <c r="G86" s="88">
        <f t="shared" si="32"/>
        <v>5000</v>
      </c>
      <c r="H86" s="89">
        <f t="shared" si="33"/>
        <v>318.47133757961785</v>
      </c>
      <c r="I86" s="90">
        <f t="shared" si="34"/>
        <v>318.47133757961785</v>
      </c>
      <c r="J86" s="415"/>
      <c r="K86" s="418"/>
      <c r="M86" s="357"/>
    </row>
    <row r="87" spans="1:245" s="93" customFormat="1" ht="20" customHeight="1" outlineLevel="2" x14ac:dyDescent="0.2">
      <c r="A87" s="85"/>
      <c r="B87" s="394"/>
      <c r="C87" s="85" t="s">
        <v>308</v>
      </c>
      <c r="D87" s="86"/>
      <c r="E87" s="86"/>
      <c r="F87" s="87"/>
      <c r="G87" s="88">
        <f t="shared" si="32"/>
        <v>0</v>
      </c>
      <c r="H87" s="89">
        <f t="shared" si="33"/>
        <v>0</v>
      </c>
      <c r="I87" s="90">
        <f t="shared" si="34"/>
        <v>0</v>
      </c>
      <c r="J87" s="415"/>
      <c r="K87" s="418"/>
      <c r="M87" s="357"/>
    </row>
    <row r="88" spans="1:245" s="93" customFormat="1" ht="20" customHeight="1" outlineLevel="2" x14ac:dyDescent="0.2">
      <c r="A88" s="85"/>
      <c r="B88" s="394"/>
      <c r="C88" s="85" t="s">
        <v>399</v>
      </c>
      <c r="D88" s="86"/>
      <c r="E88" s="86"/>
      <c r="F88" s="87"/>
      <c r="G88" s="88">
        <f t="shared" si="32"/>
        <v>0</v>
      </c>
      <c r="H88" s="89">
        <f t="shared" si="33"/>
        <v>0</v>
      </c>
      <c r="I88" s="90">
        <f t="shared" si="34"/>
        <v>0</v>
      </c>
      <c r="J88" s="415"/>
      <c r="K88" s="418"/>
      <c r="M88" s="357"/>
    </row>
    <row r="89" spans="1:245" s="93" customFormat="1" ht="20" customHeight="1" outlineLevel="2" x14ac:dyDescent="0.2">
      <c r="A89" s="85"/>
      <c r="B89" s="394"/>
      <c r="C89" s="85" t="s">
        <v>292</v>
      </c>
      <c r="D89" s="86"/>
      <c r="E89" s="86"/>
      <c r="F89" s="87"/>
      <c r="G89" s="88">
        <f>(D89*E89*F89)</f>
        <v>0</v>
      </c>
      <c r="H89" s="89">
        <f t="shared" si="33"/>
        <v>0</v>
      </c>
      <c r="I89" s="90">
        <f t="shared" si="34"/>
        <v>0</v>
      </c>
      <c r="J89" s="415"/>
      <c r="K89" s="418"/>
      <c r="M89" s="357"/>
    </row>
    <row r="90" spans="1:245" s="105" customFormat="1" ht="15.5" customHeight="1" outlineLevel="1" x14ac:dyDescent="0.2">
      <c r="A90" s="94" t="s">
        <v>288</v>
      </c>
      <c r="B90" s="95"/>
      <c r="C90" s="98"/>
      <c r="D90" s="98"/>
      <c r="E90" s="95"/>
      <c r="F90" s="96"/>
      <c r="G90" s="99">
        <f>SUM(G83:G89)</f>
        <v>1685000</v>
      </c>
      <c r="H90" s="406">
        <f>SUM(H83:H89)</f>
        <v>107324.84076433121</v>
      </c>
      <c r="I90" s="96">
        <f>SUM(I83:I89)</f>
        <v>107324.84076433121</v>
      </c>
      <c r="J90" s="416">
        <f>SUM(J83:J89)</f>
        <v>0</v>
      </c>
      <c r="K90" s="418"/>
      <c r="L90" s="100"/>
      <c r="M90" s="464">
        <f>$H90</f>
        <v>107324.84076433121</v>
      </c>
      <c r="N90" s="102"/>
      <c r="O90" s="103"/>
      <c r="P90" s="100"/>
      <c r="Q90" s="104"/>
      <c r="R90" s="100"/>
      <c r="S90" s="100"/>
      <c r="T90" s="100"/>
      <c r="U90" s="101"/>
      <c r="V90" s="101"/>
      <c r="W90" s="102"/>
      <c r="X90" s="103"/>
      <c r="Y90" s="100"/>
      <c r="Z90" s="104"/>
      <c r="AA90" s="100"/>
      <c r="AB90" s="100"/>
      <c r="AC90" s="100"/>
      <c r="AD90" s="101"/>
      <c r="AE90" s="101"/>
      <c r="AF90" s="102"/>
      <c r="AG90" s="103"/>
      <c r="AH90" s="100"/>
      <c r="AI90" s="104"/>
      <c r="AJ90" s="100"/>
      <c r="AK90" s="100"/>
      <c r="AL90" s="100"/>
      <c r="AM90" s="101"/>
      <c r="AN90" s="101"/>
      <c r="AO90" s="102"/>
      <c r="AP90" s="103"/>
      <c r="AQ90" s="100"/>
      <c r="AR90" s="104"/>
      <c r="AS90" s="100"/>
      <c r="AT90" s="100"/>
      <c r="AU90" s="100"/>
      <c r="AV90" s="101"/>
      <c r="AW90" s="101"/>
      <c r="AX90" s="102"/>
      <c r="AY90" s="103"/>
      <c r="AZ90" s="100"/>
      <c r="BA90" s="104"/>
      <c r="BB90" s="100"/>
      <c r="BC90" s="100"/>
      <c r="BD90" s="100"/>
      <c r="BE90" s="101"/>
      <c r="BF90" s="101"/>
      <c r="BG90" s="102"/>
      <c r="BH90" s="103"/>
      <c r="BI90" s="100"/>
      <c r="BJ90" s="104"/>
      <c r="BK90" s="100"/>
      <c r="BL90" s="100"/>
      <c r="BM90" s="100"/>
      <c r="BN90" s="101"/>
      <c r="BO90" s="101"/>
      <c r="BP90" s="102"/>
      <c r="BQ90" s="103"/>
      <c r="BR90" s="100"/>
      <c r="BS90" s="104"/>
      <c r="BT90" s="100"/>
      <c r="BU90" s="100"/>
      <c r="BV90" s="100"/>
      <c r="BW90" s="101"/>
      <c r="BX90" s="101"/>
      <c r="BY90" s="102"/>
      <c r="BZ90" s="103"/>
      <c r="CA90" s="100"/>
      <c r="CB90" s="104"/>
      <c r="CC90" s="100"/>
      <c r="CD90" s="100"/>
      <c r="CE90" s="100"/>
      <c r="CF90" s="101"/>
      <c r="CG90" s="101"/>
      <c r="CH90" s="102"/>
      <c r="CI90" s="103"/>
      <c r="CJ90" s="100"/>
      <c r="CK90" s="104"/>
      <c r="CL90" s="100"/>
      <c r="CM90" s="100"/>
      <c r="CN90" s="100"/>
      <c r="CO90" s="101"/>
      <c r="CP90" s="101"/>
      <c r="CQ90" s="102"/>
      <c r="CR90" s="103"/>
      <c r="CS90" s="100"/>
      <c r="CT90" s="104"/>
      <c r="CU90" s="100"/>
      <c r="CV90" s="100"/>
      <c r="CW90" s="100"/>
      <c r="CX90" s="101"/>
      <c r="CY90" s="101"/>
      <c r="CZ90" s="102"/>
      <c r="DA90" s="103"/>
      <c r="DB90" s="100"/>
      <c r="DC90" s="104"/>
      <c r="DD90" s="100"/>
      <c r="DE90" s="100"/>
      <c r="DF90" s="100"/>
      <c r="DG90" s="101"/>
      <c r="DH90" s="101"/>
      <c r="DI90" s="102"/>
      <c r="DJ90" s="103"/>
      <c r="DK90" s="100"/>
      <c r="DL90" s="104"/>
      <c r="DM90" s="100"/>
      <c r="DN90" s="100"/>
      <c r="DO90" s="100"/>
      <c r="DP90" s="101"/>
      <c r="DQ90" s="101"/>
      <c r="DR90" s="102"/>
      <c r="DS90" s="103"/>
      <c r="DT90" s="100"/>
      <c r="DU90" s="104"/>
      <c r="DV90" s="100"/>
      <c r="DW90" s="100"/>
      <c r="DX90" s="100"/>
      <c r="DY90" s="101"/>
      <c r="DZ90" s="101"/>
      <c r="EA90" s="102"/>
      <c r="EB90" s="103"/>
      <c r="EC90" s="100"/>
      <c r="ED90" s="104"/>
      <c r="EE90" s="100"/>
      <c r="EF90" s="100"/>
      <c r="EG90" s="100"/>
      <c r="EH90" s="101"/>
      <c r="EI90" s="101"/>
      <c r="EJ90" s="102"/>
      <c r="EK90" s="103"/>
      <c r="EL90" s="100"/>
      <c r="EM90" s="104"/>
      <c r="EN90" s="100"/>
      <c r="EO90" s="100"/>
      <c r="EP90" s="100"/>
      <c r="EQ90" s="101"/>
      <c r="ER90" s="101"/>
      <c r="ES90" s="102"/>
      <c r="ET90" s="103"/>
      <c r="EU90" s="100"/>
      <c r="EV90" s="104"/>
      <c r="EW90" s="100"/>
      <c r="EX90" s="100"/>
      <c r="EY90" s="100"/>
      <c r="EZ90" s="101"/>
      <c r="FA90" s="101"/>
      <c r="FB90" s="102"/>
      <c r="FC90" s="103"/>
      <c r="FD90" s="100"/>
      <c r="FE90" s="104"/>
      <c r="FF90" s="100"/>
      <c r="FG90" s="100"/>
      <c r="FH90" s="100"/>
      <c r="FI90" s="101"/>
      <c r="FJ90" s="101"/>
      <c r="FK90" s="102"/>
      <c r="FL90" s="103"/>
      <c r="FM90" s="100"/>
      <c r="FN90" s="104"/>
      <c r="FO90" s="100"/>
      <c r="FP90" s="100"/>
      <c r="FQ90" s="100"/>
      <c r="FR90" s="101"/>
      <c r="FS90" s="101"/>
      <c r="FT90" s="102"/>
      <c r="FU90" s="103"/>
      <c r="FV90" s="100"/>
      <c r="FW90" s="104"/>
      <c r="FX90" s="100"/>
      <c r="FY90" s="100"/>
      <c r="FZ90" s="100"/>
      <c r="GA90" s="101"/>
      <c r="GB90" s="101"/>
      <c r="GC90" s="102"/>
      <c r="GD90" s="103"/>
      <c r="GE90" s="100"/>
      <c r="GF90" s="104"/>
      <c r="GG90" s="100"/>
      <c r="GH90" s="100"/>
      <c r="GI90" s="100"/>
      <c r="GJ90" s="101"/>
      <c r="GK90" s="101"/>
      <c r="GL90" s="102"/>
      <c r="GM90" s="103"/>
      <c r="GN90" s="100"/>
      <c r="GO90" s="104"/>
      <c r="GP90" s="100"/>
      <c r="GQ90" s="100"/>
      <c r="GR90" s="100"/>
      <c r="GS90" s="101"/>
      <c r="GT90" s="101"/>
      <c r="GU90" s="102"/>
      <c r="GV90" s="103"/>
      <c r="GW90" s="100"/>
      <c r="GX90" s="104"/>
      <c r="GY90" s="100"/>
      <c r="GZ90" s="100"/>
      <c r="HA90" s="100"/>
      <c r="HB90" s="101"/>
      <c r="HC90" s="101"/>
      <c r="HD90" s="102"/>
      <c r="HE90" s="103"/>
      <c r="HF90" s="100"/>
      <c r="HG90" s="104"/>
      <c r="HH90" s="100"/>
      <c r="HI90" s="100"/>
      <c r="HJ90" s="100"/>
      <c r="HK90" s="101"/>
      <c r="HL90" s="101"/>
      <c r="HM90" s="102"/>
      <c r="HN90" s="103"/>
      <c r="HO90" s="100"/>
      <c r="HP90" s="104"/>
      <c r="HQ90" s="100"/>
      <c r="HR90" s="100"/>
      <c r="HS90" s="100"/>
      <c r="HT90" s="101"/>
      <c r="HU90" s="101"/>
      <c r="HV90" s="102"/>
      <c r="HW90" s="103"/>
      <c r="HX90" s="100"/>
      <c r="HY90" s="104"/>
      <c r="HZ90" s="100"/>
      <c r="IA90" s="100"/>
      <c r="IB90" s="100"/>
      <c r="IC90" s="101"/>
      <c r="ID90" s="101"/>
      <c r="IE90" s="102"/>
      <c r="IF90" s="103"/>
      <c r="IG90" s="100"/>
      <c r="IH90" s="104"/>
      <c r="II90" s="100"/>
      <c r="IJ90" s="100"/>
      <c r="IK90" s="100"/>
    </row>
    <row r="91" spans="1:245" s="668" customFormat="1" ht="39" customHeight="1" outlineLevel="1" x14ac:dyDescent="0.2">
      <c r="A91" s="657" t="s">
        <v>408</v>
      </c>
      <c r="B91" s="658"/>
      <c r="C91" s="659"/>
      <c r="D91" s="660"/>
      <c r="E91" s="660"/>
      <c r="F91" s="661"/>
      <c r="G91" s="662"/>
      <c r="H91" s="663"/>
      <c r="I91" s="90"/>
      <c r="J91" s="664"/>
      <c r="K91" s="665"/>
      <c r="L91" s="666"/>
      <c r="M91" s="667"/>
    </row>
    <row r="92" spans="1:245" s="393" customFormat="1" ht="27" customHeight="1" outlineLevel="2" x14ac:dyDescent="0.2">
      <c r="A92" s="390" t="s">
        <v>275</v>
      </c>
      <c r="B92" s="391" t="s">
        <v>276</v>
      </c>
      <c r="C92" s="390" t="s">
        <v>277</v>
      </c>
      <c r="D92" s="392">
        <f>(5*15)+7</f>
        <v>82</v>
      </c>
      <c r="E92" s="392">
        <f>2*2</f>
        <v>4</v>
      </c>
      <c r="F92" s="367">
        <f>50+150</f>
        <v>200</v>
      </c>
      <c r="G92" s="367">
        <f>(D92*E92*F92)</f>
        <v>65600</v>
      </c>
      <c r="H92" s="367">
        <f t="shared" ref="H92:H97" si="35">G92/$K$3</f>
        <v>4178.3439490445862</v>
      </c>
      <c r="I92" s="367">
        <f>H92</f>
        <v>4178.3439490445862</v>
      </c>
      <c r="J92" s="367"/>
    </row>
    <row r="93" spans="1:245" s="393" customFormat="1" ht="20" customHeight="1" outlineLevel="2" x14ac:dyDescent="0.2">
      <c r="A93" s="390" t="s">
        <v>278</v>
      </c>
      <c r="B93" s="391" t="s">
        <v>279</v>
      </c>
      <c r="C93" s="390" t="s">
        <v>280</v>
      </c>
      <c r="D93" s="392">
        <f>5*15</f>
        <v>75</v>
      </c>
      <c r="E93" s="392">
        <f>2*2</f>
        <v>4</v>
      </c>
      <c r="F93" s="367">
        <v>150</v>
      </c>
      <c r="G93" s="367">
        <f t="shared" ref="G93:G95" si="36">(D93*E93*F93)</f>
        <v>45000</v>
      </c>
      <c r="H93" s="367">
        <f t="shared" si="35"/>
        <v>2866.2420382165606</v>
      </c>
      <c r="I93" s="367">
        <f t="shared" ref="I93:I95" si="37">H93</f>
        <v>2866.2420382165606</v>
      </c>
      <c r="J93" s="367"/>
    </row>
    <row r="94" spans="1:245" s="393" customFormat="1" ht="33" customHeight="1" outlineLevel="2" x14ac:dyDescent="0.2">
      <c r="A94" s="390" t="s">
        <v>282</v>
      </c>
      <c r="B94" s="391" t="s">
        <v>283</v>
      </c>
      <c r="C94" s="390" t="s">
        <v>284</v>
      </c>
      <c r="D94" s="392">
        <v>5</v>
      </c>
      <c r="E94" s="392">
        <v>2</v>
      </c>
      <c r="F94" s="367">
        <v>1000</v>
      </c>
      <c r="G94" s="367">
        <f t="shared" si="36"/>
        <v>10000</v>
      </c>
      <c r="H94" s="367">
        <f t="shared" si="35"/>
        <v>636.9426751592357</v>
      </c>
      <c r="I94" s="367">
        <f t="shared" si="37"/>
        <v>636.9426751592357</v>
      </c>
      <c r="J94" s="367"/>
    </row>
    <row r="95" spans="1:245" s="393" customFormat="1" ht="20" customHeight="1" outlineLevel="2" x14ac:dyDescent="0.2">
      <c r="A95" s="390" t="s">
        <v>285</v>
      </c>
      <c r="B95" s="391" t="s">
        <v>286</v>
      </c>
      <c r="C95" s="390" t="s">
        <v>287</v>
      </c>
      <c r="D95" s="392">
        <v>5</v>
      </c>
      <c r="E95" s="392">
        <f>2*2</f>
        <v>4</v>
      </c>
      <c r="F95" s="367">
        <v>3000</v>
      </c>
      <c r="G95" s="367">
        <f t="shared" si="36"/>
        <v>60000</v>
      </c>
      <c r="H95" s="367">
        <f t="shared" si="35"/>
        <v>3821.6560509554142</v>
      </c>
      <c r="I95" s="367">
        <f t="shared" si="37"/>
        <v>3821.6560509554142</v>
      </c>
      <c r="J95" s="367"/>
    </row>
    <row r="96" spans="1:245" s="93" customFormat="1" ht="20" customHeight="1" outlineLevel="2" x14ac:dyDescent="0.2">
      <c r="A96" s="85"/>
      <c r="B96" s="394"/>
      <c r="C96" s="85"/>
      <c r="D96" s="86"/>
      <c r="E96" s="86"/>
      <c r="F96" s="87"/>
      <c r="G96" s="88">
        <f t="shared" ref="G96" si="38">(D96*E96*F96)</f>
        <v>0</v>
      </c>
      <c r="H96" s="89">
        <f t="shared" si="35"/>
        <v>0</v>
      </c>
      <c r="I96" s="90">
        <f t="shared" ref="I96:I97" si="39">H96</f>
        <v>0</v>
      </c>
      <c r="J96" s="415"/>
      <c r="K96" s="418"/>
      <c r="L96" s="100"/>
      <c r="M96" s="357"/>
    </row>
    <row r="97" spans="1:245" s="93" customFormat="1" ht="20" customHeight="1" outlineLevel="2" x14ac:dyDescent="0.2">
      <c r="A97" s="85"/>
      <c r="B97" s="394"/>
      <c r="C97" s="85"/>
      <c r="D97" s="86"/>
      <c r="E97" s="86"/>
      <c r="F97" s="87"/>
      <c r="G97" s="88">
        <f>(D97*E97*F97)</f>
        <v>0</v>
      </c>
      <c r="H97" s="89">
        <f t="shared" si="35"/>
        <v>0</v>
      </c>
      <c r="I97" s="90">
        <f t="shared" si="39"/>
        <v>0</v>
      </c>
      <c r="J97" s="415"/>
      <c r="K97" s="418"/>
      <c r="L97" s="100"/>
      <c r="M97" s="357"/>
    </row>
    <row r="98" spans="1:245" s="105" customFormat="1" outlineLevel="1" x14ac:dyDescent="0.2">
      <c r="A98" s="94" t="s">
        <v>288</v>
      </c>
      <c r="B98" s="95"/>
      <c r="C98" s="98"/>
      <c r="D98" s="98"/>
      <c r="E98" s="95"/>
      <c r="F98" s="96"/>
      <c r="G98" s="99">
        <f>SUM(G92:G97)</f>
        <v>180600</v>
      </c>
      <c r="H98" s="406">
        <f>SUM(H92:H97)</f>
        <v>11503.184713375796</v>
      </c>
      <c r="I98" s="96">
        <f>SUM(I92:I97)</f>
        <v>11503.184713375796</v>
      </c>
      <c r="J98" s="416">
        <f>SUM(J92:J97)</f>
        <v>0</v>
      </c>
      <c r="K98" s="418"/>
      <c r="L98" s="100"/>
      <c r="M98" s="357"/>
      <c r="N98" s="102"/>
      <c r="O98" s="103"/>
      <c r="P98" s="100"/>
      <c r="Q98" s="104"/>
      <c r="R98" s="100"/>
      <c r="S98" s="100"/>
      <c r="T98" s="100"/>
      <c r="U98" s="101"/>
      <c r="V98" s="101"/>
      <c r="W98" s="102"/>
      <c r="X98" s="103"/>
      <c r="Y98" s="100"/>
      <c r="Z98" s="104"/>
      <c r="AA98" s="100"/>
      <c r="AB98" s="100"/>
      <c r="AC98" s="100"/>
      <c r="AD98" s="101"/>
      <c r="AE98" s="101"/>
      <c r="AF98" s="102"/>
      <c r="AG98" s="103"/>
      <c r="AH98" s="100"/>
      <c r="AI98" s="104"/>
      <c r="AJ98" s="100"/>
      <c r="AK98" s="100"/>
      <c r="AL98" s="100"/>
      <c r="AM98" s="101"/>
      <c r="AN98" s="101"/>
      <c r="AO98" s="102"/>
      <c r="AP98" s="103"/>
      <c r="AQ98" s="100"/>
      <c r="AR98" s="104"/>
      <c r="AS98" s="100"/>
      <c r="AT98" s="100"/>
      <c r="AU98" s="100"/>
      <c r="AV98" s="101"/>
      <c r="AW98" s="101"/>
      <c r="AX98" s="102"/>
      <c r="AY98" s="103"/>
      <c r="AZ98" s="100"/>
      <c r="BA98" s="104"/>
      <c r="BB98" s="100"/>
      <c r="BC98" s="100"/>
      <c r="BD98" s="100"/>
      <c r="BE98" s="101"/>
      <c r="BF98" s="101"/>
      <c r="BG98" s="102"/>
      <c r="BH98" s="103"/>
      <c r="BI98" s="100"/>
      <c r="BJ98" s="104"/>
      <c r="BK98" s="100"/>
      <c r="BL98" s="100"/>
      <c r="BM98" s="100"/>
      <c r="BN98" s="101"/>
      <c r="BO98" s="101"/>
      <c r="BP98" s="102"/>
      <c r="BQ98" s="103"/>
      <c r="BR98" s="100"/>
      <c r="BS98" s="104"/>
      <c r="BT98" s="100"/>
      <c r="BU98" s="100"/>
      <c r="BV98" s="100"/>
      <c r="BW98" s="101"/>
      <c r="BX98" s="101"/>
      <c r="BY98" s="102"/>
      <c r="BZ98" s="103"/>
      <c r="CA98" s="100"/>
      <c r="CB98" s="104"/>
      <c r="CC98" s="100"/>
      <c r="CD98" s="100"/>
      <c r="CE98" s="100"/>
      <c r="CF98" s="101"/>
      <c r="CG98" s="101"/>
      <c r="CH98" s="102"/>
      <c r="CI98" s="103"/>
      <c r="CJ98" s="100"/>
      <c r="CK98" s="104"/>
      <c r="CL98" s="100"/>
      <c r="CM98" s="100"/>
      <c r="CN98" s="100"/>
      <c r="CO98" s="101"/>
      <c r="CP98" s="101"/>
      <c r="CQ98" s="102"/>
      <c r="CR98" s="103"/>
      <c r="CS98" s="100"/>
      <c r="CT98" s="104"/>
      <c r="CU98" s="100"/>
      <c r="CV98" s="100"/>
      <c r="CW98" s="100"/>
      <c r="CX98" s="101"/>
      <c r="CY98" s="101"/>
      <c r="CZ98" s="102"/>
      <c r="DA98" s="103"/>
      <c r="DB98" s="100"/>
      <c r="DC98" s="104"/>
      <c r="DD98" s="100"/>
      <c r="DE98" s="100"/>
      <c r="DF98" s="100"/>
      <c r="DG98" s="101"/>
      <c r="DH98" s="101"/>
      <c r="DI98" s="102"/>
      <c r="DJ98" s="103"/>
      <c r="DK98" s="100"/>
      <c r="DL98" s="104"/>
      <c r="DM98" s="100"/>
      <c r="DN98" s="100"/>
      <c r="DO98" s="100"/>
      <c r="DP98" s="101"/>
      <c r="DQ98" s="101"/>
      <c r="DR98" s="102"/>
      <c r="DS98" s="103"/>
      <c r="DT98" s="100"/>
      <c r="DU98" s="104"/>
      <c r="DV98" s="100"/>
      <c r="DW98" s="100"/>
      <c r="DX98" s="100"/>
      <c r="DY98" s="101"/>
      <c r="DZ98" s="101"/>
      <c r="EA98" s="102"/>
      <c r="EB98" s="103"/>
      <c r="EC98" s="100"/>
      <c r="ED98" s="104"/>
      <c r="EE98" s="100"/>
      <c r="EF98" s="100"/>
      <c r="EG98" s="100"/>
      <c r="EH98" s="101"/>
      <c r="EI98" s="101"/>
      <c r="EJ98" s="102"/>
      <c r="EK98" s="103"/>
      <c r="EL98" s="100"/>
      <c r="EM98" s="104"/>
      <c r="EN98" s="100"/>
      <c r="EO98" s="100"/>
      <c r="EP98" s="100"/>
      <c r="EQ98" s="101"/>
      <c r="ER98" s="101"/>
      <c r="ES98" s="102"/>
      <c r="ET98" s="103"/>
      <c r="EU98" s="100"/>
      <c r="EV98" s="104"/>
      <c r="EW98" s="100"/>
      <c r="EX98" s="100"/>
      <c r="EY98" s="100"/>
      <c r="EZ98" s="101"/>
      <c r="FA98" s="101"/>
      <c r="FB98" s="102"/>
      <c r="FC98" s="103"/>
      <c r="FD98" s="100"/>
      <c r="FE98" s="104"/>
      <c r="FF98" s="100"/>
      <c r="FG98" s="100"/>
      <c r="FH98" s="100"/>
      <c r="FI98" s="101"/>
      <c r="FJ98" s="101"/>
      <c r="FK98" s="102"/>
      <c r="FL98" s="103"/>
      <c r="FM98" s="100"/>
      <c r="FN98" s="104"/>
      <c r="FO98" s="100"/>
      <c r="FP98" s="100"/>
      <c r="FQ98" s="100"/>
      <c r="FR98" s="101"/>
      <c r="FS98" s="101"/>
      <c r="FT98" s="102"/>
      <c r="FU98" s="103"/>
      <c r="FV98" s="100"/>
      <c r="FW98" s="104"/>
      <c r="FX98" s="100"/>
      <c r="FY98" s="100"/>
      <c r="FZ98" s="100"/>
      <c r="GA98" s="101"/>
      <c r="GB98" s="101"/>
      <c r="GC98" s="102"/>
      <c r="GD98" s="103"/>
      <c r="GE98" s="100"/>
      <c r="GF98" s="104"/>
      <c r="GG98" s="100"/>
      <c r="GH98" s="100"/>
      <c r="GI98" s="100"/>
      <c r="GJ98" s="101"/>
      <c r="GK98" s="101"/>
      <c r="GL98" s="102"/>
      <c r="GM98" s="103"/>
      <c r="GN98" s="100"/>
      <c r="GO98" s="104"/>
      <c r="GP98" s="100"/>
      <c r="GQ98" s="100"/>
      <c r="GR98" s="100"/>
      <c r="GS98" s="101"/>
      <c r="GT98" s="101"/>
      <c r="GU98" s="102"/>
      <c r="GV98" s="103"/>
      <c r="GW98" s="100"/>
      <c r="GX98" s="104"/>
      <c r="GY98" s="100"/>
      <c r="GZ98" s="100"/>
      <c r="HA98" s="100"/>
      <c r="HB98" s="101"/>
      <c r="HC98" s="101"/>
      <c r="HD98" s="102"/>
      <c r="HE98" s="103"/>
      <c r="HF98" s="100"/>
      <c r="HG98" s="104"/>
      <c r="HH98" s="100"/>
      <c r="HI98" s="100"/>
      <c r="HJ98" s="100"/>
      <c r="HK98" s="101"/>
      <c r="HL98" s="101"/>
      <c r="HM98" s="102"/>
      <c r="HN98" s="103"/>
      <c r="HO98" s="100"/>
      <c r="HP98" s="104"/>
      <c r="HQ98" s="100"/>
      <c r="HR98" s="100"/>
      <c r="HS98" s="100"/>
      <c r="HT98" s="101"/>
      <c r="HU98" s="101"/>
      <c r="HV98" s="102"/>
      <c r="HW98" s="103"/>
      <c r="HX98" s="100"/>
      <c r="HY98" s="104"/>
      <c r="HZ98" s="100"/>
      <c r="IA98" s="100"/>
      <c r="IB98" s="100"/>
      <c r="IC98" s="101"/>
      <c r="ID98" s="101"/>
      <c r="IE98" s="102"/>
      <c r="IF98" s="103"/>
      <c r="IG98" s="100"/>
      <c r="IH98" s="104"/>
      <c r="II98" s="100"/>
      <c r="IJ98" s="100"/>
      <c r="IK98" s="100"/>
    </row>
    <row r="99" spans="1:245" s="93" customFormat="1" ht="39" customHeight="1" outlineLevel="1" x14ac:dyDescent="0.2">
      <c r="A99" s="409" t="s">
        <v>409</v>
      </c>
      <c r="B99" s="115"/>
      <c r="C99" s="85"/>
      <c r="D99" s="86"/>
      <c r="E99" s="86"/>
      <c r="F99" s="87"/>
      <c r="G99" s="88"/>
      <c r="H99" s="89"/>
      <c r="I99" s="90"/>
      <c r="J99" s="415"/>
      <c r="K99" s="418"/>
      <c r="M99" s="357"/>
    </row>
    <row r="100" spans="1:245" s="93" customFormat="1" ht="20" customHeight="1" outlineLevel="2" x14ac:dyDescent="0.2">
      <c r="A100" s="85" t="s">
        <v>410</v>
      </c>
      <c r="B100" s="394" t="s">
        <v>411</v>
      </c>
      <c r="C100" s="85" t="s">
        <v>412</v>
      </c>
      <c r="D100" s="86">
        <f>5*5</f>
        <v>25</v>
      </c>
      <c r="E100" s="86">
        <v>1</v>
      </c>
      <c r="F100" s="87">
        <v>3000</v>
      </c>
      <c r="G100" s="88">
        <f t="shared" ref="G100" si="40">(D100*E100*F100)</f>
        <v>75000</v>
      </c>
      <c r="H100" s="89">
        <f t="shared" ref="H100" si="41">G100/$K$3</f>
        <v>4777.0700636942674</v>
      </c>
      <c r="I100" s="90">
        <f t="shared" ref="I100" si="42">H100</f>
        <v>4777.0700636942674</v>
      </c>
      <c r="J100" s="415"/>
      <c r="K100" s="418"/>
      <c r="M100" s="380"/>
    </row>
    <row r="101" spans="1:245" s="393" customFormat="1" ht="20" customHeight="1" outlineLevel="2" x14ac:dyDescent="0.2">
      <c r="A101" s="390"/>
      <c r="B101" s="391"/>
      <c r="C101" s="390"/>
      <c r="D101" s="392"/>
      <c r="E101" s="392"/>
      <c r="F101" s="367"/>
      <c r="G101" s="367">
        <f t="shared" ref="G101:G103" si="43">(D101*E101*F101)</f>
        <v>0</v>
      </c>
      <c r="H101" s="367">
        <f>G101/$K$3</f>
        <v>0</v>
      </c>
      <c r="I101" s="367">
        <f t="shared" ref="I101:I103" si="44">H101</f>
        <v>0</v>
      </c>
      <c r="J101" s="367"/>
    </row>
    <row r="102" spans="1:245" s="393" customFormat="1" ht="33" customHeight="1" outlineLevel="2" x14ac:dyDescent="0.2">
      <c r="A102" s="390"/>
      <c r="B102" s="391"/>
      <c r="C102" s="390"/>
      <c r="D102" s="392"/>
      <c r="E102" s="392"/>
      <c r="F102" s="367"/>
      <c r="G102" s="367">
        <f t="shared" si="43"/>
        <v>0</v>
      </c>
      <c r="H102" s="367">
        <f>G102/$K$3</f>
        <v>0</v>
      </c>
      <c r="I102" s="367">
        <f t="shared" si="44"/>
        <v>0</v>
      </c>
      <c r="J102" s="367"/>
    </row>
    <row r="103" spans="1:245" s="393" customFormat="1" ht="20" customHeight="1" outlineLevel="2" x14ac:dyDescent="0.2">
      <c r="A103" s="390"/>
      <c r="B103" s="391"/>
      <c r="C103" s="390"/>
      <c r="D103" s="392"/>
      <c r="E103" s="392"/>
      <c r="F103" s="367"/>
      <c r="G103" s="367">
        <f t="shared" si="43"/>
        <v>0</v>
      </c>
      <c r="H103" s="367">
        <f>G103/$K$3</f>
        <v>0</v>
      </c>
      <c r="I103" s="367">
        <f t="shared" si="44"/>
        <v>0</v>
      </c>
      <c r="J103" s="367"/>
    </row>
    <row r="104" spans="1:245" s="93" customFormat="1" ht="20" customHeight="1" outlineLevel="2" x14ac:dyDescent="0.2">
      <c r="A104" s="85"/>
      <c r="B104" s="394"/>
      <c r="C104" s="85"/>
      <c r="D104" s="86"/>
      <c r="E104" s="86"/>
      <c r="F104" s="87"/>
      <c r="G104" s="88">
        <f t="shared" ref="G104" si="45">(D104*E104*F104)</f>
        <v>0</v>
      </c>
      <c r="H104" s="89">
        <f>G104/$K$3</f>
        <v>0</v>
      </c>
      <c r="I104" s="90">
        <f t="shared" ref="I104:I105" si="46">H104</f>
        <v>0</v>
      </c>
      <c r="J104" s="415"/>
      <c r="K104" s="418"/>
      <c r="M104" s="357"/>
    </row>
    <row r="105" spans="1:245" s="93" customFormat="1" ht="20" customHeight="1" outlineLevel="2" x14ac:dyDescent="0.2">
      <c r="A105" s="85"/>
      <c r="B105" s="394"/>
      <c r="C105" s="85"/>
      <c r="D105" s="86"/>
      <c r="E105" s="86"/>
      <c r="F105" s="87"/>
      <c r="G105" s="88">
        <f>(D105*E105*F105)</f>
        <v>0</v>
      </c>
      <c r="H105" s="89">
        <f>G105/$K$3</f>
        <v>0</v>
      </c>
      <c r="I105" s="90">
        <f t="shared" si="46"/>
        <v>0</v>
      </c>
      <c r="J105" s="415"/>
      <c r="K105" s="418"/>
      <c r="M105" s="357"/>
    </row>
    <row r="106" spans="1:245" s="105" customFormat="1" outlineLevel="1" x14ac:dyDescent="0.2">
      <c r="A106" s="94" t="s">
        <v>288</v>
      </c>
      <c r="B106" s="95"/>
      <c r="C106" s="98"/>
      <c r="D106" s="98"/>
      <c r="E106" s="95"/>
      <c r="F106" s="96"/>
      <c r="G106" s="99">
        <f>SUM(G100:G105)</f>
        <v>75000</v>
      </c>
      <c r="H106" s="406">
        <f>SUM(H100:H105)</f>
        <v>4777.0700636942674</v>
      </c>
      <c r="I106" s="96">
        <f>SUM(I100:I105)</f>
        <v>4777.0700636942674</v>
      </c>
      <c r="J106" s="416">
        <f>SUM(J100:J105)</f>
        <v>0</v>
      </c>
      <c r="K106" s="418"/>
      <c r="L106" s="100"/>
      <c r="M106" s="464">
        <f>$H106</f>
        <v>4777.0700636942674</v>
      </c>
      <c r="N106" s="102"/>
      <c r="O106" s="103"/>
      <c r="P106" s="100"/>
      <c r="Q106" s="104"/>
      <c r="R106" s="100"/>
      <c r="S106" s="100"/>
      <c r="T106" s="100"/>
      <c r="U106" s="101"/>
      <c r="V106" s="101"/>
      <c r="W106" s="102"/>
      <c r="X106" s="103"/>
      <c r="Y106" s="100"/>
      <c r="Z106" s="104"/>
      <c r="AA106" s="100"/>
      <c r="AB106" s="100"/>
      <c r="AC106" s="100"/>
      <c r="AD106" s="101"/>
      <c r="AE106" s="101"/>
      <c r="AF106" s="102"/>
      <c r="AG106" s="103"/>
      <c r="AH106" s="100"/>
      <c r="AI106" s="104"/>
      <c r="AJ106" s="100"/>
      <c r="AK106" s="100"/>
      <c r="AL106" s="100"/>
      <c r="AM106" s="101"/>
      <c r="AN106" s="101"/>
      <c r="AO106" s="102"/>
      <c r="AP106" s="103"/>
      <c r="AQ106" s="100"/>
      <c r="AR106" s="104"/>
      <c r="AS106" s="100"/>
      <c r="AT106" s="100"/>
      <c r="AU106" s="100"/>
      <c r="AV106" s="101"/>
      <c r="AW106" s="101"/>
      <c r="AX106" s="102"/>
      <c r="AY106" s="103"/>
      <c r="AZ106" s="100"/>
      <c r="BA106" s="104"/>
      <c r="BB106" s="100"/>
      <c r="BC106" s="100"/>
      <c r="BD106" s="100"/>
      <c r="BE106" s="101"/>
      <c r="BF106" s="101"/>
      <c r="BG106" s="102"/>
      <c r="BH106" s="103"/>
      <c r="BI106" s="100"/>
      <c r="BJ106" s="104"/>
      <c r="BK106" s="100"/>
      <c r="BL106" s="100"/>
      <c r="BM106" s="100"/>
      <c r="BN106" s="101"/>
      <c r="BO106" s="101"/>
      <c r="BP106" s="102"/>
      <c r="BQ106" s="103"/>
      <c r="BR106" s="100"/>
      <c r="BS106" s="104"/>
      <c r="BT106" s="100"/>
      <c r="BU106" s="100"/>
      <c r="BV106" s="100"/>
      <c r="BW106" s="101"/>
      <c r="BX106" s="101"/>
      <c r="BY106" s="102"/>
      <c r="BZ106" s="103"/>
      <c r="CA106" s="100"/>
      <c r="CB106" s="104"/>
      <c r="CC106" s="100"/>
      <c r="CD106" s="100"/>
      <c r="CE106" s="100"/>
      <c r="CF106" s="101"/>
      <c r="CG106" s="101"/>
      <c r="CH106" s="102"/>
      <c r="CI106" s="103"/>
      <c r="CJ106" s="100"/>
      <c r="CK106" s="104"/>
      <c r="CL106" s="100"/>
      <c r="CM106" s="100"/>
      <c r="CN106" s="100"/>
      <c r="CO106" s="101"/>
      <c r="CP106" s="101"/>
      <c r="CQ106" s="102"/>
      <c r="CR106" s="103"/>
      <c r="CS106" s="100"/>
      <c r="CT106" s="104"/>
      <c r="CU106" s="100"/>
      <c r="CV106" s="100"/>
      <c r="CW106" s="100"/>
      <c r="CX106" s="101"/>
      <c r="CY106" s="101"/>
      <c r="CZ106" s="102"/>
      <c r="DA106" s="103"/>
      <c r="DB106" s="100"/>
      <c r="DC106" s="104"/>
      <c r="DD106" s="100"/>
      <c r="DE106" s="100"/>
      <c r="DF106" s="100"/>
      <c r="DG106" s="101"/>
      <c r="DH106" s="101"/>
      <c r="DI106" s="102"/>
      <c r="DJ106" s="103"/>
      <c r="DK106" s="100"/>
      <c r="DL106" s="104"/>
      <c r="DM106" s="100"/>
      <c r="DN106" s="100"/>
      <c r="DO106" s="100"/>
      <c r="DP106" s="101"/>
      <c r="DQ106" s="101"/>
      <c r="DR106" s="102"/>
      <c r="DS106" s="103"/>
      <c r="DT106" s="100"/>
      <c r="DU106" s="104"/>
      <c r="DV106" s="100"/>
      <c r="DW106" s="100"/>
      <c r="DX106" s="100"/>
      <c r="DY106" s="101"/>
      <c r="DZ106" s="101"/>
      <c r="EA106" s="102"/>
      <c r="EB106" s="103"/>
      <c r="EC106" s="100"/>
      <c r="ED106" s="104"/>
      <c r="EE106" s="100"/>
      <c r="EF106" s="100"/>
      <c r="EG106" s="100"/>
      <c r="EH106" s="101"/>
      <c r="EI106" s="101"/>
      <c r="EJ106" s="102"/>
      <c r="EK106" s="103"/>
      <c r="EL106" s="100"/>
      <c r="EM106" s="104"/>
      <c r="EN106" s="100"/>
      <c r="EO106" s="100"/>
      <c r="EP106" s="100"/>
      <c r="EQ106" s="101"/>
      <c r="ER106" s="101"/>
      <c r="ES106" s="102"/>
      <c r="ET106" s="103"/>
      <c r="EU106" s="100"/>
      <c r="EV106" s="104"/>
      <c r="EW106" s="100"/>
      <c r="EX106" s="100"/>
      <c r="EY106" s="100"/>
      <c r="EZ106" s="101"/>
      <c r="FA106" s="101"/>
      <c r="FB106" s="102"/>
      <c r="FC106" s="103"/>
      <c r="FD106" s="100"/>
      <c r="FE106" s="104"/>
      <c r="FF106" s="100"/>
      <c r="FG106" s="100"/>
      <c r="FH106" s="100"/>
      <c r="FI106" s="101"/>
      <c r="FJ106" s="101"/>
      <c r="FK106" s="102"/>
      <c r="FL106" s="103"/>
      <c r="FM106" s="100"/>
      <c r="FN106" s="104"/>
      <c r="FO106" s="100"/>
      <c r="FP106" s="100"/>
      <c r="FQ106" s="100"/>
      <c r="FR106" s="101"/>
      <c r="FS106" s="101"/>
      <c r="FT106" s="102"/>
      <c r="FU106" s="103"/>
      <c r="FV106" s="100"/>
      <c r="FW106" s="104"/>
      <c r="FX106" s="100"/>
      <c r="FY106" s="100"/>
      <c r="FZ106" s="100"/>
      <c r="GA106" s="101"/>
      <c r="GB106" s="101"/>
      <c r="GC106" s="102"/>
      <c r="GD106" s="103"/>
      <c r="GE106" s="100"/>
      <c r="GF106" s="104"/>
      <c r="GG106" s="100"/>
      <c r="GH106" s="100"/>
      <c r="GI106" s="100"/>
      <c r="GJ106" s="101"/>
      <c r="GK106" s="101"/>
      <c r="GL106" s="102"/>
      <c r="GM106" s="103"/>
      <c r="GN106" s="100"/>
      <c r="GO106" s="104"/>
      <c r="GP106" s="100"/>
      <c r="GQ106" s="100"/>
      <c r="GR106" s="100"/>
      <c r="GS106" s="101"/>
      <c r="GT106" s="101"/>
      <c r="GU106" s="102"/>
      <c r="GV106" s="103"/>
      <c r="GW106" s="100"/>
      <c r="GX106" s="104"/>
      <c r="GY106" s="100"/>
      <c r="GZ106" s="100"/>
      <c r="HA106" s="100"/>
      <c r="HB106" s="101"/>
      <c r="HC106" s="101"/>
      <c r="HD106" s="102"/>
      <c r="HE106" s="103"/>
      <c r="HF106" s="100"/>
      <c r="HG106" s="104"/>
      <c r="HH106" s="100"/>
      <c r="HI106" s="100"/>
      <c r="HJ106" s="100"/>
      <c r="HK106" s="101"/>
      <c r="HL106" s="101"/>
      <c r="HM106" s="102"/>
      <c r="HN106" s="103"/>
      <c r="HO106" s="100"/>
      <c r="HP106" s="104"/>
      <c r="HQ106" s="100"/>
      <c r="HR106" s="100"/>
      <c r="HS106" s="100"/>
      <c r="HT106" s="101"/>
      <c r="HU106" s="101"/>
      <c r="HV106" s="102"/>
      <c r="HW106" s="103"/>
      <c r="HX106" s="100"/>
      <c r="HY106" s="104"/>
      <c r="HZ106" s="100"/>
      <c r="IA106" s="100"/>
      <c r="IB106" s="100"/>
      <c r="IC106" s="101"/>
      <c r="ID106" s="101"/>
      <c r="IE106" s="102"/>
      <c r="IF106" s="103"/>
      <c r="IG106" s="100"/>
      <c r="IH106" s="104"/>
      <c r="II106" s="100"/>
      <c r="IJ106" s="100"/>
      <c r="IK106" s="100"/>
    </row>
    <row r="107" spans="1:245" s="93" customFormat="1" ht="39" customHeight="1" outlineLevel="1" x14ac:dyDescent="0.2">
      <c r="A107" s="409" t="s">
        <v>413</v>
      </c>
      <c r="B107" s="115" t="s">
        <v>74</v>
      </c>
      <c r="C107" s="85"/>
      <c r="D107" s="86"/>
      <c r="E107" s="86"/>
      <c r="F107" s="87"/>
      <c r="G107" s="88"/>
      <c r="H107" s="89"/>
      <c r="I107" s="90"/>
      <c r="J107" s="415"/>
      <c r="K107" s="418"/>
      <c r="M107" s="357"/>
    </row>
    <row r="108" spans="1:245" s="93" customFormat="1" ht="20" customHeight="1" outlineLevel="2" x14ac:dyDescent="0.2">
      <c r="A108" s="85" t="s">
        <v>369</v>
      </c>
      <c r="B108" s="394" t="s">
        <v>76</v>
      </c>
      <c r="C108" s="85" t="s">
        <v>339</v>
      </c>
      <c r="D108" s="86">
        <f>3*5+5+5</f>
        <v>25</v>
      </c>
      <c r="E108" s="86">
        <v>5</v>
      </c>
      <c r="F108" s="87">
        <v>150</v>
      </c>
      <c r="G108" s="88">
        <f t="shared" ref="G108:G113" si="47">(D108*E108*F108)</f>
        <v>18750</v>
      </c>
      <c r="H108" s="89">
        <f t="shared" ref="H108:H114" si="48">G108/$K$3</f>
        <v>1194.2675159235669</v>
      </c>
      <c r="I108" s="90">
        <f>H108</f>
        <v>1194.2675159235669</v>
      </c>
      <c r="J108" s="415"/>
      <c r="K108" s="418"/>
      <c r="M108" s="464"/>
    </row>
    <row r="109" spans="1:245" s="93" customFormat="1" ht="20" customHeight="1" outlineLevel="2" x14ac:dyDescent="0.2">
      <c r="A109" s="85" t="s">
        <v>323</v>
      </c>
      <c r="B109" s="394" t="s">
        <v>323</v>
      </c>
      <c r="C109" s="85" t="s">
        <v>364</v>
      </c>
      <c r="D109" s="86">
        <f>3*5</f>
        <v>15</v>
      </c>
      <c r="E109" s="86">
        <v>5</v>
      </c>
      <c r="F109" s="87">
        <v>150</v>
      </c>
      <c r="G109" s="88">
        <f t="shared" si="47"/>
        <v>11250</v>
      </c>
      <c r="H109" s="89">
        <f t="shared" si="48"/>
        <v>716.56050955414014</v>
      </c>
      <c r="I109" s="90">
        <f t="shared" ref="I109:I114" si="49">H109</f>
        <v>716.56050955414014</v>
      </c>
      <c r="J109" s="415"/>
      <c r="K109" s="418"/>
      <c r="M109" s="357"/>
    </row>
    <row r="110" spans="1:245" s="93" customFormat="1" ht="20" customHeight="1" outlineLevel="2" x14ac:dyDescent="0.2">
      <c r="A110" s="85" t="s">
        <v>336</v>
      </c>
      <c r="B110" s="394" t="s">
        <v>286</v>
      </c>
      <c r="C110" s="85" t="s">
        <v>287</v>
      </c>
      <c r="D110" s="86">
        <v>1</v>
      </c>
      <c r="E110" s="86">
        <v>5</v>
      </c>
      <c r="F110" s="87">
        <v>3000</v>
      </c>
      <c r="G110" s="88">
        <f t="shared" si="47"/>
        <v>15000</v>
      </c>
      <c r="H110" s="89">
        <f t="shared" si="48"/>
        <v>955.41401273885356</v>
      </c>
      <c r="I110" s="90">
        <f t="shared" si="49"/>
        <v>955.41401273885356</v>
      </c>
      <c r="J110" s="415"/>
      <c r="K110" s="418"/>
      <c r="M110" s="357"/>
    </row>
    <row r="111" spans="1:245" s="93" customFormat="1" ht="20" customHeight="1" outlineLevel="2" x14ac:dyDescent="0.2">
      <c r="A111" s="85"/>
      <c r="B111" s="394"/>
      <c r="C111" s="85"/>
      <c r="D111" s="86"/>
      <c r="E111" s="86"/>
      <c r="F111" s="87"/>
      <c r="G111" s="88">
        <f t="shared" si="47"/>
        <v>0</v>
      </c>
      <c r="H111" s="89">
        <f t="shared" si="48"/>
        <v>0</v>
      </c>
      <c r="I111" s="90">
        <f t="shared" si="49"/>
        <v>0</v>
      </c>
      <c r="J111" s="415"/>
      <c r="K111" s="418"/>
      <c r="M111" s="357"/>
    </row>
    <row r="112" spans="1:245" s="93" customFormat="1" ht="20" customHeight="1" outlineLevel="2" x14ac:dyDescent="0.2">
      <c r="A112" s="85"/>
      <c r="B112" s="394"/>
      <c r="C112" s="85" t="s">
        <v>308</v>
      </c>
      <c r="D112" s="86"/>
      <c r="E112" s="86"/>
      <c r="F112" s="87"/>
      <c r="G112" s="88">
        <f t="shared" si="47"/>
        <v>0</v>
      </c>
      <c r="H112" s="89">
        <f t="shared" si="48"/>
        <v>0</v>
      </c>
      <c r="I112" s="90">
        <f t="shared" si="49"/>
        <v>0</v>
      </c>
      <c r="J112" s="415"/>
      <c r="K112" s="418"/>
      <c r="M112" s="357"/>
    </row>
    <row r="113" spans="1:245" s="93" customFormat="1" ht="20" customHeight="1" outlineLevel="2" x14ac:dyDescent="0.2">
      <c r="A113" s="85"/>
      <c r="B113" s="394"/>
      <c r="C113" s="85" t="s">
        <v>399</v>
      </c>
      <c r="D113" s="86"/>
      <c r="E113" s="86"/>
      <c r="F113" s="87"/>
      <c r="G113" s="88">
        <f t="shared" si="47"/>
        <v>0</v>
      </c>
      <c r="H113" s="89">
        <f t="shared" si="48"/>
        <v>0</v>
      </c>
      <c r="I113" s="90">
        <f t="shared" si="49"/>
        <v>0</v>
      </c>
      <c r="J113" s="415"/>
      <c r="K113" s="418"/>
      <c r="M113" s="357"/>
    </row>
    <row r="114" spans="1:245" s="93" customFormat="1" ht="20" customHeight="1" outlineLevel="2" x14ac:dyDescent="0.2">
      <c r="A114" s="85"/>
      <c r="B114" s="394"/>
      <c r="C114" s="85" t="s">
        <v>292</v>
      </c>
      <c r="D114" s="86"/>
      <c r="E114" s="86"/>
      <c r="F114" s="87"/>
      <c r="G114" s="88">
        <f>(D114*E114*F114)</f>
        <v>0</v>
      </c>
      <c r="H114" s="89">
        <f t="shared" si="48"/>
        <v>0</v>
      </c>
      <c r="I114" s="90">
        <f t="shared" si="49"/>
        <v>0</v>
      </c>
      <c r="J114" s="415"/>
      <c r="K114" s="418"/>
      <c r="M114" s="357"/>
    </row>
    <row r="115" spans="1:245" s="105" customFormat="1" outlineLevel="1" x14ac:dyDescent="0.2">
      <c r="A115" s="94" t="s">
        <v>288</v>
      </c>
      <c r="B115" s="95"/>
      <c r="C115" s="98"/>
      <c r="D115" s="98"/>
      <c r="E115" s="95"/>
      <c r="F115" s="96"/>
      <c r="G115" s="99">
        <f>SUM(G108:G114)</f>
        <v>45000</v>
      </c>
      <c r="H115" s="406">
        <f>SUM(H108:H114)</f>
        <v>2866.2420382165606</v>
      </c>
      <c r="I115" s="96">
        <f>SUM(I108:I114)</f>
        <v>2866.2420382165606</v>
      </c>
      <c r="J115" s="416">
        <f>SUM(J108:J114)</f>
        <v>0</v>
      </c>
      <c r="K115" s="418"/>
      <c r="L115" s="100"/>
      <c r="M115" s="464">
        <f>$H115</f>
        <v>2866.2420382165606</v>
      </c>
      <c r="N115" s="102"/>
      <c r="O115" s="103"/>
      <c r="P115" s="100"/>
      <c r="Q115" s="104"/>
      <c r="R115" s="100"/>
      <c r="S115" s="100"/>
      <c r="T115" s="100"/>
      <c r="U115" s="101"/>
      <c r="V115" s="101"/>
      <c r="W115" s="102"/>
      <c r="X115" s="103"/>
      <c r="Y115" s="100"/>
      <c r="Z115" s="104"/>
      <c r="AA115" s="100"/>
      <c r="AB115" s="100"/>
      <c r="AC115" s="100"/>
      <c r="AD115" s="101"/>
      <c r="AE115" s="101"/>
      <c r="AF115" s="102"/>
      <c r="AG115" s="103"/>
      <c r="AH115" s="100"/>
      <c r="AI115" s="104"/>
      <c r="AJ115" s="100"/>
      <c r="AK115" s="100"/>
      <c r="AL115" s="100"/>
      <c r="AM115" s="101"/>
      <c r="AN115" s="101"/>
      <c r="AO115" s="102"/>
      <c r="AP115" s="103"/>
      <c r="AQ115" s="100"/>
      <c r="AR115" s="104"/>
      <c r="AS115" s="100"/>
      <c r="AT115" s="100"/>
      <c r="AU115" s="100"/>
      <c r="AV115" s="101"/>
      <c r="AW115" s="101"/>
      <c r="AX115" s="102"/>
      <c r="AY115" s="103"/>
      <c r="AZ115" s="100"/>
      <c r="BA115" s="104"/>
      <c r="BB115" s="100"/>
      <c r="BC115" s="100"/>
      <c r="BD115" s="100"/>
      <c r="BE115" s="101"/>
      <c r="BF115" s="101"/>
      <c r="BG115" s="102"/>
      <c r="BH115" s="103"/>
      <c r="BI115" s="100"/>
      <c r="BJ115" s="104"/>
      <c r="BK115" s="100"/>
      <c r="BL115" s="100"/>
      <c r="BM115" s="100"/>
      <c r="BN115" s="101"/>
      <c r="BO115" s="101"/>
      <c r="BP115" s="102"/>
      <c r="BQ115" s="103"/>
      <c r="BR115" s="100"/>
      <c r="BS115" s="104"/>
      <c r="BT115" s="100"/>
      <c r="BU115" s="100"/>
      <c r="BV115" s="100"/>
      <c r="BW115" s="101"/>
      <c r="BX115" s="101"/>
      <c r="BY115" s="102"/>
      <c r="BZ115" s="103"/>
      <c r="CA115" s="100"/>
      <c r="CB115" s="104"/>
      <c r="CC115" s="100"/>
      <c r="CD115" s="100"/>
      <c r="CE115" s="100"/>
      <c r="CF115" s="101"/>
      <c r="CG115" s="101"/>
      <c r="CH115" s="102"/>
      <c r="CI115" s="103"/>
      <c r="CJ115" s="100"/>
      <c r="CK115" s="104"/>
      <c r="CL115" s="100"/>
      <c r="CM115" s="100"/>
      <c r="CN115" s="100"/>
      <c r="CO115" s="101"/>
      <c r="CP115" s="101"/>
      <c r="CQ115" s="102"/>
      <c r="CR115" s="103"/>
      <c r="CS115" s="100"/>
      <c r="CT115" s="104"/>
      <c r="CU115" s="100"/>
      <c r="CV115" s="100"/>
      <c r="CW115" s="100"/>
      <c r="CX115" s="101"/>
      <c r="CY115" s="101"/>
      <c r="CZ115" s="102"/>
      <c r="DA115" s="103"/>
      <c r="DB115" s="100"/>
      <c r="DC115" s="104"/>
      <c r="DD115" s="100"/>
      <c r="DE115" s="100"/>
      <c r="DF115" s="100"/>
      <c r="DG115" s="101"/>
      <c r="DH115" s="101"/>
      <c r="DI115" s="102"/>
      <c r="DJ115" s="103"/>
      <c r="DK115" s="100"/>
      <c r="DL115" s="104"/>
      <c r="DM115" s="100"/>
      <c r="DN115" s="100"/>
      <c r="DO115" s="100"/>
      <c r="DP115" s="101"/>
      <c r="DQ115" s="101"/>
      <c r="DR115" s="102"/>
      <c r="DS115" s="103"/>
      <c r="DT115" s="100"/>
      <c r="DU115" s="104"/>
      <c r="DV115" s="100"/>
      <c r="DW115" s="100"/>
      <c r="DX115" s="100"/>
      <c r="DY115" s="101"/>
      <c r="DZ115" s="101"/>
      <c r="EA115" s="102"/>
      <c r="EB115" s="103"/>
      <c r="EC115" s="100"/>
      <c r="ED115" s="104"/>
      <c r="EE115" s="100"/>
      <c r="EF115" s="100"/>
      <c r="EG115" s="100"/>
      <c r="EH115" s="101"/>
      <c r="EI115" s="101"/>
      <c r="EJ115" s="102"/>
      <c r="EK115" s="103"/>
      <c r="EL115" s="100"/>
      <c r="EM115" s="104"/>
      <c r="EN115" s="100"/>
      <c r="EO115" s="100"/>
      <c r="EP115" s="100"/>
      <c r="EQ115" s="101"/>
      <c r="ER115" s="101"/>
      <c r="ES115" s="102"/>
      <c r="ET115" s="103"/>
      <c r="EU115" s="100"/>
      <c r="EV115" s="104"/>
      <c r="EW115" s="100"/>
      <c r="EX115" s="100"/>
      <c r="EY115" s="100"/>
      <c r="EZ115" s="101"/>
      <c r="FA115" s="101"/>
      <c r="FB115" s="102"/>
      <c r="FC115" s="103"/>
      <c r="FD115" s="100"/>
      <c r="FE115" s="104"/>
      <c r="FF115" s="100"/>
      <c r="FG115" s="100"/>
      <c r="FH115" s="100"/>
      <c r="FI115" s="101"/>
      <c r="FJ115" s="101"/>
      <c r="FK115" s="102"/>
      <c r="FL115" s="103"/>
      <c r="FM115" s="100"/>
      <c r="FN115" s="104"/>
      <c r="FO115" s="100"/>
      <c r="FP115" s="100"/>
      <c r="FQ115" s="100"/>
      <c r="FR115" s="101"/>
      <c r="FS115" s="101"/>
      <c r="FT115" s="102"/>
      <c r="FU115" s="103"/>
      <c r="FV115" s="100"/>
      <c r="FW115" s="104"/>
      <c r="FX115" s="100"/>
      <c r="FY115" s="100"/>
      <c r="FZ115" s="100"/>
      <c r="GA115" s="101"/>
      <c r="GB115" s="101"/>
      <c r="GC115" s="102"/>
      <c r="GD115" s="103"/>
      <c r="GE115" s="100"/>
      <c r="GF115" s="104"/>
      <c r="GG115" s="100"/>
      <c r="GH115" s="100"/>
      <c r="GI115" s="100"/>
      <c r="GJ115" s="101"/>
      <c r="GK115" s="101"/>
      <c r="GL115" s="102"/>
      <c r="GM115" s="103"/>
      <c r="GN115" s="100"/>
      <c r="GO115" s="104"/>
      <c r="GP115" s="100"/>
      <c r="GQ115" s="100"/>
      <c r="GR115" s="100"/>
      <c r="GS115" s="101"/>
      <c r="GT115" s="101"/>
      <c r="GU115" s="102"/>
      <c r="GV115" s="103"/>
      <c r="GW115" s="100"/>
      <c r="GX115" s="104"/>
      <c r="GY115" s="100"/>
      <c r="GZ115" s="100"/>
      <c r="HA115" s="100"/>
      <c r="HB115" s="101"/>
      <c r="HC115" s="101"/>
      <c r="HD115" s="102"/>
      <c r="HE115" s="103"/>
      <c r="HF115" s="100"/>
      <c r="HG115" s="104"/>
      <c r="HH115" s="100"/>
      <c r="HI115" s="100"/>
      <c r="HJ115" s="100"/>
      <c r="HK115" s="101"/>
      <c r="HL115" s="101"/>
      <c r="HM115" s="102"/>
      <c r="HN115" s="103"/>
      <c r="HO115" s="100"/>
      <c r="HP115" s="104"/>
      <c r="HQ115" s="100"/>
      <c r="HR115" s="100"/>
      <c r="HS115" s="100"/>
      <c r="HT115" s="101"/>
      <c r="HU115" s="101"/>
      <c r="HV115" s="102"/>
      <c r="HW115" s="103"/>
      <c r="HX115" s="100"/>
      <c r="HY115" s="104"/>
      <c r="HZ115" s="100"/>
      <c r="IA115" s="100"/>
      <c r="IB115" s="100"/>
      <c r="IC115" s="101"/>
      <c r="ID115" s="101"/>
      <c r="IE115" s="102"/>
      <c r="IF115" s="103"/>
      <c r="IG115" s="100"/>
      <c r="IH115" s="104"/>
      <c r="II115" s="100"/>
      <c r="IJ115" s="100"/>
      <c r="IK115" s="100"/>
    </row>
    <row r="116" spans="1:245" s="93" customFormat="1" ht="39" customHeight="1" outlineLevel="1" x14ac:dyDescent="0.2">
      <c r="A116" s="409" t="s">
        <v>414</v>
      </c>
      <c r="B116" s="115"/>
      <c r="C116" s="85"/>
      <c r="D116" s="86"/>
      <c r="E116" s="86"/>
      <c r="F116" s="87"/>
      <c r="G116" s="88"/>
      <c r="H116" s="89"/>
      <c r="I116" s="90"/>
      <c r="J116" s="415"/>
      <c r="K116" s="418"/>
      <c r="M116" s="357"/>
    </row>
    <row r="117" spans="1:245" s="93" customFormat="1" ht="20" customHeight="1" outlineLevel="2" x14ac:dyDescent="0.2">
      <c r="A117" s="85" t="s">
        <v>369</v>
      </c>
      <c r="B117" s="394" t="s">
        <v>76</v>
      </c>
      <c r="C117" s="85" t="s">
        <v>339</v>
      </c>
      <c r="D117" s="86">
        <f>5*6</f>
        <v>30</v>
      </c>
      <c r="E117" s="86">
        <f>2*4</f>
        <v>8</v>
      </c>
      <c r="F117" s="87">
        <v>150</v>
      </c>
      <c r="G117" s="88">
        <f t="shared" ref="G117:G122" si="50">(D117*E117*F117)</f>
        <v>36000</v>
      </c>
      <c r="H117" s="89">
        <f t="shared" ref="H117:H123" si="51">G117/$K$3</f>
        <v>2292.9936305732485</v>
      </c>
      <c r="I117" s="90">
        <f>H117</f>
        <v>2292.9936305732485</v>
      </c>
      <c r="J117" s="415"/>
      <c r="K117" s="418"/>
      <c r="M117" s="464"/>
    </row>
    <row r="118" spans="1:245" s="93" customFormat="1" ht="20" customHeight="1" outlineLevel="2" x14ac:dyDescent="0.2">
      <c r="A118" s="85" t="s">
        <v>323</v>
      </c>
      <c r="B118" s="394" t="s">
        <v>323</v>
      </c>
      <c r="C118" s="85" t="s">
        <v>364</v>
      </c>
      <c r="D118" s="86">
        <f>5*6</f>
        <v>30</v>
      </c>
      <c r="E118" s="86">
        <v>8</v>
      </c>
      <c r="F118" s="87">
        <v>300</v>
      </c>
      <c r="G118" s="88">
        <f t="shared" si="50"/>
        <v>72000</v>
      </c>
      <c r="H118" s="89">
        <f t="shared" si="51"/>
        <v>4585.9872611464971</v>
      </c>
      <c r="I118" s="90">
        <f t="shared" ref="I118:I123" si="52">H118</f>
        <v>4585.9872611464971</v>
      </c>
      <c r="J118" s="415"/>
      <c r="K118" s="418"/>
      <c r="M118" s="357"/>
    </row>
    <row r="119" spans="1:245" s="93" customFormat="1" ht="20" customHeight="1" outlineLevel="2" x14ac:dyDescent="0.2">
      <c r="A119" s="85" t="s">
        <v>336</v>
      </c>
      <c r="B119" s="394" t="s">
        <v>286</v>
      </c>
      <c r="C119" s="85" t="s">
        <v>287</v>
      </c>
      <c r="D119" s="86">
        <v>1</v>
      </c>
      <c r="E119" s="86">
        <f>2*4</f>
        <v>8</v>
      </c>
      <c r="F119" s="87">
        <v>3000</v>
      </c>
      <c r="G119" s="88">
        <f t="shared" si="50"/>
        <v>24000</v>
      </c>
      <c r="H119" s="89">
        <f t="shared" si="51"/>
        <v>1528.6624203821657</v>
      </c>
      <c r="I119" s="90">
        <f t="shared" si="52"/>
        <v>1528.6624203821657</v>
      </c>
      <c r="J119" s="415"/>
      <c r="K119" s="418"/>
      <c r="M119" s="357"/>
    </row>
    <row r="120" spans="1:245" s="93" customFormat="1" ht="20" customHeight="1" outlineLevel="2" x14ac:dyDescent="0.2">
      <c r="A120" s="85"/>
      <c r="B120" s="394"/>
      <c r="C120" s="85"/>
      <c r="D120" s="86"/>
      <c r="E120" s="86"/>
      <c r="F120" s="87"/>
      <c r="G120" s="88">
        <f t="shared" si="50"/>
        <v>0</v>
      </c>
      <c r="H120" s="89">
        <f t="shared" si="51"/>
        <v>0</v>
      </c>
      <c r="I120" s="90">
        <f t="shared" si="52"/>
        <v>0</v>
      </c>
      <c r="J120" s="415"/>
      <c r="K120" s="418"/>
      <c r="M120" s="357"/>
    </row>
    <row r="121" spans="1:245" s="93" customFormat="1" ht="20" customHeight="1" outlineLevel="2" x14ac:dyDescent="0.2">
      <c r="A121" s="85"/>
      <c r="B121" s="394"/>
      <c r="C121" s="85" t="s">
        <v>308</v>
      </c>
      <c r="D121" s="86"/>
      <c r="E121" s="86"/>
      <c r="F121" s="87"/>
      <c r="G121" s="88">
        <f t="shared" si="50"/>
        <v>0</v>
      </c>
      <c r="H121" s="89">
        <f t="shared" si="51"/>
        <v>0</v>
      </c>
      <c r="I121" s="90">
        <f t="shared" si="52"/>
        <v>0</v>
      </c>
      <c r="J121" s="415"/>
      <c r="K121" s="418"/>
      <c r="M121" s="357"/>
    </row>
    <row r="122" spans="1:245" s="93" customFormat="1" ht="20" customHeight="1" outlineLevel="2" x14ac:dyDescent="0.2">
      <c r="A122" s="85"/>
      <c r="B122" s="394"/>
      <c r="C122" s="85" t="s">
        <v>399</v>
      </c>
      <c r="D122" s="86"/>
      <c r="E122" s="86"/>
      <c r="F122" s="87"/>
      <c r="G122" s="88">
        <f t="shared" si="50"/>
        <v>0</v>
      </c>
      <c r="H122" s="89">
        <f t="shared" si="51"/>
        <v>0</v>
      </c>
      <c r="I122" s="90">
        <f t="shared" si="52"/>
        <v>0</v>
      </c>
      <c r="J122" s="415"/>
      <c r="K122" s="418"/>
      <c r="M122" s="357"/>
    </row>
    <row r="123" spans="1:245" s="93" customFormat="1" ht="20" customHeight="1" outlineLevel="2" x14ac:dyDescent="0.2">
      <c r="A123" s="85"/>
      <c r="B123" s="394"/>
      <c r="C123" s="85" t="s">
        <v>292</v>
      </c>
      <c r="D123" s="86"/>
      <c r="E123" s="86"/>
      <c r="F123" s="87"/>
      <c r="G123" s="88">
        <f>(D123*E123*F123)</f>
        <v>0</v>
      </c>
      <c r="H123" s="89">
        <f t="shared" si="51"/>
        <v>0</v>
      </c>
      <c r="I123" s="90">
        <f t="shared" si="52"/>
        <v>0</v>
      </c>
      <c r="J123" s="415"/>
      <c r="K123" s="418"/>
      <c r="M123" s="357"/>
    </row>
    <row r="124" spans="1:245" s="105" customFormat="1" outlineLevel="1" x14ac:dyDescent="0.2">
      <c r="A124" s="94" t="s">
        <v>288</v>
      </c>
      <c r="B124" s="95"/>
      <c r="C124" s="98"/>
      <c r="D124" s="98"/>
      <c r="E124" s="95"/>
      <c r="F124" s="96"/>
      <c r="G124" s="99">
        <f>SUM(G117:G123)</f>
        <v>132000</v>
      </c>
      <c r="H124" s="406">
        <f>SUM(H117:H123)</f>
        <v>8407.6433121019109</v>
      </c>
      <c r="I124" s="96">
        <f>SUM(I117:I123)</f>
        <v>8407.6433121019109</v>
      </c>
      <c r="J124" s="416">
        <f>SUM(J117:J123)</f>
        <v>0</v>
      </c>
      <c r="K124" s="418"/>
      <c r="L124" s="100"/>
      <c r="M124" s="464">
        <f>$H124</f>
        <v>8407.6433121019109</v>
      </c>
      <c r="N124" s="102"/>
      <c r="O124" s="103"/>
      <c r="P124" s="100"/>
      <c r="Q124" s="104"/>
      <c r="R124" s="100"/>
      <c r="S124" s="100"/>
      <c r="T124" s="100"/>
      <c r="U124" s="101"/>
      <c r="V124" s="101"/>
      <c r="W124" s="102"/>
      <c r="X124" s="103"/>
      <c r="Y124" s="100"/>
      <c r="Z124" s="104"/>
      <c r="AA124" s="100"/>
      <c r="AB124" s="100"/>
      <c r="AC124" s="100"/>
      <c r="AD124" s="101"/>
      <c r="AE124" s="101"/>
      <c r="AF124" s="102"/>
      <c r="AG124" s="103"/>
      <c r="AH124" s="100"/>
      <c r="AI124" s="104"/>
      <c r="AJ124" s="100"/>
      <c r="AK124" s="100"/>
      <c r="AL124" s="100"/>
      <c r="AM124" s="101"/>
      <c r="AN124" s="101"/>
      <c r="AO124" s="102"/>
      <c r="AP124" s="103"/>
      <c r="AQ124" s="100"/>
      <c r="AR124" s="104"/>
      <c r="AS124" s="100"/>
      <c r="AT124" s="100"/>
      <c r="AU124" s="100"/>
      <c r="AV124" s="101"/>
      <c r="AW124" s="101"/>
      <c r="AX124" s="102"/>
      <c r="AY124" s="103"/>
      <c r="AZ124" s="100"/>
      <c r="BA124" s="104"/>
      <c r="BB124" s="100"/>
      <c r="BC124" s="100"/>
      <c r="BD124" s="100"/>
      <c r="BE124" s="101"/>
      <c r="BF124" s="101"/>
      <c r="BG124" s="102"/>
      <c r="BH124" s="103"/>
      <c r="BI124" s="100"/>
      <c r="BJ124" s="104"/>
      <c r="BK124" s="100"/>
      <c r="BL124" s="100"/>
      <c r="BM124" s="100"/>
      <c r="BN124" s="101"/>
      <c r="BO124" s="101"/>
      <c r="BP124" s="102"/>
      <c r="BQ124" s="103"/>
      <c r="BR124" s="100"/>
      <c r="BS124" s="104"/>
      <c r="BT124" s="100"/>
      <c r="BU124" s="100"/>
      <c r="BV124" s="100"/>
      <c r="BW124" s="101"/>
      <c r="BX124" s="101"/>
      <c r="BY124" s="102"/>
      <c r="BZ124" s="103"/>
      <c r="CA124" s="100"/>
      <c r="CB124" s="104"/>
      <c r="CC124" s="100"/>
      <c r="CD124" s="100"/>
      <c r="CE124" s="100"/>
      <c r="CF124" s="101"/>
      <c r="CG124" s="101"/>
      <c r="CH124" s="102"/>
      <c r="CI124" s="103"/>
      <c r="CJ124" s="100"/>
      <c r="CK124" s="104"/>
      <c r="CL124" s="100"/>
      <c r="CM124" s="100"/>
      <c r="CN124" s="100"/>
      <c r="CO124" s="101"/>
      <c r="CP124" s="101"/>
      <c r="CQ124" s="102"/>
      <c r="CR124" s="103"/>
      <c r="CS124" s="100"/>
      <c r="CT124" s="104"/>
      <c r="CU124" s="100"/>
      <c r="CV124" s="100"/>
      <c r="CW124" s="100"/>
      <c r="CX124" s="101"/>
      <c r="CY124" s="101"/>
      <c r="CZ124" s="102"/>
      <c r="DA124" s="103"/>
      <c r="DB124" s="100"/>
      <c r="DC124" s="104"/>
      <c r="DD124" s="100"/>
      <c r="DE124" s="100"/>
      <c r="DF124" s="100"/>
      <c r="DG124" s="101"/>
      <c r="DH124" s="101"/>
      <c r="DI124" s="102"/>
      <c r="DJ124" s="103"/>
      <c r="DK124" s="100"/>
      <c r="DL124" s="104"/>
      <c r="DM124" s="100"/>
      <c r="DN124" s="100"/>
      <c r="DO124" s="100"/>
      <c r="DP124" s="101"/>
      <c r="DQ124" s="101"/>
      <c r="DR124" s="102"/>
      <c r="DS124" s="103"/>
      <c r="DT124" s="100"/>
      <c r="DU124" s="104"/>
      <c r="DV124" s="100"/>
      <c r="DW124" s="100"/>
      <c r="DX124" s="100"/>
      <c r="DY124" s="101"/>
      <c r="DZ124" s="101"/>
      <c r="EA124" s="102"/>
      <c r="EB124" s="103"/>
      <c r="EC124" s="100"/>
      <c r="ED124" s="104"/>
      <c r="EE124" s="100"/>
      <c r="EF124" s="100"/>
      <c r="EG124" s="100"/>
      <c r="EH124" s="101"/>
      <c r="EI124" s="101"/>
      <c r="EJ124" s="102"/>
      <c r="EK124" s="103"/>
      <c r="EL124" s="100"/>
      <c r="EM124" s="104"/>
      <c r="EN124" s="100"/>
      <c r="EO124" s="100"/>
      <c r="EP124" s="100"/>
      <c r="EQ124" s="101"/>
      <c r="ER124" s="101"/>
      <c r="ES124" s="102"/>
      <c r="ET124" s="103"/>
      <c r="EU124" s="100"/>
      <c r="EV124" s="104"/>
      <c r="EW124" s="100"/>
      <c r="EX124" s="100"/>
      <c r="EY124" s="100"/>
      <c r="EZ124" s="101"/>
      <c r="FA124" s="101"/>
      <c r="FB124" s="102"/>
      <c r="FC124" s="103"/>
      <c r="FD124" s="100"/>
      <c r="FE124" s="104"/>
      <c r="FF124" s="100"/>
      <c r="FG124" s="100"/>
      <c r="FH124" s="100"/>
      <c r="FI124" s="101"/>
      <c r="FJ124" s="101"/>
      <c r="FK124" s="102"/>
      <c r="FL124" s="103"/>
      <c r="FM124" s="100"/>
      <c r="FN124" s="104"/>
      <c r="FO124" s="100"/>
      <c r="FP124" s="100"/>
      <c r="FQ124" s="100"/>
      <c r="FR124" s="101"/>
      <c r="FS124" s="101"/>
      <c r="FT124" s="102"/>
      <c r="FU124" s="103"/>
      <c r="FV124" s="100"/>
      <c r="FW124" s="104"/>
      <c r="FX124" s="100"/>
      <c r="FY124" s="100"/>
      <c r="FZ124" s="100"/>
      <c r="GA124" s="101"/>
      <c r="GB124" s="101"/>
      <c r="GC124" s="102"/>
      <c r="GD124" s="103"/>
      <c r="GE124" s="100"/>
      <c r="GF124" s="104"/>
      <c r="GG124" s="100"/>
      <c r="GH124" s="100"/>
      <c r="GI124" s="100"/>
      <c r="GJ124" s="101"/>
      <c r="GK124" s="101"/>
      <c r="GL124" s="102"/>
      <c r="GM124" s="103"/>
      <c r="GN124" s="100"/>
      <c r="GO124" s="104"/>
      <c r="GP124" s="100"/>
      <c r="GQ124" s="100"/>
      <c r="GR124" s="100"/>
      <c r="GS124" s="101"/>
      <c r="GT124" s="101"/>
      <c r="GU124" s="102"/>
      <c r="GV124" s="103"/>
      <c r="GW124" s="100"/>
      <c r="GX124" s="104"/>
      <c r="GY124" s="100"/>
      <c r="GZ124" s="100"/>
      <c r="HA124" s="100"/>
      <c r="HB124" s="101"/>
      <c r="HC124" s="101"/>
      <c r="HD124" s="102"/>
      <c r="HE124" s="103"/>
      <c r="HF124" s="100"/>
      <c r="HG124" s="104"/>
      <c r="HH124" s="100"/>
      <c r="HI124" s="100"/>
      <c r="HJ124" s="100"/>
      <c r="HK124" s="101"/>
      <c r="HL124" s="101"/>
      <c r="HM124" s="102"/>
      <c r="HN124" s="103"/>
      <c r="HO124" s="100"/>
      <c r="HP124" s="104"/>
      <c r="HQ124" s="100"/>
      <c r="HR124" s="100"/>
      <c r="HS124" s="100"/>
      <c r="HT124" s="101"/>
      <c r="HU124" s="101"/>
      <c r="HV124" s="102"/>
      <c r="HW124" s="103"/>
      <c r="HX124" s="100"/>
      <c r="HY124" s="104"/>
      <c r="HZ124" s="100"/>
      <c r="IA124" s="100"/>
      <c r="IB124" s="100"/>
      <c r="IC124" s="101"/>
      <c r="ID124" s="101"/>
      <c r="IE124" s="102"/>
      <c r="IF124" s="103"/>
      <c r="IG124" s="100"/>
      <c r="IH124" s="104"/>
      <c r="II124" s="100"/>
      <c r="IJ124" s="100"/>
      <c r="IK124" s="100"/>
    </row>
    <row r="125" spans="1:245" s="93" customFormat="1" ht="39" customHeight="1" outlineLevel="1" x14ac:dyDescent="0.2">
      <c r="A125" s="409">
        <v>7</v>
      </c>
      <c r="B125" s="115"/>
      <c r="C125" s="85"/>
      <c r="D125" s="86"/>
      <c r="E125" s="86"/>
      <c r="F125" s="87"/>
      <c r="G125" s="88"/>
      <c r="H125" s="89"/>
      <c r="I125" s="90"/>
      <c r="J125" s="415"/>
      <c r="K125" s="418"/>
      <c r="L125" s="100"/>
      <c r="M125" s="357"/>
    </row>
    <row r="126" spans="1:245" s="93" customFormat="1" ht="20" customHeight="1" outlineLevel="2" x14ac:dyDescent="0.2">
      <c r="A126" s="85"/>
      <c r="B126" s="394"/>
      <c r="C126" s="85"/>
      <c r="D126" s="86"/>
      <c r="E126" s="86"/>
      <c r="F126" s="87"/>
      <c r="G126" s="88">
        <f t="shared" ref="G126:G131" si="53">(D126*E126*F126)</f>
        <v>0</v>
      </c>
      <c r="H126" s="89">
        <f t="shared" ref="H126:H132" si="54">G126/$K$3</f>
        <v>0</v>
      </c>
      <c r="I126" s="90">
        <f>H126</f>
        <v>0</v>
      </c>
      <c r="J126" s="415"/>
      <c r="K126" s="418"/>
      <c r="L126" s="100"/>
      <c r="M126" s="464"/>
    </row>
    <row r="127" spans="1:245" s="93" customFormat="1" ht="20" customHeight="1" outlineLevel="2" x14ac:dyDescent="0.2">
      <c r="A127" s="85"/>
      <c r="B127" s="394"/>
      <c r="C127" s="85"/>
      <c r="D127" s="86"/>
      <c r="E127" s="86"/>
      <c r="F127" s="87"/>
      <c r="G127" s="88">
        <f t="shared" si="53"/>
        <v>0</v>
      </c>
      <c r="H127" s="89">
        <f t="shared" si="54"/>
        <v>0</v>
      </c>
      <c r="I127" s="90">
        <f t="shared" ref="I127:I132" si="55">H127</f>
        <v>0</v>
      </c>
      <c r="J127" s="415"/>
      <c r="K127" s="418"/>
      <c r="L127" s="100"/>
      <c r="M127" s="357"/>
    </row>
    <row r="128" spans="1:245" s="93" customFormat="1" ht="20" customHeight="1" outlineLevel="2" x14ac:dyDescent="0.2">
      <c r="A128" s="85"/>
      <c r="B128" s="394"/>
      <c r="C128" s="85"/>
      <c r="D128" s="86"/>
      <c r="E128" s="86"/>
      <c r="F128" s="87"/>
      <c r="G128" s="88">
        <f t="shared" si="53"/>
        <v>0</v>
      </c>
      <c r="H128" s="89">
        <f t="shared" si="54"/>
        <v>0</v>
      </c>
      <c r="I128" s="90">
        <f t="shared" si="55"/>
        <v>0</v>
      </c>
      <c r="J128" s="415"/>
      <c r="K128" s="418"/>
      <c r="L128" s="100"/>
      <c r="M128" s="357"/>
    </row>
    <row r="129" spans="1:245" s="93" customFormat="1" ht="20" customHeight="1" outlineLevel="2" x14ac:dyDescent="0.2">
      <c r="A129" s="85"/>
      <c r="B129" s="394"/>
      <c r="C129" s="85"/>
      <c r="D129" s="86"/>
      <c r="E129" s="86"/>
      <c r="F129" s="87"/>
      <c r="G129" s="88">
        <f t="shared" si="53"/>
        <v>0</v>
      </c>
      <c r="H129" s="89">
        <f t="shared" si="54"/>
        <v>0</v>
      </c>
      <c r="I129" s="90">
        <f t="shared" si="55"/>
        <v>0</v>
      </c>
      <c r="J129" s="415"/>
      <c r="K129" s="418"/>
      <c r="L129" s="100"/>
      <c r="M129" s="357"/>
    </row>
    <row r="130" spans="1:245" s="93" customFormat="1" ht="20" customHeight="1" outlineLevel="2" x14ac:dyDescent="0.2">
      <c r="A130" s="85"/>
      <c r="B130" s="394"/>
      <c r="C130" s="85"/>
      <c r="D130" s="86"/>
      <c r="E130" s="86"/>
      <c r="F130" s="87"/>
      <c r="G130" s="88">
        <f t="shared" si="53"/>
        <v>0</v>
      </c>
      <c r="H130" s="89">
        <f t="shared" si="54"/>
        <v>0</v>
      </c>
      <c r="I130" s="90">
        <f t="shared" si="55"/>
        <v>0</v>
      </c>
      <c r="J130" s="415"/>
      <c r="K130" s="418"/>
      <c r="L130" s="100"/>
      <c r="M130" s="357"/>
    </row>
    <row r="131" spans="1:245" s="93" customFormat="1" ht="20" customHeight="1" outlineLevel="2" x14ac:dyDescent="0.2">
      <c r="A131" s="85"/>
      <c r="B131" s="394"/>
      <c r="C131" s="85"/>
      <c r="D131" s="86"/>
      <c r="E131" s="86"/>
      <c r="F131" s="87"/>
      <c r="G131" s="88">
        <f t="shared" si="53"/>
        <v>0</v>
      </c>
      <c r="H131" s="89">
        <f t="shared" si="54"/>
        <v>0</v>
      </c>
      <c r="I131" s="90">
        <f t="shared" si="55"/>
        <v>0</v>
      </c>
      <c r="J131" s="415"/>
      <c r="K131" s="418"/>
      <c r="L131" s="100"/>
      <c r="M131" s="357"/>
    </row>
    <row r="132" spans="1:245" s="93" customFormat="1" ht="20" customHeight="1" outlineLevel="2" x14ac:dyDescent="0.2">
      <c r="A132" s="85"/>
      <c r="B132" s="394"/>
      <c r="C132" s="85"/>
      <c r="D132" s="86"/>
      <c r="E132" s="86"/>
      <c r="F132" s="87"/>
      <c r="G132" s="88">
        <f>(D132*E132*F132)</f>
        <v>0</v>
      </c>
      <c r="H132" s="89">
        <f t="shared" si="54"/>
        <v>0</v>
      </c>
      <c r="I132" s="90">
        <f t="shared" si="55"/>
        <v>0</v>
      </c>
      <c r="J132" s="415"/>
      <c r="K132" s="418"/>
      <c r="L132" s="100"/>
      <c r="M132" s="357"/>
    </row>
    <row r="133" spans="1:245" s="105" customFormat="1" outlineLevel="1" x14ac:dyDescent="0.2">
      <c r="A133" s="94" t="s">
        <v>288</v>
      </c>
      <c r="B133" s="95"/>
      <c r="C133" s="98"/>
      <c r="D133" s="98"/>
      <c r="E133" s="95"/>
      <c r="F133" s="96"/>
      <c r="G133" s="99">
        <f>SUM(G126:G132)</f>
        <v>0</v>
      </c>
      <c r="H133" s="406">
        <f>SUM(H126:H132)</f>
        <v>0</v>
      </c>
      <c r="I133" s="96">
        <f>SUM(I126:I132)</f>
        <v>0</v>
      </c>
      <c r="J133" s="416">
        <f>SUM(J126:J132)</f>
        <v>0</v>
      </c>
      <c r="K133" s="418"/>
      <c r="L133" s="100"/>
      <c r="M133" s="357"/>
      <c r="N133" s="102"/>
      <c r="O133" s="103"/>
      <c r="P133" s="100"/>
      <c r="Q133" s="104"/>
      <c r="R133" s="100"/>
      <c r="S133" s="100"/>
      <c r="T133" s="100"/>
      <c r="U133" s="101"/>
      <c r="V133" s="101"/>
      <c r="W133" s="102"/>
      <c r="X133" s="103"/>
      <c r="Y133" s="100"/>
      <c r="Z133" s="104"/>
      <c r="AA133" s="100"/>
      <c r="AB133" s="100"/>
      <c r="AC133" s="100"/>
      <c r="AD133" s="101"/>
      <c r="AE133" s="101"/>
      <c r="AF133" s="102"/>
      <c r="AG133" s="103"/>
      <c r="AH133" s="100"/>
      <c r="AI133" s="104"/>
      <c r="AJ133" s="100"/>
      <c r="AK133" s="100"/>
      <c r="AL133" s="100"/>
      <c r="AM133" s="101"/>
      <c r="AN133" s="101"/>
      <c r="AO133" s="102"/>
      <c r="AP133" s="103"/>
      <c r="AQ133" s="100"/>
      <c r="AR133" s="104"/>
      <c r="AS133" s="100"/>
      <c r="AT133" s="100"/>
      <c r="AU133" s="100"/>
      <c r="AV133" s="101"/>
      <c r="AW133" s="101"/>
      <c r="AX133" s="102"/>
      <c r="AY133" s="103"/>
      <c r="AZ133" s="100"/>
      <c r="BA133" s="104"/>
      <c r="BB133" s="100"/>
      <c r="BC133" s="100"/>
      <c r="BD133" s="100"/>
      <c r="BE133" s="101"/>
      <c r="BF133" s="101"/>
      <c r="BG133" s="102"/>
      <c r="BH133" s="103"/>
      <c r="BI133" s="100"/>
      <c r="BJ133" s="104"/>
      <c r="BK133" s="100"/>
      <c r="BL133" s="100"/>
      <c r="BM133" s="100"/>
      <c r="BN133" s="101"/>
      <c r="BO133" s="101"/>
      <c r="BP133" s="102"/>
      <c r="BQ133" s="103"/>
      <c r="BR133" s="100"/>
      <c r="BS133" s="104"/>
      <c r="BT133" s="100"/>
      <c r="BU133" s="100"/>
      <c r="BV133" s="100"/>
      <c r="BW133" s="101"/>
      <c r="BX133" s="101"/>
      <c r="BY133" s="102"/>
      <c r="BZ133" s="103"/>
      <c r="CA133" s="100"/>
      <c r="CB133" s="104"/>
      <c r="CC133" s="100"/>
      <c r="CD133" s="100"/>
      <c r="CE133" s="100"/>
      <c r="CF133" s="101"/>
      <c r="CG133" s="101"/>
      <c r="CH133" s="102"/>
      <c r="CI133" s="103"/>
      <c r="CJ133" s="100"/>
      <c r="CK133" s="104"/>
      <c r="CL133" s="100"/>
      <c r="CM133" s="100"/>
      <c r="CN133" s="100"/>
      <c r="CO133" s="101"/>
      <c r="CP133" s="101"/>
      <c r="CQ133" s="102"/>
      <c r="CR133" s="103"/>
      <c r="CS133" s="100"/>
      <c r="CT133" s="104"/>
      <c r="CU133" s="100"/>
      <c r="CV133" s="100"/>
      <c r="CW133" s="100"/>
      <c r="CX133" s="101"/>
      <c r="CY133" s="101"/>
      <c r="CZ133" s="102"/>
      <c r="DA133" s="103"/>
      <c r="DB133" s="100"/>
      <c r="DC133" s="104"/>
      <c r="DD133" s="100"/>
      <c r="DE133" s="100"/>
      <c r="DF133" s="100"/>
      <c r="DG133" s="101"/>
      <c r="DH133" s="101"/>
      <c r="DI133" s="102"/>
      <c r="DJ133" s="103"/>
      <c r="DK133" s="100"/>
      <c r="DL133" s="104"/>
      <c r="DM133" s="100"/>
      <c r="DN133" s="100"/>
      <c r="DO133" s="100"/>
      <c r="DP133" s="101"/>
      <c r="DQ133" s="101"/>
      <c r="DR133" s="102"/>
      <c r="DS133" s="103"/>
      <c r="DT133" s="100"/>
      <c r="DU133" s="104"/>
      <c r="DV133" s="100"/>
      <c r="DW133" s="100"/>
      <c r="DX133" s="100"/>
      <c r="DY133" s="101"/>
      <c r="DZ133" s="101"/>
      <c r="EA133" s="102"/>
      <c r="EB133" s="103"/>
      <c r="EC133" s="100"/>
      <c r="ED133" s="104"/>
      <c r="EE133" s="100"/>
      <c r="EF133" s="100"/>
      <c r="EG133" s="100"/>
      <c r="EH133" s="101"/>
      <c r="EI133" s="101"/>
      <c r="EJ133" s="102"/>
      <c r="EK133" s="103"/>
      <c r="EL133" s="100"/>
      <c r="EM133" s="104"/>
      <c r="EN133" s="100"/>
      <c r="EO133" s="100"/>
      <c r="EP133" s="100"/>
      <c r="EQ133" s="101"/>
      <c r="ER133" s="101"/>
      <c r="ES133" s="102"/>
      <c r="ET133" s="103"/>
      <c r="EU133" s="100"/>
      <c r="EV133" s="104"/>
      <c r="EW133" s="100"/>
      <c r="EX133" s="100"/>
      <c r="EY133" s="100"/>
      <c r="EZ133" s="101"/>
      <c r="FA133" s="101"/>
      <c r="FB133" s="102"/>
      <c r="FC133" s="103"/>
      <c r="FD133" s="100"/>
      <c r="FE133" s="104"/>
      <c r="FF133" s="100"/>
      <c r="FG133" s="100"/>
      <c r="FH133" s="100"/>
      <c r="FI133" s="101"/>
      <c r="FJ133" s="101"/>
      <c r="FK133" s="102"/>
      <c r="FL133" s="103"/>
      <c r="FM133" s="100"/>
      <c r="FN133" s="104"/>
      <c r="FO133" s="100"/>
      <c r="FP133" s="100"/>
      <c r="FQ133" s="100"/>
      <c r="FR133" s="101"/>
      <c r="FS133" s="101"/>
      <c r="FT133" s="102"/>
      <c r="FU133" s="103"/>
      <c r="FV133" s="100"/>
      <c r="FW133" s="104"/>
      <c r="FX133" s="100"/>
      <c r="FY133" s="100"/>
      <c r="FZ133" s="100"/>
      <c r="GA133" s="101"/>
      <c r="GB133" s="101"/>
      <c r="GC133" s="102"/>
      <c r="GD133" s="103"/>
      <c r="GE133" s="100"/>
      <c r="GF133" s="104"/>
      <c r="GG133" s="100"/>
      <c r="GH133" s="100"/>
      <c r="GI133" s="100"/>
      <c r="GJ133" s="101"/>
      <c r="GK133" s="101"/>
      <c r="GL133" s="102"/>
      <c r="GM133" s="103"/>
      <c r="GN133" s="100"/>
      <c r="GO133" s="104"/>
      <c r="GP133" s="100"/>
      <c r="GQ133" s="100"/>
      <c r="GR133" s="100"/>
      <c r="GS133" s="101"/>
      <c r="GT133" s="101"/>
      <c r="GU133" s="102"/>
      <c r="GV133" s="103"/>
      <c r="GW133" s="100"/>
      <c r="GX133" s="104"/>
      <c r="GY133" s="100"/>
      <c r="GZ133" s="100"/>
      <c r="HA133" s="100"/>
      <c r="HB133" s="101"/>
      <c r="HC133" s="101"/>
      <c r="HD133" s="102"/>
      <c r="HE133" s="103"/>
      <c r="HF133" s="100"/>
      <c r="HG133" s="104"/>
      <c r="HH133" s="100"/>
      <c r="HI133" s="100"/>
      <c r="HJ133" s="100"/>
      <c r="HK133" s="101"/>
      <c r="HL133" s="101"/>
      <c r="HM133" s="102"/>
      <c r="HN133" s="103"/>
      <c r="HO133" s="100"/>
      <c r="HP133" s="104"/>
      <c r="HQ133" s="100"/>
      <c r="HR133" s="100"/>
      <c r="HS133" s="100"/>
      <c r="HT133" s="101"/>
      <c r="HU133" s="101"/>
      <c r="HV133" s="102"/>
      <c r="HW133" s="103"/>
      <c r="HX133" s="100"/>
      <c r="HY133" s="104"/>
      <c r="HZ133" s="100"/>
      <c r="IA133" s="100"/>
      <c r="IB133" s="100"/>
      <c r="IC133" s="101"/>
      <c r="ID133" s="101"/>
      <c r="IE133" s="102"/>
      <c r="IF133" s="103"/>
      <c r="IG133" s="100"/>
      <c r="IH133" s="104"/>
      <c r="II133" s="100"/>
      <c r="IJ133" s="100"/>
      <c r="IK133" s="100"/>
    </row>
    <row r="134" spans="1:245" s="93" customFormat="1" ht="39" customHeight="1" outlineLevel="1" x14ac:dyDescent="0.2">
      <c r="A134" s="409">
        <v>8</v>
      </c>
      <c r="B134" s="115"/>
      <c r="C134" s="85"/>
      <c r="D134" s="86"/>
      <c r="E134" s="86"/>
      <c r="F134" s="87"/>
      <c r="G134" s="88"/>
      <c r="H134" s="89"/>
      <c r="I134" s="90"/>
      <c r="J134" s="415"/>
      <c r="K134" s="418"/>
      <c r="L134" s="100"/>
      <c r="M134" s="357"/>
    </row>
    <row r="135" spans="1:245" s="93" customFormat="1" ht="20" customHeight="1" outlineLevel="2" x14ac:dyDescent="0.2">
      <c r="A135" s="85"/>
      <c r="B135" s="394"/>
      <c r="C135" s="85"/>
      <c r="D135" s="86"/>
      <c r="E135" s="86"/>
      <c r="F135" s="87"/>
      <c r="G135" s="88">
        <f t="shared" ref="G135:G140" si="56">(D135*E135*F135)</f>
        <v>0</v>
      </c>
      <c r="H135" s="89">
        <f t="shared" ref="H135:H141" si="57">G135/$K$3</f>
        <v>0</v>
      </c>
      <c r="I135" s="90">
        <f>H135</f>
        <v>0</v>
      </c>
      <c r="J135" s="415"/>
      <c r="K135" s="418"/>
      <c r="L135" s="100"/>
      <c r="M135" s="464"/>
    </row>
    <row r="136" spans="1:245" s="93" customFormat="1" ht="20" customHeight="1" outlineLevel="2" x14ac:dyDescent="0.2">
      <c r="A136" s="85"/>
      <c r="B136" s="394"/>
      <c r="C136" s="85"/>
      <c r="D136" s="86"/>
      <c r="E136" s="86"/>
      <c r="F136" s="87"/>
      <c r="G136" s="88">
        <f t="shared" si="56"/>
        <v>0</v>
      </c>
      <c r="H136" s="89">
        <f t="shared" si="57"/>
        <v>0</v>
      </c>
      <c r="I136" s="90">
        <f t="shared" ref="I136:I141" si="58">H136</f>
        <v>0</v>
      </c>
      <c r="J136" s="415"/>
      <c r="K136" s="418"/>
      <c r="L136" s="100"/>
      <c r="M136" s="357"/>
    </row>
    <row r="137" spans="1:245" s="93" customFormat="1" ht="20" customHeight="1" outlineLevel="2" x14ac:dyDescent="0.2">
      <c r="A137" s="85"/>
      <c r="B137" s="394"/>
      <c r="C137" s="85"/>
      <c r="D137" s="86"/>
      <c r="E137" s="86"/>
      <c r="F137" s="87"/>
      <c r="G137" s="88">
        <f t="shared" si="56"/>
        <v>0</v>
      </c>
      <c r="H137" s="89">
        <f t="shared" si="57"/>
        <v>0</v>
      </c>
      <c r="I137" s="90">
        <f t="shared" si="58"/>
        <v>0</v>
      </c>
      <c r="J137" s="415"/>
      <c r="K137" s="418"/>
      <c r="L137" s="100"/>
      <c r="M137" s="357"/>
    </row>
    <row r="138" spans="1:245" s="93" customFormat="1" ht="20" customHeight="1" outlineLevel="2" x14ac:dyDescent="0.2">
      <c r="A138" s="85"/>
      <c r="B138" s="394"/>
      <c r="C138" s="85"/>
      <c r="D138" s="86"/>
      <c r="E138" s="86"/>
      <c r="F138" s="87"/>
      <c r="G138" s="88">
        <f t="shared" si="56"/>
        <v>0</v>
      </c>
      <c r="H138" s="89">
        <f t="shared" si="57"/>
        <v>0</v>
      </c>
      <c r="I138" s="90">
        <f t="shared" si="58"/>
        <v>0</v>
      </c>
      <c r="J138" s="415"/>
      <c r="K138" s="418"/>
      <c r="L138" s="100"/>
      <c r="M138" s="357"/>
    </row>
    <row r="139" spans="1:245" s="93" customFormat="1" ht="20" customHeight="1" outlineLevel="2" x14ac:dyDescent="0.2">
      <c r="A139" s="85"/>
      <c r="B139" s="394"/>
      <c r="C139" s="85"/>
      <c r="D139" s="86"/>
      <c r="E139" s="86"/>
      <c r="F139" s="87"/>
      <c r="G139" s="88">
        <f t="shared" si="56"/>
        <v>0</v>
      </c>
      <c r="H139" s="89">
        <f t="shared" si="57"/>
        <v>0</v>
      </c>
      <c r="I139" s="90">
        <f t="shared" si="58"/>
        <v>0</v>
      </c>
      <c r="J139" s="415"/>
      <c r="K139" s="418"/>
      <c r="L139" s="100"/>
      <c r="M139" s="357"/>
    </row>
    <row r="140" spans="1:245" s="93" customFormat="1" ht="20" customHeight="1" outlineLevel="2" x14ac:dyDescent="0.2">
      <c r="A140" s="85"/>
      <c r="B140" s="394"/>
      <c r="C140" s="85"/>
      <c r="D140" s="86"/>
      <c r="E140" s="86"/>
      <c r="F140" s="87"/>
      <c r="G140" s="88">
        <f t="shared" si="56"/>
        <v>0</v>
      </c>
      <c r="H140" s="89">
        <f t="shared" si="57"/>
        <v>0</v>
      </c>
      <c r="I140" s="90">
        <f t="shared" si="58"/>
        <v>0</v>
      </c>
      <c r="J140" s="415"/>
      <c r="K140" s="418"/>
      <c r="L140" s="100"/>
      <c r="M140" s="357"/>
    </row>
    <row r="141" spans="1:245" s="93" customFormat="1" ht="20" customHeight="1" outlineLevel="2" x14ac:dyDescent="0.2">
      <c r="A141" s="85"/>
      <c r="B141" s="394"/>
      <c r="C141" s="85"/>
      <c r="D141" s="86"/>
      <c r="E141" s="86"/>
      <c r="F141" s="87"/>
      <c r="G141" s="88">
        <f>(D141*E141*F141)</f>
        <v>0</v>
      </c>
      <c r="H141" s="89">
        <f t="shared" si="57"/>
        <v>0</v>
      </c>
      <c r="I141" s="90">
        <f t="shared" si="58"/>
        <v>0</v>
      </c>
      <c r="J141" s="415"/>
      <c r="K141" s="418"/>
      <c r="L141" s="100"/>
      <c r="M141" s="357"/>
    </row>
    <row r="142" spans="1:245" s="105" customFormat="1" outlineLevel="1" x14ac:dyDescent="0.2">
      <c r="A142" s="94" t="s">
        <v>288</v>
      </c>
      <c r="B142" s="95"/>
      <c r="C142" s="98"/>
      <c r="D142" s="98"/>
      <c r="E142" s="95"/>
      <c r="F142" s="96"/>
      <c r="G142" s="99">
        <f>SUM(G135:G141)</f>
        <v>0</v>
      </c>
      <c r="H142" s="406">
        <f>SUM(H135:H141)</f>
        <v>0</v>
      </c>
      <c r="I142" s="96">
        <f>SUM(I135:I141)</f>
        <v>0</v>
      </c>
      <c r="J142" s="416">
        <f>SUM(J135:J141)</f>
        <v>0</v>
      </c>
      <c r="K142" s="418"/>
      <c r="L142" s="100"/>
      <c r="M142" s="357"/>
      <c r="N142" s="102"/>
      <c r="O142" s="103"/>
      <c r="P142" s="100"/>
      <c r="Q142" s="104"/>
      <c r="R142" s="100"/>
      <c r="S142" s="100"/>
      <c r="T142" s="100"/>
      <c r="U142" s="101"/>
      <c r="V142" s="101"/>
      <c r="W142" s="102"/>
      <c r="X142" s="103"/>
      <c r="Y142" s="100"/>
      <c r="Z142" s="104"/>
      <c r="AA142" s="100"/>
      <c r="AB142" s="100"/>
      <c r="AC142" s="100"/>
      <c r="AD142" s="101"/>
      <c r="AE142" s="101"/>
      <c r="AF142" s="102"/>
      <c r="AG142" s="103"/>
      <c r="AH142" s="100"/>
      <c r="AI142" s="104"/>
      <c r="AJ142" s="100"/>
      <c r="AK142" s="100"/>
      <c r="AL142" s="100"/>
      <c r="AM142" s="101"/>
      <c r="AN142" s="101"/>
      <c r="AO142" s="102"/>
      <c r="AP142" s="103"/>
      <c r="AQ142" s="100"/>
      <c r="AR142" s="104"/>
      <c r="AS142" s="100"/>
      <c r="AT142" s="100"/>
      <c r="AU142" s="100"/>
      <c r="AV142" s="101"/>
      <c r="AW142" s="101"/>
      <c r="AX142" s="102"/>
      <c r="AY142" s="103"/>
      <c r="AZ142" s="100"/>
      <c r="BA142" s="104"/>
      <c r="BB142" s="100"/>
      <c r="BC142" s="100"/>
      <c r="BD142" s="100"/>
      <c r="BE142" s="101"/>
      <c r="BF142" s="101"/>
      <c r="BG142" s="102"/>
      <c r="BH142" s="103"/>
      <c r="BI142" s="100"/>
      <c r="BJ142" s="104"/>
      <c r="BK142" s="100"/>
      <c r="BL142" s="100"/>
      <c r="BM142" s="100"/>
      <c r="BN142" s="101"/>
      <c r="BO142" s="101"/>
      <c r="BP142" s="102"/>
      <c r="BQ142" s="103"/>
      <c r="BR142" s="100"/>
      <c r="BS142" s="104"/>
      <c r="BT142" s="100"/>
      <c r="BU142" s="100"/>
      <c r="BV142" s="100"/>
      <c r="BW142" s="101"/>
      <c r="BX142" s="101"/>
      <c r="BY142" s="102"/>
      <c r="BZ142" s="103"/>
      <c r="CA142" s="100"/>
      <c r="CB142" s="104"/>
      <c r="CC142" s="100"/>
      <c r="CD142" s="100"/>
      <c r="CE142" s="100"/>
      <c r="CF142" s="101"/>
      <c r="CG142" s="101"/>
      <c r="CH142" s="102"/>
      <c r="CI142" s="103"/>
      <c r="CJ142" s="100"/>
      <c r="CK142" s="104"/>
      <c r="CL142" s="100"/>
      <c r="CM142" s="100"/>
      <c r="CN142" s="100"/>
      <c r="CO142" s="101"/>
      <c r="CP142" s="101"/>
      <c r="CQ142" s="102"/>
      <c r="CR142" s="103"/>
      <c r="CS142" s="100"/>
      <c r="CT142" s="104"/>
      <c r="CU142" s="100"/>
      <c r="CV142" s="100"/>
      <c r="CW142" s="100"/>
      <c r="CX142" s="101"/>
      <c r="CY142" s="101"/>
      <c r="CZ142" s="102"/>
      <c r="DA142" s="103"/>
      <c r="DB142" s="100"/>
      <c r="DC142" s="104"/>
      <c r="DD142" s="100"/>
      <c r="DE142" s="100"/>
      <c r="DF142" s="100"/>
      <c r="DG142" s="101"/>
      <c r="DH142" s="101"/>
      <c r="DI142" s="102"/>
      <c r="DJ142" s="103"/>
      <c r="DK142" s="100"/>
      <c r="DL142" s="104"/>
      <c r="DM142" s="100"/>
      <c r="DN142" s="100"/>
      <c r="DO142" s="100"/>
      <c r="DP142" s="101"/>
      <c r="DQ142" s="101"/>
      <c r="DR142" s="102"/>
      <c r="DS142" s="103"/>
      <c r="DT142" s="100"/>
      <c r="DU142" s="104"/>
      <c r="DV142" s="100"/>
      <c r="DW142" s="100"/>
      <c r="DX142" s="100"/>
      <c r="DY142" s="101"/>
      <c r="DZ142" s="101"/>
      <c r="EA142" s="102"/>
      <c r="EB142" s="103"/>
      <c r="EC142" s="100"/>
      <c r="ED142" s="104"/>
      <c r="EE142" s="100"/>
      <c r="EF142" s="100"/>
      <c r="EG142" s="100"/>
      <c r="EH142" s="101"/>
      <c r="EI142" s="101"/>
      <c r="EJ142" s="102"/>
      <c r="EK142" s="103"/>
      <c r="EL142" s="100"/>
      <c r="EM142" s="104"/>
      <c r="EN142" s="100"/>
      <c r="EO142" s="100"/>
      <c r="EP142" s="100"/>
      <c r="EQ142" s="101"/>
      <c r="ER142" s="101"/>
      <c r="ES142" s="102"/>
      <c r="ET142" s="103"/>
      <c r="EU142" s="100"/>
      <c r="EV142" s="104"/>
      <c r="EW142" s="100"/>
      <c r="EX142" s="100"/>
      <c r="EY142" s="100"/>
      <c r="EZ142" s="101"/>
      <c r="FA142" s="101"/>
      <c r="FB142" s="102"/>
      <c r="FC142" s="103"/>
      <c r="FD142" s="100"/>
      <c r="FE142" s="104"/>
      <c r="FF142" s="100"/>
      <c r="FG142" s="100"/>
      <c r="FH142" s="100"/>
      <c r="FI142" s="101"/>
      <c r="FJ142" s="101"/>
      <c r="FK142" s="102"/>
      <c r="FL142" s="103"/>
      <c r="FM142" s="100"/>
      <c r="FN142" s="104"/>
      <c r="FO142" s="100"/>
      <c r="FP142" s="100"/>
      <c r="FQ142" s="100"/>
      <c r="FR142" s="101"/>
      <c r="FS142" s="101"/>
      <c r="FT142" s="102"/>
      <c r="FU142" s="103"/>
      <c r="FV142" s="100"/>
      <c r="FW142" s="104"/>
      <c r="FX142" s="100"/>
      <c r="FY142" s="100"/>
      <c r="FZ142" s="100"/>
      <c r="GA142" s="101"/>
      <c r="GB142" s="101"/>
      <c r="GC142" s="102"/>
      <c r="GD142" s="103"/>
      <c r="GE142" s="100"/>
      <c r="GF142" s="104"/>
      <c r="GG142" s="100"/>
      <c r="GH142" s="100"/>
      <c r="GI142" s="100"/>
      <c r="GJ142" s="101"/>
      <c r="GK142" s="101"/>
      <c r="GL142" s="102"/>
      <c r="GM142" s="103"/>
      <c r="GN142" s="100"/>
      <c r="GO142" s="104"/>
      <c r="GP142" s="100"/>
      <c r="GQ142" s="100"/>
      <c r="GR142" s="100"/>
      <c r="GS142" s="101"/>
      <c r="GT142" s="101"/>
      <c r="GU142" s="102"/>
      <c r="GV142" s="103"/>
      <c r="GW142" s="100"/>
      <c r="GX142" s="104"/>
      <c r="GY142" s="100"/>
      <c r="GZ142" s="100"/>
      <c r="HA142" s="100"/>
      <c r="HB142" s="101"/>
      <c r="HC142" s="101"/>
      <c r="HD142" s="102"/>
      <c r="HE142" s="103"/>
      <c r="HF142" s="100"/>
      <c r="HG142" s="104"/>
      <c r="HH142" s="100"/>
      <c r="HI142" s="100"/>
      <c r="HJ142" s="100"/>
      <c r="HK142" s="101"/>
      <c r="HL142" s="101"/>
      <c r="HM142" s="102"/>
      <c r="HN142" s="103"/>
      <c r="HO142" s="100"/>
      <c r="HP142" s="104"/>
      <c r="HQ142" s="100"/>
      <c r="HR142" s="100"/>
      <c r="HS142" s="100"/>
      <c r="HT142" s="101"/>
      <c r="HU142" s="101"/>
      <c r="HV142" s="102"/>
      <c r="HW142" s="103"/>
      <c r="HX142" s="100"/>
      <c r="HY142" s="104"/>
      <c r="HZ142" s="100"/>
      <c r="IA142" s="100"/>
      <c r="IB142" s="100"/>
      <c r="IC142" s="101"/>
      <c r="ID142" s="101"/>
      <c r="IE142" s="102"/>
      <c r="IF142" s="103"/>
      <c r="IG142" s="100"/>
      <c r="IH142" s="104"/>
      <c r="II142" s="100"/>
      <c r="IJ142" s="100"/>
      <c r="IK142" s="100"/>
    </row>
    <row r="143" spans="1:245" x14ac:dyDescent="0.2">
      <c r="A143" s="82" t="s">
        <v>415</v>
      </c>
      <c r="B143" s="83"/>
      <c r="C143" s="83"/>
      <c r="D143" s="83"/>
      <c r="E143" s="83"/>
      <c r="F143" s="83"/>
      <c r="G143" s="84"/>
      <c r="H143" s="83"/>
      <c r="I143" s="83"/>
      <c r="J143" s="83"/>
      <c r="K143" s="418"/>
      <c r="L143" s="100"/>
      <c r="M143" s="357"/>
    </row>
    <row r="144" spans="1:245" s="410" customFormat="1" x14ac:dyDescent="0.2">
      <c r="A144" s="137"/>
      <c r="B144" s="138"/>
      <c r="C144" s="138"/>
      <c r="D144" s="138"/>
      <c r="E144" s="138"/>
      <c r="F144" s="138"/>
      <c r="G144" s="138"/>
      <c r="H144" s="138"/>
      <c r="I144" s="138"/>
      <c r="J144" s="138"/>
      <c r="K144" s="418"/>
      <c r="L144" s="100"/>
      <c r="M144" s="464"/>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c r="AY144" s="411"/>
      <c r="AZ144" s="411"/>
      <c r="BA144" s="411"/>
      <c r="BB144" s="411"/>
      <c r="BC144" s="411"/>
      <c r="BD144" s="411"/>
      <c r="BE144" s="411"/>
      <c r="BF144" s="411"/>
      <c r="BG144" s="411"/>
      <c r="BH144" s="411"/>
      <c r="BI144" s="411"/>
      <c r="BJ144" s="411"/>
      <c r="BK144" s="411"/>
      <c r="BL144" s="411"/>
      <c r="BM144" s="411"/>
      <c r="BN144" s="411"/>
      <c r="BO144" s="411"/>
      <c r="BP144" s="411"/>
      <c r="BQ144" s="411"/>
      <c r="BR144" s="411"/>
      <c r="BS144" s="411"/>
      <c r="BT144" s="411"/>
      <c r="BU144" s="411"/>
      <c r="BV144" s="411"/>
      <c r="BW144" s="411"/>
      <c r="BX144" s="411"/>
      <c r="BY144" s="411"/>
      <c r="BZ144" s="411"/>
      <c r="CA144" s="411"/>
      <c r="CB144" s="411"/>
      <c r="CC144" s="411"/>
      <c r="CD144" s="411"/>
      <c r="CE144" s="411"/>
      <c r="CF144" s="411"/>
      <c r="CG144" s="411"/>
      <c r="CH144" s="411"/>
      <c r="CI144" s="411"/>
      <c r="CJ144" s="411"/>
      <c r="CK144" s="411"/>
      <c r="CL144" s="411"/>
      <c r="CM144" s="411"/>
      <c r="CN144" s="411"/>
      <c r="CO144" s="411"/>
      <c r="CP144" s="411"/>
      <c r="CQ144" s="411"/>
      <c r="CR144" s="411"/>
      <c r="CS144" s="411"/>
      <c r="CT144" s="411"/>
      <c r="CU144" s="411"/>
      <c r="CV144" s="411"/>
      <c r="CW144" s="411"/>
      <c r="CX144" s="411"/>
      <c r="CY144" s="411"/>
      <c r="CZ144" s="411"/>
      <c r="DA144" s="411"/>
      <c r="DB144" s="411"/>
      <c r="DC144" s="411"/>
      <c r="DD144" s="411"/>
      <c r="DE144" s="411"/>
      <c r="DF144" s="411"/>
      <c r="DG144" s="411"/>
      <c r="DH144" s="411"/>
      <c r="DI144" s="411"/>
      <c r="DJ144" s="411"/>
      <c r="DK144" s="411"/>
      <c r="DL144" s="411"/>
      <c r="DM144" s="411"/>
      <c r="DN144" s="411"/>
      <c r="DO144" s="411"/>
      <c r="DP144" s="411"/>
      <c r="DQ144" s="411"/>
      <c r="DR144" s="411"/>
      <c r="DS144" s="411"/>
      <c r="DT144" s="411"/>
      <c r="DU144" s="411"/>
      <c r="DV144" s="411"/>
      <c r="DW144" s="411"/>
      <c r="DX144" s="411"/>
      <c r="DY144" s="411"/>
      <c r="DZ144" s="411"/>
      <c r="EA144" s="411"/>
      <c r="EB144" s="411"/>
      <c r="EC144" s="411"/>
      <c r="ED144" s="411"/>
      <c r="EE144" s="411"/>
      <c r="EF144" s="411"/>
      <c r="EG144" s="411"/>
      <c r="EH144" s="411"/>
      <c r="EI144" s="411"/>
      <c r="EJ144" s="411"/>
      <c r="EK144" s="411"/>
      <c r="EL144" s="411"/>
      <c r="EM144" s="411"/>
      <c r="EN144" s="411"/>
      <c r="EO144" s="411"/>
      <c r="EP144" s="411"/>
      <c r="EQ144" s="411"/>
      <c r="ER144" s="411"/>
      <c r="ES144" s="411"/>
      <c r="ET144" s="411"/>
      <c r="EU144" s="411"/>
      <c r="EV144" s="411"/>
      <c r="EW144" s="411"/>
      <c r="EX144" s="411"/>
      <c r="EY144" s="411"/>
      <c r="EZ144" s="411"/>
      <c r="FA144" s="411"/>
      <c r="FB144" s="411"/>
      <c r="FC144" s="411"/>
      <c r="FD144" s="411"/>
      <c r="FE144" s="411"/>
      <c r="FF144" s="411"/>
      <c r="FG144" s="411"/>
      <c r="FH144" s="411"/>
      <c r="FI144" s="411"/>
      <c r="FJ144" s="411"/>
      <c r="FK144" s="411"/>
      <c r="FL144" s="411"/>
      <c r="FM144" s="411"/>
      <c r="FN144" s="411"/>
      <c r="FO144" s="411"/>
      <c r="FP144" s="411"/>
      <c r="FQ144" s="411"/>
      <c r="FR144" s="411"/>
      <c r="FS144" s="411"/>
      <c r="FT144" s="411"/>
      <c r="FU144" s="411"/>
      <c r="FV144" s="411"/>
      <c r="FW144" s="411"/>
      <c r="FX144" s="411"/>
      <c r="FY144" s="411"/>
      <c r="FZ144" s="411"/>
      <c r="GA144" s="411"/>
      <c r="GB144" s="411"/>
      <c r="GC144" s="411"/>
      <c r="GD144" s="411"/>
      <c r="GE144" s="411"/>
      <c r="GF144" s="411"/>
      <c r="GG144" s="411"/>
      <c r="GH144" s="411"/>
      <c r="GI144" s="411"/>
      <c r="GJ144" s="411"/>
      <c r="GK144" s="411"/>
      <c r="GL144" s="411"/>
      <c r="GM144" s="411"/>
      <c r="GN144" s="411"/>
      <c r="GO144" s="411"/>
      <c r="GP144" s="411"/>
      <c r="GQ144" s="411"/>
      <c r="GR144" s="411"/>
      <c r="GS144" s="411"/>
      <c r="GT144" s="411"/>
      <c r="GU144" s="411"/>
      <c r="GV144" s="411"/>
      <c r="GW144" s="411"/>
      <c r="GX144" s="411"/>
      <c r="GY144" s="411"/>
      <c r="GZ144" s="411"/>
      <c r="HA144" s="411"/>
      <c r="HB144" s="411"/>
      <c r="HC144" s="411"/>
      <c r="HD144" s="411"/>
      <c r="HE144" s="411"/>
      <c r="HF144" s="411"/>
      <c r="HG144" s="411"/>
      <c r="HH144" s="411"/>
      <c r="HI144" s="411"/>
      <c r="HJ144" s="411"/>
      <c r="HK144" s="411"/>
      <c r="HL144" s="411"/>
      <c r="HM144" s="411"/>
      <c r="HN144" s="411"/>
      <c r="HO144" s="411"/>
      <c r="HP144" s="411"/>
      <c r="HQ144" s="411"/>
      <c r="HR144" s="411"/>
      <c r="HS144" s="411"/>
      <c r="HT144" s="411"/>
      <c r="HU144" s="411"/>
      <c r="HV144" s="411"/>
      <c r="HW144" s="411"/>
      <c r="HX144" s="411"/>
      <c r="HY144" s="411"/>
      <c r="HZ144" s="411"/>
      <c r="IA144" s="411"/>
      <c r="IB144" s="411"/>
      <c r="IC144" s="411"/>
      <c r="ID144" s="411"/>
      <c r="IE144" s="411"/>
      <c r="IF144" s="411"/>
      <c r="IG144" s="411"/>
      <c r="IH144" s="411"/>
      <c r="II144" s="411"/>
      <c r="IJ144" s="411"/>
      <c r="IK144" s="411"/>
    </row>
    <row r="145" spans="1:245" s="93" customFormat="1" ht="39" customHeight="1" outlineLevel="1" x14ac:dyDescent="0.2">
      <c r="A145" s="115"/>
      <c r="B145" s="116"/>
      <c r="C145" s="85"/>
      <c r="D145" s="86"/>
      <c r="E145" s="86"/>
      <c r="F145" s="87"/>
      <c r="G145" s="88"/>
      <c r="H145" s="89"/>
      <c r="I145" s="90"/>
      <c r="J145" s="415"/>
      <c r="K145" s="418"/>
      <c r="L145" s="100"/>
      <c r="M145" s="463"/>
    </row>
    <row r="146" spans="1:245" s="93" customFormat="1" ht="20" customHeight="1" outlineLevel="2" x14ac:dyDescent="0.2">
      <c r="A146" s="85"/>
      <c r="B146" s="394"/>
      <c r="C146" s="85"/>
      <c r="D146" s="86"/>
      <c r="E146" s="86"/>
      <c r="F146" s="87"/>
      <c r="G146" s="88">
        <f t="shared" ref="G146:G151" si="59">(D146*E146*F146)</f>
        <v>0</v>
      </c>
      <c r="H146" s="89">
        <f t="shared" ref="H146:H152" si="60">G146/$K$3</f>
        <v>0</v>
      </c>
      <c r="I146" s="90">
        <f>H146</f>
        <v>0</v>
      </c>
      <c r="J146" s="415"/>
      <c r="K146" s="418"/>
      <c r="L146" s="100"/>
      <c r="M146" s="477"/>
    </row>
    <row r="147" spans="1:245" s="93" customFormat="1" ht="20" customHeight="1" outlineLevel="2" x14ac:dyDescent="0.2">
      <c r="A147" s="85"/>
      <c r="B147" s="394"/>
      <c r="C147" s="85"/>
      <c r="D147" s="86"/>
      <c r="E147" s="86"/>
      <c r="F147" s="87"/>
      <c r="G147" s="88">
        <f t="shared" si="59"/>
        <v>0</v>
      </c>
      <c r="H147" s="89">
        <f t="shared" si="60"/>
        <v>0</v>
      </c>
      <c r="I147" s="90">
        <f t="shared" ref="I147:I152" si="61">H147</f>
        <v>0</v>
      </c>
      <c r="J147" s="415"/>
      <c r="K147" s="418"/>
      <c r="L147" s="100"/>
      <c r="M147" s="357"/>
    </row>
    <row r="148" spans="1:245" s="93" customFormat="1" ht="20" customHeight="1" outlineLevel="2" x14ac:dyDescent="0.2">
      <c r="A148" s="85"/>
      <c r="B148" s="394"/>
      <c r="C148" s="85"/>
      <c r="D148" s="86"/>
      <c r="E148" s="86"/>
      <c r="F148" s="87"/>
      <c r="G148" s="88">
        <f t="shared" si="59"/>
        <v>0</v>
      </c>
      <c r="H148" s="89">
        <f t="shared" si="60"/>
        <v>0</v>
      </c>
      <c r="I148" s="90">
        <f t="shared" si="61"/>
        <v>0</v>
      </c>
      <c r="J148" s="415"/>
      <c r="K148" s="418"/>
      <c r="L148" s="100"/>
      <c r="M148" s="357"/>
    </row>
    <row r="149" spans="1:245" s="93" customFormat="1" ht="20" customHeight="1" outlineLevel="2" x14ac:dyDescent="0.2">
      <c r="A149" s="85"/>
      <c r="B149" s="394"/>
      <c r="C149" s="85"/>
      <c r="D149" s="86"/>
      <c r="E149" s="86"/>
      <c r="F149" s="87"/>
      <c r="G149" s="88">
        <f t="shared" si="59"/>
        <v>0</v>
      </c>
      <c r="H149" s="89">
        <f t="shared" si="60"/>
        <v>0</v>
      </c>
      <c r="I149" s="90">
        <f t="shared" si="61"/>
        <v>0</v>
      </c>
      <c r="J149" s="415"/>
      <c r="K149" s="418"/>
      <c r="L149" s="100"/>
      <c r="M149" s="357"/>
    </row>
    <row r="150" spans="1:245" s="93" customFormat="1" ht="20" customHeight="1" outlineLevel="2" x14ac:dyDescent="0.2">
      <c r="A150" s="85"/>
      <c r="B150" s="394"/>
      <c r="C150" s="85"/>
      <c r="D150" s="86"/>
      <c r="E150" s="86"/>
      <c r="F150" s="87"/>
      <c r="G150" s="88">
        <f t="shared" si="59"/>
        <v>0</v>
      </c>
      <c r="H150" s="89">
        <f t="shared" si="60"/>
        <v>0</v>
      </c>
      <c r="I150" s="90">
        <f t="shared" si="61"/>
        <v>0</v>
      </c>
      <c r="J150" s="415"/>
      <c r="K150" s="418"/>
      <c r="L150" s="100"/>
      <c r="M150" s="357"/>
    </row>
    <row r="151" spans="1:245" s="93" customFormat="1" ht="20" customHeight="1" outlineLevel="2" x14ac:dyDescent="0.2">
      <c r="A151" s="85"/>
      <c r="B151" s="394"/>
      <c r="C151" s="85"/>
      <c r="D151" s="86"/>
      <c r="E151" s="86"/>
      <c r="F151" s="87"/>
      <c r="G151" s="88">
        <f t="shared" si="59"/>
        <v>0</v>
      </c>
      <c r="H151" s="89">
        <f t="shared" si="60"/>
        <v>0</v>
      </c>
      <c r="I151" s="90">
        <f t="shared" si="61"/>
        <v>0</v>
      </c>
      <c r="J151" s="415"/>
      <c r="K151" s="418"/>
      <c r="L151" s="100"/>
      <c r="M151" s="357"/>
    </row>
    <row r="152" spans="1:245" s="93" customFormat="1" ht="20" customHeight="1" outlineLevel="2" x14ac:dyDescent="0.2">
      <c r="A152" s="85"/>
      <c r="B152" s="394"/>
      <c r="C152" s="85"/>
      <c r="D152" s="86"/>
      <c r="E152" s="86"/>
      <c r="F152" s="87"/>
      <c r="G152" s="88">
        <f>(D152*E152*F152)</f>
        <v>0</v>
      </c>
      <c r="H152" s="89">
        <f t="shared" si="60"/>
        <v>0</v>
      </c>
      <c r="I152" s="90">
        <f t="shared" si="61"/>
        <v>0</v>
      </c>
      <c r="J152" s="415"/>
      <c r="K152" s="418"/>
      <c r="L152" s="100"/>
      <c r="M152" s="357"/>
    </row>
    <row r="153" spans="1:245" s="105" customFormat="1" outlineLevel="1" x14ac:dyDescent="0.2">
      <c r="A153" s="94" t="s">
        <v>288</v>
      </c>
      <c r="B153" s="95"/>
      <c r="C153" s="98"/>
      <c r="D153" s="98"/>
      <c r="E153" s="95"/>
      <c r="F153" s="96"/>
      <c r="G153" s="99">
        <f>SUM(G146:G152)</f>
        <v>0</v>
      </c>
      <c r="H153" s="406">
        <f>SUM(H146:H152)</f>
        <v>0</v>
      </c>
      <c r="I153" s="96">
        <f>SUM(I146:I152)</f>
        <v>0</v>
      </c>
      <c r="J153" s="416">
        <f>SUM(J146:J152)</f>
        <v>0</v>
      </c>
      <c r="K153" s="418"/>
      <c r="L153" s="100"/>
      <c r="M153" s="357"/>
      <c r="N153" s="102"/>
      <c r="O153" s="103"/>
      <c r="P153" s="100"/>
      <c r="Q153" s="104"/>
      <c r="R153" s="100"/>
      <c r="S153" s="100"/>
      <c r="T153" s="100"/>
      <c r="U153" s="101"/>
      <c r="V153" s="101"/>
      <c r="W153" s="102"/>
      <c r="X153" s="103"/>
      <c r="Y153" s="100"/>
      <c r="Z153" s="104"/>
      <c r="AA153" s="100"/>
      <c r="AB153" s="100"/>
      <c r="AC153" s="100"/>
      <c r="AD153" s="101"/>
      <c r="AE153" s="101"/>
      <c r="AF153" s="102"/>
      <c r="AG153" s="103"/>
      <c r="AH153" s="100"/>
      <c r="AI153" s="104"/>
      <c r="AJ153" s="100"/>
      <c r="AK153" s="100"/>
      <c r="AL153" s="100"/>
      <c r="AM153" s="101"/>
      <c r="AN153" s="101"/>
      <c r="AO153" s="102"/>
      <c r="AP153" s="103"/>
      <c r="AQ153" s="100"/>
      <c r="AR153" s="104"/>
      <c r="AS153" s="100"/>
      <c r="AT153" s="100"/>
      <c r="AU153" s="100"/>
      <c r="AV153" s="101"/>
      <c r="AW153" s="101"/>
      <c r="AX153" s="102"/>
      <c r="AY153" s="103"/>
      <c r="AZ153" s="100"/>
      <c r="BA153" s="104"/>
      <c r="BB153" s="100"/>
      <c r="BC153" s="100"/>
      <c r="BD153" s="100"/>
      <c r="BE153" s="101"/>
      <c r="BF153" s="101"/>
      <c r="BG153" s="102"/>
      <c r="BH153" s="103"/>
      <c r="BI153" s="100"/>
      <c r="BJ153" s="104"/>
      <c r="BK153" s="100"/>
      <c r="BL153" s="100"/>
      <c r="BM153" s="100"/>
      <c r="BN153" s="101"/>
      <c r="BO153" s="101"/>
      <c r="BP153" s="102"/>
      <c r="BQ153" s="103"/>
      <c r="BR153" s="100"/>
      <c r="BS153" s="104"/>
      <c r="BT153" s="100"/>
      <c r="BU153" s="100"/>
      <c r="BV153" s="100"/>
      <c r="BW153" s="101"/>
      <c r="BX153" s="101"/>
      <c r="BY153" s="102"/>
      <c r="BZ153" s="103"/>
      <c r="CA153" s="100"/>
      <c r="CB153" s="104"/>
      <c r="CC153" s="100"/>
      <c r="CD153" s="100"/>
      <c r="CE153" s="100"/>
      <c r="CF153" s="101"/>
      <c r="CG153" s="101"/>
      <c r="CH153" s="102"/>
      <c r="CI153" s="103"/>
      <c r="CJ153" s="100"/>
      <c r="CK153" s="104"/>
      <c r="CL153" s="100"/>
      <c r="CM153" s="100"/>
      <c r="CN153" s="100"/>
      <c r="CO153" s="101"/>
      <c r="CP153" s="101"/>
      <c r="CQ153" s="102"/>
      <c r="CR153" s="103"/>
      <c r="CS153" s="100"/>
      <c r="CT153" s="104"/>
      <c r="CU153" s="100"/>
      <c r="CV153" s="100"/>
      <c r="CW153" s="100"/>
      <c r="CX153" s="101"/>
      <c r="CY153" s="101"/>
      <c r="CZ153" s="102"/>
      <c r="DA153" s="103"/>
      <c r="DB153" s="100"/>
      <c r="DC153" s="104"/>
      <c r="DD153" s="100"/>
      <c r="DE153" s="100"/>
      <c r="DF153" s="100"/>
      <c r="DG153" s="101"/>
      <c r="DH153" s="101"/>
      <c r="DI153" s="102"/>
      <c r="DJ153" s="103"/>
      <c r="DK153" s="100"/>
      <c r="DL153" s="104"/>
      <c r="DM153" s="100"/>
      <c r="DN153" s="100"/>
      <c r="DO153" s="100"/>
      <c r="DP153" s="101"/>
      <c r="DQ153" s="101"/>
      <c r="DR153" s="102"/>
      <c r="DS153" s="103"/>
      <c r="DT153" s="100"/>
      <c r="DU153" s="104"/>
      <c r="DV153" s="100"/>
      <c r="DW153" s="100"/>
      <c r="DX153" s="100"/>
      <c r="DY153" s="101"/>
      <c r="DZ153" s="101"/>
      <c r="EA153" s="102"/>
      <c r="EB153" s="103"/>
      <c r="EC153" s="100"/>
      <c r="ED153" s="104"/>
      <c r="EE153" s="100"/>
      <c r="EF153" s="100"/>
      <c r="EG153" s="100"/>
      <c r="EH153" s="101"/>
      <c r="EI153" s="101"/>
      <c r="EJ153" s="102"/>
      <c r="EK153" s="103"/>
      <c r="EL153" s="100"/>
      <c r="EM153" s="104"/>
      <c r="EN153" s="100"/>
      <c r="EO153" s="100"/>
      <c r="EP153" s="100"/>
      <c r="EQ153" s="101"/>
      <c r="ER153" s="101"/>
      <c r="ES153" s="102"/>
      <c r="ET153" s="103"/>
      <c r="EU153" s="100"/>
      <c r="EV153" s="104"/>
      <c r="EW153" s="100"/>
      <c r="EX153" s="100"/>
      <c r="EY153" s="100"/>
      <c r="EZ153" s="101"/>
      <c r="FA153" s="101"/>
      <c r="FB153" s="102"/>
      <c r="FC153" s="103"/>
      <c r="FD153" s="100"/>
      <c r="FE153" s="104"/>
      <c r="FF153" s="100"/>
      <c r="FG153" s="100"/>
      <c r="FH153" s="100"/>
      <c r="FI153" s="101"/>
      <c r="FJ153" s="101"/>
      <c r="FK153" s="102"/>
      <c r="FL153" s="103"/>
      <c r="FM153" s="100"/>
      <c r="FN153" s="104"/>
      <c r="FO153" s="100"/>
      <c r="FP153" s="100"/>
      <c r="FQ153" s="100"/>
      <c r="FR153" s="101"/>
      <c r="FS153" s="101"/>
      <c r="FT153" s="102"/>
      <c r="FU153" s="103"/>
      <c r="FV153" s="100"/>
      <c r="FW153" s="104"/>
      <c r="FX153" s="100"/>
      <c r="FY153" s="100"/>
      <c r="FZ153" s="100"/>
      <c r="GA153" s="101"/>
      <c r="GB153" s="101"/>
      <c r="GC153" s="102"/>
      <c r="GD153" s="103"/>
      <c r="GE153" s="100"/>
      <c r="GF153" s="104"/>
      <c r="GG153" s="100"/>
      <c r="GH153" s="100"/>
      <c r="GI153" s="100"/>
      <c r="GJ153" s="101"/>
      <c r="GK153" s="101"/>
      <c r="GL153" s="102"/>
      <c r="GM153" s="103"/>
      <c r="GN153" s="100"/>
      <c r="GO153" s="104"/>
      <c r="GP153" s="100"/>
      <c r="GQ153" s="100"/>
      <c r="GR153" s="100"/>
      <c r="GS153" s="101"/>
      <c r="GT153" s="101"/>
      <c r="GU153" s="102"/>
      <c r="GV153" s="103"/>
      <c r="GW153" s="100"/>
      <c r="GX153" s="104"/>
      <c r="GY153" s="100"/>
      <c r="GZ153" s="100"/>
      <c r="HA153" s="100"/>
      <c r="HB153" s="101"/>
      <c r="HC153" s="101"/>
      <c r="HD153" s="102"/>
      <c r="HE153" s="103"/>
      <c r="HF153" s="100"/>
      <c r="HG153" s="104"/>
      <c r="HH153" s="100"/>
      <c r="HI153" s="100"/>
      <c r="HJ153" s="100"/>
      <c r="HK153" s="101"/>
      <c r="HL153" s="101"/>
      <c r="HM153" s="102"/>
      <c r="HN153" s="103"/>
      <c r="HO153" s="100"/>
      <c r="HP153" s="104"/>
      <c r="HQ153" s="100"/>
      <c r="HR153" s="100"/>
      <c r="HS153" s="100"/>
      <c r="HT153" s="101"/>
      <c r="HU153" s="101"/>
      <c r="HV153" s="102"/>
      <c r="HW153" s="103"/>
      <c r="HX153" s="100"/>
      <c r="HY153" s="104"/>
      <c r="HZ153" s="100"/>
      <c r="IA153" s="100"/>
      <c r="IB153" s="100"/>
      <c r="IC153" s="101"/>
      <c r="ID153" s="101"/>
      <c r="IE153" s="102"/>
      <c r="IF153" s="103"/>
      <c r="IG153" s="100"/>
      <c r="IH153" s="104"/>
      <c r="II153" s="100"/>
      <c r="IJ153" s="100"/>
      <c r="IK153" s="100"/>
    </row>
    <row r="154" spans="1:245" s="93" customFormat="1" ht="39" customHeight="1" outlineLevel="1" x14ac:dyDescent="0.2">
      <c r="A154" s="115" t="s">
        <v>416</v>
      </c>
      <c r="B154" s="115"/>
      <c r="C154" s="85"/>
      <c r="D154" s="86"/>
      <c r="E154" s="86"/>
      <c r="F154" s="87"/>
      <c r="G154" s="88"/>
      <c r="H154" s="89"/>
      <c r="I154" s="90"/>
      <c r="J154" s="415"/>
      <c r="K154" s="418"/>
      <c r="L154" s="100"/>
      <c r="M154" s="357"/>
    </row>
    <row r="155" spans="1:245" s="93" customFormat="1" ht="20" customHeight="1" outlineLevel="2" x14ac:dyDescent="0.2">
      <c r="A155" s="85"/>
      <c r="B155" s="394"/>
      <c r="C155" s="85"/>
      <c r="D155" s="86"/>
      <c r="E155" s="86"/>
      <c r="F155" s="87"/>
      <c r="G155" s="88">
        <f t="shared" ref="G155:G160" si="62">(D155*E155*F155)</f>
        <v>0</v>
      </c>
      <c r="H155" s="89">
        <f t="shared" ref="H155:H161" si="63">G155/$K$3</f>
        <v>0</v>
      </c>
      <c r="I155" s="90">
        <f>H155</f>
        <v>0</v>
      </c>
      <c r="J155" s="415"/>
      <c r="K155" s="418"/>
      <c r="L155" s="100"/>
      <c r="M155" s="464">
        <f>SUM(M148:M154)</f>
        <v>0</v>
      </c>
    </row>
    <row r="156" spans="1:245" s="93" customFormat="1" ht="20" customHeight="1" outlineLevel="2" x14ac:dyDescent="0.2">
      <c r="A156" s="85"/>
      <c r="B156" s="394"/>
      <c r="C156" s="85"/>
      <c r="D156" s="86"/>
      <c r="E156" s="86"/>
      <c r="F156" s="87"/>
      <c r="G156" s="88">
        <f t="shared" si="62"/>
        <v>0</v>
      </c>
      <c r="H156" s="89">
        <f t="shared" si="63"/>
        <v>0</v>
      </c>
      <c r="I156" s="90">
        <f t="shared" ref="I156:I161" si="64">H156</f>
        <v>0</v>
      </c>
      <c r="J156" s="415"/>
      <c r="K156" s="418"/>
      <c r="L156" s="100"/>
      <c r="M156" s="357"/>
    </row>
    <row r="157" spans="1:245" s="93" customFormat="1" ht="20" customHeight="1" outlineLevel="2" x14ac:dyDescent="0.2">
      <c r="A157" s="85"/>
      <c r="B157" s="394"/>
      <c r="C157" s="85"/>
      <c r="D157" s="86"/>
      <c r="E157" s="86"/>
      <c r="F157" s="87"/>
      <c r="G157" s="88">
        <f t="shared" si="62"/>
        <v>0</v>
      </c>
      <c r="H157" s="89">
        <f t="shared" si="63"/>
        <v>0</v>
      </c>
      <c r="I157" s="90">
        <f t="shared" si="64"/>
        <v>0</v>
      </c>
      <c r="J157" s="415"/>
      <c r="K157" s="418"/>
      <c r="L157" s="100"/>
      <c r="M157" s="357"/>
    </row>
    <row r="158" spans="1:245" s="93" customFormat="1" ht="20" customHeight="1" outlineLevel="2" x14ac:dyDescent="0.2">
      <c r="A158" s="85"/>
      <c r="B158" s="394"/>
      <c r="C158" s="85"/>
      <c r="D158" s="86"/>
      <c r="E158" s="86"/>
      <c r="F158" s="87"/>
      <c r="G158" s="88">
        <f t="shared" si="62"/>
        <v>0</v>
      </c>
      <c r="H158" s="89">
        <f t="shared" si="63"/>
        <v>0</v>
      </c>
      <c r="I158" s="90">
        <f t="shared" si="64"/>
        <v>0</v>
      </c>
      <c r="J158" s="415"/>
      <c r="K158" s="418"/>
      <c r="L158" s="100"/>
      <c r="M158" s="357"/>
    </row>
    <row r="159" spans="1:245" s="93" customFormat="1" ht="20" customHeight="1" outlineLevel="2" x14ac:dyDescent="0.2">
      <c r="A159" s="85"/>
      <c r="B159" s="394"/>
      <c r="C159" s="85"/>
      <c r="D159" s="86"/>
      <c r="E159" s="86"/>
      <c r="F159" s="87"/>
      <c r="G159" s="88">
        <f t="shared" si="62"/>
        <v>0</v>
      </c>
      <c r="H159" s="89">
        <f t="shared" si="63"/>
        <v>0</v>
      </c>
      <c r="I159" s="90">
        <f t="shared" si="64"/>
        <v>0</v>
      </c>
      <c r="J159" s="415"/>
      <c r="K159" s="418"/>
      <c r="L159" s="100"/>
      <c r="M159" s="357"/>
    </row>
    <row r="160" spans="1:245" s="93" customFormat="1" ht="20" customHeight="1" outlineLevel="2" x14ac:dyDescent="0.2">
      <c r="A160" s="85"/>
      <c r="B160" s="394"/>
      <c r="C160" s="85"/>
      <c r="D160" s="86"/>
      <c r="E160" s="86"/>
      <c r="F160" s="87"/>
      <c r="G160" s="88">
        <f t="shared" si="62"/>
        <v>0</v>
      </c>
      <c r="H160" s="89">
        <f t="shared" si="63"/>
        <v>0</v>
      </c>
      <c r="I160" s="90">
        <f t="shared" si="64"/>
        <v>0</v>
      </c>
      <c r="J160" s="415"/>
      <c r="K160" s="418"/>
      <c r="L160" s="100"/>
      <c r="M160" s="357"/>
    </row>
    <row r="161" spans="1:245" s="93" customFormat="1" ht="20" customHeight="1" outlineLevel="2" x14ac:dyDescent="0.2">
      <c r="A161" s="85"/>
      <c r="B161" s="394"/>
      <c r="C161" s="85"/>
      <c r="D161" s="86"/>
      <c r="E161" s="86"/>
      <c r="F161" s="87"/>
      <c r="G161" s="88">
        <f>(D161*E161*F161)</f>
        <v>0</v>
      </c>
      <c r="H161" s="89">
        <f t="shared" si="63"/>
        <v>0</v>
      </c>
      <c r="I161" s="90">
        <f t="shared" si="64"/>
        <v>0</v>
      </c>
      <c r="J161" s="415"/>
      <c r="K161" s="418"/>
      <c r="L161" s="100"/>
      <c r="M161" s="357"/>
    </row>
    <row r="162" spans="1:245" s="105" customFormat="1" outlineLevel="1" x14ac:dyDescent="0.2">
      <c r="A162" s="94" t="s">
        <v>288</v>
      </c>
      <c r="B162" s="95"/>
      <c r="C162" s="98"/>
      <c r="D162" s="98"/>
      <c r="E162" s="95"/>
      <c r="F162" s="96"/>
      <c r="G162" s="99">
        <f>SUM(G155:G161)</f>
        <v>0</v>
      </c>
      <c r="H162" s="406">
        <f>SUM(H155:H161)</f>
        <v>0</v>
      </c>
      <c r="I162" s="96">
        <f>SUM(I155:I161)</f>
        <v>0</v>
      </c>
      <c r="J162" s="416">
        <f>SUM(J155:J161)</f>
        <v>0</v>
      </c>
      <c r="K162" s="418"/>
      <c r="L162" s="100"/>
      <c r="M162" s="357"/>
      <c r="N162" s="102"/>
      <c r="O162" s="103"/>
      <c r="P162" s="100"/>
      <c r="Q162" s="104"/>
      <c r="R162" s="100"/>
      <c r="S162" s="100"/>
      <c r="T162" s="100"/>
      <c r="U162" s="101"/>
      <c r="V162" s="101"/>
      <c r="W162" s="102"/>
      <c r="X162" s="103"/>
      <c r="Y162" s="100"/>
      <c r="Z162" s="104"/>
      <c r="AA162" s="100"/>
      <c r="AB162" s="100"/>
      <c r="AC162" s="100"/>
      <c r="AD162" s="101"/>
      <c r="AE162" s="101"/>
      <c r="AF162" s="102"/>
      <c r="AG162" s="103"/>
      <c r="AH162" s="100"/>
      <c r="AI162" s="104"/>
      <c r="AJ162" s="100"/>
      <c r="AK162" s="100"/>
      <c r="AL162" s="100"/>
      <c r="AM162" s="101"/>
      <c r="AN162" s="101"/>
      <c r="AO162" s="102"/>
      <c r="AP162" s="103"/>
      <c r="AQ162" s="100"/>
      <c r="AR162" s="104"/>
      <c r="AS162" s="100"/>
      <c r="AT162" s="100"/>
      <c r="AU162" s="100"/>
      <c r="AV162" s="101"/>
      <c r="AW162" s="101"/>
      <c r="AX162" s="102"/>
      <c r="AY162" s="103"/>
      <c r="AZ162" s="100"/>
      <c r="BA162" s="104"/>
      <c r="BB162" s="100"/>
      <c r="BC162" s="100"/>
      <c r="BD162" s="100"/>
      <c r="BE162" s="101"/>
      <c r="BF162" s="101"/>
      <c r="BG162" s="102"/>
      <c r="BH162" s="103"/>
      <c r="BI162" s="100"/>
      <c r="BJ162" s="104"/>
      <c r="BK162" s="100"/>
      <c r="BL162" s="100"/>
      <c r="BM162" s="100"/>
      <c r="BN162" s="101"/>
      <c r="BO162" s="101"/>
      <c r="BP162" s="102"/>
      <c r="BQ162" s="103"/>
      <c r="BR162" s="100"/>
      <c r="BS162" s="104"/>
      <c r="BT162" s="100"/>
      <c r="BU162" s="100"/>
      <c r="BV162" s="100"/>
      <c r="BW162" s="101"/>
      <c r="BX162" s="101"/>
      <c r="BY162" s="102"/>
      <c r="BZ162" s="103"/>
      <c r="CA162" s="100"/>
      <c r="CB162" s="104"/>
      <c r="CC162" s="100"/>
      <c r="CD162" s="100"/>
      <c r="CE162" s="100"/>
      <c r="CF162" s="101"/>
      <c r="CG162" s="101"/>
      <c r="CH162" s="102"/>
      <c r="CI162" s="103"/>
      <c r="CJ162" s="100"/>
      <c r="CK162" s="104"/>
      <c r="CL162" s="100"/>
      <c r="CM162" s="100"/>
      <c r="CN162" s="100"/>
      <c r="CO162" s="101"/>
      <c r="CP162" s="101"/>
      <c r="CQ162" s="102"/>
      <c r="CR162" s="103"/>
      <c r="CS162" s="100"/>
      <c r="CT162" s="104"/>
      <c r="CU162" s="100"/>
      <c r="CV162" s="100"/>
      <c r="CW162" s="100"/>
      <c r="CX162" s="101"/>
      <c r="CY162" s="101"/>
      <c r="CZ162" s="102"/>
      <c r="DA162" s="103"/>
      <c r="DB162" s="100"/>
      <c r="DC162" s="104"/>
      <c r="DD162" s="100"/>
      <c r="DE162" s="100"/>
      <c r="DF162" s="100"/>
      <c r="DG162" s="101"/>
      <c r="DH162" s="101"/>
      <c r="DI162" s="102"/>
      <c r="DJ162" s="103"/>
      <c r="DK162" s="100"/>
      <c r="DL162" s="104"/>
      <c r="DM162" s="100"/>
      <c r="DN162" s="100"/>
      <c r="DO162" s="100"/>
      <c r="DP162" s="101"/>
      <c r="DQ162" s="101"/>
      <c r="DR162" s="102"/>
      <c r="DS162" s="103"/>
      <c r="DT162" s="100"/>
      <c r="DU162" s="104"/>
      <c r="DV162" s="100"/>
      <c r="DW162" s="100"/>
      <c r="DX162" s="100"/>
      <c r="DY162" s="101"/>
      <c r="DZ162" s="101"/>
      <c r="EA162" s="102"/>
      <c r="EB162" s="103"/>
      <c r="EC162" s="100"/>
      <c r="ED162" s="104"/>
      <c r="EE162" s="100"/>
      <c r="EF162" s="100"/>
      <c r="EG162" s="100"/>
      <c r="EH162" s="101"/>
      <c r="EI162" s="101"/>
      <c r="EJ162" s="102"/>
      <c r="EK162" s="103"/>
      <c r="EL162" s="100"/>
      <c r="EM162" s="104"/>
      <c r="EN162" s="100"/>
      <c r="EO162" s="100"/>
      <c r="EP162" s="100"/>
      <c r="EQ162" s="101"/>
      <c r="ER162" s="101"/>
      <c r="ES162" s="102"/>
      <c r="ET162" s="103"/>
      <c r="EU162" s="100"/>
      <c r="EV162" s="104"/>
      <c r="EW162" s="100"/>
      <c r="EX162" s="100"/>
      <c r="EY162" s="100"/>
      <c r="EZ162" s="101"/>
      <c r="FA162" s="101"/>
      <c r="FB162" s="102"/>
      <c r="FC162" s="103"/>
      <c r="FD162" s="100"/>
      <c r="FE162" s="104"/>
      <c r="FF162" s="100"/>
      <c r="FG162" s="100"/>
      <c r="FH162" s="100"/>
      <c r="FI162" s="101"/>
      <c r="FJ162" s="101"/>
      <c r="FK162" s="102"/>
      <c r="FL162" s="103"/>
      <c r="FM162" s="100"/>
      <c r="FN162" s="104"/>
      <c r="FO162" s="100"/>
      <c r="FP162" s="100"/>
      <c r="FQ162" s="100"/>
      <c r="FR162" s="101"/>
      <c r="FS162" s="101"/>
      <c r="FT162" s="102"/>
      <c r="FU162" s="103"/>
      <c r="FV162" s="100"/>
      <c r="FW162" s="104"/>
      <c r="FX162" s="100"/>
      <c r="FY162" s="100"/>
      <c r="FZ162" s="100"/>
      <c r="GA162" s="101"/>
      <c r="GB162" s="101"/>
      <c r="GC162" s="102"/>
      <c r="GD162" s="103"/>
      <c r="GE162" s="100"/>
      <c r="GF162" s="104"/>
      <c r="GG162" s="100"/>
      <c r="GH162" s="100"/>
      <c r="GI162" s="100"/>
      <c r="GJ162" s="101"/>
      <c r="GK162" s="101"/>
      <c r="GL162" s="102"/>
      <c r="GM162" s="103"/>
      <c r="GN162" s="100"/>
      <c r="GO162" s="104"/>
      <c r="GP162" s="100"/>
      <c r="GQ162" s="100"/>
      <c r="GR162" s="100"/>
      <c r="GS162" s="101"/>
      <c r="GT162" s="101"/>
      <c r="GU162" s="102"/>
      <c r="GV162" s="103"/>
      <c r="GW162" s="100"/>
      <c r="GX162" s="104"/>
      <c r="GY162" s="100"/>
      <c r="GZ162" s="100"/>
      <c r="HA162" s="100"/>
      <c r="HB162" s="101"/>
      <c r="HC162" s="101"/>
      <c r="HD162" s="102"/>
      <c r="HE162" s="103"/>
      <c r="HF162" s="100"/>
      <c r="HG162" s="104"/>
      <c r="HH162" s="100"/>
      <c r="HI162" s="100"/>
      <c r="HJ162" s="100"/>
      <c r="HK162" s="101"/>
      <c r="HL162" s="101"/>
      <c r="HM162" s="102"/>
      <c r="HN162" s="103"/>
      <c r="HO162" s="100"/>
      <c r="HP162" s="104"/>
      <c r="HQ162" s="100"/>
      <c r="HR162" s="100"/>
      <c r="HS162" s="100"/>
      <c r="HT162" s="101"/>
      <c r="HU162" s="101"/>
      <c r="HV162" s="102"/>
      <c r="HW162" s="103"/>
      <c r="HX162" s="100"/>
      <c r="HY162" s="104"/>
      <c r="HZ162" s="100"/>
      <c r="IA162" s="100"/>
      <c r="IB162" s="100"/>
      <c r="IC162" s="101"/>
      <c r="ID162" s="101"/>
      <c r="IE162" s="102"/>
      <c r="IF162" s="103"/>
      <c r="IG162" s="100"/>
      <c r="IH162" s="104"/>
      <c r="II162" s="100"/>
      <c r="IJ162" s="100"/>
      <c r="IK162" s="100"/>
    </row>
    <row r="163" spans="1:245" s="93" customFormat="1" ht="39" customHeight="1" outlineLevel="1" x14ac:dyDescent="0.2">
      <c r="A163" s="115" t="s">
        <v>417</v>
      </c>
      <c r="B163" s="115"/>
      <c r="C163" s="85"/>
      <c r="D163" s="86"/>
      <c r="E163" s="86"/>
      <c r="F163" s="87"/>
      <c r="G163" s="88"/>
      <c r="H163" s="89"/>
      <c r="I163" s="90"/>
      <c r="J163" s="415"/>
      <c r="K163" s="418"/>
      <c r="L163" s="100"/>
      <c r="M163" s="357"/>
    </row>
    <row r="164" spans="1:245" s="93" customFormat="1" ht="20" customHeight="1" outlineLevel="2" x14ac:dyDescent="0.2">
      <c r="A164" s="85"/>
      <c r="B164" s="394"/>
      <c r="C164" s="85"/>
      <c r="D164" s="86"/>
      <c r="E164" s="86"/>
      <c r="F164" s="87"/>
      <c r="G164" s="88">
        <f t="shared" ref="G164:G169" si="65">(D164*E164*F164)</f>
        <v>0</v>
      </c>
      <c r="H164" s="89">
        <f t="shared" ref="H164:H170" si="66">G164/$K$3</f>
        <v>0</v>
      </c>
      <c r="I164" s="90">
        <f>H164</f>
        <v>0</v>
      </c>
      <c r="J164" s="415"/>
      <c r="K164" s="418"/>
      <c r="L164" s="100"/>
      <c r="M164" s="464">
        <f>SUM(M157:M163)</f>
        <v>0</v>
      </c>
    </row>
    <row r="165" spans="1:245" s="93" customFormat="1" ht="20" customHeight="1" outlineLevel="2" x14ac:dyDescent="0.2">
      <c r="A165" s="85"/>
      <c r="B165" s="394"/>
      <c r="C165" s="85"/>
      <c r="D165" s="86"/>
      <c r="E165" s="86"/>
      <c r="F165" s="87"/>
      <c r="G165" s="88">
        <f t="shared" si="65"/>
        <v>0</v>
      </c>
      <c r="H165" s="89">
        <f t="shared" si="66"/>
        <v>0</v>
      </c>
      <c r="I165" s="90">
        <f t="shared" ref="I165:I170" si="67">H165</f>
        <v>0</v>
      </c>
      <c r="J165" s="415"/>
      <c r="K165" s="418"/>
      <c r="L165" s="100"/>
      <c r="M165" s="357"/>
    </row>
    <row r="166" spans="1:245" s="93" customFormat="1" ht="20" customHeight="1" outlineLevel="2" x14ac:dyDescent="0.2">
      <c r="A166" s="85"/>
      <c r="B166" s="394"/>
      <c r="C166" s="85"/>
      <c r="D166" s="86"/>
      <c r="E166" s="86"/>
      <c r="F166" s="87"/>
      <c r="G166" s="88">
        <f t="shared" si="65"/>
        <v>0</v>
      </c>
      <c r="H166" s="89">
        <f t="shared" si="66"/>
        <v>0</v>
      </c>
      <c r="I166" s="90">
        <f t="shared" si="67"/>
        <v>0</v>
      </c>
      <c r="J166" s="415"/>
      <c r="K166" s="418"/>
      <c r="L166" s="100"/>
      <c r="M166" s="357"/>
    </row>
    <row r="167" spans="1:245" s="93" customFormat="1" ht="20" customHeight="1" outlineLevel="2" x14ac:dyDescent="0.2">
      <c r="A167" s="85"/>
      <c r="B167" s="394"/>
      <c r="C167" s="85"/>
      <c r="D167" s="86"/>
      <c r="E167" s="86"/>
      <c r="F167" s="87"/>
      <c r="G167" s="88">
        <f t="shared" si="65"/>
        <v>0</v>
      </c>
      <c r="H167" s="89">
        <f t="shared" si="66"/>
        <v>0</v>
      </c>
      <c r="I167" s="90">
        <f t="shared" si="67"/>
        <v>0</v>
      </c>
      <c r="J167" s="415"/>
      <c r="K167" s="418"/>
      <c r="L167" s="100"/>
      <c r="M167" s="357"/>
    </row>
    <row r="168" spans="1:245" s="93" customFormat="1" ht="20" customHeight="1" outlineLevel="2" x14ac:dyDescent="0.2">
      <c r="A168" s="85"/>
      <c r="B168" s="394"/>
      <c r="C168" s="85"/>
      <c r="D168" s="86"/>
      <c r="E168" s="86"/>
      <c r="F168" s="87"/>
      <c r="G168" s="88">
        <f t="shared" si="65"/>
        <v>0</v>
      </c>
      <c r="H168" s="89">
        <f t="shared" si="66"/>
        <v>0</v>
      </c>
      <c r="I168" s="90">
        <f t="shared" si="67"/>
        <v>0</v>
      </c>
      <c r="J168" s="415"/>
      <c r="K168" s="418"/>
      <c r="L168" s="100"/>
      <c r="M168" s="357"/>
    </row>
    <row r="169" spans="1:245" s="93" customFormat="1" ht="20" customHeight="1" outlineLevel="2" x14ac:dyDescent="0.2">
      <c r="A169" s="85"/>
      <c r="B169" s="394"/>
      <c r="C169" s="85"/>
      <c r="D169" s="86"/>
      <c r="E169" s="86"/>
      <c r="F169" s="87"/>
      <c r="G169" s="88">
        <f t="shared" si="65"/>
        <v>0</v>
      </c>
      <c r="H169" s="89">
        <f t="shared" si="66"/>
        <v>0</v>
      </c>
      <c r="I169" s="90">
        <f t="shared" si="67"/>
        <v>0</v>
      </c>
      <c r="J169" s="415"/>
      <c r="K169" s="418"/>
      <c r="L169" s="100"/>
      <c r="M169" s="357"/>
    </row>
    <row r="170" spans="1:245" s="93" customFormat="1" ht="20" customHeight="1" outlineLevel="2" x14ac:dyDescent="0.2">
      <c r="A170" s="85"/>
      <c r="B170" s="394"/>
      <c r="C170" s="85"/>
      <c r="D170" s="86"/>
      <c r="E170" s="86"/>
      <c r="F170" s="87"/>
      <c r="G170" s="88">
        <f>(D170*E170*F170)</f>
        <v>0</v>
      </c>
      <c r="H170" s="89">
        <f t="shared" si="66"/>
        <v>0</v>
      </c>
      <c r="I170" s="90">
        <f t="shared" si="67"/>
        <v>0</v>
      </c>
      <c r="J170" s="415"/>
      <c r="K170" s="418"/>
      <c r="L170" s="100"/>
      <c r="M170" s="357"/>
    </row>
    <row r="171" spans="1:245" s="105" customFormat="1" outlineLevel="1" x14ac:dyDescent="0.2">
      <c r="A171" s="94" t="s">
        <v>288</v>
      </c>
      <c r="B171" s="95"/>
      <c r="C171" s="98"/>
      <c r="D171" s="98"/>
      <c r="E171" s="95"/>
      <c r="F171" s="96"/>
      <c r="G171" s="99">
        <f>SUM(G164:G170)</f>
        <v>0</v>
      </c>
      <c r="H171" s="406">
        <f>SUM(H164:H170)</f>
        <v>0</v>
      </c>
      <c r="I171" s="96">
        <f>SUM(I164:I170)</f>
        <v>0</v>
      </c>
      <c r="J171" s="416">
        <f>SUM(J164:J170)</f>
        <v>0</v>
      </c>
      <c r="K171" s="418"/>
      <c r="L171" s="100"/>
      <c r="M171" s="357"/>
      <c r="N171" s="102"/>
      <c r="O171" s="103"/>
      <c r="P171" s="100"/>
      <c r="Q171" s="104"/>
      <c r="R171" s="100"/>
      <c r="S171" s="100"/>
      <c r="T171" s="100"/>
      <c r="U171" s="101"/>
      <c r="V171" s="101"/>
      <c r="W171" s="102"/>
      <c r="X171" s="103"/>
      <c r="Y171" s="100"/>
      <c r="Z171" s="104"/>
      <c r="AA171" s="100"/>
      <c r="AB171" s="100"/>
      <c r="AC171" s="100"/>
      <c r="AD171" s="101"/>
      <c r="AE171" s="101"/>
      <c r="AF171" s="102"/>
      <c r="AG171" s="103"/>
      <c r="AH171" s="100"/>
      <c r="AI171" s="104"/>
      <c r="AJ171" s="100"/>
      <c r="AK171" s="100"/>
      <c r="AL171" s="100"/>
      <c r="AM171" s="101"/>
      <c r="AN171" s="101"/>
      <c r="AO171" s="102"/>
      <c r="AP171" s="103"/>
      <c r="AQ171" s="100"/>
      <c r="AR171" s="104"/>
      <c r="AS171" s="100"/>
      <c r="AT171" s="100"/>
      <c r="AU171" s="100"/>
      <c r="AV171" s="101"/>
      <c r="AW171" s="101"/>
      <c r="AX171" s="102"/>
      <c r="AY171" s="103"/>
      <c r="AZ171" s="100"/>
      <c r="BA171" s="104"/>
      <c r="BB171" s="100"/>
      <c r="BC171" s="100"/>
      <c r="BD171" s="100"/>
      <c r="BE171" s="101"/>
      <c r="BF171" s="101"/>
      <c r="BG171" s="102"/>
      <c r="BH171" s="103"/>
      <c r="BI171" s="100"/>
      <c r="BJ171" s="104"/>
      <c r="BK171" s="100"/>
      <c r="BL171" s="100"/>
      <c r="BM171" s="100"/>
      <c r="BN171" s="101"/>
      <c r="BO171" s="101"/>
      <c r="BP171" s="102"/>
      <c r="BQ171" s="103"/>
      <c r="BR171" s="100"/>
      <c r="BS171" s="104"/>
      <c r="BT171" s="100"/>
      <c r="BU171" s="100"/>
      <c r="BV171" s="100"/>
      <c r="BW171" s="101"/>
      <c r="BX171" s="101"/>
      <c r="BY171" s="102"/>
      <c r="BZ171" s="103"/>
      <c r="CA171" s="100"/>
      <c r="CB171" s="104"/>
      <c r="CC171" s="100"/>
      <c r="CD171" s="100"/>
      <c r="CE171" s="100"/>
      <c r="CF171" s="101"/>
      <c r="CG171" s="101"/>
      <c r="CH171" s="102"/>
      <c r="CI171" s="103"/>
      <c r="CJ171" s="100"/>
      <c r="CK171" s="104"/>
      <c r="CL171" s="100"/>
      <c r="CM171" s="100"/>
      <c r="CN171" s="100"/>
      <c r="CO171" s="101"/>
      <c r="CP171" s="101"/>
      <c r="CQ171" s="102"/>
      <c r="CR171" s="103"/>
      <c r="CS171" s="100"/>
      <c r="CT171" s="104"/>
      <c r="CU171" s="100"/>
      <c r="CV171" s="100"/>
      <c r="CW171" s="100"/>
      <c r="CX171" s="101"/>
      <c r="CY171" s="101"/>
      <c r="CZ171" s="102"/>
      <c r="DA171" s="103"/>
      <c r="DB171" s="100"/>
      <c r="DC171" s="104"/>
      <c r="DD171" s="100"/>
      <c r="DE171" s="100"/>
      <c r="DF171" s="100"/>
      <c r="DG171" s="101"/>
      <c r="DH171" s="101"/>
      <c r="DI171" s="102"/>
      <c r="DJ171" s="103"/>
      <c r="DK171" s="100"/>
      <c r="DL171" s="104"/>
      <c r="DM171" s="100"/>
      <c r="DN171" s="100"/>
      <c r="DO171" s="100"/>
      <c r="DP171" s="101"/>
      <c r="DQ171" s="101"/>
      <c r="DR171" s="102"/>
      <c r="DS171" s="103"/>
      <c r="DT171" s="100"/>
      <c r="DU171" s="104"/>
      <c r="DV171" s="100"/>
      <c r="DW171" s="100"/>
      <c r="DX171" s="100"/>
      <c r="DY171" s="101"/>
      <c r="DZ171" s="101"/>
      <c r="EA171" s="102"/>
      <c r="EB171" s="103"/>
      <c r="EC171" s="100"/>
      <c r="ED171" s="104"/>
      <c r="EE171" s="100"/>
      <c r="EF171" s="100"/>
      <c r="EG171" s="100"/>
      <c r="EH171" s="101"/>
      <c r="EI171" s="101"/>
      <c r="EJ171" s="102"/>
      <c r="EK171" s="103"/>
      <c r="EL171" s="100"/>
      <c r="EM171" s="104"/>
      <c r="EN171" s="100"/>
      <c r="EO171" s="100"/>
      <c r="EP171" s="100"/>
      <c r="EQ171" s="101"/>
      <c r="ER171" s="101"/>
      <c r="ES171" s="102"/>
      <c r="ET171" s="103"/>
      <c r="EU171" s="100"/>
      <c r="EV171" s="104"/>
      <c r="EW171" s="100"/>
      <c r="EX171" s="100"/>
      <c r="EY171" s="100"/>
      <c r="EZ171" s="101"/>
      <c r="FA171" s="101"/>
      <c r="FB171" s="102"/>
      <c r="FC171" s="103"/>
      <c r="FD171" s="100"/>
      <c r="FE171" s="104"/>
      <c r="FF171" s="100"/>
      <c r="FG171" s="100"/>
      <c r="FH171" s="100"/>
      <c r="FI171" s="101"/>
      <c r="FJ171" s="101"/>
      <c r="FK171" s="102"/>
      <c r="FL171" s="103"/>
      <c r="FM171" s="100"/>
      <c r="FN171" s="104"/>
      <c r="FO171" s="100"/>
      <c r="FP171" s="100"/>
      <c r="FQ171" s="100"/>
      <c r="FR171" s="101"/>
      <c r="FS171" s="101"/>
      <c r="FT171" s="102"/>
      <c r="FU171" s="103"/>
      <c r="FV171" s="100"/>
      <c r="FW171" s="104"/>
      <c r="FX171" s="100"/>
      <c r="FY171" s="100"/>
      <c r="FZ171" s="100"/>
      <c r="GA171" s="101"/>
      <c r="GB171" s="101"/>
      <c r="GC171" s="102"/>
      <c r="GD171" s="103"/>
      <c r="GE171" s="100"/>
      <c r="GF171" s="104"/>
      <c r="GG171" s="100"/>
      <c r="GH171" s="100"/>
      <c r="GI171" s="100"/>
      <c r="GJ171" s="101"/>
      <c r="GK171" s="101"/>
      <c r="GL171" s="102"/>
      <c r="GM171" s="103"/>
      <c r="GN171" s="100"/>
      <c r="GO171" s="104"/>
      <c r="GP171" s="100"/>
      <c r="GQ171" s="100"/>
      <c r="GR171" s="100"/>
      <c r="GS171" s="101"/>
      <c r="GT171" s="101"/>
      <c r="GU171" s="102"/>
      <c r="GV171" s="103"/>
      <c r="GW171" s="100"/>
      <c r="GX171" s="104"/>
      <c r="GY171" s="100"/>
      <c r="GZ171" s="100"/>
      <c r="HA171" s="100"/>
      <c r="HB171" s="101"/>
      <c r="HC171" s="101"/>
      <c r="HD171" s="102"/>
      <c r="HE171" s="103"/>
      <c r="HF171" s="100"/>
      <c r="HG171" s="104"/>
      <c r="HH171" s="100"/>
      <c r="HI171" s="100"/>
      <c r="HJ171" s="100"/>
      <c r="HK171" s="101"/>
      <c r="HL171" s="101"/>
      <c r="HM171" s="102"/>
      <c r="HN171" s="103"/>
      <c r="HO171" s="100"/>
      <c r="HP171" s="104"/>
      <c r="HQ171" s="100"/>
      <c r="HR171" s="100"/>
      <c r="HS171" s="100"/>
      <c r="HT171" s="101"/>
      <c r="HU171" s="101"/>
      <c r="HV171" s="102"/>
      <c r="HW171" s="103"/>
      <c r="HX171" s="100"/>
      <c r="HY171" s="104"/>
      <c r="HZ171" s="100"/>
      <c r="IA171" s="100"/>
      <c r="IB171" s="100"/>
      <c r="IC171" s="101"/>
      <c r="ID171" s="101"/>
      <c r="IE171" s="102"/>
      <c r="IF171" s="103"/>
      <c r="IG171" s="100"/>
      <c r="IH171" s="104"/>
      <c r="II171" s="100"/>
      <c r="IJ171" s="100"/>
      <c r="IK171" s="100"/>
    </row>
    <row r="172" spans="1:245" s="93" customFormat="1" ht="39" customHeight="1" outlineLevel="1" x14ac:dyDescent="0.2">
      <c r="A172" s="115" t="s">
        <v>418</v>
      </c>
      <c r="B172" s="115"/>
      <c r="C172" s="85"/>
      <c r="D172" s="86"/>
      <c r="E172" s="86"/>
      <c r="F172" s="87"/>
      <c r="G172" s="88"/>
      <c r="H172" s="89"/>
      <c r="I172" s="90"/>
      <c r="J172" s="415"/>
      <c r="K172" s="418"/>
      <c r="L172" s="100"/>
      <c r="M172" s="357"/>
    </row>
    <row r="173" spans="1:245" s="93" customFormat="1" ht="20" customHeight="1" outlineLevel="2" x14ac:dyDescent="0.2">
      <c r="A173" s="85"/>
      <c r="B173" s="394"/>
      <c r="C173" s="85"/>
      <c r="D173" s="86"/>
      <c r="E173" s="86"/>
      <c r="F173" s="87"/>
      <c r="G173" s="88">
        <f t="shared" ref="G173:G178" si="68">(D173*E173*F173)</f>
        <v>0</v>
      </c>
      <c r="H173" s="89">
        <f t="shared" ref="H173:H179" si="69">G173/$K$3</f>
        <v>0</v>
      </c>
      <c r="I173" s="90">
        <f>H173</f>
        <v>0</v>
      </c>
      <c r="J173" s="415"/>
      <c r="K173" s="418"/>
      <c r="L173" s="100"/>
      <c r="M173" s="464">
        <f>SUM(M166:M172)</f>
        <v>0</v>
      </c>
    </row>
    <row r="174" spans="1:245" s="93" customFormat="1" ht="20" customHeight="1" outlineLevel="2" x14ac:dyDescent="0.2">
      <c r="A174" s="85"/>
      <c r="B174" s="394"/>
      <c r="C174" s="85"/>
      <c r="D174" s="86"/>
      <c r="E174" s="86"/>
      <c r="F174" s="87"/>
      <c r="G174" s="88">
        <f t="shared" si="68"/>
        <v>0</v>
      </c>
      <c r="H174" s="89">
        <f t="shared" si="69"/>
        <v>0</v>
      </c>
      <c r="I174" s="90">
        <f t="shared" ref="I174:I179" si="70">H174</f>
        <v>0</v>
      </c>
      <c r="J174" s="415"/>
      <c r="K174" s="418"/>
      <c r="L174" s="100"/>
      <c r="M174" s="357"/>
    </row>
    <row r="175" spans="1:245" s="93" customFormat="1" ht="20" customHeight="1" outlineLevel="2" x14ac:dyDescent="0.2">
      <c r="A175" s="85"/>
      <c r="B175" s="394"/>
      <c r="C175" s="85"/>
      <c r="D175" s="86"/>
      <c r="E175" s="86"/>
      <c r="F175" s="87"/>
      <c r="G175" s="88">
        <f t="shared" si="68"/>
        <v>0</v>
      </c>
      <c r="H175" s="89">
        <f t="shared" si="69"/>
        <v>0</v>
      </c>
      <c r="I175" s="90">
        <f t="shared" si="70"/>
        <v>0</v>
      </c>
      <c r="J175" s="415"/>
      <c r="K175" s="418"/>
      <c r="L175" s="100"/>
      <c r="M175" s="357"/>
    </row>
    <row r="176" spans="1:245" s="93" customFormat="1" ht="20" customHeight="1" outlineLevel="2" x14ac:dyDescent="0.2">
      <c r="A176" s="85"/>
      <c r="B176" s="394"/>
      <c r="C176" s="85"/>
      <c r="D176" s="86"/>
      <c r="E176" s="86"/>
      <c r="F176" s="87"/>
      <c r="G176" s="88">
        <f t="shared" si="68"/>
        <v>0</v>
      </c>
      <c r="H176" s="89">
        <f t="shared" si="69"/>
        <v>0</v>
      </c>
      <c r="I176" s="90">
        <f t="shared" si="70"/>
        <v>0</v>
      </c>
      <c r="J176" s="415"/>
      <c r="K176" s="418"/>
      <c r="L176" s="100"/>
      <c r="M176" s="357"/>
    </row>
    <row r="177" spans="1:245" s="93" customFormat="1" ht="20" customHeight="1" outlineLevel="2" x14ac:dyDescent="0.2">
      <c r="A177" s="85"/>
      <c r="B177" s="394"/>
      <c r="C177" s="85"/>
      <c r="D177" s="86"/>
      <c r="E177" s="86"/>
      <c r="F177" s="87"/>
      <c r="G177" s="88">
        <f t="shared" si="68"/>
        <v>0</v>
      </c>
      <c r="H177" s="89">
        <f t="shared" si="69"/>
        <v>0</v>
      </c>
      <c r="I177" s="90">
        <f t="shared" si="70"/>
        <v>0</v>
      </c>
      <c r="J177" s="415"/>
      <c r="K177" s="418"/>
      <c r="L177" s="100"/>
      <c r="M177" s="357"/>
    </row>
    <row r="178" spans="1:245" s="93" customFormat="1" ht="20" customHeight="1" outlineLevel="2" x14ac:dyDescent="0.2">
      <c r="A178" s="85"/>
      <c r="B178" s="394"/>
      <c r="C178" s="85"/>
      <c r="D178" s="86"/>
      <c r="E178" s="86"/>
      <c r="F178" s="87"/>
      <c r="G178" s="88">
        <f t="shared" si="68"/>
        <v>0</v>
      </c>
      <c r="H178" s="89">
        <f t="shared" si="69"/>
        <v>0</v>
      </c>
      <c r="I178" s="90">
        <f t="shared" si="70"/>
        <v>0</v>
      </c>
      <c r="J178" s="415"/>
      <c r="K178" s="418"/>
      <c r="L178" s="100"/>
      <c r="M178" s="357"/>
    </row>
    <row r="179" spans="1:245" s="93" customFormat="1" ht="20" customHeight="1" outlineLevel="2" x14ac:dyDescent="0.2">
      <c r="A179" s="85"/>
      <c r="B179" s="394"/>
      <c r="C179" s="85"/>
      <c r="D179" s="86"/>
      <c r="E179" s="86"/>
      <c r="F179" s="87"/>
      <c r="G179" s="88">
        <f>(D179*E179*F179)</f>
        <v>0</v>
      </c>
      <c r="H179" s="89">
        <f t="shared" si="69"/>
        <v>0</v>
      </c>
      <c r="I179" s="90">
        <f t="shared" si="70"/>
        <v>0</v>
      </c>
      <c r="J179" s="415"/>
      <c r="K179" s="418"/>
      <c r="L179" s="100"/>
      <c r="M179" s="357"/>
    </row>
    <row r="180" spans="1:245" s="105" customFormat="1" outlineLevel="1" x14ac:dyDescent="0.2">
      <c r="A180" s="94" t="s">
        <v>288</v>
      </c>
      <c r="B180" s="95"/>
      <c r="C180" s="98"/>
      <c r="D180" s="98"/>
      <c r="E180" s="95"/>
      <c r="F180" s="96"/>
      <c r="G180" s="99">
        <f>SUM(G173:G179)</f>
        <v>0</v>
      </c>
      <c r="H180" s="406">
        <f>SUM(H173:H179)</f>
        <v>0</v>
      </c>
      <c r="I180" s="96">
        <f>SUM(I173:I179)</f>
        <v>0</v>
      </c>
      <c r="J180" s="416">
        <f>SUM(J173:J179)</f>
        <v>0</v>
      </c>
      <c r="K180" s="418"/>
      <c r="L180" s="100"/>
      <c r="M180" s="357"/>
      <c r="N180" s="102"/>
      <c r="O180" s="103"/>
      <c r="P180" s="100"/>
      <c r="Q180" s="104"/>
      <c r="R180" s="100"/>
      <c r="S180" s="100"/>
      <c r="T180" s="100"/>
      <c r="U180" s="101"/>
      <c r="V180" s="101"/>
      <c r="W180" s="102"/>
      <c r="X180" s="103"/>
      <c r="Y180" s="100"/>
      <c r="Z180" s="104"/>
      <c r="AA180" s="100"/>
      <c r="AB180" s="100"/>
      <c r="AC180" s="100"/>
      <c r="AD180" s="101"/>
      <c r="AE180" s="101"/>
      <c r="AF180" s="102"/>
      <c r="AG180" s="103"/>
      <c r="AH180" s="100"/>
      <c r="AI180" s="104"/>
      <c r="AJ180" s="100"/>
      <c r="AK180" s="100"/>
      <c r="AL180" s="100"/>
      <c r="AM180" s="101"/>
      <c r="AN180" s="101"/>
      <c r="AO180" s="102"/>
      <c r="AP180" s="103"/>
      <c r="AQ180" s="100"/>
      <c r="AR180" s="104"/>
      <c r="AS180" s="100"/>
      <c r="AT180" s="100"/>
      <c r="AU180" s="100"/>
      <c r="AV180" s="101"/>
      <c r="AW180" s="101"/>
      <c r="AX180" s="102"/>
      <c r="AY180" s="103"/>
      <c r="AZ180" s="100"/>
      <c r="BA180" s="104"/>
      <c r="BB180" s="100"/>
      <c r="BC180" s="100"/>
      <c r="BD180" s="100"/>
      <c r="BE180" s="101"/>
      <c r="BF180" s="101"/>
      <c r="BG180" s="102"/>
      <c r="BH180" s="103"/>
      <c r="BI180" s="100"/>
      <c r="BJ180" s="104"/>
      <c r="BK180" s="100"/>
      <c r="BL180" s="100"/>
      <c r="BM180" s="100"/>
      <c r="BN180" s="101"/>
      <c r="BO180" s="101"/>
      <c r="BP180" s="102"/>
      <c r="BQ180" s="103"/>
      <c r="BR180" s="100"/>
      <c r="BS180" s="104"/>
      <c r="BT180" s="100"/>
      <c r="BU180" s="100"/>
      <c r="BV180" s="100"/>
      <c r="BW180" s="101"/>
      <c r="BX180" s="101"/>
      <c r="BY180" s="102"/>
      <c r="BZ180" s="103"/>
      <c r="CA180" s="100"/>
      <c r="CB180" s="104"/>
      <c r="CC180" s="100"/>
      <c r="CD180" s="100"/>
      <c r="CE180" s="100"/>
      <c r="CF180" s="101"/>
      <c r="CG180" s="101"/>
      <c r="CH180" s="102"/>
      <c r="CI180" s="103"/>
      <c r="CJ180" s="100"/>
      <c r="CK180" s="104"/>
      <c r="CL180" s="100"/>
      <c r="CM180" s="100"/>
      <c r="CN180" s="100"/>
      <c r="CO180" s="101"/>
      <c r="CP180" s="101"/>
      <c r="CQ180" s="102"/>
      <c r="CR180" s="103"/>
      <c r="CS180" s="100"/>
      <c r="CT180" s="104"/>
      <c r="CU180" s="100"/>
      <c r="CV180" s="100"/>
      <c r="CW180" s="100"/>
      <c r="CX180" s="101"/>
      <c r="CY180" s="101"/>
      <c r="CZ180" s="102"/>
      <c r="DA180" s="103"/>
      <c r="DB180" s="100"/>
      <c r="DC180" s="104"/>
      <c r="DD180" s="100"/>
      <c r="DE180" s="100"/>
      <c r="DF180" s="100"/>
      <c r="DG180" s="101"/>
      <c r="DH180" s="101"/>
      <c r="DI180" s="102"/>
      <c r="DJ180" s="103"/>
      <c r="DK180" s="100"/>
      <c r="DL180" s="104"/>
      <c r="DM180" s="100"/>
      <c r="DN180" s="100"/>
      <c r="DO180" s="100"/>
      <c r="DP180" s="101"/>
      <c r="DQ180" s="101"/>
      <c r="DR180" s="102"/>
      <c r="DS180" s="103"/>
      <c r="DT180" s="100"/>
      <c r="DU180" s="104"/>
      <c r="DV180" s="100"/>
      <c r="DW180" s="100"/>
      <c r="DX180" s="100"/>
      <c r="DY180" s="101"/>
      <c r="DZ180" s="101"/>
      <c r="EA180" s="102"/>
      <c r="EB180" s="103"/>
      <c r="EC180" s="100"/>
      <c r="ED180" s="104"/>
      <c r="EE180" s="100"/>
      <c r="EF180" s="100"/>
      <c r="EG180" s="100"/>
      <c r="EH180" s="101"/>
      <c r="EI180" s="101"/>
      <c r="EJ180" s="102"/>
      <c r="EK180" s="103"/>
      <c r="EL180" s="100"/>
      <c r="EM180" s="104"/>
      <c r="EN180" s="100"/>
      <c r="EO180" s="100"/>
      <c r="EP180" s="100"/>
      <c r="EQ180" s="101"/>
      <c r="ER180" s="101"/>
      <c r="ES180" s="102"/>
      <c r="ET180" s="103"/>
      <c r="EU180" s="100"/>
      <c r="EV180" s="104"/>
      <c r="EW180" s="100"/>
      <c r="EX180" s="100"/>
      <c r="EY180" s="100"/>
      <c r="EZ180" s="101"/>
      <c r="FA180" s="101"/>
      <c r="FB180" s="102"/>
      <c r="FC180" s="103"/>
      <c r="FD180" s="100"/>
      <c r="FE180" s="104"/>
      <c r="FF180" s="100"/>
      <c r="FG180" s="100"/>
      <c r="FH180" s="100"/>
      <c r="FI180" s="101"/>
      <c r="FJ180" s="101"/>
      <c r="FK180" s="102"/>
      <c r="FL180" s="103"/>
      <c r="FM180" s="100"/>
      <c r="FN180" s="104"/>
      <c r="FO180" s="100"/>
      <c r="FP180" s="100"/>
      <c r="FQ180" s="100"/>
      <c r="FR180" s="101"/>
      <c r="FS180" s="101"/>
      <c r="FT180" s="102"/>
      <c r="FU180" s="103"/>
      <c r="FV180" s="100"/>
      <c r="FW180" s="104"/>
      <c r="FX180" s="100"/>
      <c r="FY180" s="100"/>
      <c r="FZ180" s="100"/>
      <c r="GA180" s="101"/>
      <c r="GB180" s="101"/>
      <c r="GC180" s="102"/>
      <c r="GD180" s="103"/>
      <c r="GE180" s="100"/>
      <c r="GF180" s="104"/>
      <c r="GG180" s="100"/>
      <c r="GH180" s="100"/>
      <c r="GI180" s="100"/>
      <c r="GJ180" s="101"/>
      <c r="GK180" s="101"/>
      <c r="GL180" s="102"/>
      <c r="GM180" s="103"/>
      <c r="GN180" s="100"/>
      <c r="GO180" s="104"/>
      <c r="GP180" s="100"/>
      <c r="GQ180" s="100"/>
      <c r="GR180" s="100"/>
      <c r="GS180" s="101"/>
      <c r="GT180" s="101"/>
      <c r="GU180" s="102"/>
      <c r="GV180" s="103"/>
      <c r="GW180" s="100"/>
      <c r="GX180" s="104"/>
      <c r="GY180" s="100"/>
      <c r="GZ180" s="100"/>
      <c r="HA180" s="100"/>
      <c r="HB180" s="101"/>
      <c r="HC180" s="101"/>
      <c r="HD180" s="102"/>
      <c r="HE180" s="103"/>
      <c r="HF180" s="100"/>
      <c r="HG180" s="104"/>
      <c r="HH180" s="100"/>
      <c r="HI180" s="100"/>
      <c r="HJ180" s="100"/>
      <c r="HK180" s="101"/>
      <c r="HL180" s="101"/>
      <c r="HM180" s="102"/>
      <c r="HN180" s="103"/>
      <c r="HO180" s="100"/>
      <c r="HP180" s="104"/>
      <c r="HQ180" s="100"/>
      <c r="HR180" s="100"/>
      <c r="HS180" s="100"/>
      <c r="HT180" s="101"/>
      <c r="HU180" s="101"/>
      <c r="HV180" s="102"/>
      <c r="HW180" s="103"/>
      <c r="HX180" s="100"/>
      <c r="HY180" s="104"/>
      <c r="HZ180" s="100"/>
      <c r="IA180" s="100"/>
      <c r="IB180" s="100"/>
      <c r="IC180" s="101"/>
      <c r="ID180" s="101"/>
      <c r="IE180" s="102"/>
      <c r="IF180" s="103"/>
      <c r="IG180" s="100"/>
      <c r="IH180" s="104"/>
      <c r="II180" s="100"/>
      <c r="IJ180" s="100"/>
      <c r="IK180" s="100"/>
    </row>
    <row r="181" spans="1:245" s="93" customFormat="1" ht="39" customHeight="1" outlineLevel="1" x14ac:dyDescent="0.2">
      <c r="A181" s="115" t="s">
        <v>419</v>
      </c>
      <c r="B181" s="115"/>
      <c r="C181" s="85"/>
      <c r="D181" s="86"/>
      <c r="E181" s="86"/>
      <c r="F181" s="87"/>
      <c r="G181" s="88"/>
      <c r="H181" s="89"/>
      <c r="I181" s="90"/>
      <c r="J181" s="415"/>
      <c r="K181" s="418"/>
      <c r="L181" s="100"/>
      <c r="M181" s="357"/>
    </row>
    <row r="182" spans="1:245" s="93" customFormat="1" ht="20" customHeight="1" outlineLevel="2" x14ac:dyDescent="0.2">
      <c r="A182" s="85"/>
      <c r="B182" s="394"/>
      <c r="C182" s="85"/>
      <c r="D182" s="86"/>
      <c r="E182" s="86"/>
      <c r="F182" s="87"/>
      <c r="G182" s="88">
        <f t="shared" ref="G182:G187" si="71">(D182*E182*F182)</f>
        <v>0</v>
      </c>
      <c r="H182" s="89">
        <f t="shared" ref="H182:H188" si="72">G182/$K$3</f>
        <v>0</v>
      </c>
      <c r="I182" s="90">
        <f>H182</f>
        <v>0</v>
      </c>
      <c r="J182" s="415"/>
      <c r="K182" s="418"/>
      <c r="L182" s="100"/>
      <c r="M182" s="464">
        <f>SUM(M175:M181)</f>
        <v>0</v>
      </c>
    </row>
    <row r="183" spans="1:245" s="93" customFormat="1" ht="20" customHeight="1" outlineLevel="2" x14ac:dyDescent="0.2">
      <c r="A183" s="85"/>
      <c r="B183" s="394"/>
      <c r="C183" s="85"/>
      <c r="D183" s="86"/>
      <c r="E183" s="86"/>
      <c r="F183" s="87"/>
      <c r="G183" s="88">
        <f t="shared" si="71"/>
        <v>0</v>
      </c>
      <c r="H183" s="89">
        <f t="shared" si="72"/>
        <v>0</v>
      </c>
      <c r="I183" s="90">
        <f t="shared" ref="I183:I188" si="73">H183</f>
        <v>0</v>
      </c>
      <c r="J183" s="415"/>
      <c r="K183" s="418"/>
      <c r="L183" s="100"/>
      <c r="M183" s="357"/>
    </row>
    <row r="184" spans="1:245" s="93" customFormat="1" ht="20" customHeight="1" outlineLevel="2" x14ac:dyDescent="0.2">
      <c r="A184" s="85"/>
      <c r="B184" s="394"/>
      <c r="C184" s="85"/>
      <c r="D184" s="86"/>
      <c r="E184" s="86"/>
      <c r="F184" s="87"/>
      <c r="G184" s="88">
        <f t="shared" si="71"/>
        <v>0</v>
      </c>
      <c r="H184" s="89">
        <f t="shared" si="72"/>
        <v>0</v>
      </c>
      <c r="I184" s="90">
        <f t="shared" si="73"/>
        <v>0</v>
      </c>
      <c r="J184" s="415"/>
      <c r="K184" s="418"/>
      <c r="L184" s="100"/>
      <c r="M184" s="357"/>
    </row>
    <row r="185" spans="1:245" s="93" customFormat="1" ht="20" customHeight="1" outlineLevel="2" x14ac:dyDescent="0.2">
      <c r="A185" s="85"/>
      <c r="B185" s="394"/>
      <c r="C185" s="85"/>
      <c r="D185" s="86"/>
      <c r="E185" s="86"/>
      <c r="F185" s="87"/>
      <c r="G185" s="88">
        <f t="shared" si="71"/>
        <v>0</v>
      </c>
      <c r="H185" s="89">
        <f t="shared" si="72"/>
        <v>0</v>
      </c>
      <c r="I185" s="90">
        <f t="shared" si="73"/>
        <v>0</v>
      </c>
      <c r="J185" s="415"/>
      <c r="K185" s="418"/>
      <c r="L185" s="100"/>
      <c r="M185" s="357"/>
    </row>
    <row r="186" spans="1:245" s="93" customFormat="1" ht="20" customHeight="1" outlineLevel="2" x14ac:dyDescent="0.2">
      <c r="A186" s="85"/>
      <c r="B186" s="394"/>
      <c r="C186" s="85"/>
      <c r="D186" s="86"/>
      <c r="E186" s="86"/>
      <c r="F186" s="87"/>
      <c r="G186" s="88">
        <f t="shared" si="71"/>
        <v>0</v>
      </c>
      <c r="H186" s="89">
        <f t="shared" si="72"/>
        <v>0</v>
      </c>
      <c r="I186" s="90">
        <f t="shared" si="73"/>
        <v>0</v>
      </c>
      <c r="J186" s="415"/>
      <c r="K186" s="418"/>
      <c r="L186" s="100"/>
      <c r="M186" s="357"/>
    </row>
    <row r="187" spans="1:245" s="93" customFormat="1" ht="20" customHeight="1" outlineLevel="2" x14ac:dyDescent="0.2">
      <c r="A187" s="85"/>
      <c r="B187" s="394"/>
      <c r="C187" s="85"/>
      <c r="D187" s="86"/>
      <c r="E187" s="86"/>
      <c r="F187" s="87"/>
      <c r="G187" s="88">
        <f t="shared" si="71"/>
        <v>0</v>
      </c>
      <c r="H187" s="89">
        <f t="shared" si="72"/>
        <v>0</v>
      </c>
      <c r="I187" s="90">
        <f t="shared" si="73"/>
        <v>0</v>
      </c>
      <c r="J187" s="415"/>
      <c r="K187" s="418"/>
      <c r="L187" s="100"/>
      <c r="M187" s="357"/>
    </row>
    <row r="188" spans="1:245" s="93" customFormat="1" ht="20" customHeight="1" outlineLevel="2" x14ac:dyDescent="0.2">
      <c r="A188" s="85"/>
      <c r="B188" s="394"/>
      <c r="C188" s="85"/>
      <c r="D188" s="86"/>
      <c r="E188" s="86"/>
      <c r="F188" s="87"/>
      <c r="G188" s="88">
        <f>(D188*E188*F188)</f>
        <v>0</v>
      </c>
      <c r="H188" s="89">
        <f t="shared" si="72"/>
        <v>0</v>
      </c>
      <c r="I188" s="90">
        <f t="shared" si="73"/>
        <v>0</v>
      </c>
      <c r="J188" s="415"/>
      <c r="K188" s="418"/>
      <c r="L188" s="100"/>
      <c r="M188" s="357"/>
    </row>
    <row r="189" spans="1:245" s="105" customFormat="1" outlineLevel="1" x14ac:dyDescent="0.2">
      <c r="A189" s="94" t="s">
        <v>288</v>
      </c>
      <c r="B189" s="95"/>
      <c r="C189" s="98"/>
      <c r="D189" s="98"/>
      <c r="E189" s="95"/>
      <c r="F189" s="96"/>
      <c r="G189" s="99">
        <f>SUM(G182:G188)</f>
        <v>0</v>
      </c>
      <c r="H189" s="406">
        <f>SUM(H182:H188)</f>
        <v>0</v>
      </c>
      <c r="I189" s="96">
        <f>SUM(I182:I188)</f>
        <v>0</v>
      </c>
      <c r="J189" s="416">
        <f>SUM(J182:J188)</f>
        <v>0</v>
      </c>
      <c r="K189" s="418"/>
      <c r="L189" s="100"/>
      <c r="M189" s="357"/>
      <c r="N189" s="102"/>
      <c r="O189" s="103"/>
      <c r="P189" s="100"/>
      <c r="Q189" s="104"/>
      <c r="R189" s="100"/>
      <c r="S189" s="100"/>
      <c r="T189" s="100"/>
      <c r="U189" s="101"/>
      <c r="V189" s="101"/>
      <c r="W189" s="102"/>
      <c r="X189" s="103"/>
      <c r="Y189" s="100"/>
      <c r="Z189" s="104"/>
      <c r="AA189" s="100"/>
      <c r="AB189" s="100"/>
      <c r="AC189" s="100"/>
      <c r="AD189" s="101"/>
      <c r="AE189" s="101"/>
      <c r="AF189" s="102"/>
      <c r="AG189" s="103"/>
      <c r="AH189" s="100"/>
      <c r="AI189" s="104"/>
      <c r="AJ189" s="100"/>
      <c r="AK189" s="100"/>
      <c r="AL189" s="100"/>
      <c r="AM189" s="101"/>
      <c r="AN189" s="101"/>
      <c r="AO189" s="102"/>
      <c r="AP189" s="103"/>
      <c r="AQ189" s="100"/>
      <c r="AR189" s="104"/>
      <c r="AS189" s="100"/>
      <c r="AT189" s="100"/>
      <c r="AU189" s="100"/>
      <c r="AV189" s="101"/>
      <c r="AW189" s="101"/>
      <c r="AX189" s="102"/>
      <c r="AY189" s="103"/>
      <c r="AZ189" s="100"/>
      <c r="BA189" s="104"/>
      <c r="BB189" s="100"/>
      <c r="BC189" s="100"/>
      <c r="BD189" s="100"/>
      <c r="BE189" s="101"/>
      <c r="BF189" s="101"/>
      <c r="BG189" s="102"/>
      <c r="BH189" s="103"/>
      <c r="BI189" s="100"/>
      <c r="BJ189" s="104"/>
      <c r="BK189" s="100"/>
      <c r="BL189" s="100"/>
      <c r="BM189" s="100"/>
      <c r="BN189" s="101"/>
      <c r="BO189" s="101"/>
      <c r="BP189" s="102"/>
      <c r="BQ189" s="103"/>
      <c r="BR189" s="100"/>
      <c r="BS189" s="104"/>
      <c r="BT189" s="100"/>
      <c r="BU189" s="100"/>
      <c r="BV189" s="100"/>
      <c r="BW189" s="101"/>
      <c r="BX189" s="101"/>
      <c r="BY189" s="102"/>
      <c r="BZ189" s="103"/>
      <c r="CA189" s="100"/>
      <c r="CB189" s="104"/>
      <c r="CC189" s="100"/>
      <c r="CD189" s="100"/>
      <c r="CE189" s="100"/>
      <c r="CF189" s="101"/>
      <c r="CG189" s="101"/>
      <c r="CH189" s="102"/>
      <c r="CI189" s="103"/>
      <c r="CJ189" s="100"/>
      <c r="CK189" s="104"/>
      <c r="CL189" s="100"/>
      <c r="CM189" s="100"/>
      <c r="CN189" s="100"/>
      <c r="CO189" s="101"/>
      <c r="CP189" s="101"/>
      <c r="CQ189" s="102"/>
      <c r="CR189" s="103"/>
      <c r="CS189" s="100"/>
      <c r="CT189" s="104"/>
      <c r="CU189" s="100"/>
      <c r="CV189" s="100"/>
      <c r="CW189" s="100"/>
      <c r="CX189" s="101"/>
      <c r="CY189" s="101"/>
      <c r="CZ189" s="102"/>
      <c r="DA189" s="103"/>
      <c r="DB189" s="100"/>
      <c r="DC189" s="104"/>
      <c r="DD189" s="100"/>
      <c r="DE189" s="100"/>
      <c r="DF189" s="100"/>
      <c r="DG189" s="101"/>
      <c r="DH189" s="101"/>
      <c r="DI189" s="102"/>
      <c r="DJ189" s="103"/>
      <c r="DK189" s="100"/>
      <c r="DL189" s="104"/>
      <c r="DM189" s="100"/>
      <c r="DN189" s="100"/>
      <c r="DO189" s="100"/>
      <c r="DP189" s="101"/>
      <c r="DQ189" s="101"/>
      <c r="DR189" s="102"/>
      <c r="DS189" s="103"/>
      <c r="DT189" s="100"/>
      <c r="DU189" s="104"/>
      <c r="DV189" s="100"/>
      <c r="DW189" s="100"/>
      <c r="DX189" s="100"/>
      <c r="DY189" s="101"/>
      <c r="DZ189" s="101"/>
      <c r="EA189" s="102"/>
      <c r="EB189" s="103"/>
      <c r="EC189" s="100"/>
      <c r="ED189" s="104"/>
      <c r="EE189" s="100"/>
      <c r="EF189" s="100"/>
      <c r="EG189" s="100"/>
      <c r="EH189" s="101"/>
      <c r="EI189" s="101"/>
      <c r="EJ189" s="102"/>
      <c r="EK189" s="103"/>
      <c r="EL189" s="100"/>
      <c r="EM189" s="104"/>
      <c r="EN189" s="100"/>
      <c r="EO189" s="100"/>
      <c r="EP189" s="100"/>
      <c r="EQ189" s="101"/>
      <c r="ER189" s="101"/>
      <c r="ES189" s="102"/>
      <c r="ET189" s="103"/>
      <c r="EU189" s="100"/>
      <c r="EV189" s="104"/>
      <c r="EW189" s="100"/>
      <c r="EX189" s="100"/>
      <c r="EY189" s="100"/>
      <c r="EZ189" s="101"/>
      <c r="FA189" s="101"/>
      <c r="FB189" s="102"/>
      <c r="FC189" s="103"/>
      <c r="FD189" s="100"/>
      <c r="FE189" s="104"/>
      <c r="FF189" s="100"/>
      <c r="FG189" s="100"/>
      <c r="FH189" s="100"/>
      <c r="FI189" s="101"/>
      <c r="FJ189" s="101"/>
      <c r="FK189" s="102"/>
      <c r="FL189" s="103"/>
      <c r="FM189" s="100"/>
      <c r="FN189" s="104"/>
      <c r="FO189" s="100"/>
      <c r="FP189" s="100"/>
      <c r="FQ189" s="100"/>
      <c r="FR189" s="101"/>
      <c r="FS189" s="101"/>
      <c r="FT189" s="102"/>
      <c r="FU189" s="103"/>
      <c r="FV189" s="100"/>
      <c r="FW189" s="104"/>
      <c r="FX189" s="100"/>
      <c r="FY189" s="100"/>
      <c r="FZ189" s="100"/>
      <c r="GA189" s="101"/>
      <c r="GB189" s="101"/>
      <c r="GC189" s="102"/>
      <c r="GD189" s="103"/>
      <c r="GE189" s="100"/>
      <c r="GF189" s="104"/>
      <c r="GG189" s="100"/>
      <c r="GH189" s="100"/>
      <c r="GI189" s="100"/>
      <c r="GJ189" s="101"/>
      <c r="GK189" s="101"/>
      <c r="GL189" s="102"/>
      <c r="GM189" s="103"/>
      <c r="GN189" s="100"/>
      <c r="GO189" s="104"/>
      <c r="GP189" s="100"/>
      <c r="GQ189" s="100"/>
      <c r="GR189" s="100"/>
      <c r="GS189" s="101"/>
      <c r="GT189" s="101"/>
      <c r="GU189" s="102"/>
      <c r="GV189" s="103"/>
      <c r="GW189" s="100"/>
      <c r="GX189" s="104"/>
      <c r="GY189" s="100"/>
      <c r="GZ189" s="100"/>
      <c r="HA189" s="100"/>
      <c r="HB189" s="101"/>
      <c r="HC189" s="101"/>
      <c r="HD189" s="102"/>
      <c r="HE189" s="103"/>
      <c r="HF189" s="100"/>
      <c r="HG189" s="104"/>
      <c r="HH189" s="100"/>
      <c r="HI189" s="100"/>
      <c r="HJ189" s="100"/>
      <c r="HK189" s="101"/>
      <c r="HL189" s="101"/>
      <c r="HM189" s="102"/>
      <c r="HN189" s="103"/>
      <c r="HO189" s="100"/>
      <c r="HP189" s="104"/>
      <c r="HQ189" s="100"/>
      <c r="HR189" s="100"/>
      <c r="HS189" s="100"/>
      <c r="HT189" s="101"/>
      <c r="HU189" s="101"/>
      <c r="HV189" s="102"/>
      <c r="HW189" s="103"/>
      <c r="HX189" s="100"/>
      <c r="HY189" s="104"/>
      <c r="HZ189" s="100"/>
      <c r="IA189" s="100"/>
      <c r="IB189" s="100"/>
      <c r="IC189" s="101"/>
      <c r="ID189" s="101"/>
      <c r="IE189" s="102"/>
      <c r="IF189" s="103"/>
      <c r="IG189" s="100"/>
      <c r="IH189" s="104"/>
      <c r="II189" s="100"/>
      <c r="IJ189" s="100"/>
      <c r="IK189" s="100"/>
    </row>
    <row r="190" spans="1:245" s="93" customFormat="1" ht="39" customHeight="1" outlineLevel="1" x14ac:dyDescent="0.2">
      <c r="A190" s="115" t="s">
        <v>420</v>
      </c>
      <c r="B190" s="115"/>
      <c r="C190" s="85"/>
      <c r="D190" s="86"/>
      <c r="E190" s="86"/>
      <c r="F190" s="87"/>
      <c r="G190" s="88"/>
      <c r="H190" s="89"/>
      <c r="I190" s="90"/>
      <c r="J190" s="415"/>
      <c r="K190" s="418"/>
      <c r="L190" s="100"/>
      <c r="M190" s="357"/>
    </row>
    <row r="191" spans="1:245" s="93" customFormat="1" ht="20" customHeight="1" outlineLevel="2" x14ac:dyDescent="0.2">
      <c r="A191" s="85"/>
      <c r="B191" s="394"/>
      <c r="C191" s="85"/>
      <c r="D191" s="86"/>
      <c r="E191" s="86"/>
      <c r="F191" s="87"/>
      <c r="G191" s="88">
        <f t="shared" ref="G191:G196" si="74">(D191*E191*F191)</f>
        <v>0</v>
      </c>
      <c r="H191" s="89">
        <f t="shared" ref="H191:H197" si="75">G191/$K$3</f>
        <v>0</v>
      </c>
      <c r="I191" s="90">
        <f>H191</f>
        <v>0</v>
      </c>
      <c r="J191" s="415"/>
      <c r="K191" s="418"/>
      <c r="L191" s="100"/>
      <c r="M191" s="464">
        <f>SUM(M184:M190)</f>
        <v>0</v>
      </c>
    </row>
    <row r="192" spans="1:245" s="93" customFormat="1" ht="20" customHeight="1" outlineLevel="2" x14ac:dyDescent="0.2">
      <c r="A192" s="85"/>
      <c r="B192" s="394"/>
      <c r="C192" s="85"/>
      <c r="D192" s="86"/>
      <c r="E192" s="86"/>
      <c r="F192" s="87"/>
      <c r="G192" s="88">
        <f t="shared" si="74"/>
        <v>0</v>
      </c>
      <c r="H192" s="89">
        <f t="shared" si="75"/>
        <v>0</v>
      </c>
      <c r="I192" s="90">
        <f t="shared" ref="I192:I197" si="76">H192</f>
        <v>0</v>
      </c>
      <c r="J192" s="415"/>
      <c r="K192" s="418"/>
      <c r="L192" s="100"/>
      <c r="M192" s="357"/>
    </row>
    <row r="193" spans="1:245" s="93" customFormat="1" ht="20" customHeight="1" outlineLevel="2" x14ac:dyDescent="0.2">
      <c r="A193" s="85"/>
      <c r="B193" s="394"/>
      <c r="C193" s="85"/>
      <c r="D193" s="86"/>
      <c r="E193" s="86"/>
      <c r="F193" s="87"/>
      <c r="G193" s="88">
        <f t="shared" si="74"/>
        <v>0</v>
      </c>
      <c r="H193" s="89">
        <f t="shared" si="75"/>
        <v>0</v>
      </c>
      <c r="I193" s="90">
        <f t="shared" si="76"/>
        <v>0</v>
      </c>
      <c r="J193" s="415"/>
      <c r="K193" s="418"/>
      <c r="L193" s="100"/>
      <c r="M193" s="357"/>
    </row>
    <row r="194" spans="1:245" s="93" customFormat="1" ht="20" customHeight="1" outlineLevel="2" x14ac:dyDescent="0.2">
      <c r="A194" s="85"/>
      <c r="B194" s="394"/>
      <c r="C194" s="85"/>
      <c r="D194" s="86"/>
      <c r="E194" s="86"/>
      <c r="F194" s="87"/>
      <c r="G194" s="88">
        <f t="shared" si="74"/>
        <v>0</v>
      </c>
      <c r="H194" s="89">
        <f t="shared" si="75"/>
        <v>0</v>
      </c>
      <c r="I194" s="90">
        <f t="shared" si="76"/>
        <v>0</v>
      </c>
      <c r="J194" s="415"/>
      <c r="K194" s="418"/>
      <c r="L194" s="100"/>
      <c r="M194" s="357"/>
    </row>
    <row r="195" spans="1:245" s="93" customFormat="1" ht="20" customHeight="1" outlineLevel="2" x14ac:dyDescent="0.2">
      <c r="A195" s="85"/>
      <c r="B195" s="394"/>
      <c r="C195" s="85"/>
      <c r="D195" s="86"/>
      <c r="E195" s="86"/>
      <c r="F195" s="87"/>
      <c r="G195" s="88">
        <f t="shared" si="74"/>
        <v>0</v>
      </c>
      <c r="H195" s="89">
        <f t="shared" si="75"/>
        <v>0</v>
      </c>
      <c r="I195" s="90">
        <f t="shared" si="76"/>
        <v>0</v>
      </c>
      <c r="J195" s="415"/>
      <c r="K195" s="418"/>
      <c r="L195" s="100"/>
      <c r="M195" s="357"/>
    </row>
    <row r="196" spans="1:245" s="93" customFormat="1" ht="20" customHeight="1" outlineLevel="2" x14ac:dyDescent="0.2">
      <c r="A196" s="85"/>
      <c r="B196" s="394"/>
      <c r="C196" s="85"/>
      <c r="D196" s="86"/>
      <c r="E196" s="86"/>
      <c r="F196" s="87"/>
      <c r="G196" s="88">
        <f t="shared" si="74"/>
        <v>0</v>
      </c>
      <c r="H196" s="89">
        <f t="shared" si="75"/>
        <v>0</v>
      </c>
      <c r="I196" s="90">
        <f t="shared" si="76"/>
        <v>0</v>
      </c>
      <c r="J196" s="415"/>
      <c r="K196" s="418"/>
      <c r="L196" s="100"/>
      <c r="M196" s="357"/>
    </row>
    <row r="197" spans="1:245" s="93" customFormat="1" ht="20" customHeight="1" outlineLevel="2" x14ac:dyDescent="0.2">
      <c r="A197" s="85"/>
      <c r="B197" s="394"/>
      <c r="C197" s="85"/>
      <c r="D197" s="86"/>
      <c r="E197" s="86"/>
      <c r="F197" s="87"/>
      <c r="G197" s="88">
        <f>(D197*E197*F197)</f>
        <v>0</v>
      </c>
      <c r="H197" s="89">
        <f t="shared" si="75"/>
        <v>0</v>
      </c>
      <c r="I197" s="90">
        <f t="shared" si="76"/>
        <v>0</v>
      </c>
      <c r="J197" s="415"/>
      <c r="K197" s="418"/>
      <c r="L197" s="100"/>
      <c r="M197" s="357"/>
    </row>
    <row r="198" spans="1:245" s="105" customFormat="1" outlineLevel="1" x14ac:dyDescent="0.2">
      <c r="A198" s="94" t="s">
        <v>288</v>
      </c>
      <c r="B198" s="95"/>
      <c r="C198" s="98"/>
      <c r="D198" s="98"/>
      <c r="E198" s="95"/>
      <c r="F198" s="96"/>
      <c r="G198" s="99">
        <f>SUM(G191:G197)</f>
        <v>0</v>
      </c>
      <c r="H198" s="406">
        <f>SUM(H191:H197)</f>
        <v>0</v>
      </c>
      <c r="I198" s="96">
        <f>SUM(I191:I197)</f>
        <v>0</v>
      </c>
      <c r="J198" s="416">
        <f>SUM(J191:J197)</f>
        <v>0</v>
      </c>
      <c r="K198" s="418"/>
      <c r="L198" s="100"/>
      <c r="M198" s="357"/>
      <c r="N198" s="102"/>
      <c r="O198" s="103"/>
      <c r="P198" s="100"/>
      <c r="Q198" s="104"/>
      <c r="R198" s="100"/>
      <c r="S198" s="100"/>
      <c r="T198" s="100"/>
      <c r="U198" s="101"/>
      <c r="V198" s="101"/>
      <c r="W198" s="102"/>
      <c r="X198" s="103"/>
      <c r="Y198" s="100"/>
      <c r="Z198" s="104"/>
      <c r="AA198" s="100"/>
      <c r="AB198" s="100"/>
      <c r="AC198" s="100"/>
      <c r="AD198" s="101"/>
      <c r="AE198" s="101"/>
      <c r="AF198" s="102"/>
      <c r="AG198" s="103"/>
      <c r="AH198" s="100"/>
      <c r="AI198" s="104"/>
      <c r="AJ198" s="100"/>
      <c r="AK198" s="100"/>
      <c r="AL198" s="100"/>
      <c r="AM198" s="101"/>
      <c r="AN198" s="101"/>
      <c r="AO198" s="102"/>
      <c r="AP198" s="103"/>
      <c r="AQ198" s="100"/>
      <c r="AR198" s="104"/>
      <c r="AS198" s="100"/>
      <c r="AT198" s="100"/>
      <c r="AU198" s="100"/>
      <c r="AV198" s="101"/>
      <c r="AW198" s="101"/>
      <c r="AX198" s="102"/>
      <c r="AY198" s="103"/>
      <c r="AZ198" s="100"/>
      <c r="BA198" s="104"/>
      <c r="BB198" s="100"/>
      <c r="BC198" s="100"/>
      <c r="BD198" s="100"/>
      <c r="BE198" s="101"/>
      <c r="BF198" s="101"/>
      <c r="BG198" s="102"/>
      <c r="BH198" s="103"/>
      <c r="BI198" s="100"/>
      <c r="BJ198" s="104"/>
      <c r="BK198" s="100"/>
      <c r="BL198" s="100"/>
      <c r="BM198" s="100"/>
      <c r="BN198" s="101"/>
      <c r="BO198" s="101"/>
      <c r="BP198" s="102"/>
      <c r="BQ198" s="103"/>
      <c r="BR198" s="100"/>
      <c r="BS198" s="104"/>
      <c r="BT198" s="100"/>
      <c r="BU198" s="100"/>
      <c r="BV198" s="100"/>
      <c r="BW198" s="101"/>
      <c r="BX198" s="101"/>
      <c r="BY198" s="102"/>
      <c r="BZ198" s="103"/>
      <c r="CA198" s="100"/>
      <c r="CB198" s="104"/>
      <c r="CC198" s="100"/>
      <c r="CD198" s="100"/>
      <c r="CE198" s="100"/>
      <c r="CF198" s="101"/>
      <c r="CG198" s="101"/>
      <c r="CH198" s="102"/>
      <c r="CI198" s="103"/>
      <c r="CJ198" s="100"/>
      <c r="CK198" s="104"/>
      <c r="CL198" s="100"/>
      <c r="CM198" s="100"/>
      <c r="CN198" s="100"/>
      <c r="CO198" s="101"/>
      <c r="CP198" s="101"/>
      <c r="CQ198" s="102"/>
      <c r="CR198" s="103"/>
      <c r="CS198" s="100"/>
      <c r="CT198" s="104"/>
      <c r="CU198" s="100"/>
      <c r="CV198" s="100"/>
      <c r="CW198" s="100"/>
      <c r="CX198" s="101"/>
      <c r="CY198" s="101"/>
      <c r="CZ198" s="102"/>
      <c r="DA198" s="103"/>
      <c r="DB198" s="100"/>
      <c r="DC198" s="104"/>
      <c r="DD198" s="100"/>
      <c r="DE198" s="100"/>
      <c r="DF198" s="100"/>
      <c r="DG198" s="101"/>
      <c r="DH198" s="101"/>
      <c r="DI198" s="102"/>
      <c r="DJ198" s="103"/>
      <c r="DK198" s="100"/>
      <c r="DL198" s="104"/>
      <c r="DM198" s="100"/>
      <c r="DN198" s="100"/>
      <c r="DO198" s="100"/>
      <c r="DP198" s="101"/>
      <c r="DQ198" s="101"/>
      <c r="DR198" s="102"/>
      <c r="DS198" s="103"/>
      <c r="DT198" s="100"/>
      <c r="DU198" s="104"/>
      <c r="DV198" s="100"/>
      <c r="DW198" s="100"/>
      <c r="DX198" s="100"/>
      <c r="DY198" s="101"/>
      <c r="DZ198" s="101"/>
      <c r="EA198" s="102"/>
      <c r="EB198" s="103"/>
      <c r="EC198" s="100"/>
      <c r="ED198" s="104"/>
      <c r="EE198" s="100"/>
      <c r="EF198" s="100"/>
      <c r="EG198" s="100"/>
      <c r="EH198" s="101"/>
      <c r="EI198" s="101"/>
      <c r="EJ198" s="102"/>
      <c r="EK198" s="103"/>
      <c r="EL198" s="100"/>
      <c r="EM198" s="104"/>
      <c r="EN198" s="100"/>
      <c r="EO198" s="100"/>
      <c r="EP198" s="100"/>
      <c r="EQ198" s="101"/>
      <c r="ER198" s="101"/>
      <c r="ES198" s="102"/>
      <c r="ET198" s="103"/>
      <c r="EU198" s="100"/>
      <c r="EV198" s="104"/>
      <c r="EW198" s="100"/>
      <c r="EX198" s="100"/>
      <c r="EY198" s="100"/>
      <c r="EZ198" s="101"/>
      <c r="FA198" s="101"/>
      <c r="FB198" s="102"/>
      <c r="FC198" s="103"/>
      <c r="FD198" s="100"/>
      <c r="FE198" s="104"/>
      <c r="FF198" s="100"/>
      <c r="FG198" s="100"/>
      <c r="FH198" s="100"/>
      <c r="FI198" s="101"/>
      <c r="FJ198" s="101"/>
      <c r="FK198" s="102"/>
      <c r="FL198" s="103"/>
      <c r="FM198" s="100"/>
      <c r="FN198" s="104"/>
      <c r="FO198" s="100"/>
      <c r="FP198" s="100"/>
      <c r="FQ198" s="100"/>
      <c r="FR198" s="101"/>
      <c r="FS198" s="101"/>
      <c r="FT198" s="102"/>
      <c r="FU198" s="103"/>
      <c r="FV198" s="100"/>
      <c r="FW198" s="104"/>
      <c r="FX198" s="100"/>
      <c r="FY198" s="100"/>
      <c r="FZ198" s="100"/>
      <c r="GA198" s="101"/>
      <c r="GB198" s="101"/>
      <c r="GC198" s="102"/>
      <c r="GD198" s="103"/>
      <c r="GE198" s="100"/>
      <c r="GF198" s="104"/>
      <c r="GG198" s="100"/>
      <c r="GH198" s="100"/>
      <c r="GI198" s="100"/>
      <c r="GJ198" s="101"/>
      <c r="GK198" s="101"/>
      <c r="GL198" s="102"/>
      <c r="GM198" s="103"/>
      <c r="GN198" s="100"/>
      <c r="GO198" s="104"/>
      <c r="GP198" s="100"/>
      <c r="GQ198" s="100"/>
      <c r="GR198" s="100"/>
      <c r="GS198" s="101"/>
      <c r="GT198" s="101"/>
      <c r="GU198" s="102"/>
      <c r="GV198" s="103"/>
      <c r="GW198" s="100"/>
      <c r="GX198" s="104"/>
      <c r="GY198" s="100"/>
      <c r="GZ198" s="100"/>
      <c r="HA198" s="100"/>
      <c r="HB198" s="101"/>
      <c r="HC198" s="101"/>
      <c r="HD198" s="102"/>
      <c r="HE198" s="103"/>
      <c r="HF198" s="100"/>
      <c r="HG198" s="104"/>
      <c r="HH198" s="100"/>
      <c r="HI198" s="100"/>
      <c r="HJ198" s="100"/>
      <c r="HK198" s="101"/>
      <c r="HL198" s="101"/>
      <c r="HM198" s="102"/>
      <c r="HN198" s="103"/>
      <c r="HO198" s="100"/>
      <c r="HP198" s="104"/>
      <c r="HQ198" s="100"/>
      <c r="HR198" s="100"/>
      <c r="HS198" s="100"/>
      <c r="HT198" s="101"/>
      <c r="HU198" s="101"/>
      <c r="HV198" s="102"/>
      <c r="HW198" s="103"/>
      <c r="HX198" s="100"/>
      <c r="HY198" s="104"/>
      <c r="HZ198" s="100"/>
      <c r="IA198" s="100"/>
      <c r="IB198" s="100"/>
      <c r="IC198" s="101"/>
      <c r="ID198" s="101"/>
      <c r="IE198" s="102"/>
      <c r="IF198" s="103"/>
      <c r="IG198" s="100"/>
      <c r="IH198" s="104"/>
      <c r="II198" s="100"/>
      <c r="IJ198" s="100"/>
      <c r="IK198" s="100"/>
    </row>
    <row r="199" spans="1:245" s="93" customFormat="1" ht="39" customHeight="1" outlineLevel="1" x14ac:dyDescent="0.2">
      <c r="A199" s="115" t="s">
        <v>421</v>
      </c>
      <c r="B199" s="115"/>
      <c r="C199" s="85"/>
      <c r="D199" s="86"/>
      <c r="E199" s="86"/>
      <c r="F199" s="87"/>
      <c r="G199" s="88"/>
      <c r="H199" s="89"/>
      <c r="I199" s="90"/>
      <c r="J199" s="415"/>
      <c r="K199" s="418"/>
      <c r="L199" s="100"/>
      <c r="M199" s="357"/>
    </row>
    <row r="200" spans="1:245" s="93" customFormat="1" ht="20" customHeight="1" outlineLevel="2" x14ac:dyDescent="0.2">
      <c r="A200" s="85"/>
      <c r="B200" s="394"/>
      <c r="C200" s="85"/>
      <c r="D200" s="86"/>
      <c r="E200" s="86"/>
      <c r="F200" s="87"/>
      <c r="G200" s="88">
        <f t="shared" ref="G200:G205" si="77">(D200*E200*F200)</f>
        <v>0</v>
      </c>
      <c r="H200" s="89">
        <f t="shared" ref="H200:H206" si="78">G200/$K$3</f>
        <v>0</v>
      </c>
      <c r="I200" s="90">
        <f>H200</f>
        <v>0</v>
      </c>
      <c r="J200" s="415"/>
      <c r="K200" s="418"/>
      <c r="L200" s="100"/>
      <c r="M200" s="464">
        <f>SUM(M193:M199)</f>
        <v>0</v>
      </c>
    </row>
    <row r="201" spans="1:245" s="93" customFormat="1" ht="20" customHeight="1" outlineLevel="2" x14ac:dyDescent="0.2">
      <c r="A201" s="85"/>
      <c r="B201" s="394"/>
      <c r="C201" s="85"/>
      <c r="D201" s="86"/>
      <c r="E201" s="86"/>
      <c r="F201" s="87"/>
      <c r="G201" s="88">
        <f t="shared" si="77"/>
        <v>0</v>
      </c>
      <c r="H201" s="89">
        <f t="shared" si="78"/>
        <v>0</v>
      </c>
      <c r="I201" s="90">
        <f t="shared" ref="I201:I206" si="79">H201</f>
        <v>0</v>
      </c>
      <c r="J201" s="415"/>
      <c r="K201" s="418"/>
      <c r="L201" s="100"/>
      <c r="M201" s="357"/>
    </row>
    <row r="202" spans="1:245" s="93" customFormat="1" ht="20" customHeight="1" outlineLevel="2" x14ac:dyDescent="0.2">
      <c r="A202" s="85"/>
      <c r="B202" s="394"/>
      <c r="C202" s="85"/>
      <c r="D202" s="86"/>
      <c r="E202" s="86"/>
      <c r="F202" s="87"/>
      <c r="G202" s="88">
        <f t="shared" si="77"/>
        <v>0</v>
      </c>
      <c r="H202" s="89">
        <f t="shared" si="78"/>
        <v>0</v>
      </c>
      <c r="I202" s="90">
        <f t="shared" si="79"/>
        <v>0</v>
      </c>
      <c r="J202" s="415"/>
      <c r="K202" s="418"/>
      <c r="L202" s="100"/>
      <c r="M202" s="357"/>
    </row>
    <row r="203" spans="1:245" s="93" customFormat="1" ht="20" customHeight="1" outlineLevel="2" x14ac:dyDescent="0.2">
      <c r="A203" s="85"/>
      <c r="B203" s="394"/>
      <c r="C203" s="85"/>
      <c r="D203" s="86"/>
      <c r="E203" s="86"/>
      <c r="F203" s="87"/>
      <c r="G203" s="88">
        <f t="shared" si="77"/>
        <v>0</v>
      </c>
      <c r="H203" s="89">
        <f t="shared" si="78"/>
        <v>0</v>
      </c>
      <c r="I203" s="90">
        <f t="shared" si="79"/>
        <v>0</v>
      </c>
      <c r="J203" s="415"/>
      <c r="K203" s="418"/>
      <c r="L203" s="100"/>
      <c r="M203" s="357"/>
    </row>
    <row r="204" spans="1:245" s="93" customFormat="1" ht="20" customHeight="1" outlineLevel="2" x14ac:dyDescent="0.2">
      <c r="A204" s="85"/>
      <c r="B204" s="394"/>
      <c r="C204" s="85"/>
      <c r="D204" s="86"/>
      <c r="E204" s="86"/>
      <c r="F204" s="87"/>
      <c r="G204" s="88">
        <f t="shared" si="77"/>
        <v>0</v>
      </c>
      <c r="H204" s="89">
        <f t="shared" si="78"/>
        <v>0</v>
      </c>
      <c r="I204" s="90">
        <f t="shared" si="79"/>
        <v>0</v>
      </c>
      <c r="J204" s="415"/>
      <c r="K204" s="418"/>
      <c r="L204" s="100"/>
      <c r="M204" s="357"/>
    </row>
    <row r="205" spans="1:245" s="93" customFormat="1" ht="20" customHeight="1" outlineLevel="2" x14ac:dyDescent="0.2">
      <c r="A205" s="85"/>
      <c r="B205" s="394"/>
      <c r="C205" s="85"/>
      <c r="D205" s="86"/>
      <c r="E205" s="86"/>
      <c r="F205" s="87"/>
      <c r="G205" s="88">
        <f t="shared" si="77"/>
        <v>0</v>
      </c>
      <c r="H205" s="89">
        <f t="shared" si="78"/>
        <v>0</v>
      </c>
      <c r="I205" s="90">
        <f t="shared" si="79"/>
        <v>0</v>
      </c>
      <c r="J205" s="415"/>
      <c r="K205" s="418"/>
      <c r="L205" s="100"/>
      <c r="M205" s="357"/>
    </row>
    <row r="206" spans="1:245" s="93" customFormat="1" ht="20" customHeight="1" outlineLevel="2" x14ac:dyDescent="0.2">
      <c r="A206" s="85"/>
      <c r="B206" s="394"/>
      <c r="C206" s="85"/>
      <c r="D206" s="86"/>
      <c r="E206" s="86"/>
      <c r="F206" s="87"/>
      <c r="G206" s="88">
        <f>(D206*E206*F206)</f>
        <v>0</v>
      </c>
      <c r="H206" s="89">
        <f t="shared" si="78"/>
        <v>0</v>
      </c>
      <c r="I206" s="90">
        <f t="shared" si="79"/>
        <v>0</v>
      </c>
      <c r="J206" s="415"/>
      <c r="K206" s="418"/>
      <c r="L206" s="100"/>
      <c r="M206" s="357"/>
    </row>
    <row r="207" spans="1:245" s="105" customFormat="1" outlineLevel="1" x14ac:dyDescent="0.2">
      <c r="A207" s="94" t="s">
        <v>288</v>
      </c>
      <c r="B207" s="95"/>
      <c r="C207" s="98"/>
      <c r="D207" s="98"/>
      <c r="E207" s="95"/>
      <c r="F207" s="96"/>
      <c r="G207" s="99">
        <f>SUM(G200:G206)</f>
        <v>0</v>
      </c>
      <c r="H207" s="406">
        <f>SUM(H200:H206)</f>
        <v>0</v>
      </c>
      <c r="I207" s="96">
        <f>SUM(I200:I206)</f>
        <v>0</v>
      </c>
      <c r="J207" s="416">
        <f>SUM(J200:J206)</f>
        <v>0</v>
      </c>
      <c r="K207" s="418"/>
      <c r="L207" s="100"/>
      <c r="M207" s="357"/>
      <c r="N207" s="102"/>
      <c r="O207" s="103"/>
      <c r="P207" s="100"/>
      <c r="Q207" s="104"/>
      <c r="R207" s="100"/>
      <c r="S207" s="100"/>
      <c r="T207" s="100"/>
      <c r="U207" s="101"/>
      <c r="V207" s="101"/>
      <c r="W207" s="102"/>
      <c r="X207" s="103"/>
      <c r="Y207" s="100"/>
      <c r="Z207" s="104"/>
      <c r="AA207" s="100"/>
      <c r="AB207" s="100"/>
      <c r="AC207" s="100"/>
      <c r="AD207" s="101"/>
      <c r="AE207" s="101"/>
      <c r="AF207" s="102"/>
      <c r="AG207" s="103"/>
      <c r="AH207" s="100"/>
      <c r="AI207" s="104"/>
      <c r="AJ207" s="100"/>
      <c r="AK207" s="100"/>
      <c r="AL207" s="100"/>
      <c r="AM207" s="101"/>
      <c r="AN207" s="101"/>
      <c r="AO207" s="102"/>
      <c r="AP207" s="103"/>
      <c r="AQ207" s="100"/>
      <c r="AR207" s="104"/>
      <c r="AS207" s="100"/>
      <c r="AT207" s="100"/>
      <c r="AU207" s="100"/>
      <c r="AV207" s="101"/>
      <c r="AW207" s="101"/>
      <c r="AX207" s="102"/>
      <c r="AY207" s="103"/>
      <c r="AZ207" s="100"/>
      <c r="BA207" s="104"/>
      <c r="BB207" s="100"/>
      <c r="BC207" s="100"/>
      <c r="BD207" s="100"/>
      <c r="BE207" s="101"/>
      <c r="BF207" s="101"/>
      <c r="BG207" s="102"/>
      <c r="BH207" s="103"/>
      <c r="BI207" s="100"/>
      <c r="BJ207" s="104"/>
      <c r="BK207" s="100"/>
      <c r="BL207" s="100"/>
      <c r="BM207" s="100"/>
      <c r="BN207" s="101"/>
      <c r="BO207" s="101"/>
      <c r="BP207" s="102"/>
      <c r="BQ207" s="103"/>
      <c r="BR207" s="100"/>
      <c r="BS207" s="104"/>
      <c r="BT207" s="100"/>
      <c r="BU207" s="100"/>
      <c r="BV207" s="100"/>
      <c r="BW207" s="101"/>
      <c r="BX207" s="101"/>
      <c r="BY207" s="102"/>
      <c r="BZ207" s="103"/>
      <c r="CA207" s="100"/>
      <c r="CB207" s="104"/>
      <c r="CC207" s="100"/>
      <c r="CD207" s="100"/>
      <c r="CE207" s="100"/>
      <c r="CF207" s="101"/>
      <c r="CG207" s="101"/>
      <c r="CH207" s="102"/>
      <c r="CI207" s="103"/>
      <c r="CJ207" s="100"/>
      <c r="CK207" s="104"/>
      <c r="CL207" s="100"/>
      <c r="CM207" s="100"/>
      <c r="CN207" s="100"/>
      <c r="CO207" s="101"/>
      <c r="CP207" s="101"/>
      <c r="CQ207" s="102"/>
      <c r="CR207" s="103"/>
      <c r="CS207" s="100"/>
      <c r="CT207" s="104"/>
      <c r="CU207" s="100"/>
      <c r="CV207" s="100"/>
      <c r="CW207" s="100"/>
      <c r="CX207" s="101"/>
      <c r="CY207" s="101"/>
      <c r="CZ207" s="102"/>
      <c r="DA207" s="103"/>
      <c r="DB207" s="100"/>
      <c r="DC207" s="104"/>
      <c r="DD207" s="100"/>
      <c r="DE207" s="100"/>
      <c r="DF207" s="100"/>
      <c r="DG207" s="101"/>
      <c r="DH207" s="101"/>
      <c r="DI207" s="102"/>
      <c r="DJ207" s="103"/>
      <c r="DK207" s="100"/>
      <c r="DL207" s="104"/>
      <c r="DM207" s="100"/>
      <c r="DN207" s="100"/>
      <c r="DO207" s="100"/>
      <c r="DP207" s="101"/>
      <c r="DQ207" s="101"/>
      <c r="DR207" s="102"/>
      <c r="DS207" s="103"/>
      <c r="DT207" s="100"/>
      <c r="DU207" s="104"/>
      <c r="DV207" s="100"/>
      <c r="DW207" s="100"/>
      <c r="DX207" s="100"/>
      <c r="DY207" s="101"/>
      <c r="DZ207" s="101"/>
      <c r="EA207" s="102"/>
      <c r="EB207" s="103"/>
      <c r="EC207" s="100"/>
      <c r="ED207" s="104"/>
      <c r="EE207" s="100"/>
      <c r="EF207" s="100"/>
      <c r="EG207" s="100"/>
      <c r="EH207" s="101"/>
      <c r="EI207" s="101"/>
      <c r="EJ207" s="102"/>
      <c r="EK207" s="103"/>
      <c r="EL207" s="100"/>
      <c r="EM207" s="104"/>
      <c r="EN207" s="100"/>
      <c r="EO207" s="100"/>
      <c r="EP207" s="100"/>
      <c r="EQ207" s="101"/>
      <c r="ER207" s="101"/>
      <c r="ES207" s="102"/>
      <c r="ET207" s="103"/>
      <c r="EU207" s="100"/>
      <c r="EV207" s="104"/>
      <c r="EW207" s="100"/>
      <c r="EX207" s="100"/>
      <c r="EY207" s="100"/>
      <c r="EZ207" s="101"/>
      <c r="FA207" s="101"/>
      <c r="FB207" s="102"/>
      <c r="FC207" s="103"/>
      <c r="FD207" s="100"/>
      <c r="FE207" s="104"/>
      <c r="FF207" s="100"/>
      <c r="FG207" s="100"/>
      <c r="FH207" s="100"/>
      <c r="FI207" s="101"/>
      <c r="FJ207" s="101"/>
      <c r="FK207" s="102"/>
      <c r="FL207" s="103"/>
      <c r="FM207" s="100"/>
      <c r="FN207" s="104"/>
      <c r="FO207" s="100"/>
      <c r="FP207" s="100"/>
      <c r="FQ207" s="100"/>
      <c r="FR207" s="101"/>
      <c r="FS207" s="101"/>
      <c r="FT207" s="102"/>
      <c r="FU207" s="103"/>
      <c r="FV207" s="100"/>
      <c r="FW207" s="104"/>
      <c r="FX207" s="100"/>
      <c r="FY207" s="100"/>
      <c r="FZ207" s="100"/>
      <c r="GA207" s="101"/>
      <c r="GB207" s="101"/>
      <c r="GC207" s="102"/>
      <c r="GD207" s="103"/>
      <c r="GE207" s="100"/>
      <c r="GF207" s="104"/>
      <c r="GG207" s="100"/>
      <c r="GH207" s="100"/>
      <c r="GI207" s="100"/>
      <c r="GJ207" s="101"/>
      <c r="GK207" s="101"/>
      <c r="GL207" s="102"/>
      <c r="GM207" s="103"/>
      <c r="GN207" s="100"/>
      <c r="GO207" s="104"/>
      <c r="GP207" s="100"/>
      <c r="GQ207" s="100"/>
      <c r="GR207" s="100"/>
      <c r="GS207" s="101"/>
      <c r="GT207" s="101"/>
      <c r="GU207" s="102"/>
      <c r="GV207" s="103"/>
      <c r="GW207" s="100"/>
      <c r="GX207" s="104"/>
      <c r="GY207" s="100"/>
      <c r="GZ207" s="100"/>
      <c r="HA207" s="100"/>
      <c r="HB207" s="101"/>
      <c r="HC207" s="101"/>
      <c r="HD207" s="102"/>
      <c r="HE207" s="103"/>
      <c r="HF207" s="100"/>
      <c r="HG207" s="104"/>
      <c r="HH207" s="100"/>
      <c r="HI207" s="100"/>
      <c r="HJ207" s="100"/>
      <c r="HK207" s="101"/>
      <c r="HL207" s="101"/>
      <c r="HM207" s="102"/>
      <c r="HN207" s="103"/>
      <c r="HO207" s="100"/>
      <c r="HP207" s="104"/>
      <c r="HQ207" s="100"/>
      <c r="HR207" s="100"/>
      <c r="HS207" s="100"/>
      <c r="HT207" s="101"/>
      <c r="HU207" s="101"/>
      <c r="HV207" s="102"/>
      <c r="HW207" s="103"/>
      <c r="HX207" s="100"/>
      <c r="HY207" s="104"/>
      <c r="HZ207" s="100"/>
      <c r="IA207" s="100"/>
      <c r="IB207" s="100"/>
      <c r="IC207" s="101"/>
      <c r="ID207" s="101"/>
      <c r="IE207" s="102"/>
      <c r="IF207" s="103"/>
      <c r="IG207" s="100"/>
      <c r="IH207" s="104"/>
      <c r="II207" s="100"/>
      <c r="IJ207" s="100"/>
      <c r="IK207" s="100"/>
    </row>
    <row r="208" spans="1:245" s="93" customFormat="1" ht="39" customHeight="1" outlineLevel="1" x14ac:dyDescent="0.2">
      <c r="A208" s="115" t="s">
        <v>422</v>
      </c>
      <c r="B208" s="115"/>
      <c r="C208" s="85"/>
      <c r="D208" s="86"/>
      <c r="E208" s="86"/>
      <c r="F208" s="87"/>
      <c r="G208" s="88"/>
      <c r="H208" s="89"/>
      <c r="I208" s="90"/>
      <c r="J208" s="415"/>
      <c r="K208" s="418"/>
      <c r="L208" s="100"/>
      <c r="M208" s="357"/>
    </row>
    <row r="209" spans="1:245" s="93" customFormat="1" ht="20" customHeight="1" outlineLevel="2" x14ac:dyDescent="0.2">
      <c r="A209" s="85"/>
      <c r="B209" s="394"/>
      <c r="C209" s="85"/>
      <c r="D209" s="86"/>
      <c r="E209" s="86"/>
      <c r="F209" s="87"/>
      <c r="G209" s="88">
        <f t="shared" ref="G209:G214" si="80">(D209*E209*F209)</f>
        <v>0</v>
      </c>
      <c r="H209" s="89">
        <f t="shared" ref="H209:H215" si="81">G209/$K$3</f>
        <v>0</v>
      </c>
      <c r="I209" s="90">
        <f>H209</f>
        <v>0</v>
      </c>
      <c r="J209" s="415"/>
      <c r="K209" s="418"/>
      <c r="L209" s="100"/>
      <c r="M209" s="464">
        <f>SUM(M202:M208)</f>
        <v>0</v>
      </c>
    </row>
    <row r="210" spans="1:245" s="93" customFormat="1" ht="20" customHeight="1" outlineLevel="2" x14ac:dyDescent="0.2">
      <c r="A210" s="85"/>
      <c r="B210" s="394"/>
      <c r="C210" s="85"/>
      <c r="D210" s="86"/>
      <c r="E210" s="86"/>
      <c r="F210" s="87"/>
      <c r="G210" s="88">
        <f t="shared" si="80"/>
        <v>0</v>
      </c>
      <c r="H210" s="89">
        <f t="shared" si="81"/>
        <v>0</v>
      </c>
      <c r="I210" s="90">
        <f t="shared" ref="I210:I215" si="82">H210</f>
        <v>0</v>
      </c>
      <c r="J210" s="415"/>
      <c r="K210" s="418"/>
      <c r="L210" s="100"/>
      <c r="M210" s="357"/>
    </row>
    <row r="211" spans="1:245" s="93" customFormat="1" ht="20" customHeight="1" outlineLevel="2" x14ac:dyDescent="0.2">
      <c r="A211" s="85"/>
      <c r="B211" s="394"/>
      <c r="C211" s="85"/>
      <c r="D211" s="86"/>
      <c r="E211" s="86"/>
      <c r="F211" s="87"/>
      <c r="G211" s="88">
        <f t="shared" si="80"/>
        <v>0</v>
      </c>
      <c r="H211" s="89">
        <f t="shared" si="81"/>
        <v>0</v>
      </c>
      <c r="I211" s="90">
        <f t="shared" si="82"/>
        <v>0</v>
      </c>
      <c r="J211" s="415"/>
      <c r="K211" s="418"/>
      <c r="L211" s="100"/>
      <c r="M211" s="357"/>
    </row>
    <row r="212" spans="1:245" s="93" customFormat="1" ht="20" customHeight="1" outlineLevel="2" x14ac:dyDescent="0.2">
      <c r="A212" s="85"/>
      <c r="B212" s="394"/>
      <c r="C212" s="85"/>
      <c r="D212" s="86"/>
      <c r="E212" s="86"/>
      <c r="F212" s="87"/>
      <c r="G212" s="88">
        <f t="shared" si="80"/>
        <v>0</v>
      </c>
      <c r="H212" s="89">
        <f t="shared" si="81"/>
        <v>0</v>
      </c>
      <c r="I212" s="90">
        <f t="shared" si="82"/>
        <v>0</v>
      </c>
      <c r="J212" s="415"/>
      <c r="K212" s="418"/>
      <c r="L212" s="100"/>
      <c r="M212" s="357"/>
    </row>
    <row r="213" spans="1:245" s="93" customFormat="1" ht="20" customHeight="1" outlineLevel="2" x14ac:dyDescent="0.2">
      <c r="A213" s="85"/>
      <c r="B213" s="394"/>
      <c r="C213" s="85"/>
      <c r="D213" s="86"/>
      <c r="E213" s="86"/>
      <c r="F213" s="87"/>
      <c r="G213" s="88">
        <f t="shared" si="80"/>
        <v>0</v>
      </c>
      <c r="H213" s="89">
        <f t="shared" si="81"/>
        <v>0</v>
      </c>
      <c r="I213" s="90">
        <f t="shared" si="82"/>
        <v>0</v>
      </c>
      <c r="J213" s="415"/>
      <c r="K213" s="418"/>
      <c r="L213" s="100"/>
      <c r="M213" s="357"/>
    </row>
    <row r="214" spans="1:245" s="93" customFormat="1" ht="20" customHeight="1" outlineLevel="2" x14ac:dyDescent="0.2">
      <c r="A214" s="85"/>
      <c r="B214" s="394"/>
      <c r="C214" s="85"/>
      <c r="D214" s="86"/>
      <c r="E214" s="86"/>
      <c r="F214" s="87"/>
      <c r="G214" s="88">
        <f t="shared" si="80"/>
        <v>0</v>
      </c>
      <c r="H214" s="89">
        <f t="shared" si="81"/>
        <v>0</v>
      </c>
      <c r="I214" s="90">
        <f t="shared" si="82"/>
        <v>0</v>
      </c>
      <c r="J214" s="415"/>
      <c r="K214" s="418"/>
      <c r="L214" s="100"/>
      <c r="M214" s="357"/>
    </row>
    <row r="215" spans="1:245" s="93" customFormat="1" ht="20" customHeight="1" outlineLevel="2" x14ac:dyDescent="0.2">
      <c r="A215" s="85"/>
      <c r="B215" s="394"/>
      <c r="C215" s="85"/>
      <c r="D215" s="86"/>
      <c r="E215" s="86"/>
      <c r="F215" s="87"/>
      <c r="G215" s="88">
        <f>(D215*E215*F215)</f>
        <v>0</v>
      </c>
      <c r="H215" s="89">
        <f t="shared" si="81"/>
        <v>0</v>
      </c>
      <c r="I215" s="90">
        <f t="shared" si="82"/>
        <v>0</v>
      </c>
      <c r="J215" s="415"/>
      <c r="K215" s="418"/>
      <c r="L215" s="100"/>
      <c r="M215" s="357"/>
    </row>
    <row r="216" spans="1:245" s="105" customFormat="1" outlineLevel="1" x14ac:dyDescent="0.2">
      <c r="A216" s="94" t="s">
        <v>288</v>
      </c>
      <c r="B216" s="95"/>
      <c r="C216" s="98"/>
      <c r="D216" s="98"/>
      <c r="E216" s="95"/>
      <c r="F216" s="96"/>
      <c r="G216" s="99">
        <f>SUM(G209:G215)</f>
        <v>0</v>
      </c>
      <c r="H216" s="406">
        <f>SUM(H209:H215)</f>
        <v>0</v>
      </c>
      <c r="I216" s="96">
        <f>SUM(I209:I215)</f>
        <v>0</v>
      </c>
      <c r="J216" s="416">
        <f>SUM(J209:J215)</f>
        <v>0</v>
      </c>
      <c r="K216" s="418"/>
      <c r="L216" s="100"/>
      <c r="M216" s="357"/>
      <c r="N216" s="102"/>
      <c r="O216" s="103"/>
      <c r="P216" s="100"/>
      <c r="Q216" s="104"/>
      <c r="R216" s="100"/>
      <c r="S216" s="100"/>
      <c r="T216" s="100"/>
      <c r="U216" s="101"/>
      <c r="V216" s="101"/>
      <c r="W216" s="102"/>
      <c r="X216" s="103"/>
      <c r="Y216" s="100"/>
      <c r="Z216" s="104"/>
      <c r="AA216" s="100"/>
      <c r="AB216" s="100"/>
      <c r="AC216" s="100"/>
      <c r="AD216" s="101"/>
      <c r="AE216" s="101"/>
      <c r="AF216" s="102"/>
      <c r="AG216" s="103"/>
      <c r="AH216" s="100"/>
      <c r="AI216" s="104"/>
      <c r="AJ216" s="100"/>
      <c r="AK216" s="100"/>
      <c r="AL216" s="100"/>
      <c r="AM216" s="101"/>
      <c r="AN216" s="101"/>
      <c r="AO216" s="102"/>
      <c r="AP216" s="103"/>
      <c r="AQ216" s="100"/>
      <c r="AR216" s="104"/>
      <c r="AS216" s="100"/>
      <c r="AT216" s="100"/>
      <c r="AU216" s="100"/>
      <c r="AV216" s="101"/>
      <c r="AW216" s="101"/>
      <c r="AX216" s="102"/>
      <c r="AY216" s="103"/>
      <c r="AZ216" s="100"/>
      <c r="BA216" s="104"/>
      <c r="BB216" s="100"/>
      <c r="BC216" s="100"/>
      <c r="BD216" s="100"/>
      <c r="BE216" s="101"/>
      <c r="BF216" s="101"/>
      <c r="BG216" s="102"/>
      <c r="BH216" s="103"/>
      <c r="BI216" s="100"/>
      <c r="BJ216" s="104"/>
      <c r="BK216" s="100"/>
      <c r="BL216" s="100"/>
      <c r="BM216" s="100"/>
      <c r="BN216" s="101"/>
      <c r="BO216" s="101"/>
      <c r="BP216" s="102"/>
      <c r="BQ216" s="103"/>
      <c r="BR216" s="100"/>
      <c r="BS216" s="104"/>
      <c r="BT216" s="100"/>
      <c r="BU216" s="100"/>
      <c r="BV216" s="100"/>
      <c r="BW216" s="101"/>
      <c r="BX216" s="101"/>
      <c r="BY216" s="102"/>
      <c r="BZ216" s="103"/>
      <c r="CA216" s="100"/>
      <c r="CB216" s="104"/>
      <c r="CC216" s="100"/>
      <c r="CD216" s="100"/>
      <c r="CE216" s="100"/>
      <c r="CF216" s="101"/>
      <c r="CG216" s="101"/>
      <c r="CH216" s="102"/>
      <c r="CI216" s="103"/>
      <c r="CJ216" s="100"/>
      <c r="CK216" s="104"/>
      <c r="CL216" s="100"/>
      <c r="CM216" s="100"/>
      <c r="CN216" s="100"/>
      <c r="CO216" s="101"/>
      <c r="CP216" s="101"/>
      <c r="CQ216" s="102"/>
      <c r="CR216" s="103"/>
      <c r="CS216" s="100"/>
      <c r="CT216" s="104"/>
      <c r="CU216" s="100"/>
      <c r="CV216" s="100"/>
      <c r="CW216" s="100"/>
      <c r="CX216" s="101"/>
      <c r="CY216" s="101"/>
      <c r="CZ216" s="102"/>
      <c r="DA216" s="103"/>
      <c r="DB216" s="100"/>
      <c r="DC216" s="104"/>
      <c r="DD216" s="100"/>
      <c r="DE216" s="100"/>
      <c r="DF216" s="100"/>
      <c r="DG216" s="101"/>
      <c r="DH216" s="101"/>
      <c r="DI216" s="102"/>
      <c r="DJ216" s="103"/>
      <c r="DK216" s="100"/>
      <c r="DL216" s="104"/>
      <c r="DM216" s="100"/>
      <c r="DN216" s="100"/>
      <c r="DO216" s="100"/>
      <c r="DP216" s="101"/>
      <c r="DQ216" s="101"/>
      <c r="DR216" s="102"/>
      <c r="DS216" s="103"/>
      <c r="DT216" s="100"/>
      <c r="DU216" s="104"/>
      <c r="DV216" s="100"/>
      <c r="DW216" s="100"/>
      <c r="DX216" s="100"/>
      <c r="DY216" s="101"/>
      <c r="DZ216" s="101"/>
      <c r="EA216" s="102"/>
      <c r="EB216" s="103"/>
      <c r="EC216" s="100"/>
      <c r="ED216" s="104"/>
      <c r="EE216" s="100"/>
      <c r="EF216" s="100"/>
      <c r="EG216" s="100"/>
      <c r="EH216" s="101"/>
      <c r="EI216" s="101"/>
      <c r="EJ216" s="102"/>
      <c r="EK216" s="103"/>
      <c r="EL216" s="100"/>
      <c r="EM216" s="104"/>
      <c r="EN216" s="100"/>
      <c r="EO216" s="100"/>
      <c r="EP216" s="100"/>
      <c r="EQ216" s="101"/>
      <c r="ER216" s="101"/>
      <c r="ES216" s="102"/>
      <c r="ET216" s="103"/>
      <c r="EU216" s="100"/>
      <c r="EV216" s="104"/>
      <c r="EW216" s="100"/>
      <c r="EX216" s="100"/>
      <c r="EY216" s="100"/>
      <c r="EZ216" s="101"/>
      <c r="FA216" s="101"/>
      <c r="FB216" s="102"/>
      <c r="FC216" s="103"/>
      <c r="FD216" s="100"/>
      <c r="FE216" s="104"/>
      <c r="FF216" s="100"/>
      <c r="FG216" s="100"/>
      <c r="FH216" s="100"/>
      <c r="FI216" s="101"/>
      <c r="FJ216" s="101"/>
      <c r="FK216" s="102"/>
      <c r="FL216" s="103"/>
      <c r="FM216" s="100"/>
      <c r="FN216" s="104"/>
      <c r="FO216" s="100"/>
      <c r="FP216" s="100"/>
      <c r="FQ216" s="100"/>
      <c r="FR216" s="101"/>
      <c r="FS216" s="101"/>
      <c r="FT216" s="102"/>
      <c r="FU216" s="103"/>
      <c r="FV216" s="100"/>
      <c r="FW216" s="104"/>
      <c r="FX216" s="100"/>
      <c r="FY216" s="100"/>
      <c r="FZ216" s="100"/>
      <c r="GA216" s="101"/>
      <c r="GB216" s="101"/>
      <c r="GC216" s="102"/>
      <c r="GD216" s="103"/>
      <c r="GE216" s="100"/>
      <c r="GF216" s="104"/>
      <c r="GG216" s="100"/>
      <c r="GH216" s="100"/>
      <c r="GI216" s="100"/>
      <c r="GJ216" s="101"/>
      <c r="GK216" s="101"/>
      <c r="GL216" s="102"/>
      <c r="GM216" s="103"/>
      <c r="GN216" s="100"/>
      <c r="GO216" s="104"/>
      <c r="GP216" s="100"/>
      <c r="GQ216" s="100"/>
      <c r="GR216" s="100"/>
      <c r="GS216" s="101"/>
      <c r="GT216" s="101"/>
      <c r="GU216" s="102"/>
      <c r="GV216" s="103"/>
      <c r="GW216" s="100"/>
      <c r="GX216" s="104"/>
      <c r="GY216" s="100"/>
      <c r="GZ216" s="100"/>
      <c r="HA216" s="100"/>
      <c r="HB216" s="101"/>
      <c r="HC216" s="101"/>
      <c r="HD216" s="102"/>
      <c r="HE216" s="103"/>
      <c r="HF216" s="100"/>
      <c r="HG216" s="104"/>
      <c r="HH216" s="100"/>
      <c r="HI216" s="100"/>
      <c r="HJ216" s="100"/>
      <c r="HK216" s="101"/>
      <c r="HL216" s="101"/>
      <c r="HM216" s="102"/>
      <c r="HN216" s="103"/>
      <c r="HO216" s="100"/>
      <c r="HP216" s="104"/>
      <c r="HQ216" s="100"/>
      <c r="HR216" s="100"/>
      <c r="HS216" s="100"/>
      <c r="HT216" s="101"/>
      <c r="HU216" s="101"/>
      <c r="HV216" s="102"/>
      <c r="HW216" s="103"/>
      <c r="HX216" s="100"/>
      <c r="HY216" s="104"/>
      <c r="HZ216" s="100"/>
      <c r="IA216" s="100"/>
      <c r="IB216" s="100"/>
      <c r="IC216" s="101"/>
      <c r="ID216" s="101"/>
      <c r="IE216" s="102"/>
      <c r="IF216" s="103"/>
      <c r="IG216" s="100"/>
      <c r="IH216" s="104"/>
      <c r="II216" s="100"/>
      <c r="IJ216" s="100"/>
      <c r="IK216" s="100"/>
    </row>
    <row r="217" spans="1:245" outlineLevel="1" x14ac:dyDescent="0.2">
      <c r="K217" s="418"/>
      <c r="L217" s="100"/>
      <c r="M217" s="357"/>
    </row>
    <row r="218" spans="1:245" s="109" customFormat="1" x14ac:dyDescent="0.2">
      <c r="A218" s="111" t="s">
        <v>377</v>
      </c>
      <c r="B218" s="111"/>
      <c r="C218" s="112"/>
      <c r="D218" s="112"/>
      <c r="E218" s="112"/>
      <c r="F218" s="113"/>
      <c r="G218" s="114">
        <f>SUM(G14,G23,G32,G43,G52,G61,G70,G81,G98,G106,G115,G124,G133,G153,G171,G180,G189,G198,G207,G216,G90)</f>
        <v>4295700</v>
      </c>
      <c r="H218" s="114">
        <f>SUM(H14,H23,H32,H43,H52,H61,H70,H81,H98,H106,H115,H124,H133,H153,H171,H180,H189,H198,H207,H216,H90)</f>
        <v>273611.46496815287</v>
      </c>
      <c r="I218" s="106" t="e">
        <f>SUM(I14,I23,I32,#REF!,#REF!,#REF!,#REF!,#REF!,I43,I52,I61,I70,#REF!,#REF!,I81,I98,I106,I115,I124,I133,I153,I171,I180,I189,I198,I207,I216,I162,I142,I90,#REF!,#REF!)</f>
        <v>#REF!</v>
      </c>
      <c r="J218" s="114">
        <f>SUM(J14,J23,J32,J43,J52,J61,J70,J81,J98,J106,J115,J124,J133,J153,J171,J180,J189,J198,J207,J216)</f>
        <v>0</v>
      </c>
      <c r="K218" s="418"/>
      <c r="L218" s="100"/>
      <c r="M218" s="114">
        <f>SUM(M14,M23,M32,M43,M52,M61,M70,M81,M98,M106,M115,M124,M133,M153,M171,M180,M189,M198,M207,M216,M90)</f>
        <v>243439.49044585985</v>
      </c>
    </row>
    <row r="219" spans="1:245" x14ac:dyDescent="0.2">
      <c r="K219" s="418"/>
      <c r="L219" s="100"/>
    </row>
    <row r="220" spans="1:245" x14ac:dyDescent="0.2">
      <c r="K220" s="418"/>
      <c r="L220" s="100"/>
      <c r="M220" s="100"/>
      <c r="N220" s="100"/>
      <c r="O220" s="100"/>
    </row>
    <row r="221" spans="1:245" x14ac:dyDescent="0.2">
      <c r="K221" s="418"/>
    </row>
    <row r="222" spans="1:245" x14ac:dyDescent="0.2">
      <c r="K222" s="418"/>
    </row>
    <row r="223" spans="1:245" x14ac:dyDescent="0.2">
      <c r="K223" s="418"/>
    </row>
    <row r="224" spans="1:245" x14ac:dyDescent="0.2">
      <c r="K224" s="418"/>
    </row>
    <row r="225" spans="11:11" x14ac:dyDescent="0.2">
      <c r="K225" s="418"/>
    </row>
    <row r="226" spans="11:11" x14ac:dyDescent="0.2">
      <c r="K226" s="418"/>
    </row>
    <row r="227" spans="11:11" x14ac:dyDescent="0.2">
      <c r="K227" s="418"/>
    </row>
    <row r="228" spans="11:11" x14ac:dyDescent="0.2">
      <c r="K228" s="418"/>
    </row>
    <row r="229" spans="11:11" x14ac:dyDescent="0.2">
      <c r="K229" s="418"/>
    </row>
    <row r="230" spans="11:11" x14ac:dyDescent="0.2">
      <c r="K230" s="418"/>
    </row>
    <row r="231" spans="11:11" x14ac:dyDescent="0.2">
      <c r="K231" s="418"/>
    </row>
    <row r="232" spans="11:11" x14ac:dyDescent="0.2">
      <c r="K232" s="418"/>
    </row>
    <row r="233" spans="11:11" x14ac:dyDescent="0.2">
      <c r="K233" s="418"/>
    </row>
    <row r="234" spans="11:11" x14ac:dyDescent="0.2">
      <c r="K234" s="418"/>
    </row>
    <row r="235" spans="11:11" x14ac:dyDescent="0.2">
      <c r="K235" s="418"/>
    </row>
    <row r="236" spans="11:11" x14ac:dyDescent="0.2">
      <c r="K236" s="418"/>
    </row>
    <row r="237" spans="11:11" x14ac:dyDescent="0.2">
      <c r="K237" s="418"/>
    </row>
    <row r="238" spans="11:11" x14ac:dyDescent="0.2">
      <c r="K238" s="418"/>
    </row>
    <row r="239" spans="11:11" x14ac:dyDescent="0.2">
      <c r="K239" s="418"/>
    </row>
    <row r="240" spans="11:11" x14ac:dyDescent="0.2">
      <c r="K240" s="418"/>
    </row>
    <row r="241" spans="11:11" x14ac:dyDescent="0.2">
      <c r="K241" s="418"/>
    </row>
    <row r="242" spans="11:11" x14ac:dyDescent="0.2">
      <c r="K242" s="418"/>
    </row>
    <row r="243" spans="11:11" x14ac:dyDescent="0.2">
      <c r="K243" s="418"/>
    </row>
    <row r="244" spans="11:11" x14ac:dyDescent="0.2">
      <c r="K244" s="418"/>
    </row>
    <row r="245" spans="11:11" x14ac:dyDescent="0.2">
      <c r="K245" s="418"/>
    </row>
    <row r="246" spans="11:11" x14ac:dyDescent="0.2">
      <c r="K246" s="418"/>
    </row>
    <row r="247" spans="11:11" x14ac:dyDescent="0.2">
      <c r="K247" s="418"/>
    </row>
    <row r="248" spans="11:11" x14ac:dyDescent="0.2">
      <c r="K248" s="418"/>
    </row>
    <row r="249" spans="11:11" x14ac:dyDescent="0.2">
      <c r="K249" s="418"/>
    </row>
    <row r="250" spans="11:11" x14ac:dyDescent="0.2">
      <c r="K250" s="418"/>
    </row>
    <row r="251" spans="11:11" x14ac:dyDescent="0.2">
      <c r="K251" s="418"/>
    </row>
    <row r="252" spans="11:11" x14ac:dyDescent="0.2">
      <c r="K252" s="418"/>
    </row>
    <row r="253" spans="11:11" x14ac:dyDescent="0.2">
      <c r="K253" s="418"/>
    </row>
    <row r="254" spans="11:11" x14ac:dyDescent="0.2">
      <c r="K254" s="418"/>
    </row>
    <row r="255" spans="11:11" x14ac:dyDescent="0.2">
      <c r="K255" s="418"/>
    </row>
    <row r="256" spans="11:11" x14ac:dyDescent="0.2">
      <c r="K256" s="418"/>
    </row>
    <row r="257" spans="11:11" x14ac:dyDescent="0.2">
      <c r="K257" s="418"/>
    </row>
    <row r="258" spans="11:11" x14ac:dyDescent="0.2">
      <c r="K258" s="418"/>
    </row>
    <row r="259" spans="11:11" x14ac:dyDescent="0.2">
      <c r="K259" s="418"/>
    </row>
    <row r="260" spans="11:11" x14ac:dyDescent="0.2">
      <c r="K260" s="418"/>
    </row>
    <row r="261" spans="11:11" x14ac:dyDescent="0.2">
      <c r="K261" s="418"/>
    </row>
    <row r="262" spans="11:11" x14ac:dyDescent="0.2">
      <c r="K262" s="418"/>
    </row>
    <row r="263" spans="11:11" x14ac:dyDescent="0.2">
      <c r="K263" s="418"/>
    </row>
    <row r="264" spans="11:11" x14ac:dyDescent="0.2">
      <c r="K264" s="418"/>
    </row>
    <row r="265" spans="11:11" x14ac:dyDescent="0.2">
      <c r="K265" s="418"/>
    </row>
    <row r="266" spans="11:11" x14ac:dyDescent="0.2">
      <c r="K266" s="418"/>
    </row>
    <row r="267" spans="11:11" x14ac:dyDescent="0.2">
      <c r="K267" s="418"/>
    </row>
    <row r="268" spans="11:11" x14ac:dyDescent="0.2">
      <c r="K268" s="418"/>
    </row>
    <row r="269" spans="11:11" x14ac:dyDescent="0.2">
      <c r="K269" s="418"/>
    </row>
    <row r="270" spans="11:11" x14ac:dyDescent="0.2">
      <c r="K270" s="418"/>
    </row>
    <row r="271" spans="11:11" x14ac:dyDescent="0.2">
      <c r="K271" s="418"/>
    </row>
    <row r="272" spans="11:11" x14ac:dyDescent="0.2">
      <c r="K272" s="418"/>
    </row>
    <row r="273" spans="11:11" x14ac:dyDescent="0.2">
      <c r="K273" s="418"/>
    </row>
    <row r="274" spans="11:11" x14ac:dyDescent="0.2">
      <c r="K274" s="418"/>
    </row>
    <row r="275" spans="11:11" x14ac:dyDescent="0.2">
      <c r="K275" s="418"/>
    </row>
    <row r="276" spans="11:11" x14ac:dyDescent="0.2">
      <c r="K276" s="418"/>
    </row>
    <row r="277" spans="11:11" x14ac:dyDescent="0.2">
      <c r="K277" s="418"/>
    </row>
    <row r="278" spans="11:11" x14ac:dyDescent="0.2">
      <c r="K278" s="418"/>
    </row>
    <row r="279" spans="11:11" x14ac:dyDescent="0.2">
      <c r="K279" s="418"/>
    </row>
    <row r="280" spans="11:11" x14ac:dyDescent="0.2">
      <c r="K280" s="418"/>
    </row>
    <row r="281" spans="11:11" x14ac:dyDescent="0.2">
      <c r="K281" s="418"/>
    </row>
    <row r="282" spans="11:11" x14ac:dyDescent="0.2">
      <c r="K282" s="418"/>
    </row>
    <row r="283" spans="11:11" x14ac:dyDescent="0.2">
      <c r="K283" s="418"/>
    </row>
    <row r="284" spans="11:11" x14ac:dyDescent="0.2">
      <c r="K284" s="418"/>
    </row>
    <row r="285" spans="11:11" x14ac:dyDescent="0.2">
      <c r="K285" s="418"/>
    </row>
    <row r="286" spans="11:11" x14ac:dyDescent="0.2">
      <c r="K286" s="418"/>
    </row>
    <row r="287" spans="11:11" x14ac:dyDescent="0.2">
      <c r="K287" s="418"/>
    </row>
    <row r="288" spans="11:11" x14ac:dyDescent="0.2">
      <c r="K288" s="418"/>
    </row>
    <row r="289" spans="11:11" x14ac:dyDescent="0.2">
      <c r="K289" s="418"/>
    </row>
    <row r="290" spans="11:11" x14ac:dyDescent="0.2">
      <c r="K290" s="418"/>
    </row>
    <row r="291" spans="11:11" x14ac:dyDescent="0.2">
      <c r="K291" s="418"/>
    </row>
    <row r="292" spans="11:11" x14ac:dyDescent="0.2">
      <c r="K292" s="418"/>
    </row>
    <row r="293" spans="11:11" x14ac:dyDescent="0.2">
      <c r="K293" s="418"/>
    </row>
  </sheetData>
  <autoFilter ref="A3:IK293" xr:uid="{EA710F81-63B3-4DAD-853D-693540CD73AA}"/>
  <mergeCells count="10">
    <mergeCell ref="I3:I4"/>
    <mergeCell ref="J3:J4"/>
    <mergeCell ref="A3:A4"/>
    <mergeCell ref="B3:B4"/>
    <mergeCell ref="C3:C4"/>
    <mergeCell ref="D3:D4"/>
    <mergeCell ref="E3:E4"/>
    <mergeCell ref="F3:F4"/>
    <mergeCell ref="G3:G4"/>
    <mergeCell ref="H3:H4"/>
  </mergeCells>
  <pageMargins left="0.7" right="0.7" top="0.75" bottom="0.75" header="0.3" footer="0.3"/>
  <pageSetup paperSize="9" scale="2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CDE80-C920-4C78-B59A-C0D63830BF21}">
  <sheetPr>
    <tabColor rgb="FF00B050"/>
  </sheetPr>
  <dimension ref="A1:IJ276"/>
  <sheetViews>
    <sheetView topLeftCell="A192" zoomScale="70" zoomScaleNormal="70" workbookViewId="0">
      <selection activeCell="B9" sqref="B9"/>
    </sheetView>
  </sheetViews>
  <sheetFormatPr baseColWidth="10" defaultColWidth="10.1640625" defaultRowHeight="16" outlineLevelRow="3" outlineLevelCol="1" x14ac:dyDescent="0.2"/>
  <cols>
    <col min="1" max="1" width="71.1640625" style="76" customWidth="1"/>
    <col min="2" max="2" width="57.83203125" style="76" customWidth="1" outlineLevel="1"/>
    <col min="3" max="3" width="36.5" style="76" customWidth="1" outlineLevel="1"/>
    <col min="4" max="4" width="12.5" style="76" customWidth="1" outlineLevel="1"/>
    <col min="5" max="5" width="14.83203125" style="76" customWidth="1" outlineLevel="1"/>
    <col min="6" max="6" width="19.5" style="76" customWidth="1" outlineLevel="1"/>
    <col min="7" max="7" width="20.83203125" style="107" customWidth="1"/>
    <col min="8" max="8" width="19.1640625" style="108" bestFit="1" customWidth="1"/>
    <col min="9" max="9" width="17" style="76" customWidth="1"/>
    <col min="10" max="10" width="17.1640625" style="76" customWidth="1"/>
    <col min="11" max="11" width="3.5" style="76" customWidth="1"/>
    <col min="12" max="12" width="10.1640625" style="76"/>
    <col min="13" max="13" width="15.83203125" style="370" bestFit="1" customWidth="1" outlineLevel="1"/>
    <col min="14" max="90" width="10.1640625" style="76"/>
    <col min="91" max="91" width="69.1640625" style="76" bestFit="1" customWidth="1"/>
    <col min="92" max="92" width="15.5" style="76" customWidth="1"/>
    <col min="93" max="94" width="18.1640625" style="76" customWidth="1"/>
    <col min="95" max="95" width="16.5" style="76" bestFit="1" customWidth="1"/>
    <col min="96" max="96" width="17.5" style="76" bestFit="1" customWidth="1"/>
    <col min="97" max="97" width="13.83203125" style="76" bestFit="1" customWidth="1"/>
    <col min="98" max="98" width="17.5" style="76" bestFit="1" customWidth="1"/>
    <col min="99" max="99" width="13.83203125" style="76" bestFit="1" customWidth="1"/>
    <col min="100" max="100" width="17.5" style="76" bestFit="1" customWidth="1"/>
    <col min="101" max="101" width="14.1640625" style="76" bestFit="1" customWidth="1"/>
    <col min="102" max="244" width="10.1640625" style="76"/>
    <col min="245" max="245" width="71.1640625" style="76" customWidth="1"/>
    <col min="246" max="246" width="57.83203125" style="76" customWidth="1"/>
    <col min="247" max="252" width="5.1640625" style="76" customWidth="1"/>
    <col min="253" max="253" width="36.5" style="76" customWidth="1"/>
    <col min="254" max="254" width="12.5" style="76" customWidth="1"/>
    <col min="255" max="255" width="14.83203125" style="76" customWidth="1"/>
    <col min="256" max="256" width="19.5" style="76" bestFit="1" customWidth="1"/>
    <col min="257" max="257" width="20.83203125" style="76" customWidth="1"/>
    <col min="258" max="258" width="16.5" style="76" customWidth="1"/>
    <col min="259" max="259" width="17" style="76" customWidth="1"/>
    <col min="260" max="260" width="17.1640625" style="76" customWidth="1"/>
    <col min="261" max="261" width="15.1640625" style="76" bestFit="1" customWidth="1"/>
    <col min="262" max="262" width="20" style="76" bestFit="1" customWidth="1"/>
    <col min="263" max="265" width="16.5" style="76" customWidth="1"/>
    <col min="266" max="346" width="10.1640625" style="76"/>
    <col min="347" max="347" width="69.1640625" style="76" bestFit="1" customWidth="1"/>
    <col min="348" max="348" width="15.5" style="76" customWidth="1"/>
    <col min="349" max="350" width="18.1640625" style="76" customWidth="1"/>
    <col min="351" max="351" width="16.5" style="76" bestFit="1" customWidth="1"/>
    <col min="352" max="352" width="17.5" style="76" bestFit="1" customWidth="1"/>
    <col min="353" max="353" width="13.83203125" style="76" bestFit="1" customWidth="1"/>
    <col min="354" max="354" width="17.5" style="76" bestFit="1" customWidth="1"/>
    <col min="355" max="355" width="13.83203125" style="76" bestFit="1" customWidth="1"/>
    <col min="356" max="356" width="17.5" style="76" bestFit="1" customWidth="1"/>
    <col min="357" max="357" width="14.1640625" style="76" bestFit="1" customWidth="1"/>
    <col min="358" max="500" width="10.1640625" style="76"/>
    <col min="501" max="501" width="71.1640625" style="76" customWidth="1"/>
    <col min="502" max="502" width="57.83203125" style="76" customWidth="1"/>
    <col min="503" max="508" width="5.1640625" style="76" customWidth="1"/>
    <col min="509" max="509" width="36.5" style="76" customWidth="1"/>
    <col min="510" max="510" width="12.5" style="76" customWidth="1"/>
    <col min="511" max="511" width="14.83203125" style="76" customWidth="1"/>
    <col min="512" max="512" width="19.5" style="76" bestFit="1" customWidth="1"/>
    <col min="513" max="513" width="20.83203125" style="76" customWidth="1"/>
    <col min="514" max="514" width="16.5" style="76" customWidth="1"/>
    <col min="515" max="515" width="17" style="76" customWidth="1"/>
    <col min="516" max="516" width="17.1640625" style="76" customWidth="1"/>
    <col min="517" max="517" width="15.1640625" style="76" bestFit="1" customWidth="1"/>
    <col min="518" max="518" width="20" style="76" bestFit="1" customWidth="1"/>
    <col min="519" max="521" width="16.5" style="76" customWidth="1"/>
    <col min="522" max="602" width="10.1640625" style="76"/>
    <col min="603" max="603" width="69.1640625" style="76" bestFit="1" customWidth="1"/>
    <col min="604" max="604" width="15.5" style="76" customWidth="1"/>
    <col min="605" max="606" width="18.1640625" style="76" customWidth="1"/>
    <col min="607" max="607" width="16.5" style="76" bestFit="1" customWidth="1"/>
    <col min="608" max="608" width="17.5" style="76" bestFit="1" customWidth="1"/>
    <col min="609" max="609" width="13.83203125" style="76" bestFit="1" customWidth="1"/>
    <col min="610" max="610" width="17.5" style="76" bestFit="1" customWidth="1"/>
    <col min="611" max="611" width="13.83203125" style="76" bestFit="1" customWidth="1"/>
    <col min="612" max="612" width="17.5" style="76" bestFit="1" customWidth="1"/>
    <col min="613" max="613" width="14.1640625" style="76" bestFit="1" customWidth="1"/>
    <col min="614" max="756" width="10.1640625" style="76"/>
    <col min="757" max="757" width="71.1640625" style="76" customWidth="1"/>
    <col min="758" max="758" width="57.83203125" style="76" customWidth="1"/>
    <col min="759" max="764" width="5.1640625" style="76" customWidth="1"/>
    <col min="765" max="765" width="36.5" style="76" customWidth="1"/>
    <col min="766" max="766" width="12.5" style="76" customWidth="1"/>
    <col min="767" max="767" width="14.83203125" style="76" customWidth="1"/>
    <col min="768" max="768" width="19.5" style="76" bestFit="1" customWidth="1"/>
    <col min="769" max="769" width="20.83203125" style="76" customWidth="1"/>
    <col min="770" max="770" width="16.5" style="76" customWidth="1"/>
    <col min="771" max="771" width="17" style="76" customWidth="1"/>
    <col min="772" max="772" width="17.1640625" style="76" customWidth="1"/>
    <col min="773" max="773" width="15.1640625" style="76" bestFit="1" customWidth="1"/>
    <col min="774" max="774" width="20" style="76" bestFit="1" customWidth="1"/>
    <col min="775" max="777" width="16.5" style="76" customWidth="1"/>
    <col min="778" max="858" width="10.1640625" style="76"/>
    <col min="859" max="859" width="69.1640625" style="76" bestFit="1" customWidth="1"/>
    <col min="860" max="860" width="15.5" style="76" customWidth="1"/>
    <col min="861" max="862" width="18.1640625" style="76" customWidth="1"/>
    <col min="863" max="863" width="16.5" style="76" bestFit="1" customWidth="1"/>
    <col min="864" max="864" width="17.5" style="76" bestFit="1" customWidth="1"/>
    <col min="865" max="865" width="13.83203125" style="76" bestFit="1" customWidth="1"/>
    <col min="866" max="866" width="17.5" style="76" bestFit="1" customWidth="1"/>
    <col min="867" max="867" width="13.83203125" style="76" bestFit="1" customWidth="1"/>
    <col min="868" max="868" width="17.5" style="76" bestFit="1" customWidth="1"/>
    <col min="869" max="869" width="14.1640625" style="76" bestFit="1" customWidth="1"/>
    <col min="870" max="1012" width="10.1640625" style="76"/>
    <col min="1013" max="1013" width="71.1640625" style="76" customWidth="1"/>
    <col min="1014" max="1014" width="57.83203125" style="76" customWidth="1"/>
    <col min="1015" max="1020" width="5.1640625" style="76" customWidth="1"/>
    <col min="1021" max="1021" width="36.5" style="76" customWidth="1"/>
    <col min="1022" max="1022" width="12.5" style="76" customWidth="1"/>
    <col min="1023" max="1023" width="14.83203125" style="76" customWidth="1"/>
    <col min="1024" max="1024" width="19.5" style="76" bestFit="1" customWidth="1"/>
    <col min="1025" max="1025" width="20.83203125" style="76" customWidth="1"/>
    <col min="1026" max="1026" width="16.5" style="76" customWidth="1"/>
    <col min="1027" max="1027" width="17" style="76" customWidth="1"/>
    <col min="1028" max="1028" width="17.1640625" style="76" customWidth="1"/>
    <col min="1029" max="1029" width="15.1640625" style="76" bestFit="1" customWidth="1"/>
    <col min="1030" max="1030" width="20" style="76" bestFit="1" customWidth="1"/>
    <col min="1031" max="1033" width="16.5" style="76" customWidth="1"/>
    <col min="1034" max="1114" width="10.1640625" style="76"/>
    <col min="1115" max="1115" width="69.1640625" style="76" bestFit="1" customWidth="1"/>
    <col min="1116" max="1116" width="15.5" style="76" customWidth="1"/>
    <col min="1117" max="1118" width="18.1640625" style="76" customWidth="1"/>
    <col min="1119" max="1119" width="16.5" style="76" bestFit="1" customWidth="1"/>
    <col min="1120" max="1120" width="17.5" style="76" bestFit="1" customWidth="1"/>
    <col min="1121" max="1121" width="13.83203125" style="76" bestFit="1" customWidth="1"/>
    <col min="1122" max="1122" width="17.5" style="76" bestFit="1" customWidth="1"/>
    <col min="1123" max="1123" width="13.83203125" style="76" bestFit="1" customWidth="1"/>
    <col min="1124" max="1124" width="17.5" style="76" bestFit="1" customWidth="1"/>
    <col min="1125" max="1125" width="14.1640625" style="76" bestFit="1" customWidth="1"/>
    <col min="1126" max="1268" width="10.1640625" style="76"/>
    <col min="1269" max="1269" width="71.1640625" style="76" customWidth="1"/>
    <col min="1270" max="1270" width="57.83203125" style="76" customWidth="1"/>
    <col min="1271" max="1276" width="5.1640625" style="76" customWidth="1"/>
    <col min="1277" max="1277" width="36.5" style="76" customWidth="1"/>
    <col min="1278" max="1278" width="12.5" style="76" customWidth="1"/>
    <col min="1279" max="1279" width="14.83203125" style="76" customWidth="1"/>
    <col min="1280" max="1280" width="19.5" style="76" bestFit="1" customWidth="1"/>
    <col min="1281" max="1281" width="20.83203125" style="76" customWidth="1"/>
    <col min="1282" max="1282" width="16.5" style="76" customWidth="1"/>
    <col min="1283" max="1283" width="17" style="76" customWidth="1"/>
    <col min="1284" max="1284" width="17.1640625" style="76" customWidth="1"/>
    <col min="1285" max="1285" width="15.1640625" style="76" bestFit="1" customWidth="1"/>
    <col min="1286" max="1286" width="20" style="76" bestFit="1" customWidth="1"/>
    <col min="1287" max="1289" width="16.5" style="76" customWidth="1"/>
    <col min="1290" max="1370" width="10.1640625" style="76"/>
    <col min="1371" max="1371" width="69.1640625" style="76" bestFit="1" customWidth="1"/>
    <col min="1372" max="1372" width="15.5" style="76" customWidth="1"/>
    <col min="1373" max="1374" width="18.1640625" style="76" customWidth="1"/>
    <col min="1375" max="1375" width="16.5" style="76" bestFit="1" customWidth="1"/>
    <col min="1376" max="1376" width="17.5" style="76" bestFit="1" customWidth="1"/>
    <col min="1377" max="1377" width="13.83203125" style="76" bestFit="1" customWidth="1"/>
    <col min="1378" max="1378" width="17.5" style="76" bestFit="1" customWidth="1"/>
    <col min="1379" max="1379" width="13.83203125" style="76" bestFit="1" customWidth="1"/>
    <col min="1380" max="1380" width="17.5" style="76" bestFit="1" customWidth="1"/>
    <col min="1381" max="1381" width="14.1640625" style="76" bestFit="1" customWidth="1"/>
    <col min="1382" max="1524" width="10.1640625" style="76"/>
    <col min="1525" max="1525" width="71.1640625" style="76" customWidth="1"/>
    <col min="1526" max="1526" width="57.83203125" style="76" customWidth="1"/>
    <col min="1527" max="1532" width="5.1640625" style="76" customWidth="1"/>
    <col min="1533" max="1533" width="36.5" style="76" customWidth="1"/>
    <col min="1534" max="1534" width="12.5" style="76" customWidth="1"/>
    <col min="1535" max="1535" width="14.83203125" style="76" customWidth="1"/>
    <col min="1536" max="1536" width="19.5" style="76" bestFit="1" customWidth="1"/>
    <col min="1537" max="1537" width="20.83203125" style="76" customWidth="1"/>
    <col min="1538" max="1538" width="16.5" style="76" customWidth="1"/>
    <col min="1539" max="1539" width="17" style="76" customWidth="1"/>
    <col min="1540" max="1540" width="17.1640625" style="76" customWidth="1"/>
    <col min="1541" max="1541" width="15.1640625" style="76" bestFit="1" customWidth="1"/>
    <col min="1542" max="1542" width="20" style="76" bestFit="1" customWidth="1"/>
    <col min="1543" max="1545" width="16.5" style="76" customWidth="1"/>
    <col min="1546" max="1626" width="10.1640625" style="76"/>
    <col min="1627" max="1627" width="69.1640625" style="76" bestFit="1" customWidth="1"/>
    <col min="1628" max="1628" width="15.5" style="76" customWidth="1"/>
    <col min="1629" max="1630" width="18.1640625" style="76" customWidth="1"/>
    <col min="1631" max="1631" width="16.5" style="76" bestFit="1" customWidth="1"/>
    <col min="1632" max="1632" width="17.5" style="76" bestFit="1" customWidth="1"/>
    <col min="1633" max="1633" width="13.83203125" style="76" bestFit="1" customWidth="1"/>
    <col min="1634" max="1634" width="17.5" style="76" bestFit="1" customWidth="1"/>
    <col min="1635" max="1635" width="13.83203125" style="76" bestFit="1" customWidth="1"/>
    <col min="1636" max="1636" width="17.5" style="76" bestFit="1" customWidth="1"/>
    <col min="1637" max="1637" width="14.1640625" style="76" bestFit="1" customWidth="1"/>
    <col min="1638" max="1780" width="10.1640625" style="76"/>
    <col min="1781" max="1781" width="71.1640625" style="76" customWidth="1"/>
    <col min="1782" max="1782" width="57.83203125" style="76" customWidth="1"/>
    <col min="1783" max="1788" width="5.1640625" style="76" customWidth="1"/>
    <col min="1789" max="1789" width="36.5" style="76" customWidth="1"/>
    <col min="1790" max="1790" width="12.5" style="76" customWidth="1"/>
    <col min="1791" max="1791" width="14.83203125" style="76" customWidth="1"/>
    <col min="1792" max="1792" width="19.5" style="76" bestFit="1" customWidth="1"/>
    <col min="1793" max="1793" width="20.83203125" style="76" customWidth="1"/>
    <col min="1794" max="1794" width="16.5" style="76" customWidth="1"/>
    <col min="1795" max="1795" width="17" style="76" customWidth="1"/>
    <col min="1796" max="1796" width="17.1640625" style="76" customWidth="1"/>
    <col min="1797" max="1797" width="15.1640625" style="76" bestFit="1" customWidth="1"/>
    <col min="1798" max="1798" width="20" style="76" bestFit="1" customWidth="1"/>
    <col min="1799" max="1801" width="16.5" style="76" customWidth="1"/>
    <col min="1802" max="1882" width="10.1640625" style="76"/>
    <col min="1883" max="1883" width="69.1640625" style="76" bestFit="1" customWidth="1"/>
    <col min="1884" max="1884" width="15.5" style="76" customWidth="1"/>
    <col min="1885" max="1886" width="18.1640625" style="76" customWidth="1"/>
    <col min="1887" max="1887" width="16.5" style="76" bestFit="1" customWidth="1"/>
    <col min="1888" max="1888" width="17.5" style="76" bestFit="1" customWidth="1"/>
    <col min="1889" max="1889" width="13.83203125" style="76" bestFit="1" customWidth="1"/>
    <col min="1890" max="1890" width="17.5" style="76" bestFit="1" customWidth="1"/>
    <col min="1891" max="1891" width="13.83203125" style="76" bestFit="1" customWidth="1"/>
    <col min="1892" max="1892" width="17.5" style="76" bestFit="1" customWidth="1"/>
    <col min="1893" max="1893" width="14.1640625" style="76" bestFit="1" customWidth="1"/>
    <col min="1894" max="2036" width="10.1640625" style="76"/>
    <col min="2037" max="2037" width="71.1640625" style="76" customWidth="1"/>
    <col min="2038" max="2038" width="57.83203125" style="76" customWidth="1"/>
    <col min="2039" max="2044" width="5.1640625" style="76" customWidth="1"/>
    <col min="2045" max="2045" width="36.5" style="76" customWidth="1"/>
    <col min="2046" max="2046" width="12.5" style="76" customWidth="1"/>
    <col min="2047" max="2047" width="14.83203125" style="76" customWidth="1"/>
    <col min="2048" max="2048" width="19.5" style="76" bestFit="1" customWidth="1"/>
    <col min="2049" max="2049" width="20.83203125" style="76" customWidth="1"/>
    <col min="2050" max="2050" width="16.5" style="76" customWidth="1"/>
    <col min="2051" max="2051" width="17" style="76" customWidth="1"/>
    <col min="2052" max="2052" width="17.1640625" style="76" customWidth="1"/>
    <col min="2053" max="2053" width="15.1640625" style="76" bestFit="1" customWidth="1"/>
    <col min="2054" max="2054" width="20" style="76" bestFit="1" customWidth="1"/>
    <col min="2055" max="2057" width="16.5" style="76" customWidth="1"/>
    <col min="2058" max="2138" width="10.1640625" style="76"/>
    <col min="2139" max="2139" width="69.1640625" style="76" bestFit="1" customWidth="1"/>
    <col min="2140" max="2140" width="15.5" style="76" customWidth="1"/>
    <col min="2141" max="2142" width="18.1640625" style="76" customWidth="1"/>
    <col min="2143" max="2143" width="16.5" style="76" bestFit="1" customWidth="1"/>
    <col min="2144" max="2144" width="17.5" style="76" bestFit="1" customWidth="1"/>
    <col min="2145" max="2145" width="13.83203125" style="76" bestFit="1" customWidth="1"/>
    <col min="2146" max="2146" width="17.5" style="76" bestFit="1" customWidth="1"/>
    <col min="2147" max="2147" width="13.83203125" style="76" bestFit="1" customWidth="1"/>
    <col min="2148" max="2148" width="17.5" style="76" bestFit="1" customWidth="1"/>
    <col min="2149" max="2149" width="14.1640625" style="76" bestFit="1" customWidth="1"/>
    <col min="2150" max="2292" width="10.1640625" style="76"/>
    <col min="2293" max="2293" width="71.1640625" style="76" customWidth="1"/>
    <col min="2294" max="2294" width="57.83203125" style="76" customWidth="1"/>
    <col min="2295" max="2300" width="5.1640625" style="76" customWidth="1"/>
    <col min="2301" max="2301" width="36.5" style="76" customWidth="1"/>
    <col min="2302" max="2302" width="12.5" style="76" customWidth="1"/>
    <col min="2303" max="2303" width="14.83203125" style="76" customWidth="1"/>
    <col min="2304" max="2304" width="19.5" style="76" bestFit="1" customWidth="1"/>
    <col min="2305" max="2305" width="20.83203125" style="76" customWidth="1"/>
    <col min="2306" max="2306" width="16.5" style="76" customWidth="1"/>
    <col min="2307" max="2307" width="17" style="76" customWidth="1"/>
    <col min="2308" max="2308" width="17.1640625" style="76" customWidth="1"/>
    <col min="2309" max="2309" width="15.1640625" style="76" bestFit="1" customWidth="1"/>
    <col min="2310" max="2310" width="20" style="76" bestFit="1" customWidth="1"/>
    <col min="2311" max="2313" width="16.5" style="76" customWidth="1"/>
    <col min="2314" max="2394" width="10.1640625" style="76"/>
    <col min="2395" max="2395" width="69.1640625" style="76" bestFit="1" customWidth="1"/>
    <col min="2396" max="2396" width="15.5" style="76" customWidth="1"/>
    <col min="2397" max="2398" width="18.1640625" style="76" customWidth="1"/>
    <col min="2399" max="2399" width="16.5" style="76" bestFit="1" customWidth="1"/>
    <col min="2400" max="2400" width="17.5" style="76" bestFit="1" customWidth="1"/>
    <col min="2401" max="2401" width="13.83203125" style="76" bestFit="1" customWidth="1"/>
    <col min="2402" max="2402" width="17.5" style="76" bestFit="1" customWidth="1"/>
    <col min="2403" max="2403" width="13.83203125" style="76" bestFit="1" customWidth="1"/>
    <col min="2404" max="2404" width="17.5" style="76" bestFit="1" customWidth="1"/>
    <col min="2405" max="2405" width="14.1640625" style="76" bestFit="1" customWidth="1"/>
    <col min="2406" max="2548" width="10.1640625" style="76"/>
    <col min="2549" max="2549" width="71.1640625" style="76" customWidth="1"/>
    <col min="2550" max="2550" width="57.83203125" style="76" customWidth="1"/>
    <col min="2551" max="2556" width="5.1640625" style="76" customWidth="1"/>
    <col min="2557" max="2557" width="36.5" style="76" customWidth="1"/>
    <col min="2558" max="2558" width="12.5" style="76" customWidth="1"/>
    <col min="2559" max="2559" width="14.83203125" style="76" customWidth="1"/>
    <col min="2560" max="2560" width="19.5" style="76" bestFit="1" customWidth="1"/>
    <col min="2561" max="2561" width="20.83203125" style="76" customWidth="1"/>
    <col min="2562" max="2562" width="16.5" style="76" customWidth="1"/>
    <col min="2563" max="2563" width="17" style="76" customWidth="1"/>
    <col min="2564" max="2564" width="17.1640625" style="76" customWidth="1"/>
    <col min="2565" max="2565" width="15.1640625" style="76" bestFit="1" customWidth="1"/>
    <col min="2566" max="2566" width="20" style="76" bestFit="1" customWidth="1"/>
    <col min="2567" max="2569" width="16.5" style="76" customWidth="1"/>
    <col min="2570" max="2650" width="10.1640625" style="76"/>
    <col min="2651" max="2651" width="69.1640625" style="76" bestFit="1" customWidth="1"/>
    <col min="2652" max="2652" width="15.5" style="76" customWidth="1"/>
    <col min="2653" max="2654" width="18.1640625" style="76" customWidth="1"/>
    <col min="2655" max="2655" width="16.5" style="76" bestFit="1" customWidth="1"/>
    <col min="2656" max="2656" width="17.5" style="76" bestFit="1" customWidth="1"/>
    <col min="2657" max="2657" width="13.83203125" style="76" bestFit="1" customWidth="1"/>
    <col min="2658" max="2658" width="17.5" style="76" bestFit="1" customWidth="1"/>
    <col min="2659" max="2659" width="13.83203125" style="76" bestFit="1" customWidth="1"/>
    <col min="2660" max="2660" width="17.5" style="76" bestFit="1" customWidth="1"/>
    <col min="2661" max="2661" width="14.1640625" style="76" bestFit="1" customWidth="1"/>
    <col min="2662" max="2804" width="10.1640625" style="76"/>
    <col min="2805" max="2805" width="71.1640625" style="76" customWidth="1"/>
    <col min="2806" max="2806" width="57.83203125" style="76" customWidth="1"/>
    <col min="2807" max="2812" width="5.1640625" style="76" customWidth="1"/>
    <col min="2813" max="2813" width="36.5" style="76" customWidth="1"/>
    <col min="2814" max="2814" width="12.5" style="76" customWidth="1"/>
    <col min="2815" max="2815" width="14.83203125" style="76" customWidth="1"/>
    <col min="2816" max="2816" width="19.5" style="76" bestFit="1" customWidth="1"/>
    <col min="2817" max="2817" width="20.83203125" style="76" customWidth="1"/>
    <col min="2818" max="2818" width="16.5" style="76" customWidth="1"/>
    <col min="2819" max="2819" width="17" style="76" customWidth="1"/>
    <col min="2820" max="2820" width="17.1640625" style="76" customWidth="1"/>
    <col min="2821" max="2821" width="15.1640625" style="76" bestFit="1" customWidth="1"/>
    <col min="2822" max="2822" width="20" style="76" bestFit="1" customWidth="1"/>
    <col min="2823" max="2825" width="16.5" style="76" customWidth="1"/>
    <col min="2826" max="2906" width="10.1640625" style="76"/>
    <col min="2907" max="2907" width="69.1640625" style="76" bestFit="1" customWidth="1"/>
    <col min="2908" max="2908" width="15.5" style="76" customWidth="1"/>
    <col min="2909" max="2910" width="18.1640625" style="76" customWidth="1"/>
    <col min="2911" max="2911" width="16.5" style="76" bestFit="1" customWidth="1"/>
    <col min="2912" max="2912" width="17.5" style="76" bestFit="1" customWidth="1"/>
    <col min="2913" max="2913" width="13.83203125" style="76" bestFit="1" customWidth="1"/>
    <col min="2914" max="2914" width="17.5" style="76" bestFit="1" customWidth="1"/>
    <col min="2915" max="2915" width="13.83203125" style="76" bestFit="1" customWidth="1"/>
    <col min="2916" max="2916" width="17.5" style="76" bestFit="1" customWidth="1"/>
    <col min="2917" max="2917" width="14.1640625" style="76" bestFit="1" customWidth="1"/>
    <col min="2918" max="3060" width="10.1640625" style="76"/>
    <col min="3061" max="3061" width="71.1640625" style="76" customWidth="1"/>
    <col min="3062" max="3062" width="57.83203125" style="76" customWidth="1"/>
    <col min="3063" max="3068" width="5.1640625" style="76" customWidth="1"/>
    <col min="3069" max="3069" width="36.5" style="76" customWidth="1"/>
    <col min="3070" max="3070" width="12.5" style="76" customWidth="1"/>
    <col min="3071" max="3071" width="14.83203125" style="76" customWidth="1"/>
    <col min="3072" max="3072" width="19.5" style="76" bestFit="1" customWidth="1"/>
    <col min="3073" max="3073" width="20.83203125" style="76" customWidth="1"/>
    <col min="3074" max="3074" width="16.5" style="76" customWidth="1"/>
    <col min="3075" max="3075" width="17" style="76" customWidth="1"/>
    <col min="3076" max="3076" width="17.1640625" style="76" customWidth="1"/>
    <col min="3077" max="3077" width="15.1640625" style="76" bestFit="1" customWidth="1"/>
    <col min="3078" max="3078" width="20" style="76" bestFit="1" customWidth="1"/>
    <col min="3079" max="3081" width="16.5" style="76" customWidth="1"/>
    <col min="3082" max="3162" width="10.1640625" style="76"/>
    <col min="3163" max="3163" width="69.1640625" style="76" bestFit="1" customWidth="1"/>
    <col min="3164" max="3164" width="15.5" style="76" customWidth="1"/>
    <col min="3165" max="3166" width="18.1640625" style="76" customWidth="1"/>
    <col min="3167" max="3167" width="16.5" style="76" bestFit="1" customWidth="1"/>
    <col min="3168" max="3168" width="17.5" style="76" bestFit="1" customWidth="1"/>
    <col min="3169" max="3169" width="13.83203125" style="76" bestFit="1" customWidth="1"/>
    <col min="3170" max="3170" width="17.5" style="76" bestFit="1" customWidth="1"/>
    <col min="3171" max="3171" width="13.83203125" style="76" bestFit="1" customWidth="1"/>
    <col min="3172" max="3172" width="17.5" style="76" bestFit="1" customWidth="1"/>
    <col min="3173" max="3173" width="14.1640625" style="76" bestFit="1" customWidth="1"/>
    <col min="3174" max="3316" width="10.1640625" style="76"/>
    <col min="3317" max="3317" width="71.1640625" style="76" customWidth="1"/>
    <col min="3318" max="3318" width="57.83203125" style="76" customWidth="1"/>
    <col min="3319" max="3324" width="5.1640625" style="76" customWidth="1"/>
    <col min="3325" max="3325" width="36.5" style="76" customWidth="1"/>
    <col min="3326" max="3326" width="12.5" style="76" customWidth="1"/>
    <col min="3327" max="3327" width="14.83203125" style="76" customWidth="1"/>
    <col min="3328" max="3328" width="19.5" style="76" bestFit="1" customWidth="1"/>
    <col min="3329" max="3329" width="20.83203125" style="76" customWidth="1"/>
    <col min="3330" max="3330" width="16.5" style="76" customWidth="1"/>
    <col min="3331" max="3331" width="17" style="76" customWidth="1"/>
    <col min="3332" max="3332" width="17.1640625" style="76" customWidth="1"/>
    <col min="3333" max="3333" width="15.1640625" style="76" bestFit="1" customWidth="1"/>
    <col min="3334" max="3334" width="20" style="76" bestFit="1" customWidth="1"/>
    <col min="3335" max="3337" width="16.5" style="76" customWidth="1"/>
    <col min="3338" max="3418" width="10.1640625" style="76"/>
    <col min="3419" max="3419" width="69.1640625" style="76" bestFit="1" customWidth="1"/>
    <col min="3420" max="3420" width="15.5" style="76" customWidth="1"/>
    <col min="3421" max="3422" width="18.1640625" style="76" customWidth="1"/>
    <col min="3423" max="3423" width="16.5" style="76" bestFit="1" customWidth="1"/>
    <col min="3424" max="3424" width="17.5" style="76" bestFit="1" customWidth="1"/>
    <col min="3425" max="3425" width="13.83203125" style="76" bestFit="1" customWidth="1"/>
    <col min="3426" max="3426" width="17.5" style="76" bestFit="1" customWidth="1"/>
    <col min="3427" max="3427" width="13.83203125" style="76" bestFit="1" customWidth="1"/>
    <col min="3428" max="3428" width="17.5" style="76" bestFit="1" customWidth="1"/>
    <col min="3429" max="3429" width="14.1640625" style="76" bestFit="1" customWidth="1"/>
    <col min="3430" max="3572" width="10.1640625" style="76"/>
    <col min="3573" max="3573" width="71.1640625" style="76" customWidth="1"/>
    <col min="3574" max="3574" width="57.83203125" style="76" customWidth="1"/>
    <col min="3575" max="3580" width="5.1640625" style="76" customWidth="1"/>
    <col min="3581" max="3581" width="36.5" style="76" customWidth="1"/>
    <col min="3582" max="3582" width="12.5" style="76" customWidth="1"/>
    <col min="3583" max="3583" width="14.83203125" style="76" customWidth="1"/>
    <col min="3584" max="3584" width="19.5" style="76" bestFit="1" customWidth="1"/>
    <col min="3585" max="3585" width="20.83203125" style="76" customWidth="1"/>
    <col min="3586" max="3586" width="16.5" style="76" customWidth="1"/>
    <col min="3587" max="3587" width="17" style="76" customWidth="1"/>
    <col min="3588" max="3588" width="17.1640625" style="76" customWidth="1"/>
    <col min="3589" max="3589" width="15.1640625" style="76" bestFit="1" customWidth="1"/>
    <col min="3590" max="3590" width="20" style="76" bestFit="1" customWidth="1"/>
    <col min="3591" max="3593" width="16.5" style="76" customWidth="1"/>
    <col min="3594" max="3674" width="10.1640625" style="76"/>
    <col min="3675" max="3675" width="69.1640625" style="76" bestFit="1" customWidth="1"/>
    <col min="3676" max="3676" width="15.5" style="76" customWidth="1"/>
    <col min="3677" max="3678" width="18.1640625" style="76" customWidth="1"/>
    <col min="3679" max="3679" width="16.5" style="76" bestFit="1" customWidth="1"/>
    <col min="3680" max="3680" width="17.5" style="76" bestFit="1" customWidth="1"/>
    <col min="3681" max="3681" width="13.83203125" style="76" bestFit="1" customWidth="1"/>
    <col min="3682" max="3682" width="17.5" style="76" bestFit="1" customWidth="1"/>
    <col min="3683" max="3683" width="13.83203125" style="76" bestFit="1" customWidth="1"/>
    <col min="3684" max="3684" width="17.5" style="76" bestFit="1" customWidth="1"/>
    <col min="3685" max="3685" width="14.1640625" style="76" bestFit="1" customWidth="1"/>
    <col min="3686" max="3828" width="10.1640625" style="76"/>
    <col min="3829" max="3829" width="71.1640625" style="76" customWidth="1"/>
    <col min="3830" max="3830" width="57.83203125" style="76" customWidth="1"/>
    <col min="3831" max="3836" width="5.1640625" style="76" customWidth="1"/>
    <col min="3837" max="3837" width="36.5" style="76" customWidth="1"/>
    <col min="3838" max="3838" width="12.5" style="76" customWidth="1"/>
    <col min="3839" max="3839" width="14.83203125" style="76" customWidth="1"/>
    <col min="3840" max="3840" width="19.5" style="76" bestFit="1" customWidth="1"/>
    <col min="3841" max="3841" width="20.83203125" style="76" customWidth="1"/>
    <col min="3842" max="3842" width="16.5" style="76" customWidth="1"/>
    <col min="3843" max="3843" width="17" style="76" customWidth="1"/>
    <col min="3844" max="3844" width="17.1640625" style="76" customWidth="1"/>
    <col min="3845" max="3845" width="15.1640625" style="76" bestFit="1" customWidth="1"/>
    <col min="3846" max="3846" width="20" style="76" bestFit="1" customWidth="1"/>
    <col min="3847" max="3849" width="16.5" style="76" customWidth="1"/>
    <col min="3850" max="3930" width="10.1640625" style="76"/>
    <col min="3931" max="3931" width="69.1640625" style="76" bestFit="1" customWidth="1"/>
    <col min="3932" max="3932" width="15.5" style="76" customWidth="1"/>
    <col min="3933" max="3934" width="18.1640625" style="76" customWidth="1"/>
    <col min="3935" max="3935" width="16.5" style="76" bestFit="1" customWidth="1"/>
    <col min="3936" max="3936" width="17.5" style="76" bestFit="1" customWidth="1"/>
    <col min="3937" max="3937" width="13.83203125" style="76" bestFit="1" customWidth="1"/>
    <col min="3938" max="3938" width="17.5" style="76" bestFit="1" customWidth="1"/>
    <col min="3939" max="3939" width="13.83203125" style="76" bestFit="1" customWidth="1"/>
    <col min="3940" max="3940" width="17.5" style="76" bestFit="1" customWidth="1"/>
    <col min="3941" max="3941" width="14.1640625" style="76" bestFit="1" customWidth="1"/>
    <col min="3942" max="4084" width="10.1640625" style="76"/>
    <col min="4085" max="4085" width="71.1640625" style="76" customWidth="1"/>
    <col min="4086" max="4086" width="57.83203125" style="76" customWidth="1"/>
    <col min="4087" max="4092" width="5.1640625" style="76" customWidth="1"/>
    <col min="4093" max="4093" width="36.5" style="76" customWidth="1"/>
    <col min="4094" max="4094" width="12.5" style="76" customWidth="1"/>
    <col min="4095" max="4095" width="14.83203125" style="76" customWidth="1"/>
    <col min="4096" max="4096" width="19.5" style="76" bestFit="1" customWidth="1"/>
    <col min="4097" max="4097" width="20.83203125" style="76" customWidth="1"/>
    <col min="4098" max="4098" width="16.5" style="76" customWidth="1"/>
    <col min="4099" max="4099" width="17" style="76" customWidth="1"/>
    <col min="4100" max="4100" width="17.1640625" style="76" customWidth="1"/>
    <col min="4101" max="4101" width="15.1640625" style="76" bestFit="1" customWidth="1"/>
    <col min="4102" max="4102" width="20" style="76" bestFit="1" customWidth="1"/>
    <col min="4103" max="4105" width="16.5" style="76" customWidth="1"/>
    <col min="4106" max="4186" width="10.1640625" style="76"/>
    <col min="4187" max="4187" width="69.1640625" style="76" bestFit="1" customWidth="1"/>
    <col min="4188" max="4188" width="15.5" style="76" customWidth="1"/>
    <col min="4189" max="4190" width="18.1640625" style="76" customWidth="1"/>
    <col min="4191" max="4191" width="16.5" style="76" bestFit="1" customWidth="1"/>
    <col min="4192" max="4192" width="17.5" style="76" bestFit="1" customWidth="1"/>
    <col min="4193" max="4193" width="13.83203125" style="76" bestFit="1" customWidth="1"/>
    <col min="4194" max="4194" width="17.5" style="76" bestFit="1" customWidth="1"/>
    <col min="4195" max="4195" width="13.83203125" style="76" bestFit="1" customWidth="1"/>
    <col min="4196" max="4196" width="17.5" style="76" bestFit="1" customWidth="1"/>
    <col min="4197" max="4197" width="14.1640625" style="76" bestFit="1" customWidth="1"/>
    <col min="4198" max="4340" width="10.1640625" style="76"/>
    <col min="4341" max="4341" width="71.1640625" style="76" customWidth="1"/>
    <col min="4342" max="4342" width="57.83203125" style="76" customWidth="1"/>
    <col min="4343" max="4348" width="5.1640625" style="76" customWidth="1"/>
    <col min="4349" max="4349" width="36.5" style="76" customWidth="1"/>
    <col min="4350" max="4350" width="12.5" style="76" customWidth="1"/>
    <col min="4351" max="4351" width="14.83203125" style="76" customWidth="1"/>
    <col min="4352" max="4352" width="19.5" style="76" bestFit="1" customWidth="1"/>
    <col min="4353" max="4353" width="20.83203125" style="76" customWidth="1"/>
    <col min="4354" max="4354" width="16.5" style="76" customWidth="1"/>
    <col min="4355" max="4355" width="17" style="76" customWidth="1"/>
    <col min="4356" max="4356" width="17.1640625" style="76" customWidth="1"/>
    <col min="4357" max="4357" width="15.1640625" style="76" bestFit="1" customWidth="1"/>
    <col min="4358" max="4358" width="20" style="76" bestFit="1" customWidth="1"/>
    <col min="4359" max="4361" width="16.5" style="76" customWidth="1"/>
    <col min="4362" max="4442" width="10.1640625" style="76"/>
    <col min="4443" max="4443" width="69.1640625" style="76" bestFit="1" customWidth="1"/>
    <col min="4444" max="4444" width="15.5" style="76" customWidth="1"/>
    <col min="4445" max="4446" width="18.1640625" style="76" customWidth="1"/>
    <col min="4447" max="4447" width="16.5" style="76" bestFit="1" customWidth="1"/>
    <col min="4448" max="4448" width="17.5" style="76" bestFit="1" customWidth="1"/>
    <col min="4449" max="4449" width="13.83203125" style="76" bestFit="1" customWidth="1"/>
    <col min="4450" max="4450" width="17.5" style="76" bestFit="1" customWidth="1"/>
    <col min="4451" max="4451" width="13.83203125" style="76" bestFit="1" customWidth="1"/>
    <col min="4452" max="4452" width="17.5" style="76" bestFit="1" customWidth="1"/>
    <col min="4453" max="4453" width="14.1640625" style="76" bestFit="1" customWidth="1"/>
    <col min="4454" max="4596" width="10.1640625" style="76"/>
    <col min="4597" max="4597" width="71.1640625" style="76" customWidth="1"/>
    <col min="4598" max="4598" width="57.83203125" style="76" customWidth="1"/>
    <col min="4599" max="4604" width="5.1640625" style="76" customWidth="1"/>
    <col min="4605" max="4605" width="36.5" style="76" customWidth="1"/>
    <col min="4606" max="4606" width="12.5" style="76" customWidth="1"/>
    <col min="4607" max="4607" width="14.83203125" style="76" customWidth="1"/>
    <col min="4608" max="4608" width="19.5" style="76" bestFit="1" customWidth="1"/>
    <col min="4609" max="4609" width="20.83203125" style="76" customWidth="1"/>
    <col min="4610" max="4610" width="16.5" style="76" customWidth="1"/>
    <col min="4611" max="4611" width="17" style="76" customWidth="1"/>
    <col min="4612" max="4612" width="17.1640625" style="76" customWidth="1"/>
    <col min="4613" max="4613" width="15.1640625" style="76" bestFit="1" customWidth="1"/>
    <col min="4614" max="4614" width="20" style="76" bestFit="1" customWidth="1"/>
    <col min="4615" max="4617" width="16.5" style="76" customWidth="1"/>
    <col min="4618" max="4698" width="10.1640625" style="76"/>
    <col min="4699" max="4699" width="69.1640625" style="76" bestFit="1" customWidth="1"/>
    <col min="4700" max="4700" width="15.5" style="76" customWidth="1"/>
    <col min="4701" max="4702" width="18.1640625" style="76" customWidth="1"/>
    <col min="4703" max="4703" width="16.5" style="76" bestFit="1" customWidth="1"/>
    <col min="4704" max="4704" width="17.5" style="76" bestFit="1" customWidth="1"/>
    <col min="4705" max="4705" width="13.83203125" style="76" bestFit="1" customWidth="1"/>
    <col min="4706" max="4706" width="17.5" style="76" bestFit="1" customWidth="1"/>
    <col min="4707" max="4707" width="13.83203125" style="76" bestFit="1" customWidth="1"/>
    <col min="4708" max="4708" width="17.5" style="76" bestFit="1" customWidth="1"/>
    <col min="4709" max="4709" width="14.1640625" style="76" bestFit="1" customWidth="1"/>
    <col min="4710" max="4852" width="10.1640625" style="76"/>
    <col min="4853" max="4853" width="71.1640625" style="76" customWidth="1"/>
    <col min="4854" max="4854" width="57.83203125" style="76" customWidth="1"/>
    <col min="4855" max="4860" width="5.1640625" style="76" customWidth="1"/>
    <col min="4861" max="4861" width="36.5" style="76" customWidth="1"/>
    <col min="4862" max="4862" width="12.5" style="76" customWidth="1"/>
    <col min="4863" max="4863" width="14.83203125" style="76" customWidth="1"/>
    <col min="4864" max="4864" width="19.5" style="76" bestFit="1" customWidth="1"/>
    <col min="4865" max="4865" width="20.83203125" style="76" customWidth="1"/>
    <col min="4866" max="4866" width="16.5" style="76" customWidth="1"/>
    <col min="4867" max="4867" width="17" style="76" customWidth="1"/>
    <col min="4868" max="4868" width="17.1640625" style="76" customWidth="1"/>
    <col min="4869" max="4869" width="15.1640625" style="76" bestFit="1" customWidth="1"/>
    <col min="4870" max="4870" width="20" style="76" bestFit="1" customWidth="1"/>
    <col min="4871" max="4873" width="16.5" style="76" customWidth="1"/>
    <col min="4874" max="4954" width="10.1640625" style="76"/>
    <col min="4955" max="4955" width="69.1640625" style="76" bestFit="1" customWidth="1"/>
    <col min="4956" max="4956" width="15.5" style="76" customWidth="1"/>
    <col min="4957" max="4958" width="18.1640625" style="76" customWidth="1"/>
    <col min="4959" max="4959" width="16.5" style="76" bestFit="1" customWidth="1"/>
    <col min="4960" max="4960" width="17.5" style="76" bestFit="1" customWidth="1"/>
    <col min="4961" max="4961" width="13.83203125" style="76" bestFit="1" customWidth="1"/>
    <col min="4962" max="4962" width="17.5" style="76" bestFit="1" customWidth="1"/>
    <col min="4963" max="4963" width="13.83203125" style="76" bestFit="1" customWidth="1"/>
    <col min="4964" max="4964" width="17.5" style="76" bestFit="1" customWidth="1"/>
    <col min="4965" max="4965" width="14.1640625" style="76" bestFit="1" customWidth="1"/>
    <col min="4966" max="5108" width="10.1640625" style="76"/>
    <col min="5109" max="5109" width="71.1640625" style="76" customWidth="1"/>
    <col min="5110" max="5110" width="57.83203125" style="76" customWidth="1"/>
    <col min="5111" max="5116" width="5.1640625" style="76" customWidth="1"/>
    <col min="5117" max="5117" width="36.5" style="76" customWidth="1"/>
    <col min="5118" max="5118" width="12.5" style="76" customWidth="1"/>
    <col min="5119" max="5119" width="14.83203125" style="76" customWidth="1"/>
    <col min="5120" max="5120" width="19.5" style="76" bestFit="1" customWidth="1"/>
    <col min="5121" max="5121" width="20.83203125" style="76" customWidth="1"/>
    <col min="5122" max="5122" width="16.5" style="76" customWidth="1"/>
    <col min="5123" max="5123" width="17" style="76" customWidth="1"/>
    <col min="5124" max="5124" width="17.1640625" style="76" customWidth="1"/>
    <col min="5125" max="5125" width="15.1640625" style="76" bestFit="1" customWidth="1"/>
    <col min="5126" max="5126" width="20" style="76" bestFit="1" customWidth="1"/>
    <col min="5127" max="5129" width="16.5" style="76" customWidth="1"/>
    <col min="5130" max="5210" width="10.1640625" style="76"/>
    <col min="5211" max="5211" width="69.1640625" style="76" bestFit="1" customWidth="1"/>
    <col min="5212" max="5212" width="15.5" style="76" customWidth="1"/>
    <col min="5213" max="5214" width="18.1640625" style="76" customWidth="1"/>
    <col min="5215" max="5215" width="16.5" style="76" bestFit="1" customWidth="1"/>
    <col min="5216" max="5216" width="17.5" style="76" bestFit="1" customWidth="1"/>
    <col min="5217" max="5217" width="13.83203125" style="76" bestFit="1" customWidth="1"/>
    <col min="5218" max="5218" width="17.5" style="76" bestFit="1" customWidth="1"/>
    <col min="5219" max="5219" width="13.83203125" style="76" bestFit="1" customWidth="1"/>
    <col min="5220" max="5220" width="17.5" style="76" bestFit="1" customWidth="1"/>
    <col min="5221" max="5221" width="14.1640625" style="76" bestFit="1" customWidth="1"/>
    <col min="5222" max="5364" width="10.1640625" style="76"/>
    <col min="5365" max="5365" width="71.1640625" style="76" customWidth="1"/>
    <col min="5366" max="5366" width="57.83203125" style="76" customWidth="1"/>
    <col min="5367" max="5372" width="5.1640625" style="76" customWidth="1"/>
    <col min="5373" max="5373" width="36.5" style="76" customWidth="1"/>
    <col min="5374" max="5374" width="12.5" style="76" customWidth="1"/>
    <col min="5375" max="5375" width="14.83203125" style="76" customWidth="1"/>
    <col min="5376" max="5376" width="19.5" style="76" bestFit="1" customWidth="1"/>
    <col min="5377" max="5377" width="20.83203125" style="76" customWidth="1"/>
    <col min="5378" max="5378" width="16.5" style="76" customWidth="1"/>
    <col min="5379" max="5379" width="17" style="76" customWidth="1"/>
    <col min="5380" max="5380" width="17.1640625" style="76" customWidth="1"/>
    <col min="5381" max="5381" width="15.1640625" style="76" bestFit="1" customWidth="1"/>
    <col min="5382" max="5382" width="20" style="76" bestFit="1" customWidth="1"/>
    <col min="5383" max="5385" width="16.5" style="76" customWidth="1"/>
    <col min="5386" max="5466" width="10.1640625" style="76"/>
    <col min="5467" max="5467" width="69.1640625" style="76" bestFit="1" customWidth="1"/>
    <col min="5468" max="5468" width="15.5" style="76" customWidth="1"/>
    <col min="5469" max="5470" width="18.1640625" style="76" customWidth="1"/>
    <col min="5471" max="5471" width="16.5" style="76" bestFit="1" customWidth="1"/>
    <col min="5472" max="5472" width="17.5" style="76" bestFit="1" customWidth="1"/>
    <col min="5473" max="5473" width="13.83203125" style="76" bestFit="1" customWidth="1"/>
    <col min="5474" max="5474" width="17.5" style="76" bestFit="1" customWidth="1"/>
    <col min="5475" max="5475" width="13.83203125" style="76" bestFit="1" customWidth="1"/>
    <col min="5476" max="5476" width="17.5" style="76" bestFit="1" customWidth="1"/>
    <col min="5477" max="5477" width="14.1640625" style="76" bestFit="1" customWidth="1"/>
    <col min="5478" max="5620" width="10.1640625" style="76"/>
    <col min="5621" max="5621" width="71.1640625" style="76" customWidth="1"/>
    <col min="5622" max="5622" width="57.83203125" style="76" customWidth="1"/>
    <col min="5623" max="5628" width="5.1640625" style="76" customWidth="1"/>
    <col min="5629" max="5629" width="36.5" style="76" customWidth="1"/>
    <col min="5630" max="5630" width="12.5" style="76" customWidth="1"/>
    <col min="5631" max="5631" width="14.83203125" style="76" customWidth="1"/>
    <col min="5632" max="5632" width="19.5" style="76" bestFit="1" customWidth="1"/>
    <col min="5633" max="5633" width="20.83203125" style="76" customWidth="1"/>
    <col min="5634" max="5634" width="16.5" style="76" customWidth="1"/>
    <col min="5635" max="5635" width="17" style="76" customWidth="1"/>
    <col min="5636" max="5636" width="17.1640625" style="76" customWidth="1"/>
    <col min="5637" max="5637" width="15.1640625" style="76" bestFit="1" customWidth="1"/>
    <col min="5638" max="5638" width="20" style="76" bestFit="1" customWidth="1"/>
    <col min="5639" max="5641" width="16.5" style="76" customWidth="1"/>
    <col min="5642" max="5722" width="10.1640625" style="76"/>
    <col min="5723" max="5723" width="69.1640625" style="76" bestFit="1" customWidth="1"/>
    <col min="5724" max="5724" width="15.5" style="76" customWidth="1"/>
    <col min="5725" max="5726" width="18.1640625" style="76" customWidth="1"/>
    <col min="5727" max="5727" width="16.5" style="76" bestFit="1" customWidth="1"/>
    <col min="5728" max="5728" width="17.5" style="76" bestFit="1" customWidth="1"/>
    <col min="5729" max="5729" width="13.83203125" style="76" bestFit="1" customWidth="1"/>
    <col min="5730" max="5730" width="17.5" style="76" bestFit="1" customWidth="1"/>
    <col min="5731" max="5731" width="13.83203125" style="76" bestFit="1" customWidth="1"/>
    <col min="5732" max="5732" width="17.5" style="76" bestFit="1" customWidth="1"/>
    <col min="5733" max="5733" width="14.1640625" style="76" bestFit="1" customWidth="1"/>
    <col min="5734" max="5876" width="10.1640625" style="76"/>
    <col min="5877" max="5877" width="71.1640625" style="76" customWidth="1"/>
    <col min="5878" max="5878" width="57.83203125" style="76" customWidth="1"/>
    <col min="5879" max="5884" width="5.1640625" style="76" customWidth="1"/>
    <col min="5885" max="5885" width="36.5" style="76" customWidth="1"/>
    <col min="5886" max="5886" width="12.5" style="76" customWidth="1"/>
    <col min="5887" max="5887" width="14.83203125" style="76" customWidth="1"/>
    <col min="5888" max="5888" width="19.5" style="76" bestFit="1" customWidth="1"/>
    <col min="5889" max="5889" width="20.83203125" style="76" customWidth="1"/>
    <col min="5890" max="5890" width="16.5" style="76" customWidth="1"/>
    <col min="5891" max="5891" width="17" style="76" customWidth="1"/>
    <col min="5892" max="5892" width="17.1640625" style="76" customWidth="1"/>
    <col min="5893" max="5893" width="15.1640625" style="76" bestFit="1" customWidth="1"/>
    <col min="5894" max="5894" width="20" style="76" bestFit="1" customWidth="1"/>
    <col min="5895" max="5897" width="16.5" style="76" customWidth="1"/>
    <col min="5898" max="5978" width="10.1640625" style="76"/>
    <col min="5979" max="5979" width="69.1640625" style="76" bestFit="1" customWidth="1"/>
    <col min="5980" max="5980" width="15.5" style="76" customWidth="1"/>
    <col min="5981" max="5982" width="18.1640625" style="76" customWidth="1"/>
    <col min="5983" max="5983" width="16.5" style="76" bestFit="1" customWidth="1"/>
    <col min="5984" max="5984" width="17.5" style="76" bestFit="1" customWidth="1"/>
    <col min="5985" max="5985" width="13.83203125" style="76" bestFit="1" customWidth="1"/>
    <col min="5986" max="5986" width="17.5" style="76" bestFit="1" customWidth="1"/>
    <col min="5987" max="5987" width="13.83203125" style="76" bestFit="1" customWidth="1"/>
    <col min="5988" max="5988" width="17.5" style="76" bestFit="1" customWidth="1"/>
    <col min="5989" max="5989" width="14.1640625" style="76" bestFit="1" customWidth="1"/>
    <col min="5990" max="6132" width="10.1640625" style="76"/>
    <col min="6133" max="6133" width="71.1640625" style="76" customWidth="1"/>
    <col min="6134" max="6134" width="57.83203125" style="76" customWidth="1"/>
    <col min="6135" max="6140" width="5.1640625" style="76" customWidth="1"/>
    <col min="6141" max="6141" width="36.5" style="76" customWidth="1"/>
    <col min="6142" max="6142" width="12.5" style="76" customWidth="1"/>
    <col min="6143" max="6143" width="14.83203125" style="76" customWidth="1"/>
    <col min="6144" max="6144" width="19.5" style="76" bestFit="1" customWidth="1"/>
    <col min="6145" max="6145" width="20.83203125" style="76" customWidth="1"/>
    <col min="6146" max="6146" width="16.5" style="76" customWidth="1"/>
    <col min="6147" max="6147" width="17" style="76" customWidth="1"/>
    <col min="6148" max="6148" width="17.1640625" style="76" customWidth="1"/>
    <col min="6149" max="6149" width="15.1640625" style="76" bestFit="1" customWidth="1"/>
    <col min="6150" max="6150" width="20" style="76" bestFit="1" customWidth="1"/>
    <col min="6151" max="6153" width="16.5" style="76" customWidth="1"/>
    <col min="6154" max="6234" width="10.1640625" style="76"/>
    <col min="6235" max="6235" width="69.1640625" style="76" bestFit="1" customWidth="1"/>
    <col min="6236" max="6236" width="15.5" style="76" customWidth="1"/>
    <col min="6237" max="6238" width="18.1640625" style="76" customWidth="1"/>
    <col min="6239" max="6239" width="16.5" style="76" bestFit="1" customWidth="1"/>
    <col min="6240" max="6240" width="17.5" style="76" bestFit="1" customWidth="1"/>
    <col min="6241" max="6241" width="13.83203125" style="76" bestFit="1" customWidth="1"/>
    <col min="6242" max="6242" width="17.5" style="76" bestFit="1" customWidth="1"/>
    <col min="6243" max="6243" width="13.83203125" style="76" bestFit="1" customWidth="1"/>
    <col min="6244" max="6244" width="17.5" style="76" bestFit="1" customWidth="1"/>
    <col min="6245" max="6245" width="14.1640625" style="76" bestFit="1" customWidth="1"/>
    <col min="6246" max="6388" width="10.1640625" style="76"/>
    <col min="6389" max="6389" width="71.1640625" style="76" customWidth="1"/>
    <col min="6390" max="6390" width="57.83203125" style="76" customWidth="1"/>
    <col min="6391" max="6396" width="5.1640625" style="76" customWidth="1"/>
    <col min="6397" max="6397" width="36.5" style="76" customWidth="1"/>
    <col min="6398" max="6398" width="12.5" style="76" customWidth="1"/>
    <col min="6399" max="6399" width="14.83203125" style="76" customWidth="1"/>
    <col min="6400" max="6400" width="19.5" style="76" bestFit="1" customWidth="1"/>
    <col min="6401" max="6401" width="20.83203125" style="76" customWidth="1"/>
    <col min="6402" max="6402" width="16.5" style="76" customWidth="1"/>
    <col min="6403" max="6403" width="17" style="76" customWidth="1"/>
    <col min="6404" max="6404" width="17.1640625" style="76" customWidth="1"/>
    <col min="6405" max="6405" width="15.1640625" style="76" bestFit="1" customWidth="1"/>
    <col min="6406" max="6406" width="20" style="76" bestFit="1" customWidth="1"/>
    <col min="6407" max="6409" width="16.5" style="76" customWidth="1"/>
    <col min="6410" max="6490" width="10.1640625" style="76"/>
    <col min="6491" max="6491" width="69.1640625" style="76" bestFit="1" customWidth="1"/>
    <col min="6492" max="6492" width="15.5" style="76" customWidth="1"/>
    <col min="6493" max="6494" width="18.1640625" style="76" customWidth="1"/>
    <col min="6495" max="6495" width="16.5" style="76" bestFit="1" customWidth="1"/>
    <col min="6496" max="6496" width="17.5" style="76" bestFit="1" customWidth="1"/>
    <col min="6497" max="6497" width="13.83203125" style="76" bestFit="1" customWidth="1"/>
    <col min="6498" max="6498" width="17.5" style="76" bestFit="1" customWidth="1"/>
    <col min="6499" max="6499" width="13.83203125" style="76" bestFit="1" customWidth="1"/>
    <col min="6500" max="6500" width="17.5" style="76" bestFit="1" customWidth="1"/>
    <col min="6501" max="6501" width="14.1640625" style="76" bestFit="1" customWidth="1"/>
    <col min="6502" max="6644" width="10.1640625" style="76"/>
    <col min="6645" max="6645" width="71.1640625" style="76" customWidth="1"/>
    <col min="6646" max="6646" width="57.83203125" style="76" customWidth="1"/>
    <col min="6647" max="6652" width="5.1640625" style="76" customWidth="1"/>
    <col min="6653" max="6653" width="36.5" style="76" customWidth="1"/>
    <col min="6654" max="6654" width="12.5" style="76" customWidth="1"/>
    <col min="6655" max="6655" width="14.83203125" style="76" customWidth="1"/>
    <col min="6656" max="6656" width="19.5" style="76" bestFit="1" customWidth="1"/>
    <col min="6657" max="6657" width="20.83203125" style="76" customWidth="1"/>
    <col min="6658" max="6658" width="16.5" style="76" customWidth="1"/>
    <col min="6659" max="6659" width="17" style="76" customWidth="1"/>
    <col min="6660" max="6660" width="17.1640625" style="76" customWidth="1"/>
    <col min="6661" max="6661" width="15.1640625" style="76" bestFit="1" customWidth="1"/>
    <col min="6662" max="6662" width="20" style="76" bestFit="1" customWidth="1"/>
    <col min="6663" max="6665" width="16.5" style="76" customWidth="1"/>
    <col min="6666" max="6746" width="10.1640625" style="76"/>
    <col min="6747" max="6747" width="69.1640625" style="76" bestFit="1" customWidth="1"/>
    <col min="6748" max="6748" width="15.5" style="76" customWidth="1"/>
    <col min="6749" max="6750" width="18.1640625" style="76" customWidth="1"/>
    <col min="6751" max="6751" width="16.5" style="76" bestFit="1" customWidth="1"/>
    <col min="6752" max="6752" width="17.5" style="76" bestFit="1" customWidth="1"/>
    <col min="6753" max="6753" width="13.83203125" style="76" bestFit="1" customWidth="1"/>
    <col min="6754" max="6754" width="17.5" style="76" bestFit="1" customWidth="1"/>
    <col min="6755" max="6755" width="13.83203125" style="76" bestFit="1" customWidth="1"/>
    <col min="6756" max="6756" width="17.5" style="76" bestFit="1" customWidth="1"/>
    <col min="6757" max="6757" width="14.1640625" style="76" bestFit="1" customWidth="1"/>
    <col min="6758" max="6900" width="10.1640625" style="76"/>
    <col min="6901" max="6901" width="71.1640625" style="76" customWidth="1"/>
    <col min="6902" max="6902" width="57.83203125" style="76" customWidth="1"/>
    <col min="6903" max="6908" width="5.1640625" style="76" customWidth="1"/>
    <col min="6909" max="6909" width="36.5" style="76" customWidth="1"/>
    <col min="6910" max="6910" width="12.5" style="76" customWidth="1"/>
    <col min="6911" max="6911" width="14.83203125" style="76" customWidth="1"/>
    <col min="6912" max="6912" width="19.5" style="76" bestFit="1" customWidth="1"/>
    <col min="6913" max="6913" width="20.83203125" style="76" customWidth="1"/>
    <col min="6914" max="6914" width="16.5" style="76" customWidth="1"/>
    <col min="6915" max="6915" width="17" style="76" customWidth="1"/>
    <col min="6916" max="6916" width="17.1640625" style="76" customWidth="1"/>
    <col min="6917" max="6917" width="15.1640625" style="76" bestFit="1" customWidth="1"/>
    <col min="6918" max="6918" width="20" style="76" bestFit="1" customWidth="1"/>
    <col min="6919" max="6921" width="16.5" style="76" customWidth="1"/>
    <col min="6922" max="7002" width="10.1640625" style="76"/>
    <col min="7003" max="7003" width="69.1640625" style="76" bestFit="1" customWidth="1"/>
    <col min="7004" max="7004" width="15.5" style="76" customWidth="1"/>
    <col min="7005" max="7006" width="18.1640625" style="76" customWidth="1"/>
    <col min="7007" max="7007" width="16.5" style="76" bestFit="1" customWidth="1"/>
    <col min="7008" max="7008" width="17.5" style="76" bestFit="1" customWidth="1"/>
    <col min="7009" max="7009" width="13.83203125" style="76" bestFit="1" customWidth="1"/>
    <col min="7010" max="7010" width="17.5" style="76" bestFit="1" customWidth="1"/>
    <col min="7011" max="7011" width="13.83203125" style="76" bestFit="1" customWidth="1"/>
    <col min="7012" max="7012" width="17.5" style="76" bestFit="1" customWidth="1"/>
    <col min="7013" max="7013" width="14.1640625" style="76" bestFit="1" customWidth="1"/>
    <col min="7014" max="7156" width="10.1640625" style="76"/>
    <col min="7157" max="7157" width="71.1640625" style="76" customWidth="1"/>
    <col min="7158" max="7158" width="57.83203125" style="76" customWidth="1"/>
    <col min="7159" max="7164" width="5.1640625" style="76" customWidth="1"/>
    <col min="7165" max="7165" width="36.5" style="76" customWidth="1"/>
    <col min="7166" max="7166" width="12.5" style="76" customWidth="1"/>
    <col min="7167" max="7167" width="14.83203125" style="76" customWidth="1"/>
    <col min="7168" max="7168" width="19.5" style="76" bestFit="1" customWidth="1"/>
    <col min="7169" max="7169" width="20.83203125" style="76" customWidth="1"/>
    <col min="7170" max="7170" width="16.5" style="76" customWidth="1"/>
    <col min="7171" max="7171" width="17" style="76" customWidth="1"/>
    <col min="7172" max="7172" width="17.1640625" style="76" customWidth="1"/>
    <col min="7173" max="7173" width="15.1640625" style="76" bestFit="1" customWidth="1"/>
    <col min="7174" max="7174" width="20" style="76" bestFit="1" customWidth="1"/>
    <col min="7175" max="7177" width="16.5" style="76" customWidth="1"/>
    <col min="7178" max="7258" width="10.1640625" style="76"/>
    <col min="7259" max="7259" width="69.1640625" style="76" bestFit="1" customWidth="1"/>
    <col min="7260" max="7260" width="15.5" style="76" customWidth="1"/>
    <col min="7261" max="7262" width="18.1640625" style="76" customWidth="1"/>
    <col min="7263" max="7263" width="16.5" style="76" bestFit="1" customWidth="1"/>
    <col min="7264" max="7264" width="17.5" style="76" bestFit="1" customWidth="1"/>
    <col min="7265" max="7265" width="13.83203125" style="76" bestFit="1" customWidth="1"/>
    <col min="7266" max="7266" width="17.5" style="76" bestFit="1" customWidth="1"/>
    <col min="7267" max="7267" width="13.83203125" style="76" bestFit="1" customWidth="1"/>
    <col min="7268" max="7268" width="17.5" style="76" bestFit="1" customWidth="1"/>
    <col min="7269" max="7269" width="14.1640625" style="76" bestFit="1" customWidth="1"/>
    <col min="7270" max="7412" width="10.1640625" style="76"/>
    <col min="7413" max="7413" width="71.1640625" style="76" customWidth="1"/>
    <col min="7414" max="7414" width="57.83203125" style="76" customWidth="1"/>
    <col min="7415" max="7420" width="5.1640625" style="76" customWidth="1"/>
    <col min="7421" max="7421" width="36.5" style="76" customWidth="1"/>
    <col min="7422" max="7422" width="12.5" style="76" customWidth="1"/>
    <col min="7423" max="7423" width="14.83203125" style="76" customWidth="1"/>
    <col min="7424" max="7424" width="19.5" style="76" bestFit="1" customWidth="1"/>
    <col min="7425" max="7425" width="20.83203125" style="76" customWidth="1"/>
    <col min="7426" max="7426" width="16.5" style="76" customWidth="1"/>
    <col min="7427" max="7427" width="17" style="76" customWidth="1"/>
    <col min="7428" max="7428" width="17.1640625" style="76" customWidth="1"/>
    <col min="7429" max="7429" width="15.1640625" style="76" bestFit="1" customWidth="1"/>
    <col min="7430" max="7430" width="20" style="76" bestFit="1" customWidth="1"/>
    <col min="7431" max="7433" width="16.5" style="76" customWidth="1"/>
    <col min="7434" max="7514" width="10.1640625" style="76"/>
    <col min="7515" max="7515" width="69.1640625" style="76" bestFit="1" customWidth="1"/>
    <col min="7516" max="7516" width="15.5" style="76" customWidth="1"/>
    <col min="7517" max="7518" width="18.1640625" style="76" customWidth="1"/>
    <col min="7519" max="7519" width="16.5" style="76" bestFit="1" customWidth="1"/>
    <col min="7520" max="7520" width="17.5" style="76" bestFit="1" customWidth="1"/>
    <col min="7521" max="7521" width="13.83203125" style="76" bestFit="1" customWidth="1"/>
    <col min="7522" max="7522" width="17.5" style="76" bestFit="1" customWidth="1"/>
    <col min="7523" max="7523" width="13.83203125" style="76" bestFit="1" customWidth="1"/>
    <col min="7524" max="7524" width="17.5" style="76" bestFit="1" customWidth="1"/>
    <col min="7525" max="7525" width="14.1640625" style="76" bestFit="1" customWidth="1"/>
    <col min="7526" max="7668" width="10.1640625" style="76"/>
    <col min="7669" max="7669" width="71.1640625" style="76" customWidth="1"/>
    <col min="7670" max="7670" width="57.83203125" style="76" customWidth="1"/>
    <col min="7671" max="7676" width="5.1640625" style="76" customWidth="1"/>
    <col min="7677" max="7677" width="36.5" style="76" customWidth="1"/>
    <col min="7678" max="7678" width="12.5" style="76" customWidth="1"/>
    <col min="7679" max="7679" width="14.83203125" style="76" customWidth="1"/>
    <col min="7680" max="7680" width="19.5" style="76" bestFit="1" customWidth="1"/>
    <col min="7681" max="7681" width="20.83203125" style="76" customWidth="1"/>
    <col min="7682" max="7682" width="16.5" style="76" customWidth="1"/>
    <col min="7683" max="7683" width="17" style="76" customWidth="1"/>
    <col min="7684" max="7684" width="17.1640625" style="76" customWidth="1"/>
    <col min="7685" max="7685" width="15.1640625" style="76" bestFit="1" customWidth="1"/>
    <col min="7686" max="7686" width="20" style="76" bestFit="1" customWidth="1"/>
    <col min="7687" max="7689" width="16.5" style="76" customWidth="1"/>
    <col min="7690" max="7770" width="10.1640625" style="76"/>
    <col min="7771" max="7771" width="69.1640625" style="76" bestFit="1" customWidth="1"/>
    <col min="7772" max="7772" width="15.5" style="76" customWidth="1"/>
    <col min="7773" max="7774" width="18.1640625" style="76" customWidth="1"/>
    <col min="7775" max="7775" width="16.5" style="76" bestFit="1" customWidth="1"/>
    <col min="7776" max="7776" width="17.5" style="76" bestFit="1" customWidth="1"/>
    <col min="7777" max="7777" width="13.83203125" style="76" bestFit="1" customWidth="1"/>
    <col min="7778" max="7778" width="17.5" style="76" bestFit="1" customWidth="1"/>
    <col min="7779" max="7779" width="13.83203125" style="76" bestFit="1" customWidth="1"/>
    <col min="7780" max="7780" width="17.5" style="76" bestFit="1" customWidth="1"/>
    <col min="7781" max="7781" width="14.1640625" style="76" bestFit="1" customWidth="1"/>
    <col min="7782" max="7924" width="10.1640625" style="76"/>
    <col min="7925" max="7925" width="71.1640625" style="76" customWidth="1"/>
    <col min="7926" max="7926" width="57.83203125" style="76" customWidth="1"/>
    <col min="7927" max="7932" width="5.1640625" style="76" customWidth="1"/>
    <col min="7933" max="7933" width="36.5" style="76" customWidth="1"/>
    <col min="7934" max="7934" width="12.5" style="76" customWidth="1"/>
    <col min="7935" max="7935" width="14.83203125" style="76" customWidth="1"/>
    <col min="7936" max="7936" width="19.5" style="76" bestFit="1" customWidth="1"/>
    <col min="7937" max="7937" width="20.83203125" style="76" customWidth="1"/>
    <col min="7938" max="7938" width="16.5" style="76" customWidth="1"/>
    <col min="7939" max="7939" width="17" style="76" customWidth="1"/>
    <col min="7940" max="7940" width="17.1640625" style="76" customWidth="1"/>
    <col min="7941" max="7941" width="15.1640625" style="76" bestFit="1" customWidth="1"/>
    <col min="7942" max="7942" width="20" style="76" bestFit="1" customWidth="1"/>
    <col min="7943" max="7945" width="16.5" style="76" customWidth="1"/>
    <col min="7946" max="8026" width="10.1640625" style="76"/>
    <col min="8027" max="8027" width="69.1640625" style="76" bestFit="1" customWidth="1"/>
    <col min="8028" max="8028" width="15.5" style="76" customWidth="1"/>
    <col min="8029" max="8030" width="18.1640625" style="76" customWidth="1"/>
    <col min="8031" max="8031" width="16.5" style="76" bestFit="1" customWidth="1"/>
    <col min="8032" max="8032" width="17.5" style="76" bestFit="1" customWidth="1"/>
    <col min="8033" max="8033" width="13.83203125" style="76" bestFit="1" customWidth="1"/>
    <col min="8034" max="8034" width="17.5" style="76" bestFit="1" customWidth="1"/>
    <col min="8035" max="8035" width="13.83203125" style="76" bestFit="1" customWidth="1"/>
    <col min="8036" max="8036" width="17.5" style="76" bestFit="1" customWidth="1"/>
    <col min="8037" max="8037" width="14.1640625" style="76" bestFit="1" customWidth="1"/>
    <col min="8038" max="8180" width="10.1640625" style="76"/>
    <col min="8181" max="8181" width="71.1640625" style="76" customWidth="1"/>
    <col min="8182" max="8182" width="57.83203125" style="76" customWidth="1"/>
    <col min="8183" max="8188" width="5.1640625" style="76" customWidth="1"/>
    <col min="8189" max="8189" width="36.5" style="76" customWidth="1"/>
    <col min="8190" max="8190" width="12.5" style="76" customWidth="1"/>
    <col min="8191" max="8191" width="14.83203125" style="76" customWidth="1"/>
    <col min="8192" max="8192" width="19.5" style="76" bestFit="1" customWidth="1"/>
    <col min="8193" max="8193" width="20.83203125" style="76" customWidth="1"/>
    <col min="8194" max="8194" width="16.5" style="76" customWidth="1"/>
    <col min="8195" max="8195" width="17" style="76" customWidth="1"/>
    <col min="8196" max="8196" width="17.1640625" style="76" customWidth="1"/>
    <col min="8197" max="8197" width="15.1640625" style="76" bestFit="1" customWidth="1"/>
    <col min="8198" max="8198" width="20" style="76" bestFit="1" customWidth="1"/>
    <col min="8199" max="8201" width="16.5" style="76" customWidth="1"/>
    <col min="8202" max="8282" width="10.1640625" style="76"/>
    <col min="8283" max="8283" width="69.1640625" style="76" bestFit="1" customWidth="1"/>
    <col min="8284" max="8284" width="15.5" style="76" customWidth="1"/>
    <col min="8285" max="8286" width="18.1640625" style="76" customWidth="1"/>
    <col min="8287" max="8287" width="16.5" style="76" bestFit="1" customWidth="1"/>
    <col min="8288" max="8288" width="17.5" style="76" bestFit="1" customWidth="1"/>
    <col min="8289" max="8289" width="13.83203125" style="76" bestFit="1" customWidth="1"/>
    <col min="8290" max="8290" width="17.5" style="76" bestFit="1" customWidth="1"/>
    <col min="8291" max="8291" width="13.83203125" style="76" bestFit="1" customWidth="1"/>
    <col min="8292" max="8292" width="17.5" style="76" bestFit="1" customWidth="1"/>
    <col min="8293" max="8293" width="14.1640625" style="76" bestFit="1" customWidth="1"/>
    <col min="8294" max="8436" width="10.1640625" style="76"/>
    <col min="8437" max="8437" width="71.1640625" style="76" customWidth="1"/>
    <col min="8438" max="8438" width="57.83203125" style="76" customWidth="1"/>
    <col min="8439" max="8444" width="5.1640625" style="76" customWidth="1"/>
    <col min="8445" max="8445" width="36.5" style="76" customWidth="1"/>
    <col min="8446" max="8446" width="12.5" style="76" customWidth="1"/>
    <col min="8447" max="8447" width="14.83203125" style="76" customWidth="1"/>
    <col min="8448" max="8448" width="19.5" style="76" bestFit="1" customWidth="1"/>
    <col min="8449" max="8449" width="20.83203125" style="76" customWidth="1"/>
    <col min="8450" max="8450" width="16.5" style="76" customWidth="1"/>
    <col min="8451" max="8451" width="17" style="76" customWidth="1"/>
    <col min="8452" max="8452" width="17.1640625" style="76" customWidth="1"/>
    <col min="8453" max="8453" width="15.1640625" style="76" bestFit="1" customWidth="1"/>
    <col min="8454" max="8454" width="20" style="76" bestFit="1" customWidth="1"/>
    <col min="8455" max="8457" width="16.5" style="76" customWidth="1"/>
    <col min="8458" max="8538" width="10.1640625" style="76"/>
    <col min="8539" max="8539" width="69.1640625" style="76" bestFit="1" customWidth="1"/>
    <col min="8540" max="8540" width="15.5" style="76" customWidth="1"/>
    <col min="8541" max="8542" width="18.1640625" style="76" customWidth="1"/>
    <col min="8543" max="8543" width="16.5" style="76" bestFit="1" customWidth="1"/>
    <col min="8544" max="8544" width="17.5" style="76" bestFit="1" customWidth="1"/>
    <col min="8545" max="8545" width="13.83203125" style="76" bestFit="1" customWidth="1"/>
    <col min="8546" max="8546" width="17.5" style="76" bestFit="1" customWidth="1"/>
    <col min="8547" max="8547" width="13.83203125" style="76" bestFit="1" customWidth="1"/>
    <col min="8548" max="8548" width="17.5" style="76" bestFit="1" customWidth="1"/>
    <col min="8549" max="8549" width="14.1640625" style="76" bestFit="1" customWidth="1"/>
    <col min="8550" max="8692" width="10.1640625" style="76"/>
    <col min="8693" max="8693" width="71.1640625" style="76" customWidth="1"/>
    <col min="8694" max="8694" width="57.83203125" style="76" customWidth="1"/>
    <col min="8695" max="8700" width="5.1640625" style="76" customWidth="1"/>
    <col min="8701" max="8701" width="36.5" style="76" customWidth="1"/>
    <col min="8702" max="8702" width="12.5" style="76" customWidth="1"/>
    <col min="8703" max="8703" width="14.83203125" style="76" customWidth="1"/>
    <col min="8704" max="8704" width="19.5" style="76" bestFit="1" customWidth="1"/>
    <col min="8705" max="8705" width="20.83203125" style="76" customWidth="1"/>
    <col min="8706" max="8706" width="16.5" style="76" customWidth="1"/>
    <col min="8707" max="8707" width="17" style="76" customWidth="1"/>
    <col min="8708" max="8708" width="17.1640625" style="76" customWidth="1"/>
    <col min="8709" max="8709" width="15.1640625" style="76" bestFit="1" customWidth="1"/>
    <col min="8710" max="8710" width="20" style="76" bestFit="1" customWidth="1"/>
    <col min="8711" max="8713" width="16.5" style="76" customWidth="1"/>
    <col min="8714" max="8794" width="10.1640625" style="76"/>
    <col min="8795" max="8795" width="69.1640625" style="76" bestFit="1" customWidth="1"/>
    <col min="8796" max="8796" width="15.5" style="76" customWidth="1"/>
    <col min="8797" max="8798" width="18.1640625" style="76" customWidth="1"/>
    <col min="8799" max="8799" width="16.5" style="76" bestFit="1" customWidth="1"/>
    <col min="8800" max="8800" width="17.5" style="76" bestFit="1" customWidth="1"/>
    <col min="8801" max="8801" width="13.83203125" style="76" bestFit="1" customWidth="1"/>
    <col min="8802" max="8802" width="17.5" style="76" bestFit="1" customWidth="1"/>
    <col min="8803" max="8803" width="13.83203125" style="76" bestFit="1" customWidth="1"/>
    <col min="8804" max="8804" width="17.5" style="76" bestFit="1" customWidth="1"/>
    <col min="8805" max="8805" width="14.1640625" style="76" bestFit="1" customWidth="1"/>
    <col min="8806" max="8948" width="10.1640625" style="76"/>
    <col min="8949" max="8949" width="71.1640625" style="76" customWidth="1"/>
    <col min="8950" max="8950" width="57.83203125" style="76" customWidth="1"/>
    <col min="8951" max="8956" width="5.1640625" style="76" customWidth="1"/>
    <col min="8957" max="8957" width="36.5" style="76" customWidth="1"/>
    <col min="8958" max="8958" width="12.5" style="76" customWidth="1"/>
    <col min="8959" max="8959" width="14.83203125" style="76" customWidth="1"/>
    <col min="8960" max="8960" width="19.5" style="76" bestFit="1" customWidth="1"/>
    <col min="8961" max="8961" width="20.83203125" style="76" customWidth="1"/>
    <col min="8962" max="8962" width="16.5" style="76" customWidth="1"/>
    <col min="8963" max="8963" width="17" style="76" customWidth="1"/>
    <col min="8964" max="8964" width="17.1640625" style="76" customWidth="1"/>
    <col min="8965" max="8965" width="15.1640625" style="76" bestFit="1" customWidth="1"/>
    <col min="8966" max="8966" width="20" style="76" bestFit="1" customWidth="1"/>
    <col min="8967" max="8969" width="16.5" style="76" customWidth="1"/>
    <col min="8970" max="9050" width="10.1640625" style="76"/>
    <col min="9051" max="9051" width="69.1640625" style="76" bestFit="1" customWidth="1"/>
    <col min="9052" max="9052" width="15.5" style="76" customWidth="1"/>
    <col min="9053" max="9054" width="18.1640625" style="76" customWidth="1"/>
    <col min="9055" max="9055" width="16.5" style="76" bestFit="1" customWidth="1"/>
    <col min="9056" max="9056" width="17.5" style="76" bestFit="1" customWidth="1"/>
    <col min="9057" max="9057" width="13.83203125" style="76" bestFit="1" customWidth="1"/>
    <col min="9058" max="9058" width="17.5" style="76" bestFit="1" customWidth="1"/>
    <col min="9059" max="9059" width="13.83203125" style="76" bestFit="1" customWidth="1"/>
    <col min="9060" max="9060" width="17.5" style="76" bestFit="1" customWidth="1"/>
    <col min="9061" max="9061" width="14.1640625" style="76" bestFit="1" customWidth="1"/>
    <col min="9062" max="9204" width="10.1640625" style="76"/>
    <col min="9205" max="9205" width="71.1640625" style="76" customWidth="1"/>
    <col min="9206" max="9206" width="57.83203125" style="76" customWidth="1"/>
    <col min="9207" max="9212" width="5.1640625" style="76" customWidth="1"/>
    <col min="9213" max="9213" width="36.5" style="76" customWidth="1"/>
    <col min="9214" max="9214" width="12.5" style="76" customWidth="1"/>
    <col min="9215" max="9215" width="14.83203125" style="76" customWidth="1"/>
    <col min="9216" max="9216" width="19.5" style="76" bestFit="1" customWidth="1"/>
    <col min="9217" max="9217" width="20.83203125" style="76" customWidth="1"/>
    <col min="9218" max="9218" width="16.5" style="76" customWidth="1"/>
    <col min="9219" max="9219" width="17" style="76" customWidth="1"/>
    <col min="9220" max="9220" width="17.1640625" style="76" customWidth="1"/>
    <col min="9221" max="9221" width="15.1640625" style="76" bestFit="1" customWidth="1"/>
    <col min="9222" max="9222" width="20" style="76" bestFit="1" customWidth="1"/>
    <col min="9223" max="9225" width="16.5" style="76" customWidth="1"/>
    <col min="9226" max="9306" width="10.1640625" style="76"/>
    <col min="9307" max="9307" width="69.1640625" style="76" bestFit="1" customWidth="1"/>
    <col min="9308" max="9308" width="15.5" style="76" customWidth="1"/>
    <col min="9309" max="9310" width="18.1640625" style="76" customWidth="1"/>
    <col min="9311" max="9311" width="16.5" style="76" bestFit="1" customWidth="1"/>
    <col min="9312" max="9312" width="17.5" style="76" bestFit="1" customWidth="1"/>
    <col min="9313" max="9313" width="13.83203125" style="76" bestFit="1" customWidth="1"/>
    <col min="9314" max="9314" width="17.5" style="76" bestFit="1" customWidth="1"/>
    <col min="9315" max="9315" width="13.83203125" style="76" bestFit="1" customWidth="1"/>
    <col min="9316" max="9316" width="17.5" style="76" bestFit="1" customWidth="1"/>
    <col min="9317" max="9317" width="14.1640625" style="76" bestFit="1" customWidth="1"/>
    <col min="9318" max="9460" width="10.1640625" style="76"/>
    <col min="9461" max="9461" width="71.1640625" style="76" customWidth="1"/>
    <col min="9462" max="9462" width="57.83203125" style="76" customWidth="1"/>
    <col min="9463" max="9468" width="5.1640625" style="76" customWidth="1"/>
    <col min="9469" max="9469" width="36.5" style="76" customWidth="1"/>
    <col min="9470" max="9470" width="12.5" style="76" customWidth="1"/>
    <col min="9471" max="9471" width="14.83203125" style="76" customWidth="1"/>
    <col min="9472" max="9472" width="19.5" style="76" bestFit="1" customWidth="1"/>
    <col min="9473" max="9473" width="20.83203125" style="76" customWidth="1"/>
    <col min="9474" max="9474" width="16.5" style="76" customWidth="1"/>
    <col min="9475" max="9475" width="17" style="76" customWidth="1"/>
    <col min="9476" max="9476" width="17.1640625" style="76" customWidth="1"/>
    <col min="9477" max="9477" width="15.1640625" style="76" bestFit="1" customWidth="1"/>
    <col min="9478" max="9478" width="20" style="76" bestFit="1" customWidth="1"/>
    <col min="9479" max="9481" width="16.5" style="76" customWidth="1"/>
    <col min="9482" max="9562" width="10.1640625" style="76"/>
    <col min="9563" max="9563" width="69.1640625" style="76" bestFit="1" customWidth="1"/>
    <col min="9564" max="9564" width="15.5" style="76" customWidth="1"/>
    <col min="9565" max="9566" width="18.1640625" style="76" customWidth="1"/>
    <col min="9567" max="9567" width="16.5" style="76" bestFit="1" customWidth="1"/>
    <col min="9568" max="9568" width="17.5" style="76" bestFit="1" customWidth="1"/>
    <col min="9569" max="9569" width="13.83203125" style="76" bestFit="1" customWidth="1"/>
    <col min="9570" max="9570" width="17.5" style="76" bestFit="1" customWidth="1"/>
    <col min="9571" max="9571" width="13.83203125" style="76" bestFit="1" customWidth="1"/>
    <col min="9572" max="9572" width="17.5" style="76" bestFit="1" customWidth="1"/>
    <col min="9573" max="9573" width="14.1640625" style="76" bestFit="1" customWidth="1"/>
    <col min="9574" max="9716" width="10.1640625" style="76"/>
    <col min="9717" max="9717" width="71.1640625" style="76" customWidth="1"/>
    <col min="9718" max="9718" width="57.83203125" style="76" customWidth="1"/>
    <col min="9719" max="9724" width="5.1640625" style="76" customWidth="1"/>
    <col min="9725" max="9725" width="36.5" style="76" customWidth="1"/>
    <col min="9726" max="9726" width="12.5" style="76" customWidth="1"/>
    <col min="9727" max="9727" width="14.83203125" style="76" customWidth="1"/>
    <col min="9728" max="9728" width="19.5" style="76" bestFit="1" customWidth="1"/>
    <col min="9729" max="9729" width="20.83203125" style="76" customWidth="1"/>
    <col min="9730" max="9730" width="16.5" style="76" customWidth="1"/>
    <col min="9731" max="9731" width="17" style="76" customWidth="1"/>
    <col min="9732" max="9732" width="17.1640625" style="76" customWidth="1"/>
    <col min="9733" max="9733" width="15.1640625" style="76" bestFit="1" customWidth="1"/>
    <col min="9734" max="9734" width="20" style="76" bestFit="1" customWidth="1"/>
    <col min="9735" max="9737" width="16.5" style="76" customWidth="1"/>
    <col min="9738" max="9818" width="10.1640625" style="76"/>
    <col min="9819" max="9819" width="69.1640625" style="76" bestFit="1" customWidth="1"/>
    <col min="9820" max="9820" width="15.5" style="76" customWidth="1"/>
    <col min="9821" max="9822" width="18.1640625" style="76" customWidth="1"/>
    <col min="9823" max="9823" width="16.5" style="76" bestFit="1" customWidth="1"/>
    <col min="9824" max="9824" width="17.5" style="76" bestFit="1" customWidth="1"/>
    <col min="9825" max="9825" width="13.83203125" style="76" bestFit="1" customWidth="1"/>
    <col min="9826" max="9826" width="17.5" style="76" bestFit="1" customWidth="1"/>
    <col min="9827" max="9827" width="13.83203125" style="76" bestFit="1" customWidth="1"/>
    <col min="9828" max="9828" width="17.5" style="76" bestFit="1" customWidth="1"/>
    <col min="9829" max="9829" width="14.1640625" style="76" bestFit="1" customWidth="1"/>
    <col min="9830" max="9972" width="10.1640625" style="76"/>
    <col min="9973" max="9973" width="71.1640625" style="76" customWidth="1"/>
    <col min="9974" max="9974" width="57.83203125" style="76" customWidth="1"/>
    <col min="9975" max="9980" width="5.1640625" style="76" customWidth="1"/>
    <col min="9981" max="9981" width="36.5" style="76" customWidth="1"/>
    <col min="9982" max="9982" width="12.5" style="76" customWidth="1"/>
    <col min="9983" max="9983" width="14.83203125" style="76" customWidth="1"/>
    <col min="9984" max="9984" width="19.5" style="76" bestFit="1" customWidth="1"/>
    <col min="9985" max="9985" width="20.83203125" style="76" customWidth="1"/>
    <col min="9986" max="9986" width="16.5" style="76" customWidth="1"/>
    <col min="9987" max="9987" width="17" style="76" customWidth="1"/>
    <col min="9988" max="9988" width="17.1640625" style="76" customWidth="1"/>
    <col min="9989" max="9989" width="15.1640625" style="76" bestFit="1" customWidth="1"/>
    <col min="9990" max="9990" width="20" style="76" bestFit="1" customWidth="1"/>
    <col min="9991" max="9993" width="16.5" style="76" customWidth="1"/>
    <col min="9994" max="10074" width="10.1640625" style="76"/>
    <col min="10075" max="10075" width="69.1640625" style="76" bestFit="1" customWidth="1"/>
    <col min="10076" max="10076" width="15.5" style="76" customWidth="1"/>
    <col min="10077" max="10078" width="18.1640625" style="76" customWidth="1"/>
    <col min="10079" max="10079" width="16.5" style="76" bestFit="1" customWidth="1"/>
    <col min="10080" max="10080" width="17.5" style="76" bestFit="1" customWidth="1"/>
    <col min="10081" max="10081" width="13.83203125" style="76" bestFit="1" customWidth="1"/>
    <col min="10082" max="10082" width="17.5" style="76" bestFit="1" customWidth="1"/>
    <col min="10083" max="10083" width="13.83203125" style="76" bestFit="1" customWidth="1"/>
    <col min="10084" max="10084" width="17.5" style="76" bestFit="1" customWidth="1"/>
    <col min="10085" max="10085" width="14.1640625" style="76" bestFit="1" customWidth="1"/>
    <col min="10086" max="10228" width="10.1640625" style="76"/>
    <col min="10229" max="10229" width="71.1640625" style="76" customWidth="1"/>
    <col min="10230" max="10230" width="57.83203125" style="76" customWidth="1"/>
    <col min="10231" max="10236" width="5.1640625" style="76" customWidth="1"/>
    <col min="10237" max="10237" width="36.5" style="76" customWidth="1"/>
    <col min="10238" max="10238" width="12.5" style="76" customWidth="1"/>
    <col min="10239" max="10239" width="14.83203125" style="76" customWidth="1"/>
    <col min="10240" max="10240" width="19.5" style="76" bestFit="1" customWidth="1"/>
    <col min="10241" max="10241" width="20.83203125" style="76" customWidth="1"/>
    <col min="10242" max="10242" width="16.5" style="76" customWidth="1"/>
    <col min="10243" max="10243" width="17" style="76" customWidth="1"/>
    <col min="10244" max="10244" width="17.1640625" style="76" customWidth="1"/>
    <col min="10245" max="10245" width="15.1640625" style="76" bestFit="1" customWidth="1"/>
    <col min="10246" max="10246" width="20" style="76" bestFit="1" customWidth="1"/>
    <col min="10247" max="10249" width="16.5" style="76" customWidth="1"/>
    <col min="10250" max="10330" width="10.1640625" style="76"/>
    <col min="10331" max="10331" width="69.1640625" style="76" bestFit="1" customWidth="1"/>
    <col min="10332" max="10332" width="15.5" style="76" customWidth="1"/>
    <col min="10333" max="10334" width="18.1640625" style="76" customWidth="1"/>
    <col min="10335" max="10335" width="16.5" style="76" bestFit="1" customWidth="1"/>
    <col min="10336" max="10336" width="17.5" style="76" bestFit="1" customWidth="1"/>
    <col min="10337" max="10337" width="13.83203125" style="76" bestFit="1" customWidth="1"/>
    <col min="10338" max="10338" width="17.5" style="76" bestFit="1" customWidth="1"/>
    <col min="10339" max="10339" width="13.83203125" style="76" bestFit="1" customWidth="1"/>
    <col min="10340" max="10340" width="17.5" style="76" bestFit="1" customWidth="1"/>
    <col min="10341" max="10341" width="14.1640625" style="76" bestFit="1" customWidth="1"/>
    <col min="10342" max="10484" width="10.1640625" style="76"/>
    <col min="10485" max="10485" width="71.1640625" style="76" customWidth="1"/>
    <col min="10486" max="10486" width="57.83203125" style="76" customWidth="1"/>
    <col min="10487" max="10492" width="5.1640625" style="76" customWidth="1"/>
    <col min="10493" max="10493" width="36.5" style="76" customWidth="1"/>
    <col min="10494" max="10494" width="12.5" style="76" customWidth="1"/>
    <col min="10495" max="10495" width="14.83203125" style="76" customWidth="1"/>
    <col min="10496" max="10496" width="19.5" style="76" bestFit="1" customWidth="1"/>
    <col min="10497" max="10497" width="20.83203125" style="76" customWidth="1"/>
    <col min="10498" max="10498" width="16.5" style="76" customWidth="1"/>
    <col min="10499" max="10499" width="17" style="76" customWidth="1"/>
    <col min="10500" max="10500" width="17.1640625" style="76" customWidth="1"/>
    <col min="10501" max="10501" width="15.1640625" style="76" bestFit="1" customWidth="1"/>
    <col min="10502" max="10502" width="20" style="76" bestFit="1" customWidth="1"/>
    <col min="10503" max="10505" width="16.5" style="76" customWidth="1"/>
    <col min="10506" max="10586" width="10.1640625" style="76"/>
    <col min="10587" max="10587" width="69.1640625" style="76" bestFit="1" customWidth="1"/>
    <col min="10588" max="10588" width="15.5" style="76" customWidth="1"/>
    <col min="10589" max="10590" width="18.1640625" style="76" customWidth="1"/>
    <col min="10591" max="10591" width="16.5" style="76" bestFit="1" customWidth="1"/>
    <col min="10592" max="10592" width="17.5" style="76" bestFit="1" customWidth="1"/>
    <col min="10593" max="10593" width="13.83203125" style="76" bestFit="1" customWidth="1"/>
    <col min="10594" max="10594" width="17.5" style="76" bestFit="1" customWidth="1"/>
    <col min="10595" max="10595" width="13.83203125" style="76" bestFit="1" customWidth="1"/>
    <col min="10596" max="10596" width="17.5" style="76" bestFit="1" customWidth="1"/>
    <col min="10597" max="10597" width="14.1640625" style="76" bestFit="1" customWidth="1"/>
    <col min="10598" max="10740" width="10.1640625" style="76"/>
    <col min="10741" max="10741" width="71.1640625" style="76" customWidth="1"/>
    <col min="10742" max="10742" width="57.83203125" style="76" customWidth="1"/>
    <col min="10743" max="10748" width="5.1640625" style="76" customWidth="1"/>
    <col min="10749" max="10749" width="36.5" style="76" customWidth="1"/>
    <col min="10750" max="10750" width="12.5" style="76" customWidth="1"/>
    <col min="10751" max="10751" width="14.83203125" style="76" customWidth="1"/>
    <col min="10752" max="10752" width="19.5" style="76" bestFit="1" customWidth="1"/>
    <col min="10753" max="10753" width="20.83203125" style="76" customWidth="1"/>
    <col min="10754" max="10754" width="16.5" style="76" customWidth="1"/>
    <col min="10755" max="10755" width="17" style="76" customWidth="1"/>
    <col min="10756" max="10756" width="17.1640625" style="76" customWidth="1"/>
    <col min="10757" max="10757" width="15.1640625" style="76" bestFit="1" customWidth="1"/>
    <col min="10758" max="10758" width="20" style="76" bestFit="1" customWidth="1"/>
    <col min="10759" max="10761" width="16.5" style="76" customWidth="1"/>
    <col min="10762" max="10842" width="10.1640625" style="76"/>
    <col min="10843" max="10843" width="69.1640625" style="76" bestFit="1" customWidth="1"/>
    <col min="10844" max="10844" width="15.5" style="76" customWidth="1"/>
    <col min="10845" max="10846" width="18.1640625" style="76" customWidth="1"/>
    <col min="10847" max="10847" width="16.5" style="76" bestFit="1" customWidth="1"/>
    <col min="10848" max="10848" width="17.5" style="76" bestFit="1" customWidth="1"/>
    <col min="10849" max="10849" width="13.83203125" style="76" bestFit="1" customWidth="1"/>
    <col min="10850" max="10850" width="17.5" style="76" bestFit="1" customWidth="1"/>
    <col min="10851" max="10851" width="13.83203125" style="76" bestFit="1" customWidth="1"/>
    <col min="10852" max="10852" width="17.5" style="76" bestFit="1" customWidth="1"/>
    <col min="10853" max="10853" width="14.1640625" style="76" bestFit="1" customWidth="1"/>
    <col min="10854" max="10996" width="10.1640625" style="76"/>
    <col min="10997" max="10997" width="71.1640625" style="76" customWidth="1"/>
    <col min="10998" max="10998" width="57.83203125" style="76" customWidth="1"/>
    <col min="10999" max="11004" width="5.1640625" style="76" customWidth="1"/>
    <col min="11005" max="11005" width="36.5" style="76" customWidth="1"/>
    <col min="11006" max="11006" width="12.5" style="76" customWidth="1"/>
    <col min="11007" max="11007" width="14.83203125" style="76" customWidth="1"/>
    <col min="11008" max="11008" width="19.5" style="76" bestFit="1" customWidth="1"/>
    <col min="11009" max="11009" width="20.83203125" style="76" customWidth="1"/>
    <col min="11010" max="11010" width="16.5" style="76" customWidth="1"/>
    <col min="11011" max="11011" width="17" style="76" customWidth="1"/>
    <col min="11012" max="11012" width="17.1640625" style="76" customWidth="1"/>
    <col min="11013" max="11013" width="15.1640625" style="76" bestFit="1" customWidth="1"/>
    <col min="11014" max="11014" width="20" style="76" bestFit="1" customWidth="1"/>
    <col min="11015" max="11017" width="16.5" style="76" customWidth="1"/>
    <col min="11018" max="11098" width="10.1640625" style="76"/>
    <col min="11099" max="11099" width="69.1640625" style="76" bestFit="1" customWidth="1"/>
    <col min="11100" max="11100" width="15.5" style="76" customWidth="1"/>
    <col min="11101" max="11102" width="18.1640625" style="76" customWidth="1"/>
    <col min="11103" max="11103" width="16.5" style="76" bestFit="1" customWidth="1"/>
    <col min="11104" max="11104" width="17.5" style="76" bestFit="1" customWidth="1"/>
    <col min="11105" max="11105" width="13.83203125" style="76" bestFit="1" customWidth="1"/>
    <col min="11106" max="11106" width="17.5" style="76" bestFit="1" customWidth="1"/>
    <col min="11107" max="11107" width="13.83203125" style="76" bestFit="1" customWidth="1"/>
    <col min="11108" max="11108" width="17.5" style="76" bestFit="1" customWidth="1"/>
    <col min="11109" max="11109" width="14.1640625" style="76" bestFit="1" customWidth="1"/>
    <col min="11110" max="11252" width="10.1640625" style="76"/>
    <col min="11253" max="11253" width="71.1640625" style="76" customWidth="1"/>
    <col min="11254" max="11254" width="57.83203125" style="76" customWidth="1"/>
    <col min="11255" max="11260" width="5.1640625" style="76" customWidth="1"/>
    <col min="11261" max="11261" width="36.5" style="76" customWidth="1"/>
    <col min="11262" max="11262" width="12.5" style="76" customWidth="1"/>
    <col min="11263" max="11263" width="14.83203125" style="76" customWidth="1"/>
    <col min="11264" max="11264" width="19.5" style="76" bestFit="1" customWidth="1"/>
    <col min="11265" max="11265" width="20.83203125" style="76" customWidth="1"/>
    <col min="11266" max="11266" width="16.5" style="76" customWidth="1"/>
    <col min="11267" max="11267" width="17" style="76" customWidth="1"/>
    <col min="11268" max="11268" width="17.1640625" style="76" customWidth="1"/>
    <col min="11269" max="11269" width="15.1640625" style="76" bestFit="1" customWidth="1"/>
    <col min="11270" max="11270" width="20" style="76" bestFit="1" customWidth="1"/>
    <col min="11271" max="11273" width="16.5" style="76" customWidth="1"/>
    <col min="11274" max="11354" width="10.1640625" style="76"/>
    <col min="11355" max="11355" width="69.1640625" style="76" bestFit="1" customWidth="1"/>
    <col min="11356" max="11356" width="15.5" style="76" customWidth="1"/>
    <col min="11357" max="11358" width="18.1640625" style="76" customWidth="1"/>
    <col min="11359" max="11359" width="16.5" style="76" bestFit="1" customWidth="1"/>
    <col min="11360" max="11360" width="17.5" style="76" bestFit="1" customWidth="1"/>
    <col min="11361" max="11361" width="13.83203125" style="76" bestFit="1" customWidth="1"/>
    <col min="11362" max="11362" width="17.5" style="76" bestFit="1" customWidth="1"/>
    <col min="11363" max="11363" width="13.83203125" style="76" bestFit="1" customWidth="1"/>
    <col min="11364" max="11364" width="17.5" style="76" bestFit="1" customWidth="1"/>
    <col min="11365" max="11365" width="14.1640625" style="76" bestFit="1" customWidth="1"/>
    <col min="11366" max="11508" width="10.1640625" style="76"/>
    <col min="11509" max="11509" width="71.1640625" style="76" customWidth="1"/>
    <col min="11510" max="11510" width="57.83203125" style="76" customWidth="1"/>
    <col min="11511" max="11516" width="5.1640625" style="76" customWidth="1"/>
    <col min="11517" max="11517" width="36.5" style="76" customWidth="1"/>
    <col min="11518" max="11518" width="12.5" style="76" customWidth="1"/>
    <col min="11519" max="11519" width="14.83203125" style="76" customWidth="1"/>
    <col min="11520" max="11520" width="19.5" style="76" bestFit="1" customWidth="1"/>
    <col min="11521" max="11521" width="20.83203125" style="76" customWidth="1"/>
    <col min="11522" max="11522" width="16.5" style="76" customWidth="1"/>
    <col min="11523" max="11523" width="17" style="76" customWidth="1"/>
    <col min="11524" max="11524" width="17.1640625" style="76" customWidth="1"/>
    <col min="11525" max="11525" width="15.1640625" style="76" bestFit="1" customWidth="1"/>
    <col min="11526" max="11526" width="20" style="76" bestFit="1" customWidth="1"/>
    <col min="11527" max="11529" width="16.5" style="76" customWidth="1"/>
    <col min="11530" max="11610" width="10.1640625" style="76"/>
    <col min="11611" max="11611" width="69.1640625" style="76" bestFit="1" customWidth="1"/>
    <col min="11612" max="11612" width="15.5" style="76" customWidth="1"/>
    <col min="11613" max="11614" width="18.1640625" style="76" customWidth="1"/>
    <col min="11615" max="11615" width="16.5" style="76" bestFit="1" customWidth="1"/>
    <col min="11616" max="11616" width="17.5" style="76" bestFit="1" customWidth="1"/>
    <col min="11617" max="11617" width="13.83203125" style="76" bestFit="1" customWidth="1"/>
    <col min="11618" max="11618" width="17.5" style="76" bestFit="1" customWidth="1"/>
    <col min="11619" max="11619" width="13.83203125" style="76" bestFit="1" customWidth="1"/>
    <col min="11620" max="11620" width="17.5" style="76" bestFit="1" customWidth="1"/>
    <col min="11621" max="11621" width="14.1640625" style="76" bestFit="1" customWidth="1"/>
    <col min="11622" max="11764" width="10.1640625" style="76"/>
    <col min="11765" max="11765" width="71.1640625" style="76" customWidth="1"/>
    <col min="11766" max="11766" width="57.83203125" style="76" customWidth="1"/>
    <col min="11767" max="11772" width="5.1640625" style="76" customWidth="1"/>
    <col min="11773" max="11773" width="36.5" style="76" customWidth="1"/>
    <col min="11774" max="11774" width="12.5" style="76" customWidth="1"/>
    <col min="11775" max="11775" width="14.83203125" style="76" customWidth="1"/>
    <col min="11776" max="11776" width="19.5" style="76" bestFit="1" customWidth="1"/>
    <col min="11777" max="11777" width="20.83203125" style="76" customWidth="1"/>
    <col min="11778" max="11778" width="16.5" style="76" customWidth="1"/>
    <col min="11779" max="11779" width="17" style="76" customWidth="1"/>
    <col min="11780" max="11780" width="17.1640625" style="76" customWidth="1"/>
    <col min="11781" max="11781" width="15.1640625" style="76" bestFit="1" customWidth="1"/>
    <col min="11782" max="11782" width="20" style="76" bestFit="1" customWidth="1"/>
    <col min="11783" max="11785" width="16.5" style="76" customWidth="1"/>
    <col min="11786" max="11866" width="10.1640625" style="76"/>
    <col min="11867" max="11867" width="69.1640625" style="76" bestFit="1" customWidth="1"/>
    <col min="11868" max="11868" width="15.5" style="76" customWidth="1"/>
    <col min="11869" max="11870" width="18.1640625" style="76" customWidth="1"/>
    <col min="11871" max="11871" width="16.5" style="76" bestFit="1" customWidth="1"/>
    <col min="11872" max="11872" width="17.5" style="76" bestFit="1" customWidth="1"/>
    <col min="11873" max="11873" width="13.83203125" style="76" bestFit="1" customWidth="1"/>
    <col min="11874" max="11874" width="17.5" style="76" bestFit="1" customWidth="1"/>
    <col min="11875" max="11875" width="13.83203125" style="76" bestFit="1" customWidth="1"/>
    <col min="11876" max="11876" width="17.5" style="76" bestFit="1" customWidth="1"/>
    <col min="11877" max="11877" width="14.1640625" style="76" bestFit="1" customWidth="1"/>
    <col min="11878" max="12020" width="10.1640625" style="76"/>
    <col min="12021" max="12021" width="71.1640625" style="76" customWidth="1"/>
    <col min="12022" max="12022" width="57.83203125" style="76" customWidth="1"/>
    <col min="12023" max="12028" width="5.1640625" style="76" customWidth="1"/>
    <col min="12029" max="12029" width="36.5" style="76" customWidth="1"/>
    <col min="12030" max="12030" width="12.5" style="76" customWidth="1"/>
    <col min="12031" max="12031" width="14.83203125" style="76" customWidth="1"/>
    <col min="12032" max="12032" width="19.5" style="76" bestFit="1" customWidth="1"/>
    <col min="12033" max="12033" width="20.83203125" style="76" customWidth="1"/>
    <col min="12034" max="12034" width="16.5" style="76" customWidth="1"/>
    <col min="12035" max="12035" width="17" style="76" customWidth="1"/>
    <col min="12036" max="12036" width="17.1640625" style="76" customWidth="1"/>
    <col min="12037" max="12037" width="15.1640625" style="76" bestFit="1" customWidth="1"/>
    <col min="12038" max="12038" width="20" style="76" bestFit="1" customWidth="1"/>
    <col min="12039" max="12041" width="16.5" style="76" customWidth="1"/>
    <col min="12042" max="12122" width="10.1640625" style="76"/>
    <col min="12123" max="12123" width="69.1640625" style="76" bestFit="1" customWidth="1"/>
    <col min="12124" max="12124" width="15.5" style="76" customWidth="1"/>
    <col min="12125" max="12126" width="18.1640625" style="76" customWidth="1"/>
    <col min="12127" max="12127" width="16.5" style="76" bestFit="1" customWidth="1"/>
    <col min="12128" max="12128" width="17.5" style="76" bestFit="1" customWidth="1"/>
    <col min="12129" max="12129" width="13.83203125" style="76" bestFit="1" customWidth="1"/>
    <col min="12130" max="12130" width="17.5" style="76" bestFit="1" customWidth="1"/>
    <col min="12131" max="12131" width="13.83203125" style="76" bestFit="1" customWidth="1"/>
    <col min="12132" max="12132" width="17.5" style="76" bestFit="1" customWidth="1"/>
    <col min="12133" max="12133" width="14.1640625" style="76" bestFit="1" customWidth="1"/>
    <col min="12134" max="12276" width="10.1640625" style="76"/>
    <col min="12277" max="12277" width="71.1640625" style="76" customWidth="1"/>
    <col min="12278" max="12278" width="57.83203125" style="76" customWidth="1"/>
    <col min="12279" max="12284" width="5.1640625" style="76" customWidth="1"/>
    <col min="12285" max="12285" width="36.5" style="76" customWidth="1"/>
    <col min="12286" max="12286" width="12.5" style="76" customWidth="1"/>
    <col min="12287" max="12287" width="14.83203125" style="76" customWidth="1"/>
    <col min="12288" max="12288" width="19.5" style="76" bestFit="1" customWidth="1"/>
    <col min="12289" max="12289" width="20.83203125" style="76" customWidth="1"/>
    <col min="12290" max="12290" width="16.5" style="76" customWidth="1"/>
    <col min="12291" max="12291" width="17" style="76" customWidth="1"/>
    <col min="12292" max="12292" width="17.1640625" style="76" customWidth="1"/>
    <col min="12293" max="12293" width="15.1640625" style="76" bestFit="1" customWidth="1"/>
    <col min="12294" max="12294" width="20" style="76" bestFit="1" customWidth="1"/>
    <col min="12295" max="12297" width="16.5" style="76" customWidth="1"/>
    <col min="12298" max="12378" width="10.1640625" style="76"/>
    <col min="12379" max="12379" width="69.1640625" style="76" bestFit="1" customWidth="1"/>
    <col min="12380" max="12380" width="15.5" style="76" customWidth="1"/>
    <col min="12381" max="12382" width="18.1640625" style="76" customWidth="1"/>
    <col min="12383" max="12383" width="16.5" style="76" bestFit="1" customWidth="1"/>
    <col min="12384" max="12384" width="17.5" style="76" bestFit="1" customWidth="1"/>
    <col min="12385" max="12385" width="13.83203125" style="76" bestFit="1" customWidth="1"/>
    <col min="12386" max="12386" width="17.5" style="76" bestFit="1" customWidth="1"/>
    <col min="12387" max="12387" width="13.83203125" style="76" bestFit="1" customWidth="1"/>
    <col min="12388" max="12388" width="17.5" style="76" bestFit="1" customWidth="1"/>
    <col min="12389" max="12389" width="14.1640625" style="76" bestFit="1" customWidth="1"/>
    <col min="12390" max="12532" width="10.1640625" style="76"/>
    <col min="12533" max="12533" width="71.1640625" style="76" customWidth="1"/>
    <col min="12534" max="12534" width="57.83203125" style="76" customWidth="1"/>
    <col min="12535" max="12540" width="5.1640625" style="76" customWidth="1"/>
    <col min="12541" max="12541" width="36.5" style="76" customWidth="1"/>
    <col min="12542" max="12542" width="12.5" style="76" customWidth="1"/>
    <col min="12543" max="12543" width="14.83203125" style="76" customWidth="1"/>
    <col min="12544" max="12544" width="19.5" style="76" bestFit="1" customWidth="1"/>
    <col min="12545" max="12545" width="20.83203125" style="76" customWidth="1"/>
    <col min="12546" max="12546" width="16.5" style="76" customWidth="1"/>
    <col min="12547" max="12547" width="17" style="76" customWidth="1"/>
    <col min="12548" max="12548" width="17.1640625" style="76" customWidth="1"/>
    <col min="12549" max="12549" width="15.1640625" style="76" bestFit="1" customWidth="1"/>
    <col min="12550" max="12550" width="20" style="76" bestFit="1" customWidth="1"/>
    <col min="12551" max="12553" width="16.5" style="76" customWidth="1"/>
    <col min="12554" max="12634" width="10.1640625" style="76"/>
    <col min="12635" max="12635" width="69.1640625" style="76" bestFit="1" customWidth="1"/>
    <col min="12636" max="12636" width="15.5" style="76" customWidth="1"/>
    <col min="12637" max="12638" width="18.1640625" style="76" customWidth="1"/>
    <col min="12639" max="12639" width="16.5" style="76" bestFit="1" customWidth="1"/>
    <col min="12640" max="12640" width="17.5" style="76" bestFit="1" customWidth="1"/>
    <col min="12641" max="12641" width="13.83203125" style="76" bestFit="1" customWidth="1"/>
    <col min="12642" max="12642" width="17.5" style="76" bestFit="1" customWidth="1"/>
    <col min="12643" max="12643" width="13.83203125" style="76" bestFit="1" customWidth="1"/>
    <col min="12644" max="12644" width="17.5" style="76" bestFit="1" customWidth="1"/>
    <col min="12645" max="12645" width="14.1640625" style="76" bestFit="1" customWidth="1"/>
    <col min="12646" max="12788" width="10.1640625" style="76"/>
    <col min="12789" max="12789" width="71.1640625" style="76" customWidth="1"/>
    <col min="12790" max="12790" width="57.83203125" style="76" customWidth="1"/>
    <col min="12791" max="12796" width="5.1640625" style="76" customWidth="1"/>
    <col min="12797" max="12797" width="36.5" style="76" customWidth="1"/>
    <col min="12798" max="12798" width="12.5" style="76" customWidth="1"/>
    <col min="12799" max="12799" width="14.83203125" style="76" customWidth="1"/>
    <col min="12800" max="12800" width="19.5" style="76" bestFit="1" customWidth="1"/>
    <col min="12801" max="12801" width="20.83203125" style="76" customWidth="1"/>
    <col min="12802" max="12802" width="16.5" style="76" customWidth="1"/>
    <col min="12803" max="12803" width="17" style="76" customWidth="1"/>
    <col min="12804" max="12804" width="17.1640625" style="76" customWidth="1"/>
    <col min="12805" max="12805" width="15.1640625" style="76" bestFit="1" customWidth="1"/>
    <col min="12806" max="12806" width="20" style="76" bestFit="1" customWidth="1"/>
    <col min="12807" max="12809" width="16.5" style="76" customWidth="1"/>
    <col min="12810" max="12890" width="10.1640625" style="76"/>
    <col min="12891" max="12891" width="69.1640625" style="76" bestFit="1" customWidth="1"/>
    <col min="12892" max="12892" width="15.5" style="76" customWidth="1"/>
    <col min="12893" max="12894" width="18.1640625" style="76" customWidth="1"/>
    <col min="12895" max="12895" width="16.5" style="76" bestFit="1" customWidth="1"/>
    <col min="12896" max="12896" width="17.5" style="76" bestFit="1" customWidth="1"/>
    <col min="12897" max="12897" width="13.83203125" style="76" bestFit="1" customWidth="1"/>
    <col min="12898" max="12898" width="17.5" style="76" bestFit="1" customWidth="1"/>
    <col min="12899" max="12899" width="13.83203125" style="76" bestFit="1" customWidth="1"/>
    <col min="12900" max="12900" width="17.5" style="76" bestFit="1" customWidth="1"/>
    <col min="12901" max="12901" width="14.1640625" style="76" bestFit="1" customWidth="1"/>
    <col min="12902" max="13044" width="10.1640625" style="76"/>
    <col min="13045" max="13045" width="71.1640625" style="76" customWidth="1"/>
    <col min="13046" max="13046" width="57.83203125" style="76" customWidth="1"/>
    <col min="13047" max="13052" width="5.1640625" style="76" customWidth="1"/>
    <col min="13053" max="13053" width="36.5" style="76" customWidth="1"/>
    <col min="13054" max="13054" width="12.5" style="76" customWidth="1"/>
    <col min="13055" max="13055" width="14.83203125" style="76" customWidth="1"/>
    <col min="13056" max="13056" width="19.5" style="76" bestFit="1" customWidth="1"/>
    <col min="13057" max="13057" width="20.83203125" style="76" customWidth="1"/>
    <col min="13058" max="13058" width="16.5" style="76" customWidth="1"/>
    <col min="13059" max="13059" width="17" style="76" customWidth="1"/>
    <col min="13060" max="13060" width="17.1640625" style="76" customWidth="1"/>
    <col min="13061" max="13061" width="15.1640625" style="76" bestFit="1" customWidth="1"/>
    <col min="13062" max="13062" width="20" style="76" bestFit="1" customWidth="1"/>
    <col min="13063" max="13065" width="16.5" style="76" customWidth="1"/>
    <col min="13066" max="13146" width="10.1640625" style="76"/>
    <col min="13147" max="13147" width="69.1640625" style="76" bestFit="1" customWidth="1"/>
    <col min="13148" max="13148" width="15.5" style="76" customWidth="1"/>
    <col min="13149" max="13150" width="18.1640625" style="76" customWidth="1"/>
    <col min="13151" max="13151" width="16.5" style="76" bestFit="1" customWidth="1"/>
    <col min="13152" max="13152" width="17.5" style="76" bestFit="1" customWidth="1"/>
    <col min="13153" max="13153" width="13.83203125" style="76" bestFit="1" customWidth="1"/>
    <col min="13154" max="13154" width="17.5" style="76" bestFit="1" customWidth="1"/>
    <col min="13155" max="13155" width="13.83203125" style="76" bestFit="1" customWidth="1"/>
    <col min="13156" max="13156" width="17.5" style="76" bestFit="1" customWidth="1"/>
    <col min="13157" max="13157" width="14.1640625" style="76" bestFit="1" customWidth="1"/>
    <col min="13158" max="13300" width="10.1640625" style="76"/>
    <col min="13301" max="13301" width="71.1640625" style="76" customWidth="1"/>
    <col min="13302" max="13302" width="57.83203125" style="76" customWidth="1"/>
    <col min="13303" max="13308" width="5.1640625" style="76" customWidth="1"/>
    <col min="13309" max="13309" width="36.5" style="76" customWidth="1"/>
    <col min="13310" max="13310" width="12.5" style="76" customWidth="1"/>
    <col min="13311" max="13311" width="14.83203125" style="76" customWidth="1"/>
    <col min="13312" max="13312" width="19.5" style="76" bestFit="1" customWidth="1"/>
    <col min="13313" max="13313" width="20.83203125" style="76" customWidth="1"/>
    <col min="13314" max="13314" width="16.5" style="76" customWidth="1"/>
    <col min="13315" max="13315" width="17" style="76" customWidth="1"/>
    <col min="13316" max="13316" width="17.1640625" style="76" customWidth="1"/>
    <col min="13317" max="13317" width="15.1640625" style="76" bestFit="1" customWidth="1"/>
    <col min="13318" max="13318" width="20" style="76" bestFit="1" customWidth="1"/>
    <col min="13319" max="13321" width="16.5" style="76" customWidth="1"/>
    <col min="13322" max="13402" width="10.1640625" style="76"/>
    <col min="13403" max="13403" width="69.1640625" style="76" bestFit="1" customWidth="1"/>
    <col min="13404" max="13404" width="15.5" style="76" customWidth="1"/>
    <col min="13405" max="13406" width="18.1640625" style="76" customWidth="1"/>
    <col min="13407" max="13407" width="16.5" style="76" bestFit="1" customWidth="1"/>
    <col min="13408" max="13408" width="17.5" style="76" bestFit="1" customWidth="1"/>
    <col min="13409" max="13409" width="13.83203125" style="76" bestFit="1" customWidth="1"/>
    <col min="13410" max="13410" width="17.5" style="76" bestFit="1" customWidth="1"/>
    <col min="13411" max="13411" width="13.83203125" style="76" bestFit="1" customWidth="1"/>
    <col min="13412" max="13412" width="17.5" style="76" bestFit="1" customWidth="1"/>
    <col min="13413" max="13413" width="14.1640625" style="76" bestFit="1" customWidth="1"/>
    <col min="13414" max="13556" width="10.1640625" style="76"/>
    <col min="13557" max="13557" width="71.1640625" style="76" customWidth="1"/>
    <col min="13558" max="13558" width="57.83203125" style="76" customWidth="1"/>
    <col min="13559" max="13564" width="5.1640625" style="76" customWidth="1"/>
    <col min="13565" max="13565" width="36.5" style="76" customWidth="1"/>
    <col min="13566" max="13566" width="12.5" style="76" customWidth="1"/>
    <col min="13567" max="13567" width="14.83203125" style="76" customWidth="1"/>
    <col min="13568" max="13568" width="19.5" style="76" bestFit="1" customWidth="1"/>
    <col min="13569" max="13569" width="20.83203125" style="76" customWidth="1"/>
    <col min="13570" max="13570" width="16.5" style="76" customWidth="1"/>
    <col min="13571" max="13571" width="17" style="76" customWidth="1"/>
    <col min="13572" max="13572" width="17.1640625" style="76" customWidth="1"/>
    <col min="13573" max="13573" width="15.1640625" style="76" bestFit="1" customWidth="1"/>
    <col min="13574" max="13574" width="20" style="76" bestFit="1" customWidth="1"/>
    <col min="13575" max="13577" width="16.5" style="76" customWidth="1"/>
    <col min="13578" max="13658" width="10.1640625" style="76"/>
    <col min="13659" max="13659" width="69.1640625" style="76" bestFit="1" customWidth="1"/>
    <col min="13660" max="13660" width="15.5" style="76" customWidth="1"/>
    <col min="13661" max="13662" width="18.1640625" style="76" customWidth="1"/>
    <col min="13663" max="13663" width="16.5" style="76" bestFit="1" customWidth="1"/>
    <col min="13664" max="13664" width="17.5" style="76" bestFit="1" customWidth="1"/>
    <col min="13665" max="13665" width="13.83203125" style="76" bestFit="1" customWidth="1"/>
    <col min="13666" max="13666" width="17.5" style="76" bestFit="1" customWidth="1"/>
    <col min="13667" max="13667" width="13.83203125" style="76" bestFit="1" customWidth="1"/>
    <col min="13668" max="13668" width="17.5" style="76" bestFit="1" customWidth="1"/>
    <col min="13669" max="13669" width="14.1640625" style="76" bestFit="1" customWidth="1"/>
    <col min="13670" max="13812" width="10.1640625" style="76"/>
    <col min="13813" max="13813" width="71.1640625" style="76" customWidth="1"/>
    <col min="13814" max="13814" width="57.83203125" style="76" customWidth="1"/>
    <col min="13815" max="13820" width="5.1640625" style="76" customWidth="1"/>
    <col min="13821" max="13821" width="36.5" style="76" customWidth="1"/>
    <col min="13822" max="13822" width="12.5" style="76" customWidth="1"/>
    <col min="13823" max="13823" width="14.83203125" style="76" customWidth="1"/>
    <col min="13824" max="13824" width="19.5" style="76" bestFit="1" customWidth="1"/>
    <col min="13825" max="13825" width="20.83203125" style="76" customWidth="1"/>
    <col min="13826" max="13826" width="16.5" style="76" customWidth="1"/>
    <col min="13827" max="13827" width="17" style="76" customWidth="1"/>
    <col min="13828" max="13828" width="17.1640625" style="76" customWidth="1"/>
    <col min="13829" max="13829" width="15.1640625" style="76" bestFit="1" customWidth="1"/>
    <col min="13830" max="13830" width="20" style="76" bestFit="1" customWidth="1"/>
    <col min="13831" max="13833" width="16.5" style="76" customWidth="1"/>
    <col min="13834" max="13914" width="10.1640625" style="76"/>
    <col min="13915" max="13915" width="69.1640625" style="76" bestFit="1" customWidth="1"/>
    <col min="13916" max="13916" width="15.5" style="76" customWidth="1"/>
    <col min="13917" max="13918" width="18.1640625" style="76" customWidth="1"/>
    <col min="13919" max="13919" width="16.5" style="76" bestFit="1" customWidth="1"/>
    <col min="13920" max="13920" width="17.5" style="76" bestFit="1" customWidth="1"/>
    <col min="13921" max="13921" width="13.83203125" style="76" bestFit="1" customWidth="1"/>
    <col min="13922" max="13922" width="17.5" style="76" bestFit="1" customWidth="1"/>
    <col min="13923" max="13923" width="13.83203125" style="76" bestFit="1" customWidth="1"/>
    <col min="13924" max="13924" width="17.5" style="76" bestFit="1" customWidth="1"/>
    <col min="13925" max="13925" width="14.1640625" style="76" bestFit="1" customWidth="1"/>
    <col min="13926" max="14068" width="10.1640625" style="76"/>
    <col min="14069" max="14069" width="71.1640625" style="76" customWidth="1"/>
    <col min="14070" max="14070" width="57.83203125" style="76" customWidth="1"/>
    <col min="14071" max="14076" width="5.1640625" style="76" customWidth="1"/>
    <col min="14077" max="14077" width="36.5" style="76" customWidth="1"/>
    <col min="14078" max="14078" width="12.5" style="76" customWidth="1"/>
    <col min="14079" max="14079" width="14.83203125" style="76" customWidth="1"/>
    <col min="14080" max="14080" width="19.5" style="76" bestFit="1" customWidth="1"/>
    <col min="14081" max="14081" width="20.83203125" style="76" customWidth="1"/>
    <col min="14082" max="14082" width="16.5" style="76" customWidth="1"/>
    <col min="14083" max="14083" width="17" style="76" customWidth="1"/>
    <col min="14084" max="14084" width="17.1640625" style="76" customWidth="1"/>
    <col min="14085" max="14085" width="15.1640625" style="76" bestFit="1" customWidth="1"/>
    <col min="14086" max="14086" width="20" style="76" bestFit="1" customWidth="1"/>
    <col min="14087" max="14089" width="16.5" style="76" customWidth="1"/>
    <col min="14090" max="14170" width="10.1640625" style="76"/>
    <col min="14171" max="14171" width="69.1640625" style="76" bestFit="1" customWidth="1"/>
    <col min="14172" max="14172" width="15.5" style="76" customWidth="1"/>
    <col min="14173" max="14174" width="18.1640625" style="76" customWidth="1"/>
    <col min="14175" max="14175" width="16.5" style="76" bestFit="1" customWidth="1"/>
    <col min="14176" max="14176" width="17.5" style="76" bestFit="1" customWidth="1"/>
    <col min="14177" max="14177" width="13.83203125" style="76" bestFit="1" customWidth="1"/>
    <col min="14178" max="14178" width="17.5" style="76" bestFit="1" customWidth="1"/>
    <col min="14179" max="14179" width="13.83203125" style="76" bestFit="1" customWidth="1"/>
    <col min="14180" max="14180" width="17.5" style="76" bestFit="1" customWidth="1"/>
    <col min="14181" max="14181" width="14.1640625" style="76" bestFit="1" customWidth="1"/>
    <col min="14182" max="14324" width="10.1640625" style="76"/>
    <col min="14325" max="14325" width="71.1640625" style="76" customWidth="1"/>
    <col min="14326" max="14326" width="57.83203125" style="76" customWidth="1"/>
    <col min="14327" max="14332" width="5.1640625" style="76" customWidth="1"/>
    <col min="14333" max="14333" width="36.5" style="76" customWidth="1"/>
    <col min="14334" max="14334" width="12.5" style="76" customWidth="1"/>
    <col min="14335" max="14335" width="14.83203125" style="76" customWidth="1"/>
    <col min="14336" max="14336" width="19.5" style="76" bestFit="1" customWidth="1"/>
    <col min="14337" max="14337" width="20.83203125" style="76" customWidth="1"/>
    <col min="14338" max="14338" width="16.5" style="76" customWidth="1"/>
    <col min="14339" max="14339" width="17" style="76" customWidth="1"/>
    <col min="14340" max="14340" width="17.1640625" style="76" customWidth="1"/>
    <col min="14341" max="14341" width="15.1640625" style="76" bestFit="1" customWidth="1"/>
    <col min="14342" max="14342" width="20" style="76" bestFit="1" customWidth="1"/>
    <col min="14343" max="14345" width="16.5" style="76" customWidth="1"/>
    <col min="14346" max="14426" width="10.1640625" style="76"/>
    <col min="14427" max="14427" width="69.1640625" style="76" bestFit="1" customWidth="1"/>
    <col min="14428" max="14428" width="15.5" style="76" customWidth="1"/>
    <col min="14429" max="14430" width="18.1640625" style="76" customWidth="1"/>
    <col min="14431" max="14431" width="16.5" style="76" bestFit="1" customWidth="1"/>
    <col min="14432" max="14432" width="17.5" style="76" bestFit="1" customWidth="1"/>
    <col min="14433" max="14433" width="13.83203125" style="76" bestFit="1" customWidth="1"/>
    <col min="14434" max="14434" width="17.5" style="76" bestFit="1" customWidth="1"/>
    <col min="14435" max="14435" width="13.83203125" style="76" bestFit="1" customWidth="1"/>
    <col min="14436" max="14436" width="17.5" style="76" bestFit="1" customWidth="1"/>
    <col min="14437" max="14437" width="14.1640625" style="76" bestFit="1" customWidth="1"/>
    <col min="14438" max="14580" width="10.1640625" style="76"/>
    <col min="14581" max="14581" width="71.1640625" style="76" customWidth="1"/>
    <col min="14582" max="14582" width="57.83203125" style="76" customWidth="1"/>
    <col min="14583" max="14588" width="5.1640625" style="76" customWidth="1"/>
    <col min="14589" max="14589" width="36.5" style="76" customWidth="1"/>
    <col min="14590" max="14590" width="12.5" style="76" customWidth="1"/>
    <col min="14591" max="14591" width="14.83203125" style="76" customWidth="1"/>
    <col min="14592" max="14592" width="19.5" style="76" bestFit="1" customWidth="1"/>
    <col min="14593" max="14593" width="20.83203125" style="76" customWidth="1"/>
    <col min="14594" max="14594" width="16.5" style="76" customWidth="1"/>
    <col min="14595" max="14595" width="17" style="76" customWidth="1"/>
    <col min="14596" max="14596" width="17.1640625" style="76" customWidth="1"/>
    <col min="14597" max="14597" width="15.1640625" style="76" bestFit="1" customWidth="1"/>
    <col min="14598" max="14598" width="20" style="76" bestFit="1" customWidth="1"/>
    <col min="14599" max="14601" width="16.5" style="76" customWidth="1"/>
    <col min="14602" max="14682" width="10.1640625" style="76"/>
    <col min="14683" max="14683" width="69.1640625" style="76" bestFit="1" customWidth="1"/>
    <col min="14684" max="14684" width="15.5" style="76" customWidth="1"/>
    <col min="14685" max="14686" width="18.1640625" style="76" customWidth="1"/>
    <col min="14687" max="14687" width="16.5" style="76" bestFit="1" customWidth="1"/>
    <col min="14688" max="14688" width="17.5" style="76" bestFit="1" customWidth="1"/>
    <col min="14689" max="14689" width="13.83203125" style="76" bestFit="1" customWidth="1"/>
    <col min="14690" max="14690" width="17.5" style="76" bestFit="1" customWidth="1"/>
    <col min="14691" max="14691" width="13.83203125" style="76" bestFit="1" customWidth="1"/>
    <col min="14692" max="14692" width="17.5" style="76" bestFit="1" customWidth="1"/>
    <col min="14693" max="14693" width="14.1640625" style="76" bestFit="1" customWidth="1"/>
    <col min="14694" max="14836" width="10.1640625" style="76"/>
    <col min="14837" max="14837" width="71.1640625" style="76" customWidth="1"/>
    <col min="14838" max="14838" width="57.83203125" style="76" customWidth="1"/>
    <col min="14839" max="14844" width="5.1640625" style="76" customWidth="1"/>
    <col min="14845" max="14845" width="36.5" style="76" customWidth="1"/>
    <col min="14846" max="14846" width="12.5" style="76" customWidth="1"/>
    <col min="14847" max="14847" width="14.83203125" style="76" customWidth="1"/>
    <col min="14848" max="14848" width="19.5" style="76" bestFit="1" customWidth="1"/>
    <col min="14849" max="14849" width="20.83203125" style="76" customWidth="1"/>
    <col min="14850" max="14850" width="16.5" style="76" customWidth="1"/>
    <col min="14851" max="14851" width="17" style="76" customWidth="1"/>
    <col min="14852" max="14852" width="17.1640625" style="76" customWidth="1"/>
    <col min="14853" max="14853" width="15.1640625" style="76" bestFit="1" customWidth="1"/>
    <col min="14854" max="14854" width="20" style="76" bestFit="1" customWidth="1"/>
    <col min="14855" max="14857" width="16.5" style="76" customWidth="1"/>
    <col min="14858" max="14938" width="10.1640625" style="76"/>
    <col min="14939" max="14939" width="69.1640625" style="76" bestFit="1" customWidth="1"/>
    <col min="14940" max="14940" width="15.5" style="76" customWidth="1"/>
    <col min="14941" max="14942" width="18.1640625" style="76" customWidth="1"/>
    <col min="14943" max="14943" width="16.5" style="76" bestFit="1" customWidth="1"/>
    <col min="14944" max="14944" width="17.5" style="76" bestFit="1" customWidth="1"/>
    <col min="14945" max="14945" width="13.83203125" style="76" bestFit="1" customWidth="1"/>
    <col min="14946" max="14946" width="17.5" style="76" bestFit="1" customWidth="1"/>
    <col min="14947" max="14947" width="13.83203125" style="76" bestFit="1" customWidth="1"/>
    <col min="14948" max="14948" width="17.5" style="76" bestFit="1" customWidth="1"/>
    <col min="14949" max="14949" width="14.1640625" style="76" bestFit="1" customWidth="1"/>
    <col min="14950" max="15092" width="10.1640625" style="76"/>
    <col min="15093" max="15093" width="71.1640625" style="76" customWidth="1"/>
    <col min="15094" max="15094" width="57.83203125" style="76" customWidth="1"/>
    <col min="15095" max="15100" width="5.1640625" style="76" customWidth="1"/>
    <col min="15101" max="15101" width="36.5" style="76" customWidth="1"/>
    <col min="15102" max="15102" width="12.5" style="76" customWidth="1"/>
    <col min="15103" max="15103" width="14.83203125" style="76" customWidth="1"/>
    <col min="15104" max="15104" width="19.5" style="76" bestFit="1" customWidth="1"/>
    <col min="15105" max="15105" width="20.83203125" style="76" customWidth="1"/>
    <col min="15106" max="15106" width="16.5" style="76" customWidth="1"/>
    <col min="15107" max="15107" width="17" style="76" customWidth="1"/>
    <col min="15108" max="15108" width="17.1640625" style="76" customWidth="1"/>
    <col min="15109" max="15109" width="15.1640625" style="76" bestFit="1" customWidth="1"/>
    <col min="15110" max="15110" width="20" style="76" bestFit="1" customWidth="1"/>
    <col min="15111" max="15113" width="16.5" style="76" customWidth="1"/>
    <col min="15114" max="15194" width="10.1640625" style="76"/>
    <col min="15195" max="15195" width="69.1640625" style="76" bestFit="1" customWidth="1"/>
    <col min="15196" max="15196" width="15.5" style="76" customWidth="1"/>
    <col min="15197" max="15198" width="18.1640625" style="76" customWidth="1"/>
    <col min="15199" max="15199" width="16.5" style="76" bestFit="1" customWidth="1"/>
    <col min="15200" max="15200" width="17.5" style="76" bestFit="1" customWidth="1"/>
    <col min="15201" max="15201" width="13.83203125" style="76" bestFit="1" customWidth="1"/>
    <col min="15202" max="15202" width="17.5" style="76" bestFit="1" customWidth="1"/>
    <col min="15203" max="15203" width="13.83203125" style="76" bestFit="1" customWidth="1"/>
    <col min="15204" max="15204" width="17.5" style="76" bestFit="1" customWidth="1"/>
    <col min="15205" max="15205" width="14.1640625" style="76" bestFit="1" customWidth="1"/>
    <col min="15206" max="15348" width="10.1640625" style="76"/>
    <col min="15349" max="15349" width="71.1640625" style="76" customWidth="1"/>
    <col min="15350" max="15350" width="57.83203125" style="76" customWidth="1"/>
    <col min="15351" max="15356" width="5.1640625" style="76" customWidth="1"/>
    <col min="15357" max="15357" width="36.5" style="76" customWidth="1"/>
    <col min="15358" max="15358" width="12.5" style="76" customWidth="1"/>
    <col min="15359" max="15359" width="14.83203125" style="76" customWidth="1"/>
    <col min="15360" max="15360" width="19.5" style="76" bestFit="1" customWidth="1"/>
    <col min="15361" max="15361" width="20.83203125" style="76" customWidth="1"/>
    <col min="15362" max="15362" width="16.5" style="76" customWidth="1"/>
    <col min="15363" max="15363" width="17" style="76" customWidth="1"/>
    <col min="15364" max="15364" width="17.1640625" style="76" customWidth="1"/>
    <col min="15365" max="15365" width="15.1640625" style="76" bestFit="1" customWidth="1"/>
    <col min="15366" max="15366" width="20" style="76" bestFit="1" customWidth="1"/>
    <col min="15367" max="15369" width="16.5" style="76" customWidth="1"/>
    <col min="15370" max="15450" width="10.1640625" style="76"/>
    <col min="15451" max="15451" width="69.1640625" style="76" bestFit="1" customWidth="1"/>
    <col min="15452" max="15452" width="15.5" style="76" customWidth="1"/>
    <col min="15453" max="15454" width="18.1640625" style="76" customWidth="1"/>
    <col min="15455" max="15455" width="16.5" style="76" bestFit="1" customWidth="1"/>
    <col min="15456" max="15456" width="17.5" style="76" bestFit="1" customWidth="1"/>
    <col min="15457" max="15457" width="13.83203125" style="76" bestFit="1" customWidth="1"/>
    <col min="15458" max="15458" width="17.5" style="76" bestFit="1" customWidth="1"/>
    <col min="15459" max="15459" width="13.83203125" style="76" bestFit="1" customWidth="1"/>
    <col min="15460" max="15460" width="17.5" style="76" bestFit="1" customWidth="1"/>
    <col min="15461" max="15461" width="14.1640625" style="76" bestFit="1" customWidth="1"/>
    <col min="15462" max="15604" width="10.1640625" style="76"/>
    <col min="15605" max="15605" width="71.1640625" style="76" customWidth="1"/>
    <col min="15606" max="15606" width="57.83203125" style="76" customWidth="1"/>
    <col min="15607" max="15612" width="5.1640625" style="76" customWidth="1"/>
    <col min="15613" max="15613" width="36.5" style="76" customWidth="1"/>
    <col min="15614" max="15614" width="12.5" style="76" customWidth="1"/>
    <col min="15615" max="15615" width="14.83203125" style="76" customWidth="1"/>
    <col min="15616" max="15616" width="19.5" style="76" bestFit="1" customWidth="1"/>
    <col min="15617" max="15617" width="20.83203125" style="76" customWidth="1"/>
    <col min="15618" max="15618" width="16.5" style="76" customWidth="1"/>
    <col min="15619" max="15619" width="17" style="76" customWidth="1"/>
    <col min="15620" max="15620" width="17.1640625" style="76" customWidth="1"/>
    <col min="15621" max="15621" width="15.1640625" style="76" bestFit="1" customWidth="1"/>
    <col min="15622" max="15622" width="20" style="76" bestFit="1" customWidth="1"/>
    <col min="15623" max="15625" width="16.5" style="76" customWidth="1"/>
    <col min="15626" max="15706" width="10.1640625" style="76"/>
    <col min="15707" max="15707" width="69.1640625" style="76" bestFit="1" customWidth="1"/>
    <col min="15708" max="15708" width="15.5" style="76" customWidth="1"/>
    <col min="15709" max="15710" width="18.1640625" style="76" customWidth="1"/>
    <col min="15711" max="15711" width="16.5" style="76" bestFit="1" customWidth="1"/>
    <col min="15712" max="15712" width="17.5" style="76" bestFit="1" customWidth="1"/>
    <col min="15713" max="15713" width="13.83203125" style="76" bestFit="1" customWidth="1"/>
    <col min="15714" max="15714" width="17.5" style="76" bestFit="1" customWidth="1"/>
    <col min="15715" max="15715" width="13.83203125" style="76" bestFit="1" customWidth="1"/>
    <col min="15716" max="15716" width="17.5" style="76" bestFit="1" customWidth="1"/>
    <col min="15717" max="15717" width="14.1640625" style="76" bestFit="1" customWidth="1"/>
    <col min="15718" max="15860" width="10.1640625" style="76"/>
    <col min="15861" max="15861" width="71.1640625" style="76" customWidth="1"/>
    <col min="15862" max="15862" width="57.83203125" style="76" customWidth="1"/>
    <col min="15863" max="15868" width="5.1640625" style="76" customWidth="1"/>
    <col min="15869" max="15869" width="36.5" style="76" customWidth="1"/>
    <col min="15870" max="15870" width="12.5" style="76" customWidth="1"/>
    <col min="15871" max="15871" width="14.83203125" style="76" customWidth="1"/>
    <col min="15872" max="15872" width="19.5" style="76" bestFit="1" customWidth="1"/>
    <col min="15873" max="15873" width="20.83203125" style="76" customWidth="1"/>
    <col min="15874" max="15874" width="16.5" style="76" customWidth="1"/>
    <col min="15875" max="15875" width="17" style="76" customWidth="1"/>
    <col min="15876" max="15876" width="17.1640625" style="76" customWidth="1"/>
    <col min="15877" max="15877" width="15.1640625" style="76" bestFit="1" customWidth="1"/>
    <col min="15878" max="15878" width="20" style="76" bestFit="1" customWidth="1"/>
    <col min="15879" max="15881" width="16.5" style="76" customWidth="1"/>
    <col min="15882" max="15962" width="10.1640625" style="76"/>
    <col min="15963" max="15963" width="69.1640625" style="76" bestFit="1" customWidth="1"/>
    <col min="15964" max="15964" width="15.5" style="76" customWidth="1"/>
    <col min="15965" max="15966" width="18.1640625" style="76" customWidth="1"/>
    <col min="15967" max="15967" width="16.5" style="76" bestFit="1" customWidth="1"/>
    <col min="15968" max="15968" width="17.5" style="76" bestFit="1" customWidth="1"/>
    <col min="15969" max="15969" width="13.83203125" style="76" bestFit="1" customWidth="1"/>
    <col min="15970" max="15970" width="17.5" style="76" bestFit="1" customWidth="1"/>
    <col min="15971" max="15971" width="13.83203125" style="76" bestFit="1" customWidth="1"/>
    <col min="15972" max="15972" width="17.5" style="76" bestFit="1" customWidth="1"/>
    <col min="15973" max="15973" width="14.1640625" style="76" bestFit="1" customWidth="1"/>
    <col min="15974" max="16116" width="10.1640625" style="76"/>
    <col min="16117" max="16117" width="71.1640625" style="76" customWidth="1"/>
    <col min="16118" max="16118" width="57.83203125" style="76" customWidth="1"/>
    <col min="16119" max="16124" width="5.1640625" style="76" customWidth="1"/>
    <col min="16125" max="16125" width="36.5" style="76" customWidth="1"/>
    <col min="16126" max="16126" width="12.5" style="76" customWidth="1"/>
    <col min="16127" max="16127" width="14.83203125" style="76" customWidth="1"/>
    <col min="16128" max="16128" width="19.5" style="76" bestFit="1" customWidth="1"/>
    <col min="16129" max="16129" width="20.83203125" style="76" customWidth="1"/>
    <col min="16130" max="16130" width="16.5" style="76" customWidth="1"/>
    <col min="16131" max="16131" width="17" style="76" customWidth="1"/>
    <col min="16132" max="16132" width="17.1640625" style="76" customWidth="1"/>
    <col min="16133" max="16133" width="15.1640625" style="76" bestFit="1" customWidth="1"/>
    <col min="16134" max="16134" width="20" style="76" bestFit="1" customWidth="1"/>
    <col min="16135" max="16137" width="16.5" style="76" customWidth="1"/>
    <col min="16138" max="16218" width="10.1640625" style="76"/>
    <col min="16219" max="16219" width="69.1640625" style="76" bestFit="1" customWidth="1"/>
    <col min="16220" max="16220" width="15.5" style="76" customWidth="1"/>
    <col min="16221" max="16222" width="18.1640625" style="76" customWidth="1"/>
    <col min="16223" max="16223" width="16.5" style="76" bestFit="1" customWidth="1"/>
    <col min="16224" max="16224" width="17.5" style="76" bestFit="1" customWidth="1"/>
    <col min="16225" max="16225" width="13.83203125" style="76" bestFit="1" customWidth="1"/>
    <col min="16226" max="16226" width="17.5" style="76" bestFit="1" customWidth="1"/>
    <col min="16227" max="16227" width="13.83203125" style="76" bestFit="1" customWidth="1"/>
    <col min="16228" max="16228" width="17.5" style="76" bestFit="1" customWidth="1"/>
    <col min="16229" max="16229" width="14.1640625" style="76" bestFit="1" customWidth="1"/>
    <col min="16230" max="16384" width="10.1640625" style="76"/>
  </cols>
  <sheetData>
    <row r="1" spans="1:244" ht="31.5" customHeight="1" x14ac:dyDescent="0.2">
      <c r="A1" s="330" t="s">
        <v>423</v>
      </c>
      <c r="B1" s="331"/>
      <c r="C1" s="331"/>
      <c r="D1" s="331"/>
      <c r="E1" s="331"/>
      <c r="F1" s="331"/>
      <c r="G1" s="331"/>
      <c r="H1" s="331"/>
      <c r="I1" s="331"/>
      <c r="J1" s="331"/>
      <c r="K1" s="331"/>
      <c r="M1" s="369"/>
    </row>
    <row r="2" spans="1:244" ht="6" customHeight="1" x14ac:dyDescent="0.2">
      <c r="A2" s="77"/>
      <c r="B2" s="77"/>
      <c r="G2" s="78"/>
      <c r="H2" s="79"/>
    </row>
    <row r="3" spans="1:244" ht="21" customHeight="1" x14ac:dyDescent="0.2">
      <c r="A3" s="785" t="s">
        <v>264</v>
      </c>
      <c r="B3" s="781" t="s">
        <v>265</v>
      </c>
      <c r="C3" s="781" t="s">
        <v>266</v>
      </c>
      <c r="D3" s="781" t="s">
        <v>267</v>
      </c>
      <c r="E3" s="781" t="s">
        <v>268</v>
      </c>
      <c r="F3" s="781" t="s">
        <v>269</v>
      </c>
      <c r="G3" s="787" t="s">
        <v>270</v>
      </c>
      <c r="H3" s="789" t="s">
        <v>271</v>
      </c>
      <c r="I3" s="781"/>
      <c r="J3" s="781"/>
      <c r="K3" s="80">
        <v>15.7</v>
      </c>
      <c r="M3" s="373"/>
    </row>
    <row r="4" spans="1:244" ht="21" customHeight="1" x14ac:dyDescent="0.2">
      <c r="A4" s="786"/>
      <c r="B4" s="782"/>
      <c r="C4" s="782"/>
      <c r="D4" s="782"/>
      <c r="E4" s="782"/>
      <c r="F4" s="782"/>
      <c r="G4" s="788"/>
      <c r="H4" s="790"/>
      <c r="I4" s="782"/>
      <c r="J4" s="782"/>
      <c r="K4" s="81"/>
      <c r="M4" s="374"/>
    </row>
    <row r="5" spans="1:244" ht="51" x14ac:dyDescent="0.2">
      <c r="A5" s="444" t="s">
        <v>424</v>
      </c>
      <c r="B5" s="83"/>
      <c r="C5" s="83"/>
      <c r="D5" s="83"/>
      <c r="E5" s="83"/>
      <c r="F5" s="83"/>
      <c r="G5" s="84"/>
      <c r="H5" s="83"/>
      <c r="I5" s="83"/>
      <c r="J5" s="83"/>
      <c r="K5" s="83"/>
      <c r="M5" s="375"/>
    </row>
    <row r="6" spans="1:244" x14ac:dyDescent="0.2">
      <c r="A6" s="137"/>
      <c r="B6" s="138"/>
      <c r="C6" s="138"/>
      <c r="D6" s="138"/>
      <c r="E6" s="138"/>
      <c r="F6" s="138"/>
      <c r="G6" s="138"/>
      <c r="H6" s="138"/>
      <c r="I6" s="138"/>
      <c r="J6" s="138"/>
      <c r="K6" s="138"/>
      <c r="M6" s="377"/>
    </row>
    <row r="7" spans="1:244" s="93" customFormat="1" ht="39" customHeight="1" outlineLevel="1" x14ac:dyDescent="0.2">
      <c r="A7" s="407" t="s">
        <v>425</v>
      </c>
      <c r="B7" s="116"/>
      <c r="C7" s="85"/>
      <c r="D7" s="86"/>
      <c r="E7" s="86"/>
      <c r="F7" s="87"/>
      <c r="G7" s="88"/>
      <c r="H7" s="89"/>
      <c r="I7" s="90"/>
      <c r="J7" s="91"/>
      <c r="K7" s="395"/>
      <c r="M7" s="367"/>
    </row>
    <row r="8" spans="1:244" s="93" customFormat="1" ht="20" customHeight="1" outlineLevel="2" x14ac:dyDescent="0.2">
      <c r="A8" s="85" t="s">
        <v>426</v>
      </c>
      <c r="B8" s="408" t="s">
        <v>108</v>
      </c>
      <c r="C8" s="85" t="s">
        <v>427</v>
      </c>
      <c r="D8" s="86">
        <f>50*5</f>
        <v>250</v>
      </c>
      <c r="E8" s="86">
        <f>5*5</f>
        <v>25</v>
      </c>
      <c r="F8" s="87">
        <v>150</v>
      </c>
      <c r="G8" s="88">
        <f t="shared" ref="G8:G13" si="0">(D8*E8*F8)</f>
        <v>937500</v>
      </c>
      <c r="H8" s="89">
        <f t="shared" ref="H8:H14" si="1">G8/$K$3</f>
        <v>59713.375796178349</v>
      </c>
      <c r="I8" s="90">
        <f>H8</f>
        <v>59713.375796178349</v>
      </c>
      <c r="J8" s="91"/>
      <c r="K8" s="395"/>
      <c r="M8" s="367"/>
    </row>
    <row r="9" spans="1:244" s="93" customFormat="1" ht="20" customHeight="1" outlineLevel="2" x14ac:dyDescent="0.2">
      <c r="A9" s="85" t="s">
        <v>322</v>
      </c>
      <c r="B9" s="408" t="s">
        <v>323</v>
      </c>
      <c r="C9" s="85" t="s">
        <v>428</v>
      </c>
      <c r="D9" s="86">
        <f>50*5</f>
        <v>250</v>
      </c>
      <c r="E9" s="86">
        <f>1*5</f>
        <v>5</v>
      </c>
      <c r="F9" s="87">
        <v>150</v>
      </c>
      <c r="G9" s="88">
        <f t="shared" si="0"/>
        <v>187500</v>
      </c>
      <c r="H9" s="89">
        <f t="shared" si="1"/>
        <v>11942.675159235669</v>
      </c>
      <c r="I9" s="90">
        <f t="shared" ref="I9:I14" si="2">H9</f>
        <v>11942.675159235669</v>
      </c>
      <c r="J9" s="91"/>
      <c r="K9" s="395"/>
      <c r="M9" s="367"/>
    </row>
    <row r="10" spans="1:244" s="93" customFormat="1" ht="20" customHeight="1" outlineLevel="2" x14ac:dyDescent="0.2">
      <c r="A10" s="85" t="s">
        <v>429</v>
      </c>
      <c r="B10" s="408" t="s">
        <v>311</v>
      </c>
      <c r="C10" s="85" t="s">
        <v>374</v>
      </c>
      <c r="D10" s="86">
        <v>1</v>
      </c>
      <c r="E10" s="86">
        <f>5*5</f>
        <v>25</v>
      </c>
      <c r="F10" s="87">
        <v>3000</v>
      </c>
      <c r="G10" s="88">
        <f t="shared" si="0"/>
        <v>75000</v>
      </c>
      <c r="H10" s="89">
        <f t="shared" si="1"/>
        <v>4777.0700636942674</v>
      </c>
      <c r="I10" s="90">
        <f t="shared" si="2"/>
        <v>4777.0700636942674</v>
      </c>
      <c r="J10" s="91"/>
      <c r="K10" s="395"/>
      <c r="M10" s="367"/>
    </row>
    <row r="11" spans="1:244" s="93" customFormat="1" ht="20" customHeight="1" outlineLevel="2" x14ac:dyDescent="0.2">
      <c r="A11" s="85" t="s">
        <v>430</v>
      </c>
      <c r="B11" s="408" t="s">
        <v>431</v>
      </c>
      <c r="C11" s="85" t="s">
        <v>432</v>
      </c>
      <c r="D11" s="86">
        <v>10</v>
      </c>
      <c r="E11" s="86">
        <f>5*2</f>
        <v>10</v>
      </c>
      <c r="F11" s="87">
        <v>800</v>
      </c>
      <c r="G11" s="88">
        <f t="shared" si="0"/>
        <v>80000</v>
      </c>
      <c r="H11" s="89">
        <f t="shared" si="1"/>
        <v>5095.5414012738856</v>
      </c>
      <c r="I11" s="90">
        <f t="shared" si="2"/>
        <v>5095.5414012738856</v>
      </c>
      <c r="J11" s="91"/>
      <c r="K11" s="395"/>
      <c r="M11" s="367"/>
    </row>
    <row r="12" spans="1:244" s="93" customFormat="1" ht="20" customHeight="1" outlineLevel="2" x14ac:dyDescent="0.2">
      <c r="A12" s="85"/>
      <c r="B12" s="408"/>
      <c r="C12" s="85" t="s">
        <v>308</v>
      </c>
      <c r="D12" s="86"/>
      <c r="E12" s="86"/>
      <c r="F12" s="87"/>
      <c r="G12" s="88">
        <f t="shared" si="0"/>
        <v>0</v>
      </c>
      <c r="H12" s="89">
        <f t="shared" si="1"/>
        <v>0</v>
      </c>
      <c r="I12" s="90">
        <f t="shared" si="2"/>
        <v>0</v>
      </c>
      <c r="J12" s="91"/>
      <c r="K12" s="395"/>
      <c r="M12" s="367"/>
    </row>
    <row r="13" spans="1:244" s="93" customFormat="1" ht="20" customHeight="1" outlineLevel="2" x14ac:dyDescent="0.2">
      <c r="A13" s="85"/>
      <c r="B13" s="408"/>
      <c r="C13" s="85" t="s">
        <v>374</v>
      </c>
      <c r="D13" s="86"/>
      <c r="E13" s="86"/>
      <c r="F13" s="87"/>
      <c r="G13" s="88">
        <f t="shared" si="0"/>
        <v>0</v>
      </c>
      <c r="H13" s="89">
        <f t="shared" si="1"/>
        <v>0</v>
      </c>
      <c r="I13" s="90">
        <f t="shared" si="2"/>
        <v>0</v>
      </c>
      <c r="J13" s="91"/>
      <c r="K13" s="395"/>
      <c r="M13" s="367"/>
    </row>
    <row r="14" spans="1:244" s="93" customFormat="1" ht="20" customHeight="1" outlineLevel="2" x14ac:dyDescent="0.2">
      <c r="A14" s="85"/>
      <c r="B14" s="408"/>
      <c r="C14" s="85" t="s">
        <v>292</v>
      </c>
      <c r="D14" s="86"/>
      <c r="E14" s="86"/>
      <c r="F14" s="87"/>
      <c r="G14" s="88">
        <f>(D14*E14*F14)</f>
        <v>0</v>
      </c>
      <c r="H14" s="89">
        <f t="shared" si="1"/>
        <v>0</v>
      </c>
      <c r="I14" s="90">
        <f t="shared" si="2"/>
        <v>0</v>
      </c>
      <c r="J14" s="91"/>
      <c r="K14" s="395"/>
      <c r="M14" s="367"/>
    </row>
    <row r="15" spans="1:244" s="105" customFormat="1" outlineLevel="1" x14ac:dyDescent="0.2">
      <c r="A15" s="94" t="s">
        <v>288</v>
      </c>
      <c r="B15" s="95"/>
      <c r="C15" s="98"/>
      <c r="D15" s="98"/>
      <c r="E15" s="95"/>
      <c r="F15" s="96"/>
      <c r="G15" s="99">
        <f>SUM(G8:G14)</f>
        <v>1280000</v>
      </c>
      <c r="H15" s="406">
        <f>SUM(H8:H14)</f>
        <v>81528.66242038217</v>
      </c>
      <c r="I15" s="96">
        <f>SUM(I8:I14)</f>
        <v>81528.66242038217</v>
      </c>
      <c r="J15" s="97">
        <f>SUM(J8:J14)</f>
        <v>0</v>
      </c>
      <c r="K15" s="395"/>
      <c r="L15" s="101"/>
      <c r="M15" s="380">
        <f>$H15</f>
        <v>81528.66242038217</v>
      </c>
      <c r="N15" s="103"/>
      <c r="O15" s="100"/>
      <c r="P15" s="104"/>
      <c r="Q15" s="100"/>
      <c r="R15" s="100"/>
      <c r="S15" s="100"/>
      <c r="T15" s="101"/>
      <c r="U15" s="101"/>
      <c r="V15" s="102"/>
      <c r="W15" s="103"/>
      <c r="X15" s="100"/>
      <c r="Y15" s="104"/>
      <c r="Z15" s="100"/>
      <c r="AA15" s="100"/>
      <c r="AB15" s="100"/>
      <c r="AC15" s="101"/>
      <c r="AD15" s="101"/>
      <c r="AE15" s="102"/>
      <c r="AF15" s="103"/>
      <c r="AG15" s="100"/>
      <c r="AH15" s="104"/>
      <c r="AI15" s="100"/>
      <c r="AJ15" s="100"/>
      <c r="AK15" s="100"/>
      <c r="AL15" s="101"/>
      <c r="AM15" s="101"/>
      <c r="AN15" s="102"/>
      <c r="AO15" s="103"/>
      <c r="AP15" s="100"/>
      <c r="AQ15" s="104"/>
      <c r="AR15" s="100"/>
      <c r="AS15" s="100"/>
      <c r="AT15" s="100"/>
      <c r="AU15" s="101"/>
      <c r="AV15" s="101"/>
      <c r="AW15" s="102"/>
      <c r="AX15" s="103"/>
      <c r="AY15" s="100"/>
      <c r="AZ15" s="104"/>
      <c r="BA15" s="100"/>
      <c r="BB15" s="100"/>
      <c r="BC15" s="100"/>
      <c r="BD15" s="101"/>
      <c r="BE15" s="101"/>
      <c r="BF15" s="102"/>
      <c r="BG15" s="103"/>
      <c r="BH15" s="100"/>
      <c r="BI15" s="104"/>
      <c r="BJ15" s="100"/>
      <c r="BK15" s="100"/>
      <c r="BL15" s="100"/>
      <c r="BM15" s="101"/>
      <c r="BN15" s="101"/>
      <c r="BO15" s="102"/>
      <c r="BP15" s="103"/>
      <c r="BQ15" s="100"/>
      <c r="BR15" s="104"/>
      <c r="BS15" s="100"/>
      <c r="BT15" s="100"/>
      <c r="BU15" s="100"/>
      <c r="BV15" s="101"/>
      <c r="BW15" s="101"/>
      <c r="BX15" s="102"/>
      <c r="BY15" s="103"/>
      <c r="BZ15" s="100"/>
      <c r="CA15" s="104"/>
      <c r="CB15" s="100"/>
      <c r="CC15" s="100"/>
      <c r="CD15" s="100"/>
      <c r="CE15" s="101"/>
      <c r="CF15" s="101"/>
      <c r="CG15" s="102"/>
      <c r="CH15" s="103"/>
      <c r="CI15" s="100"/>
      <c r="CJ15" s="104"/>
      <c r="CK15" s="100"/>
      <c r="CL15" s="100"/>
      <c r="CM15" s="100"/>
      <c r="CN15" s="101"/>
      <c r="CO15" s="101"/>
      <c r="CP15" s="102"/>
      <c r="CQ15" s="103"/>
      <c r="CR15" s="100"/>
      <c r="CS15" s="104"/>
      <c r="CT15" s="100"/>
      <c r="CU15" s="100"/>
      <c r="CV15" s="100"/>
      <c r="CW15" s="101"/>
      <c r="CX15" s="101"/>
      <c r="CY15" s="102"/>
      <c r="CZ15" s="103"/>
      <c r="DA15" s="100"/>
      <c r="DB15" s="104"/>
      <c r="DC15" s="100"/>
      <c r="DD15" s="100"/>
      <c r="DE15" s="100"/>
      <c r="DF15" s="101"/>
      <c r="DG15" s="101"/>
      <c r="DH15" s="102"/>
      <c r="DI15" s="103"/>
      <c r="DJ15" s="100"/>
      <c r="DK15" s="104"/>
      <c r="DL15" s="100"/>
      <c r="DM15" s="100"/>
      <c r="DN15" s="100"/>
      <c r="DO15" s="101"/>
      <c r="DP15" s="101"/>
      <c r="DQ15" s="102"/>
      <c r="DR15" s="103"/>
      <c r="DS15" s="100"/>
      <c r="DT15" s="104"/>
      <c r="DU15" s="100"/>
      <c r="DV15" s="100"/>
      <c r="DW15" s="100"/>
      <c r="DX15" s="101"/>
      <c r="DY15" s="101"/>
      <c r="DZ15" s="102"/>
      <c r="EA15" s="103"/>
      <c r="EB15" s="100"/>
      <c r="EC15" s="104"/>
      <c r="ED15" s="100"/>
      <c r="EE15" s="100"/>
      <c r="EF15" s="100"/>
      <c r="EG15" s="101"/>
      <c r="EH15" s="101"/>
      <c r="EI15" s="102"/>
      <c r="EJ15" s="103"/>
      <c r="EK15" s="100"/>
      <c r="EL15" s="104"/>
      <c r="EM15" s="100"/>
      <c r="EN15" s="100"/>
      <c r="EO15" s="100"/>
      <c r="EP15" s="101"/>
      <c r="EQ15" s="101"/>
      <c r="ER15" s="102"/>
      <c r="ES15" s="103"/>
      <c r="ET15" s="100"/>
      <c r="EU15" s="104"/>
      <c r="EV15" s="100"/>
      <c r="EW15" s="100"/>
      <c r="EX15" s="100"/>
      <c r="EY15" s="101"/>
      <c r="EZ15" s="101"/>
      <c r="FA15" s="102"/>
      <c r="FB15" s="103"/>
      <c r="FC15" s="100"/>
      <c r="FD15" s="104"/>
      <c r="FE15" s="100"/>
      <c r="FF15" s="100"/>
      <c r="FG15" s="100"/>
      <c r="FH15" s="101"/>
      <c r="FI15" s="101"/>
      <c r="FJ15" s="102"/>
      <c r="FK15" s="103"/>
      <c r="FL15" s="100"/>
      <c r="FM15" s="104"/>
      <c r="FN15" s="100"/>
      <c r="FO15" s="100"/>
      <c r="FP15" s="100"/>
      <c r="FQ15" s="101"/>
      <c r="FR15" s="101"/>
      <c r="FS15" s="102"/>
      <c r="FT15" s="103"/>
      <c r="FU15" s="100"/>
      <c r="FV15" s="104"/>
      <c r="FW15" s="100"/>
      <c r="FX15" s="100"/>
      <c r="FY15" s="100"/>
      <c r="FZ15" s="101"/>
      <c r="GA15" s="101"/>
      <c r="GB15" s="102"/>
      <c r="GC15" s="103"/>
      <c r="GD15" s="100"/>
      <c r="GE15" s="104"/>
      <c r="GF15" s="100"/>
      <c r="GG15" s="100"/>
      <c r="GH15" s="100"/>
      <c r="GI15" s="101"/>
      <c r="GJ15" s="101"/>
      <c r="GK15" s="102"/>
      <c r="GL15" s="103"/>
      <c r="GM15" s="100"/>
      <c r="GN15" s="104"/>
      <c r="GO15" s="100"/>
      <c r="GP15" s="100"/>
      <c r="GQ15" s="100"/>
      <c r="GR15" s="101"/>
      <c r="GS15" s="101"/>
      <c r="GT15" s="102"/>
      <c r="GU15" s="103"/>
      <c r="GV15" s="100"/>
      <c r="GW15" s="104"/>
      <c r="GX15" s="100"/>
      <c r="GY15" s="100"/>
      <c r="GZ15" s="100"/>
      <c r="HA15" s="101"/>
      <c r="HB15" s="101"/>
      <c r="HC15" s="102"/>
      <c r="HD15" s="103"/>
      <c r="HE15" s="100"/>
      <c r="HF15" s="104"/>
      <c r="HG15" s="100"/>
      <c r="HH15" s="100"/>
      <c r="HI15" s="100"/>
      <c r="HJ15" s="101"/>
      <c r="HK15" s="101"/>
      <c r="HL15" s="102"/>
      <c r="HM15" s="103"/>
      <c r="HN15" s="100"/>
      <c r="HO15" s="104"/>
      <c r="HP15" s="100"/>
      <c r="HQ15" s="100"/>
      <c r="HR15" s="100"/>
      <c r="HS15" s="101"/>
      <c r="HT15" s="101"/>
      <c r="HU15" s="102"/>
      <c r="HV15" s="103"/>
      <c r="HW15" s="100"/>
      <c r="HX15" s="104"/>
      <c r="HY15" s="100"/>
      <c r="HZ15" s="100"/>
      <c r="IA15" s="100"/>
      <c r="IB15" s="101"/>
      <c r="IC15" s="101"/>
      <c r="ID15" s="102"/>
      <c r="IE15" s="103"/>
      <c r="IF15" s="100"/>
      <c r="IG15" s="104"/>
      <c r="IH15" s="100"/>
      <c r="II15" s="100"/>
      <c r="IJ15" s="100"/>
    </row>
    <row r="16" spans="1:244" s="93" customFormat="1" ht="39" customHeight="1" outlineLevel="1" x14ac:dyDescent="0.2">
      <c r="A16" s="407" t="s">
        <v>433</v>
      </c>
      <c r="B16" s="115"/>
      <c r="C16" s="85"/>
      <c r="D16" s="86"/>
      <c r="E16" s="86"/>
      <c r="F16" s="87"/>
      <c r="G16" s="88"/>
      <c r="H16" s="89"/>
      <c r="I16" s="90"/>
      <c r="J16" s="91"/>
      <c r="K16" s="395"/>
      <c r="M16" s="367"/>
    </row>
    <row r="17" spans="1:244" s="93" customFormat="1" ht="20" customHeight="1" outlineLevel="2" x14ac:dyDescent="0.2">
      <c r="A17" s="85" t="s">
        <v>341</v>
      </c>
      <c r="B17" s="408" t="s">
        <v>434</v>
      </c>
      <c r="C17" s="85" t="s">
        <v>277</v>
      </c>
      <c r="D17" s="86">
        <f>30*30</f>
        <v>900</v>
      </c>
      <c r="E17" s="86">
        <f>2</f>
        <v>2</v>
      </c>
      <c r="F17" s="87">
        <f>50+150</f>
        <v>200</v>
      </c>
      <c r="G17" s="88">
        <f t="shared" ref="G17:G22" si="3">(D17*E17*F17)</f>
        <v>360000</v>
      </c>
      <c r="H17" s="89">
        <f t="shared" ref="H17:H23" si="4">G17/$K$3</f>
        <v>22929.936305732484</v>
      </c>
      <c r="I17" s="90">
        <f>H17</f>
        <v>22929.936305732484</v>
      </c>
      <c r="J17" s="91"/>
      <c r="K17" s="395"/>
      <c r="M17" s="367"/>
    </row>
    <row r="18" spans="1:244" s="93" customFormat="1" ht="20" customHeight="1" outlineLevel="2" x14ac:dyDescent="0.2">
      <c r="A18" s="85" t="s">
        <v>343</v>
      </c>
      <c r="B18" s="408" t="s">
        <v>311</v>
      </c>
      <c r="C18" s="85" t="s">
        <v>374</v>
      </c>
      <c r="D18" s="86">
        <v>5</v>
      </c>
      <c r="E18" s="86">
        <v>2</v>
      </c>
      <c r="F18" s="87">
        <v>3000</v>
      </c>
      <c r="G18" s="88">
        <f t="shared" si="3"/>
        <v>30000</v>
      </c>
      <c r="H18" s="89">
        <f t="shared" si="4"/>
        <v>1910.8280254777071</v>
      </c>
      <c r="I18" s="90">
        <f t="shared" ref="I18:I23" si="5">H18</f>
        <v>1910.8280254777071</v>
      </c>
      <c r="J18" s="91"/>
      <c r="K18" s="395"/>
      <c r="M18" s="367"/>
    </row>
    <row r="19" spans="1:244" s="93" customFormat="1" ht="20" customHeight="1" outlineLevel="2" x14ac:dyDescent="0.2">
      <c r="A19" s="85" t="s">
        <v>375</v>
      </c>
      <c r="B19" s="408" t="s">
        <v>345</v>
      </c>
      <c r="C19" s="85" t="s">
        <v>280</v>
      </c>
      <c r="D19" s="86">
        <f>25*20</f>
        <v>500</v>
      </c>
      <c r="E19" s="86">
        <v>2</v>
      </c>
      <c r="F19" s="87">
        <v>300</v>
      </c>
      <c r="G19" s="88">
        <f t="shared" si="3"/>
        <v>300000</v>
      </c>
      <c r="H19" s="89">
        <f t="shared" si="4"/>
        <v>19108.28025477707</v>
      </c>
      <c r="I19" s="90">
        <f t="shared" si="5"/>
        <v>19108.28025477707</v>
      </c>
      <c r="J19" s="91"/>
      <c r="K19" s="395"/>
      <c r="M19" s="367"/>
    </row>
    <row r="20" spans="1:244" s="93" customFormat="1" ht="20" customHeight="1" outlineLevel="2" x14ac:dyDescent="0.2">
      <c r="A20" s="85" t="s">
        <v>346</v>
      </c>
      <c r="B20" s="408" t="s">
        <v>435</v>
      </c>
      <c r="C20" s="85" t="s">
        <v>436</v>
      </c>
      <c r="D20" s="86">
        <v>4</v>
      </c>
      <c r="E20" s="86">
        <v>2</v>
      </c>
      <c r="F20" s="87">
        <v>500</v>
      </c>
      <c r="G20" s="88">
        <f t="shared" si="3"/>
        <v>4000</v>
      </c>
      <c r="H20" s="89">
        <f t="shared" si="4"/>
        <v>254.77707006369428</v>
      </c>
      <c r="I20" s="90">
        <f t="shared" si="5"/>
        <v>254.77707006369428</v>
      </c>
      <c r="J20" s="91"/>
      <c r="K20" s="395"/>
      <c r="M20" s="367"/>
    </row>
    <row r="21" spans="1:244" s="93" customFormat="1" ht="20" customHeight="1" outlineLevel="2" x14ac:dyDescent="0.2">
      <c r="A21" s="85" t="s">
        <v>327</v>
      </c>
      <c r="B21" s="408" t="s">
        <v>283</v>
      </c>
      <c r="C21" s="85" t="s">
        <v>284</v>
      </c>
      <c r="D21" s="86">
        <v>4</v>
      </c>
      <c r="E21" s="86">
        <v>2</v>
      </c>
      <c r="F21" s="87">
        <v>1000</v>
      </c>
      <c r="G21" s="88">
        <f t="shared" si="3"/>
        <v>8000</v>
      </c>
      <c r="H21" s="89">
        <f t="shared" si="4"/>
        <v>509.55414012738856</v>
      </c>
      <c r="I21" s="90">
        <f t="shared" si="5"/>
        <v>509.55414012738856</v>
      </c>
      <c r="J21" s="91"/>
      <c r="K21" s="395"/>
      <c r="M21" s="367"/>
    </row>
    <row r="22" spans="1:244" s="93" customFormat="1" ht="20" customHeight="1" outlineLevel="2" x14ac:dyDescent="0.2">
      <c r="A22" s="85" t="s">
        <v>437</v>
      </c>
      <c r="B22" s="408" t="s">
        <v>438</v>
      </c>
      <c r="C22" s="85" t="s">
        <v>439</v>
      </c>
      <c r="D22" s="86">
        <v>30</v>
      </c>
      <c r="E22" s="86">
        <v>2</v>
      </c>
      <c r="F22" s="87">
        <v>7000</v>
      </c>
      <c r="G22" s="88">
        <f t="shared" si="3"/>
        <v>420000</v>
      </c>
      <c r="H22" s="89">
        <f t="shared" si="4"/>
        <v>26751.592356687899</v>
      </c>
      <c r="I22" s="90">
        <f t="shared" si="5"/>
        <v>26751.592356687899</v>
      </c>
      <c r="J22" s="91"/>
      <c r="K22" s="395"/>
      <c r="M22" s="367"/>
    </row>
    <row r="23" spans="1:244" s="93" customFormat="1" ht="20" customHeight="1" outlineLevel="2" x14ac:dyDescent="0.2">
      <c r="A23" s="85"/>
      <c r="B23" s="408"/>
      <c r="C23" s="85"/>
      <c r="D23" s="86"/>
      <c r="E23" s="86"/>
      <c r="F23" s="87"/>
      <c r="G23" s="88">
        <f>(D23*E23*F23)</f>
        <v>0</v>
      </c>
      <c r="H23" s="89">
        <f t="shared" si="4"/>
        <v>0</v>
      </c>
      <c r="I23" s="90">
        <f t="shared" si="5"/>
        <v>0</v>
      </c>
      <c r="J23" s="91"/>
      <c r="K23" s="395"/>
      <c r="M23" s="367"/>
    </row>
    <row r="24" spans="1:244" s="105" customFormat="1" outlineLevel="1" x14ac:dyDescent="0.2">
      <c r="A24" s="94" t="s">
        <v>288</v>
      </c>
      <c r="B24" s="95"/>
      <c r="C24" s="98"/>
      <c r="D24" s="98"/>
      <c r="E24" s="95"/>
      <c r="F24" s="96"/>
      <c r="G24" s="99">
        <f>SUM(G17:G23)</f>
        <v>1122000</v>
      </c>
      <c r="H24" s="406">
        <f>SUM(H17:H23)</f>
        <v>71464.968152866233</v>
      </c>
      <c r="I24" s="96">
        <f>SUM(I17:I23)</f>
        <v>71464.968152866233</v>
      </c>
      <c r="J24" s="97">
        <f>SUM(J17:J23)</f>
        <v>0</v>
      </c>
      <c r="K24" s="395"/>
      <c r="L24" s="101"/>
      <c r="M24" s="380">
        <f>$H24</f>
        <v>71464.968152866233</v>
      </c>
      <c r="N24" s="103"/>
      <c r="O24" s="100"/>
      <c r="P24" s="104"/>
      <c r="Q24" s="100"/>
      <c r="R24" s="100"/>
      <c r="S24" s="100"/>
      <c r="T24" s="101"/>
      <c r="U24" s="101"/>
      <c r="V24" s="102"/>
      <c r="W24" s="103"/>
      <c r="X24" s="100"/>
      <c r="Y24" s="104"/>
      <c r="Z24" s="100"/>
      <c r="AA24" s="100"/>
      <c r="AB24" s="100"/>
      <c r="AC24" s="101"/>
      <c r="AD24" s="101"/>
      <c r="AE24" s="102"/>
      <c r="AF24" s="103"/>
      <c r="AG24" s="100"/>
      <c r="AH24" s="104"/>
      <c r="AI24" s="100"/>
      <c r="AJ24" s="100"/>
      <c r="AK24" s="100"/>
      <c r="AL24" s="101"/>
      <c r="AM24" s="101"/>
      <c r="AN24" s="102"/>
      <c r="AO24" s="103"/>
      <c r="AP24" s="100"/>
      <c r="AQ24" s="104"/>
      <c r="AR24" s="100"/>
      <c r="AS24" s="100"/>
      <c r="AT24" s="100"/>
      <c r="AU24" s="101"/>
      <c r="AV24" s="101"/>
      <c r="AW24" s="102"/>
      <c r="AX24" s="103"/>
      <c r="AY24" s="100"/>
      <c r="AZ24" s="104"/>
      <c r="BA24" s="100"/>
      <c r="BB24" s="100"/>
      <c r="BC24" s="100"/>
      <c r="BD24" s="101"/>
      <c r="BE24" s="101"/>
      <c r="BF24" s="102"/>
      <c r="BG24" s="103"/>
      <c r="BH24" s="100"/>
      <c r="BI24" s="104"/>
      <c r="BJ24" s="100"/>
      <c r="BK24" s="100"/>
      <c r="BL24" s="100"/>
      <c r="BM24" s="101"/>
      <c r="BN24" s="101"/>
      <c r="BO24" s="102"/>
      <c r="BP24" s="103"/>
      <c r="BQ24" s="100"/>
      <c r="BR24" s="104"/>
      <c r="BS24" s="100"/>
      <c r="BT24" s="100"/>
      <c r="BU24" s="100"/>
      <c r="BV24" s="101"/>
      <c r="BW24" s="101"/>
      <c r="BX24" s="102"/>
      <c r="BY24" s="103"/>
      <c r="BZ24" s="100"/>
      <c r="CA24" s="104"/>
      <c r="CB24" s="100"/>
      <c r="CC24" s="100"/>
      <c r="CD24" s="100"/>
      <c r="CE24" s="101"/>
      <c r="CF24" s="101"/>
      <c r="CG24" s="102"/>
      <c r="CH24" s="103"/>
      <c r="CI24" s="100"/>
      <c r="CJ24" s="104"/>
      <c r="CK24" s="100"/>
      <c r="CL24" s="100"/>
      <c r="CM24" s="100"/>
      <c r="CN24" s="101"/>
      <c r="CO24" s="101"/>
      <c r="CP24" s="102"/>
      <c r="CQ24" s="103"/>
      <c r="CR24" s="100"/>
      <c r="CS24" s="104"/>
      <c r="CT24" s="100"/>
      <c r="CU24" s="100"/>
      <c r="CV24" s="100"/>
      <c r="CW24" s="101"/>
      <c r="CX24" s="101"/>
      <c r="CY24" s="102"/>
      <c r="CZ24" s="103"/>
      <c r="DA24" s="100"/>
      <c r="DB24" s="104"/>
      <c r="DC24" s="100"/>
      <c r="DD24" s="100"/>
      <c r="DE24" s="100"/>
      <c r="DF24" s="101"/>
      <c r="DG24" s="101"/>
      <c r="DH24" s="102"/>
      <c r="DI24" s="103"/>
      <c r="DJ24" s="100"/>
      <c r="DK24" s="104"/>
      <c r="DL24" s="100"/>
      <c r="DM24" s="100"/>
      <c r="DN24" s="100"/>
      <c r="DO24" s="101"/>
      <c r="DP24" s="101"/>
      <c r="DQ24" s="102"/>
      <c r="DR24" s="103"/>
      <c r="DS24" s="100"/>
      <c r="DT24" s="104"/>
      <c r="DU24" s="100"/>
      <c r="DV24" s="100"/>
      <c r="DW24" s="100"/>
      <c r="DX24" s="101"/>
      <c r="DY24" s="101"/>
      <c r="DZ24" s="102"/>
      <c r="EA24" s="103"/>
      <c r="EB24" s="100"/>
      <c r="EC24" s="104"/>
      <c r="ED24" s="100"/>
      <c r="EE24" s="100"/>
      <c r="EF24" s="100"/>
      <c r="EG24" s="101"/>
      <c r="EH24" s="101"/>
      <c r="EI24" s="102"/>
      <c r="EJ24" s="103"/>
      <c r="EK24" s="100"/>
      <c r="EL24" s="104"/>
      <c r="EM24" s="100"/>
      <c r="EN24" s="100"/>
      <c r="EO24" s="100"/>
      <c r="EP24" s="101"/>
      <c r="EQ24" s="101"/>
      <c r="ER24" s="102"/>
      <c r="ES24" s="103"/>
      <c r="ET24" s="100"/>
      <c r="EU24" s="104"/>
      <c r="EV24" s="100"/>
      <c r="EW24" s="100"/>
      <c r="EX24" s="100"/>
      <c r="EY24" s="101"/>
      <c r="EZ24" s="101"/>
      <c r="FA24" s="102"/>
      <c r="FB24" s="103"/>
      <c r="FC24" s="100"/>
      <c r="FD24" s="104"/>
      <c r="FE24" s="100"/>
      <c r="FF24" s="100"/>
      <c r="FG24" s="100"/>
      <c r="FH24" s="101"/>
      <c r="FI24" s="101"/>
      <c r="FJ24" s="102"/>
      <c r="FK24" s="103"/>
      <c r="FL24" s="100"/>
      <c r="FM24" s="104"/>
      <c r="FN24" s="100"/>
      <c r="FO24" s="100"/>
      <c r="FP24" s="100"/>
      <c r="FQ24" s="101"/>
      <c r="FR24" s="101"/>
      <c r="FS24" s="102"/>
      <c r="FT24" s="103"/>
      <c r="FU24" s="100"/>
      <c r="FV24" s="104"/>
      <c r="FW24" s="100"/>
      <c r="FX24" s="100"/>
      <c r="FY24" s="100"/>
      <c r="FZ24" s="101"/>
      <c r="GA24" s="101"/>
      <c r="GB24" s="102"/>
      <c r="GC24" s="103"/>
      <c r="GD24" s="100"/>
      <c r="GE24" s="104"/>
      <c r="GF24" s="100"/>
      <c r="GG24" s="100"/>
      <c r="GH24" s="100"/>
      <c r="GI24" s="101"/>
      <c r="GJ24" s="101"/>
      <c r="GK24" s="102"/>
      <c r="GL24" s="103"/>
      <c r="GM24" s="100"/>
      <c r="GN24" s="104"/>
      <c r="GO24" s="100"/>
      <c r="GP24" s="100"/>
      <c r="GQ24" s="100"/>
      <c r="GR24" s="101"/>
      <c r="GS24" s="101"/>
      <c r="GT24" s="102"/>
      <c r="GU24" s="103"/>
      <c r="GV24" s="100"/>
      <c r="GW24" s="104"/>
      <c r="GX24" s="100"/>
      <c r="GY24" s="100"/>
      <c r="GZ24" s="100"/>
      <c r="HA24" s="101"/>
      <c r="HB24" s="101"/>
      <c r="HC24" s="102"/>
      <c r="HD24" s="103"/>
      <c r="HE24" s="100"/>
      <c r="HF24" s="104"/>
      <c r="HG24" s="100"/>
      <c r="HH24" s="100"/>
      <c r="HI24" s="100"/>
      <c r="HJ24" s="101"/>
      <c r="HK24" s="101"/>
      <c r="HL24" s="102"/>
      <c r="HM24" s="103"/>
      <c r="HN24" s="100"/>
      <c r="HO24" s="104"/>
      <c r="HP24" s="100"/>
      <c r="HQ24" s="100"/>
      <c r="HR24" s="100"/>
      <c r="HS24" s="101"/>
      <c r="HT24" s="101"/>
      <c r="HU24" s="102"/>
      <c r="HV24" s="103"/>
      <c r="HW24" s="100"/>
      <c r="HX24" s="104"/>
      <c r="HY24" s="100"/>
      <c r="HZ24" s="100"/>
      <c r="IA24" s="100"/>
      <c r="IB24" s="101"/>
      <c r="IC24" s="101"/>
      <c r="ID24" s="102"/>
      <c r="IE24" s="103"/>
      <c r="IF24" s="100"/>
      <c r="IG24" s="104"/>
      <c r="IH24" s="100"/>
      <c r="II24" s="100"/>
      <c r="IJ24" s="100"/>
    </row>
    <row r="25" spans="1:244" s="93" customFormat="1" ht="39" customHeight="1" outlineLevel="1" x14ac:dyDescent="0.2">
      <c r="A25" s="139"/>
      <c r="B25" s="407"/>
      <c r="C25" s="85"/>
      <c r="D25" s="86"/>
      <c r="E25" s="86"/>
      <c r="F25" s="87"/>
      <c r="G25" s="88"/>
      <c r="H25" s="89"/>
      <c r="I25" s="90"/>
      <c r="J25" s="91"/>
      <c r="K25" s="395"/>
      <c r="M25" s="367"/>
    </row>
    <row r="26" spans="1:244" s="93" customFormat="1" ht="20" customHeight="1" outlineLevel="2" x14ac:dyDescent="0.2">
      <c r="A26" s="85"/>
      <c r="B26" s="408"/>
      <c r="C26" s="85"/>
      <c r="D26" s="86"/>
      <c r="E26" s="86"/>
      <c r="F26" s="87"/>
      <c r="G26" s="88">
        <f t="shared" ref="G26:G31" si="6">(D26*E26*F26)</f>
        <v>0</v>
      </c>
      <c r="H26" s="89">
        <f t="shared" ref="H26:H32" si="7">G26/$K$3</f>
        <v>0</v>
      </c>
      <c r="I26" s="90">
        <f>H26</f>
        <v>0</v>
      </c>
      <c r="J26" s="91"/>
      <c r="K26" s="395"/>
      <c r="M26" s="367"/>
    </row>
    <row r="27" spans="1:244" s="93" customFormat="1" ht="20" customHeight="1" outlineLevel="2" x14ac:dyDescent="0.2">
      <c r="A27" s="85"/>
      <c r="B27" s="408"/>
      <c r="C27" s="85"/>
      <c r="D27" s="86"/>
      <c r="E27" s="86"/>
      <c r="F27" s="87"/>
      <c r="G27" s="88">
        <f t="shared" si="6"/>
        <v>0</v>
      </c>
      <c r="H27" s="89">
        <f t="shared" si="7"/>
        <v>0</v>
      </c>
      <c r="I27" s="90">
        <f t="shared" ref="I27:I32" si="8">H27</f>
        <v>0</v>
      </c>
      <c r="J27" s="91"/>
      <c r="K27" s="395"/>
      <c r="M27" s="367"/>
    </row>
    <row r="28" spans="1:244" s="93" customFormat="1" ht="20" customHeight="1" outlineLevel="2" x14ac:dyDescent="0.2">
      <c r="A28" s="85"/>
      <c r="B28" s="408"/>
      <c r="C28" s="85"/>
      <c r="D28" s="86"/>
      <c r="E28" s="86"/>
      <c r="F28" s="87"/>
      <c r="G28" s="88">
        <f t="shared" si="6"/>
        <v>0</v>
      </c>
      <c r="H28" s="89">
        <f t="shared" si="7"/>
        <v>0</v>
      </c>
      <c r="I28" s="90">
        <f t="shared" si="8"/>
        <v>0</v>
      </c>
      <c r="J28" s="91"/>
      <c r="K28" s="395"/>
      <c r="M28" s="367"/>
    </row>
    <row r="29" spans="1:244" s="93" customFormat="1" ht="20" customHeight="1" outlineLevel="2" x14ac:dyDescent="0.2">
      <c r="A29" s="85"/>
      <c r="B29" s="408"/>
      <c r="C29" s="85"/>
      <c r="D29" s="86"/>
      <c r="E29" s="86"/>
      <c r="F29" s="87"/>
      <c r="G29" s="88">
        <f t="shared" si="6"/>
        <v>0</v>
      </c>
      <c r="H29" s="89">
        <f t="shared" si="7"/>
        <v>0</v>
      </c>
      <c r="I29" s="90">
        <f t="shared" si="8"/>
        <v>0</v>
      </c>
      <c r="J29" s="91"/>
      <c r="K29" s="395"/>
      <c r="M29" s="367"/>
    </row>
    <row r="30" spans="1:244" s="93" customFormat="1" ht="20" customHeight="1" outlineLevel="2" x14ac:dyDescent="0.2">
      <c r="A30" s="85"/>
      <c r="B30" s="408"/>
      <c r="C30" s="85"/>
      <c r="D30" s="86"/>
      <c r="E30" s="86"/>
      <c r="F30" s="87"/>
      <c r="G30" s="88">
        <f t="shared" si="6"/>
        <v>0</v>
      </c>
      <c r="H30" s="89">
        <f t="shared" si="7"/>
        <v>0</v>
      </c>
      <c r="I30" s="90">
        <f t="shared" si="8"/>
        <v>0</v>
      </c>
      <c r="J30" s="91"/>
      <c r="K30" s="395"/>
      <c r="M30" s="367"/>
    </row>
    <row r="31" spans="1:244" s="93" customFormat="1" ht="20" customHeight="1" outlineLevel="2" x14ac:dyDescent="0.2">
      <c r="A31" s="85"/>
      <c r="B31" s="408"/>
      <c r="C31" s="85"/>
      <c r="D31" s="86"/>
      <c r="E31" s="86"/>
      <c r="F31" s="87"/>
      <c r="G31" s="88">
        <f t="shared" si="6"/>
        <v>0</v>
      </c>
      <c r="H31" s="89">
        <f t="shared" si="7"/>
        <v>0</v>
      </c>
      <c r="I31" s="90">
        <f t="shared" si="8"/>
        <v>0</v>
      </c>
      <c r="J31" s="91"/>
      <c r="K31" s="395"/>
      <c r="M31" s="367"/>
    </row>
    <row r="32" spans="1:244" s="93" customFormat="1" ht="20" customHeight="1" outlineLevel="2" x14ac:dyDescent="0.2">
      <c r="A32" s="85"/>
      <c r="B32" s="408"/>
      <c r="C32" s="85"/>
      <c r="D32" s="86"/>
      <c r="E32" s="86"/>
      <c r="F32" s="87"/>
      <c r="G32" s="88">
        <f>(D32*E32*F32)</f>
        <v>0</v>
      </c>
      <c r="H32" s="89">
        <f t="shared" si="7"/>
        <v>0</v>
      </c>
      <c r="I32" s="90">
        <f t="shared" si="8"/>
        <v>0</v>
      </c>
      <c r="J32" s="91"/>
      <c r="K32" s="395"/>
      <c r="M32" s="367"/>
    </row>
    <row r="33" spans="1:244" s="105" customFormat="1" outlineLevel="1" x14ac:dyDescent="0.2">
      <c r="A33" s="94" t="s">
        <v>288</v>
      </c>
      <c r="B33" s="95"/>
      <c r="C33" s="98"/>
      <c r="D33" s="98"/>
      <c r="E33" s="95"/>
      <c r="F33" s="96"/>
      <c r="G33" s="99">
        <f>SUM(G26:G32)</f>
        <v>0</v>
      </c>
      <c r="H33" s="406">
        <f>SUM(H26:H32)</f>
        <v>0</v>
      </c>
      <c r="I33" s="96">
        <f>SUM(I26:I32)</f>
        <v>0</v>
      </c>
      <c r="J33" s="97">
        <f>SUM(J26:J32)</f>
        <v>0</v>
      </c>
      <c r="K33" s="395"/>
      <c r="L33" s="101"/>
      <c r="M33" s="380">
        <f>$H33</f>
        <v>0</v>
      </c>
      <c r="N33" s="103"/>
      <c r="O33" s="100"/>
      <c r="P33" s="104"/>
      <c r="Q33" s="100"/>
      <c r="R33" s="100"/>
      <c r="S33" s="100"/>
      <c r="T33" s="101"/>
      <c r="U33" s="101"/>
      <c r="V33" s="102"/>
      <c r="W33" s="103"/>
      <c r="X33" s="100"/>
      <c r="Y33" s="104"/>
      <c r="Z33" s="100"/>
      <c r="AA33" s="100"/>
      <c r="AB33" s="100"/>
      <c r="AC33" s="101"/>
      <c r="AD33" s="101"/>
      <c r="AE33" s="102"/>
      <c r="AF33" s="103"/>
      <c r="AG33" s="100"/>
      <c r="AH33" s="104"/>
      <c r="AI33" s="100"/>
      <c r="AJ33" s="100"/>
      <c r="AK33" s="100"/>
      <c r="AL33" s="101"/>
      <c r="AM33" s="101"/>
      <c r="AN33" s="102"/>
      <c r="AO33" s="103"/>
      <c r="AP33" s="100"/>
      <c r="AQ33" s="104"/>
      <c r="AR33" s="100"/>
      <c r="AS33" s="100"/>
      <c r="AT33" s="100"/>
      <c r="AU33" s="101"/>
      <c r="AV33" s="101"/>
      <c r="AW33" s="102"/>
      <c r="AX33" s="103"/>
      <c r="AY33" s="100"/>
      <c r="AZ33" s="104"/>
      <c r="BA33" s="100"/>
      <c r="BB33" s="100"/>
      <c r="BC33" s="100"/>
      <c r="BD33" s="101"/>
      <c r="BE33" s="101"/>
      <c r="BF33" s="102"/>
      <c r="BG33" s="103"/>
      <c r="BH33" s="100"/>
      <c r="BI33" s="104"/>
      <c r="BJ33" s="100"/>
      <c r="BK33" s="100"/>
      <c r="BL33" s="100"/>
      <c r="BM33" s="101"/>
      <c r="BN33" s="101"/>
      <c r="BO33" s="102"/>
      <c r="BP33" s="103"/>
      <c r="BQ33" s="100"/>
      <c r="BR33" s="104"/>
      <c r="BS33" s="100"/>
      <c r="BT33" s="100"/>
      <c r="BU33" s="100"/>
      <c r="BV33" s="101"/>
      <c r="BW33" s="101"/>
      <c r="BX33" s="102"/>
      <c r="BY33" s="103"/>
      <c r="BZ33" s="100"/>
      <c r="CA33" s="104"/>
      <c r="CB33" s="100"/>
      <c r="CC33" s="100"/>
      <c r="CD33" s="100"/>
      <c r="CE33" s="101"/>
      <c r="CF33" s="101"/>
      <c r="CG33" s="102"/>
      <c r="CH33" s="103"/>
      <c r="CI33" s="100"/>
      <c r="CJ33" s="104"/>
      <c r="CK33" s="100"/>
      <c r="CL33" s="100"/>
      <c r="CM33" s="100"/>
      <c r="CN33" s="101"/>
      <c r="CO33" s="101"/>
      <c r="CP33" s="102"/>
      <c r="CQ33" s="103"/>
      <c r="CR33" s="100"/>
      <c r="CS33" s="104"/>
      <c r="CT33" s="100"/>
      <c r="CU33" s="100"/>
      <c r="CV33" s="100"/>
      <c r="CW33" s="101"/>
      <c r="CX33" s="101"/>
      <c r="CY33" s="102"/>
      <c r="CZ33" s="103"/>
      <c r="DA33" s="100"/>
      <c r="DB33" s="104"/>
      <c r="DC33" s="100"/>
      <c r="DD33" s="100"/>
      <c r="DE33" s="100"/>
      <c r="DF33" s="101"/>
      <c r="DG33" s="101"/>
      <c r="DH33" s="102"/>
      <c r="DI33" s="103"/>
      <c r="DJ33" s="100"/>
      <c r="DK33" s="104"/>
      <c r="DL33" s="100"/>
      <c r="DM33" s="100"/>
      <c r="DN33" s="100"/>
      <c r="DO33" s="101"/>
      <c r="DP33" s="101"/>
      <c r="DQ33" s="102"/>
      <c r="DR33" s="103"/>
      <c r="DS33" s="100"/>
      <c r="DT33" s="104"/>
      <c r="DU33" s="100"/>
      <c r="DV33" s="100"/>
      <c r="DW33" s="100"/>
      <c r="DX33" s="101"/>
      <c r="DY33" s="101"/>
      <c r="DZ33" s="102"/>
      <c r="EA33" s="103"/>
      <c r="EB33" s="100"/>
      <c r="EC33" s="104"/>
      <c r="ED33" s="100"/>
      <c r="EE33" s="100"/>
      <c r="EF33" s="100"/>
      <c r="EG33" s="101"/>
      <c r="EH33" s="101"/>
      <c r="EI33" s="102"/>
      <c r="EJ33" s="103"/>
      <c r="EK33" s="100"/>
      <c r="EL33" s="104"/>
      <c r="EM33" s="100"/>
      <c r="EN33" s="100"/>
      <c r="EO33" s="100"/>
      <c r="EP33" s="101"/>
      <c r="EQ33" s="101"/>
      <c r="ER33" s="102"/>
      <c r="ES33" s="103"/>
      <c r="ET33" s="100"/>
      <c r="EU33" s="104"/>
      <c r="EV33" s="100"/>
      <c r="EW33" s="100"/>
      <c r="EX33" s="100"/>
      <c r="EY33" s="101"/>
      <c r="EZ33" s="101"/>
      <c r="FA33" s="102"/>
      <c r="FB33" s="103"/>
      <c r="FC33" s="100"/>
      <c r="FD33" s="104"/>
      <c r="FE33" s="100"/>
      <c r="FF33" s="100"/>
      <c r="FG33" s="100"/>
      <c r="FH33" s="101"/>
      <c r="FI33" s="101"/>
      <c r="FJ33" s="102"/>
      <c r="FK33" s="103"/>
      <c r="FL33" s="100"/>
      <c r="FM33" s="104"/>
      <c r="FN33" s="100"/>
      <c r="FO33" s="100"/>
      <c r="FP33" s="100"/>
      <c r="FQ33" s="101"/>
      <c r="FR33" s="101"/>
      <c r="FS33" s="102"/>
      <c r="FT33" s="103"/>
      <c r="FU33" s="100"/>
      <c r="FV33" s="104"/>
      <c r="FW33" s="100"/>
      <c r="FX33" s="100"/>
      <c r="FY33" s="100"/>
      <c r="FZ33" s="101"/>
      <c r="GA33" s="101"/>
      <c r="GB33" s="102"/>
      <c r="GC33" s="103"/>
      <c r="GD33" s="100"/>
      <c r="GE33" s="104"/>
      <c r="GF33" s="100"/>
      <c r="GG33" s="100"/>
      <c r="GH33" s="100"/>
      <c r="GI33" s="101"/>
      <c r="GJ33" s="101"/>
      <c r="GK33" s="102"/>
      <c r="GL33" s="103"/>
      <c r="GM33" s="100"/>
      <c r="GN33" s="104"/>
      <c r="GO33" s="100"/>
      <c r="GP33" s="100"/>
      <c r="GQ33" s="100"/>
      <c r="GR33" s="101"/>
      <c r="GS33" s="101"/>
      <c r="GT33" s="102"/>
      <c r="GU33" s="103"/>
      <c r="GV33" s="100"/>
      <c r="GW33" s="104"/>
      <c r="GX33" s="100"/>
      <c r="GY33" s="100"/>
      <c r="GZ33" s="100"/>
      <c r="HA33" s="101"/>
      <c r="HB33" s="101"/>
      <c r="HC33" s="102"/>
      <c r="HD33" s="103"/>
      <c r="HE33" s="100"/>
      <c r="HF33" s="104"/>
      <c r="HG33" s="100"/>
      <c r="HH33" s="100"/>
      <c r="HI33" s="100"/>
      <c r="HJ33" s="101"/>
      <c r="HK33" s="101"/>
      <c r="HL33" s="102"/>
      <c r="HM33" s="103"/>
      <c r="HN33" s="100"/>
      <c r="HO33" s="104"/>
      <c r="HP33" s="100"/>
      <c r="HQ33" s="100"/>
      <c r="HR33" s="100"/>
      <c r="HS33" s="101"/>
      <c r="HT33" s="101"/>
      <c r="HU33" s="102"/>
      <c r="HV33" s="103"/>
      <c r="HW33" s="100"/>
      <c r="HX33" s="104"/>
      <c r="HY33" s="100"/>
      <c r="HZ33" s="100"/>
      <c r="IA33" s="100"/>
      <c r="IB33" s="101"/>
      <c r="IC33" s="101"/>
      <c r="ID33" s="102"/>
      <c r="IE33" s="103"/>
      <c r="IF33" s="100"/>
      <c r="IG33" s="104"/>
      <c r="IH33" s="100"/>
      <c r="II33" s="100"/>
      <c r="IJ33" s="100"/>
    </row>
    <row r="34" spans="1:244" s="93" customFormat="1" ht="39" customHeight="1" outlineLevel="1" x14ac:dyDescent="0.2">
      <c r="A34" s="139"/>
      <c r="B34" s="407"/>
      <c r="C34" s="85"/>
      <c r="D34" s="86"/>
      <c r="E34" s="86"/>
      <c r="F34" s="87"/>
      <c r="G34" s="88"/>
      <c r="H34" s="89"/>
      <c r="I34" s="90"/>
      <c r="J34" s="91"/>
      <c r="K34" s="395"/>
      <c r="M34" s="367"/>
    </row>
    <row r="35" spans="1:244" s="93" customFormat="1" ht="20" customHeight="1" outlineLevel="2" x14ac:dyDescent="0.2">
      <c r="A35" s="85"/>
      <c r="B35" s="408"/>
      <c r="C35" s="85"/>
      <c r="D35" s="86"/>
      <c r="E35" s="86"/>
      <c r="F35" s="87"/>
      <c r="G35" s="88">
        <f t="shared" ref="G35:G37" si="9">(D35*E35*F35)</f>
        <v>0</v>
      </c>
      <c r="H35" s="89">
        <f t="shared" ref="H35:H37" si="10">G35/$K$3</f>
        <v>0</v>
      </c>
      <c r="I35" s="90">
        <f>H35</f>
        <v>0</v>
      </c>
      <c r="J35" s="91"/>
      <c r="K35" s="395"/>
      <c r="M35" s="367"/>
    </row>
    <row r="36" spans="1:244" s="93" customFormat="1" ht="20" customHeight="1" outlineLevel="2" x14ac:dyDescent="0.2">
      <c r="A36" s="85"/>
      <c r="B36" s="408"/>
      <c r="C36" s="85"/>
      <c r="D36" s="86"/>
      <c r="E36" s="86"/>
      <c r="F36" s="87"/>
      <c r="G36" s="88">
        <f t="shared" si="9"/>
        <v>0</v>
      </c>
      <c r="H36" s="89">
        <f t="shared" si="10"/>
        <v>0</v>
      </c>
      <c r="I36" s="90">
        <f t="shared" ref="I36:I37" si="11">H36</f>
        <v>0</v>
      </c>
      <c r="J36" s="91"/>
      <c r="K36" s="395"/>
      <c r="M36" s="367"/>
    </row>
    <row r="37" spans="1:244" s="93" customFormat="1" ht="20" customHeight="1" outlineLevel="2" x14ac:dyDescent="0.2">
      <c r="A37" s="85"/>
      <c r="B37" s="408"/>
      <c r="C37" s="85"/>
      <c r="D37" s="86"/>
      <c r="E37" s="86"/>
      <c r="F37" s="87"/>
      <c r="G37" s="88">
        <f t="shared" si="9"/>
        <v>0</v>
      </c>
      <c r="H37" s="89">
        <f t="shared" si="10"/>
        <v>0</v>
      </c>
      <c r="I37" s="90">
        <f t="shared" si="11"/>
        <v>0</v>
      </c>
      <c r="J37" s="91"/>
      <c r="K37" s="395"/>
      <c r="M37" s="367"/>
    </row>
    <row r="38" spans="1:244" s="93" customFormat="1" ht="20" customHeight="1" outlineLevel="2" x14ac:dyDescent="0.2">
      <c r="A38" s="85"/>
      <c r="B38" s="408"/>
      <c r="C38" s="85"/>
      <c r="D38" s="86"/>
      <c r="E38" s="86"/>
      <c r="F38" s="87"/>
      <c r="G38" s="88">
        <f t="shared" ref="G38:G40" si="12">(D38*E38*F38)</f>
        <v>0</v>
      </c>
      <c r="H38" s="89">
        <f t="shared" ref="H38:H41" si="13">G38/$K$3</f>
        <v>0</v>
      </c>
      <c r="I38" s="90">
        <f t="shared" ref="I38:I41" si="14">H38</f>
        <v>0</v>
      </c>
      <c r="J38" s="91"/>
      <c r="K38" s="395"/>
      <c r="M38" s="367"/>
    </row>
    <row r="39" spans="1:244" s="93" customFormat="1" ht="20" customHeight="1" outlineLevel="2" x14ac:dyDescent="0.2">
      <c r="A39" s="85"/>
      <c r="B39" s="408"/>
      <c r="C39" s="85"/>
      <c r="D39" s="86"/>
      <c r="E39" s="86"/>
      <c r="F39" s="87"/>
      <c r="G39" s="88">
        <f t="shared" si="12"/>
        <v>0</v>
      </c>
      <c r="H39" s="89">
        <f t="shared" si="13"/>
        <v>0</v>
      </c>
      <c r="I39" s="90">
        <f t="shared" si="14"/>
        <v>0</v>
      </c>
      <c r="J39" s="91"/>
      <c r="K39" s="395"/>
      <c r="M39" s="367"/>
    </row>
    <row r="40" spans="1:244" s="93" customFormat="1" ht="20" customHeight="1" outlineLevel="2" x14ac:dyDescent="0.2">
      <c r="A40" s="85"/>
      <c r="B40" s="408"/>
      <c r="C40" s="85"/>
      <c r="D40" s="86"/>
      <c r="E40" s="86"/>
      <c r="F40" s="87"/>
      <c r="G40" s="88">
        <f t="shared" si="12"/>
        <v>0</v>
      </c>
      <c r="H40" s="89">
        <f t="shared" si="13"/>
        <v>0</v>
      </c>
      <c r="I40" s="90">
        <f t="shared" si="14"/>
        <v>0</v>
      </c>
      <c r="J40" s="91"/>
      <c r="K40" s="395"/>
      <c r="M40" s="367"/>
    </row>
    <row r="41" spans="1:244" s="93" customFormat="1" ht="20" customHeight="1" outlineLevel="2" x14ac:dyDescent="0.2">
      <c r="A41" s="85"/>
      <c r="B41" s="408"/>
      <c r="C41" s="85"/>
      <c r="D41" s="86"/>
      <c r="E41" s="86"/>
      <c r="F41" s="87"/>
      <c r="G41" s="88">
        <f>(D41*E41*F41)</f>
        <v>0</v>
      </c>
      <c r="H41" s="89">
        <f t="shared" si="13"/>
        <v>0</v>
      </c>
      <c r="I41" s="90">
        <f t="shared" si="14"/>
        <v>0</v>
      </c>
      <c r="J41" s="91"/>
      <c r="K41" s="395"/>
      <c r="M41" s="367"/>
    </row>
    <row r="42" spans="1:244" s="105" customFormat="1" outlineLevel="1" x14ac:dyDescent="0.2">
      <c r="A42" s="94" t="s">
        <v>288</v>
      </c>
      <c r="B42" s="95"/>
      <c r="C42" s="98"/>
      <c r="D42" s="98"/>
      <c r="E42" s="95"/>
      <c r="F42" s="96"/>
      <c r="G42" s="99">
        <f>SUM(G35:G41)</f>
        <v>0</v>
      </c>
      <c r="H42" s="406">
        <f>SUM(H35:H41)</f>
        <v>0</v>
      </c>
      <c r="I42" s="96">
        <f>SUM(I35:I41)</f>
        <v>0</v>
      </c>
      <c r="J42" s="97">
        <f>SUM(J35:J41)</f>
        <v>0</v>
      </c>
      <c r="K42" s="395"/>
      <c r="L42" s="101"/>
      <c r="M42" s="380">
        <f>$H42</f>
        <v>0</v>
      </c>
      <c r="N42" s="103"/>
      <c r="O42" s="100"/>
      <c r="P42" s="104"/>
      <c r="Q42" s="100"/>
      <c r="R42" s="100"/>
      <c r="S42" s="100"/>
      <c r="T42" s="101"/>
      <c r="U42" s="101"/>
      <c r="V42" s="102"/>
      <c r="W42" s="103"/>
      <c r="X42" s="100"/>
      <c r="Y42" s="104"/>
      <c r="Z42" s="100"/>
      <c r="AA42" s="100"/>
      <c r="AB42" s="100"/>
      <c r="AC42" s="101"/>
      <c r="AD42" s="101"/>
      <c r="AE42" s="102"/>
      <c r="AF42" s="103"/>
      <c r="AG42" s="100"/>
      <c r="AH42" s="104"/>
      <c r="AI42" s="100"/>
      <c r="AJ42" s="100"/>
      <c r="AK42" s="100"/>
      <c r="AL42" s="101"/>
      <c r="AM42" s="101"/>
      <c r="AN42" s="102"/>
      <c r="AO42" s="103"/>
      <c r="AP42" s="100"/>
      <c r="AQ42" s="104"/>
      <c r="AR42" s="100"/>
      <c r="AS42" s="100"/>
      <c r="AT42" s="100"/>
      <c r="AU42" s="101"/>
      <c r="AV42" s="101"/>
      <c r="AW42" s="102"/>
      <c r="AX42" s="103"/>
      <c r="AY42" s="100"/>
      <c r="AZ42" s="104"/>
      <c r="BA42" s="100"/>
      <c r="BB42" s="100"/>
      <c r="BC42" s="100"/>
      <c r="BD42" s="101"/>
      <c r="BE42" s="101"/>
      <c r="BF42" s="102"/>
      <c r="BG42" s="103"/>
      <c r="BH42" s="100"/>
      <c r="BI42" s="104"/>
      <c r="BJ42" s="100"/>
      <c r="BK42" s="100"/>
      <c r="BL42" s="100"/>
      <c r="BM42" s="101"/>
      <c r="BN42" s="101"/>
      <c r="BO42" s="102"/>
      <c r="BP42" s="103"/>
      <c r="BQ42" s="100"/>
      <c r="BR42" s="104"/>
      <c r="BS42" s="100"/>
      <c r="BT42" s="100"/>
      <c r="BU42" s="100"/>
      <c r="BV42" s="101"/>
      <c r="BW42" s="101"/>
      <c r="BX42" s="102"/>
      <c r="BY42" s="103"/>
      <c r="BZ42" s="100"/>
      <c r="CA42" s="104"/>
      <c r="CB42" s="100"/>
      <c r="CC42" s="100"/>
      <c r="CD42" s="100"/>
      <c r="CE42" s="101"/>
      <c r="CF42" s="101"/>
      <c r="CG42" s="102"/>
      <c r="CH42" s="103"/>
      <c r="CI42" s="100"/>
      <c r="CJ42" s="104"/>
      <c r="CK42" s="100"/>
      <c r="CL42" s="100"/>
      <c r="CM42" s="100"/>
      <c r="CN42" s="101"/>
      <c r="CO42" s="101"/>
      <c r="CP42" s="102"/>
      <c r="CQ42" s="103"/>
      <c r="CR42" s="100"/>
      <c r="CS42" s="104"/>
      <c r="CT42" s="100"/>
      <c r="CU42" s="100"/>
      <c r="CV42" s="100"/>
      <c r="CW42" s="101"/>
      <c r="CX42" s="101"/>
      <c r="CY42" s="102"/>
      <c r="CZ42" s="103"/>
      <c r="DA42" s="100"/>
      <c r="DB42" s="104"/>
      <c r="DC42" s="100"/>
      <c r="DD42" s="100"/>
      <c r="DE42" s="100"/>
      <c r="DF42" s="101"/>
      <c r="DG42" s="101"/>
      <c r="DH42" s="102"/>
      <c r="DI42" s="103"/>
      <c r="DJ42" s="100"/>
      <c r="DK42" s="104"/>
      <c r="DL42" s="100"/>
      <c r="DM42" s="100"/>
      <c r="DN42" s="100"/>
      <c r="DO42" s="101"/>
      <c r="DP42" s="101"/>
      <c r="DQ42" s="102"/>
      <c r="DR42" s="103"/>
      <c r="DS42" s="100"/>
      <c r="DT42" s="104"/>
      <c r="DU42" s="100"/>
      <c r="DV42" s="100"/>
      <c r="DW42" s="100"/>
      <c r="DX42" s="101"/>
      <c r="DY42" s="101"/>
      <c r="DZ42" s="102"/>
      <c r="EA42" s="103"/>
      <c r="EB42" s="100"/>
      <c r="EC42" s="104"/>
      <c r="ED42" s="100"/>
      <c r="EE42" s="100"/>
      <c r="EF42" s="100"/>
      <c r="EG42" s="101"/>
      <c r="EH42" s="101"/>
      <c r="EI42" s="102"/>
      <c r="EJ42" s="103"/>
      <c r="EK42" s="100"/>
      <c r="EL42" s="104"/>
      <c r="EM42" s="100"/>
      <c r="EN42" s="100"/>
      <c r="EO42" s="100"/>
      <c r="EP42" s="101"/>
      <c r="EQ42" s="101"/>
      <c r="ER42" s="102"/>
      <c r="ES42" s="103"/>
      <c r="ET42" s="100"/>
      <c r="EU42" s="104"/>
      <c r="EV42" s="100"/>
      <c r="EW42" s="100"/>
      <c r="EX42" s="100"/>
      <c r="EY42" s="101"/>
      <c r="EZ42" s="101"/>
      <c r="FA42" s="102"/>
      <c r="FB42" s="103"/>
      <c r="FC42" s="100"/>
      <c r="FD42" s="104"/>
      <c r="FE42" s="100"/>
      <c r="FF42" s="100"/>
      <c r="FG42" s="100"/>
      <c r="FH42" s="101"/>
      <c r="FI42" s="101"/>
      <c r="FJ42" s="102"/>
      <c r="FK42" s="103"/>
      <c r="FL42" s="100"/>
      <c r="FM42" s="104"/>
      <c r="FN42" s="100"/>
      <c r="FO42" s="100"/>
      <c r="FP42" s="100"/>
      <c r="FQ42" s="101"/>
      <c r="FR42" s="101"/>
      <c r="FS42" s="102"/>
      <c r="FT42" s="103"/>
      <c r="FU42" s="100"/>
      <c r="FV42" s="104"/>
      <c r="FW42" s="100"/>
      <c r="FX42" s="100"/>
      <c r="FY42" s="100"/>
      <c r="FZ42" s="101"/>
      <c r="GA42" s="101"/>
      <c r="GB42" s="102"/>
      <c r="GC42" s="103"/>
      <c r="GD42" s="100"/>
      <c r="GE42" s="104"/>
      <c r="GF42" s="100"/>
      <c r="GG42" s="100"/>
      <c r="GH42" s="100"/>
      <c r="GI42" s="101"/>
      <c r="GJ42" s="101"/>
      <c r="GK42" s="102"/>
      <c r="GL42" s="103"/>
      <c r="GM42" s="100"/>
      <c r="GN42" s="104"/>
      <c r="GO42" s="100"/>
      <c r="GP42" s="100"/>
      <c r="GQ42" s="100"/>
      <c r="GR42" s="101"/>
      <c r="GS42" s="101"/>
      <c r="GT42" s="102"/>
      <c r="GU42" s="103"/>
      <c r="GV42" s="100"/>
      <c r="GW42" s="104"/>
      <c r="GX42" s="100"/>
      <c r="GY42" s="100"/>
      <c r="GZ42" s="100"/>
      <c r="HA42" s="101"/>
      <c r="HB42" s="101"/>
      <c r="HC42" s="102"/>
      <c r="HD42" s="103"/>
      <c r="HE42" s="100"/>
      <c r="HF42" s="104"/>
      <c r="HG42" s="100"/>
      <c r="HH42" s="100"/>
      <c r="HI42" s="100"/>
      <c r="HJ42" s="101"/>
      <c r="HK42" s="101"/>
      <c r="HL42" s="102"/>
      <c r="HM42" s="103"/>
      <c r="HN42" s="100"/>
      <c r="HO42" s="104"/>
      <c r="HP42" s="100"/>
      <c r="HQ42" s="100"/>
      <c r="HR42" s="100"/>
      <c r="HS42" s="101"/>
      <c r="HT42" s="101"/>
      <c r="HU42" s="102"/>
      <c r="HV42" s="103"/>
      <c r="HW42" s="100"/>
      <c r="HX42" s="104"/>
      <c r="HY42" s="100"/>
      <c r="HZ42" s="100"/>
      <c r="IA42" s="100"/>
      <c r="IB42" s="101"/>
      <c r="IC42" s="101"/>
      <c r="ID42" s="102"/>
      <c r="IE42" s="103"/>
      <c r="IF42" s="100"/>
      <c r="IG42" s="104"/>
      <c r="IH42" s="100"/>
      <c r="II42" s="100"/>
      <c r="IJ42" s="100"/>
    </row>
    <row r="43" spans="1:244" s="93" customFormat="1" ht="39" customHeight="1" outlineLevel="1" x14ac:dyDescent="0.2">
      <c r="A43" s="139"/>
      <c r="B43" s="407"/>
      <c r="C43" s="85"/>
      <c r="D43" s="86"/>
      <c r="E43" s="86"/>
      <c r="F43" s="87"/>
      <c r="G43" s="88"/>
      <c r="H43" s="89"/>
      <c r="I43" s="90"/>
      <c r="J43" s="91"/>
      <c r="K43" s="395"/>
      <c r="M43" s="367"/>
    </row>
    <row r="44" spans="1:244" s="93" customFormat="1" ht="20" customHeight="1" outlineLevel="2" x14ac:dyDescent="0.2">
      <c r="A44" s="85"/>
      <c r="B44" s="408"/>
      <c r="C44" s="85"/>
      <c r="D44" s="86"/>
      <c r="E44" s="86"/>
      <c r="F44" s="87"/>
      <c r="G44" s="88">
        <f t="shared" ref="G44:G49" si="15">(D44*E44*F44)</f>
        <v>0</v>
      </c>
      <c r="H44" s="89">
        <f t="shared" ref="H44:H50" si="16">G44/$K$3</f>
        <v>0</v>
      </c>
      <c r="I44" s="90">
        <f>H44</f>
        <v>0</v>
      </c>
      <c r="J44" s="91"/>
      <c r="K44" s="395"/>
      <c r="M44" s="367"/>
    </row>
    <row r="45" spans="1:244" s="93" customFormat="1" ht="20" customHeight="1" outlineLevel="2" x14ac:dyDescent="0.2">
      <c r="A45" s="85"/>
      <c r="B45" s="408"/>
      <c r="C45" s="85"/>
      <c r="D45" s="86"/>
      <c r="E45" s="86"/>
      <c r="F45" s="87"/>
      <c r="G45" s="88">
        <f t="shared" si="15"/>
        <v>0</v>
      </c>
      <c r="H45" s="89">
        <f t="shared" si="16"/>
        <v>0</v>
      </c>
      <c r="I45" s="90">
        <f t="shared" ref="I45:I50" si="17">H45</f>
        <v>0</v>
      </c>
      <c r="J45" s="91"/>
      <c r="K45" s="395"/>
      <c r="M45" s="367"/>
    </row>
    <row r="46" spans="1:244" s="93" customFormat="1" ht="20" customHeight="1" outlineLevel="2" x14ac:dyDescent="0.2">
      <c r="A46" s="85"/>
      <c r="B46" s="408"/>
      <c r="C46" s="85"/>
      <c r="D46" s="86"/>
      <c r="E46" s="86"/>
      <c r="F46" s="87"/>
      <c r="G46" s="88">
        <f t="shared" si="15"/>
        <v>0</v>
      </c>
      <c r="H46" s="89">
        <f t="shared" si="16"/>
        <v>0</v>
      </c>
      <c r="I46" s="90">
        <f t="shared" si="17"/>
        <v>0</v>
      </c>
      <c r="J46" s="91"/>
      <c r="K46" s="395"/>
      <c r="M46" s="367"/>
    </row>
    <row r="47" spans="1:244" s="93" customFormat="1" ht="20" customHeight="1" outlineLevel="2" x14ac:dyDescent="0.2">
      <c r="A47" s="85"/>
      <c r="B47" s="408"/>
      <c r="C47" s="85"/>
      <c r="D47" s="86"/>
      <c r="E47" s="86"/>
      <c r="F47" s="87"/>
      <c r="G47" s="88">
        <f t="shared" si="15"/>
        <v>0</v>
      </c>
      <c r="H47" s="89">
        <f t="shared" si="16"/>
        <v>0</v>
      </c>
      <c r="I47" s="90">
        <f t="shared" si="17"/>
        <v>0</v>
      </c>
      <c r="J47" s="91"/>
      <c r="K47" s="395"/>
      <c r="M47" s="367"/>
    </row>
    <row r="48" spans="1:244" s="93" customFormat="1" ht="20" customHeight="1" outlineLevel="2" x14ac:dyDescent="0.2">
      <c r="A48" s="85"/>
      <c r="B48" s="408"/>
      <c r="C48" s="85"/>
      <c r="D48" s="86"/>
      <c r="E48" s="86"/>
      <c r="F48" s="87"/>
      <c r="G48" s="88">
        <f t="shared" si="15"/>
        <v>0</v>
      </c>
      <c r="H48" s="89">
        <f t="shared" si="16"/>
        <v>0</v>
      </c>
      <c r="I48" s="90">
        <f t="shared" si="17"/>
        <v>0</v>
      </c>
      <c r="J48" s="91"/>
      <c r="K48" s="395"/>
      <c r="M48" s="367"/>
    </row>
    <row r="49" spans="1:244" s="93" customFormat="1" ht="20" customHeight="1" outlineLevel="2" x14ac:dyDescent="0.2">
      <c r="A49" s="85"/>
      <c r="B49" s="408"/>
      <c r="C49" s="85"/>
      <c r="D49" s="86"/>
      <c r="E49" s="86"/>
      <c r="F49" s="87"/>
      <c r="G49" s="88">
        <f t="shared" si="15"/>
        <v>0</v>
      </c>
      <c r="H49" s="89">
        <f t="shared" si="16"/>
        <v>0</v>
      </c>
      <c r="I49" s="90">
        <f t="shared" si="17"/>
        <v>0</v>
      </c>
      <c r="J49" s="91"/>
      <c r="K49" s="395"/>
      <c r="M49" s="367"/>
    </row>
    <row r="50" spans="1:244" s="93" customFormat="1" ht="20" customHeight="1" outlineLevel="2" x14ac:dyDescent="0.2">
      <c r="A50" s="85"/>
      <c r="B50" s="408"/>
      <c r="C50" s="85"/>
      <c r="D50" s="86"/>
      <c r="E50" s="86"/>
      <c r="F50" s="87"/>
      <c r="G50" s="88">
        <f>(D50*E50*F50)</f>
        <v>0</v>
      </c>
      <c r="H50" s="89">
        <f t="shared" si="16"/>
        <v>0</v>
      </c>
      <c r="I50" s="90">
        <f t="shared" si="17"/>
        <v>0</v>
      </c>
      <c r="J50" s="91"/>
      <c r="K50" s="395"/>
      <c r="M50" s="367"/>
    </row>
    <row r="51" spans="1:244" s="105" customFormat="1" outlineLevel="1" x14ac:dyDescent="0.2">
      <c r="A51" s="94" t="s">
        <v>288</v>
      </c>
      <c r="B51" s="95"/>
      <c r="C51" s="98"/>
      <c r="D51" s="98"/>
      <c r="E51" s="95"/>
      <c r="F51" s="96"/>
      <c r="G51" s="99">
        <f>SUM(G44:G50)</f>
        <v>0</v>
      </c>
      <c r="H51" s="406">
        <f>SUM(H44:H50)</f>
        <v>0</v>
      </c>
      <c r="I51" s="96">
        <f>SUM(I44:I50)</f>
        <v>0</v>
      </c>
      <c r="J51" s="97">
        <f>SUM(J44:J50)</f>
        <v>0</v>
      </c>
      <c r="K51" s="395"/>
      <c r="L51" s="101"/>
      <c r="M51" s="380">
        <f>$H51</f>
        <v>0</v>
      </c>
      <c r="N51" s="103"/>
      <c r="O51" s="100"/>
      <c r="P51" s="104"/>
      <c r="Q51" s="100"/>
      <c r="R51" s="100"/>
      <c r="S51" s="100"/>
      <c r="T51" s="101"/>
      <c r="U51" s="101"/>
      <c r="V51" s="102"/>
      <c r="W51" s="103"/>
      <c r="X51" s="100"/>
      <c r="Y51" s="104"/>
      <c r="Z51" s="100"/>
      <c r="AA51" s="100"/>
      <c r="AB51" s="100"/>
      <c r="AC51" s="101"/>
      <c r="AD51" s="101"/>
      <c r="AE51" s="102"/>
      <c r="AF51" s="103"/>
      <c r="AG51" s="100"/>
      <c r="AH51" s="104"/>
      <c r="AI51" s="100"/>
      <c r="AJ51" s="100"/>
      <c r="AK51" s="100"/>
      <c r="AL51" s="101"/>
      <c r="AM51" s="101"/>
      <c r="AN51" s="102"/>
      <c r="AO51" s="103"/>
      <c r="AP51" s="100"/>
      <c r="AQ51" s="104"/>
      <c r="AR51" s="100"/>
      <c r="AS51" s="100"/>
      <c r="AT51" s="100"/>
      <c r="AU51" s="101"/>
      <c r="AV51" s="101"/>
      <c r="AW51" s="102"/>
      <c r="AX51" s="103"/>
      <c r="AY51" s="100"/>
      <c r="AZ51" s="104"/>
      <c r="BA51" s="100"/>
      <c r="BB51" s="100"/>
      <c r="BC51" s="100"/>
      <c r="BD51" s="101"/>
      <c r="BE51" s="101"/>
      <c r="BF51" s="102"/>
      <c r="BG51" s="103"/>
      <c r="BH51" s="100"/>
      <c r="BI51" s="104"/>
      <c r="BJ51" s="100"/>
      <c r="BK51" s="100"/>
      <c r="BL51" s="100"/>
      <c r="BM51" s="101"/>
      <c r="BN51" s="101"/>
      <c r="BO51" s="102"/>
      <c r="BP51" s="103"/>
      <c r="BQ51" s="100"/>
      <c r="BR51" s="104"/>
      <c r="BS51" s="100"/>
      <c r="BT51" s="100"/>
      <c r="BU51" s="100"/>
      <c r="BV51" s="101"/>
      <c r="BW51" s="101"/>
      <c r="BX51" s="102"/>
      <c r="BY51" s="103"/>
      <c r="BZ51" s="100"/>
      <c r="CA51" s="104"/>
      <c r="CB51" s="100"/>
      <c r="CC51" s="100"/>
      <c r="CD51" s="100"/>
      <c r="CE51" s="101"/>
      <c r="CF51" s="101"/>
      <c r="CG51" s="102"/>
      <c r="CH51" s="103"/>
      <c r="CI51" s="100"/>
      <c r="CJ51" s="104"/>
      <c r="CK51" s="100"/>
      <c r="CL51" s="100"/>
      <c r="CM51" s="100"/>
      <c r="CN51" s="101"/>
      <c r="CO51" s="101"/>
      <c r="CP51" s="102"/>
      <c r="CQ51" s="103"/>
      <c r="CR51" s="100"/>
      <c r="CS51" s="104"/>
      <c r="CT51" s="100"/>
      <c r="CU51" s="100"/>
      <c r="CV51" s="100"/>
      <c r="CW51" s="101"/>
      <c r="CX51" s="101"/>
      <c r="CY51" s="102"/>
      <c r="CZ51" s="103"/>
      <c r="DA51" s="100"/>
      <c r="DB51" s="104"/>
      <c r="DC51" s="100"/>
      <c r="DD51" s="100"/>
      <c r="DE51" s="100"/>
      <c r="DF51" s="101"/>
      <c r="DG51" s="101"/>
      <c r="DH51" s="102"/>
      <c r="DI51" s="103"/>
      <c r="DJ51" s="100"/>
      <c r="DK51" s="104"/>
      <c r="DL51" s="100"/>
      <c r="DM51" s="100"/>
      <c r="DN51" s="100"/>
      <c r="DO51" s="101"/>
      <c r="DP51" s="101"/>
      <c r="DQ51" s="102"/>
      <c r="DR51" s="103"/>
      <c r="DS51" s="100"/>
      <c r="DT51" s="104"/>
      <c r="DU51" s="100"/>
      <c r="DV51" s="100"/>
      <c r="DW51" s="100"/>
      <c r="DX51" s="101"/>
      <c r="DY51" s="101"/>
      <c r="DZ51" s="102"/>
      <c r="EA51" s="103"/>
      <c r="EB51" s="100"/>
      <c r="EC51" s="104"/>
      <c r="ED51" s="100"/>
      <c r="EE51" s="100"/>
      <c r="EF51" s="100"/>
      <c r="EG51" s="101"/>
      <c r="EH51" s="101"/>
      <c r="EI51" s="102"/>
      <c r="EJ51" s="103"/>
      <c r="EK51" s="100"/>
      <c r="EL51" s="104"/>
      <c r="EM51" s="100"/>
      <c r="EN51" s="100"/>
      <c r="EO51" s="100"/>
      <c r="EP51" s="101"/>
      <c r="EQ51" s="101"/>
      <c r="ER51" s="102"/>
      <c r="ES51" s="103"/>
      <c r="ET51" s="100"/>
      <c r="EU51" s="104"/>
      <c r="EV51" s="100"/>
      <c r="EW51" s="100"/>
      <c r="EX51" s="100"/>
      <c r="EY51" s="101"/>
      <c r="EZ51" s="101"/>
      <c r="FA51" s="102"/>
      <c r="FB51" s="103"/>
      <c r="FC51" s="100"/>
      <c r="FD51" s="104"/>
      <c r="FE51" s="100"/>
      <c r="FF51" s="100"/>
      <c r="FG51" s="100"/>
      <c r="FH51" s="101"/>
      <c r="FI51" s="101"/>
      <c r="FJ51" s="102"/>
      <c r="FK51" s="103"/>
      <c r="FL51" s="100"/>
      <c r="FM51" s="104"/>
      <c r="FN51" s="100"/>
      <c r="FO51" s="100"/>
      <c r="FP51" s="100"/>
      <c r="FQ51" s="101"/>
      <c r="FR51" s="101"/>
      <c r="FS51" s="102"/>
      <c r="FT51" s="103"/>
      <c r="FU51" s="100"/>
      <c r="FV51" s="104"/>
      <c r="FW51" s="100"/>
      <c r="FX51" s="100"/>
      <c r="FY51" s="100"/>
      <c r="FZ51" s="101"/>
      <c r="GA51" s="101"/>
      <c r="GB51" s="102"/>
      <c r="GC51" s="103"/>
      <c r="GD51" s="100"/>
      <c r="GE51" s="104"/>
      <c r="GF51" s="100"/>
      <c r="GG51" s="100"/>
      <c r="GH51" s="100"/>
      <c r="GI51" s="101"/>
      <c r="GJ51" s="101"/>
      <c r="GK51" s="102"/>
      <c r="GL51" s="103"/>
      <c r="GM51" s="100"/>
      <c r="GN51" s="104"/>
      <c r="GO51" s="100"/>
      <c r="GP51" s="100"/>
      <c r="GQ51" s="100"/>
      <c r="GR51" s="101"/>
      <c r="GS51" s="101"/>
      <c r="GT51" s="102"/>
      <c r="GU51" s="103"/>
      <c r="GV51" s="100"/>
      <c r="GW51" s="104"/>
      <c r="GX51" s="100"/>
      <c r="GY51" s="100"/>
      <c r="GZ51" s="100"/>
      <c r="HA51" s="101"/>
      <c r="HB51" s="101"/>
      <c r="HC51" s="102"/>
      <c r="HD51" s="103"/>
      <c r="HE51" s="100"/>
      <c r="HF51" s="104"/>
      <c r="HG51" s="100"/>
      <c r="HH51" s="100"/>
      <c r="HI51" s="100"/>
      <c r="HJ51" s="101"/>
      <c r="HK51" s="101"/>
      <c r="HL51" s="102"/>
      <c r="HM51" s="103"/>
      <c r="HN51" s="100"/>
      <c r="HO51" s="104"/>
      <c r="HP51" s="100"/>
      <c r="HQ51" s="100"/>
      <c r="HR51" s="100"/>
      <c r="HS51" s="101"/>
      <c r="HT51" s="101"/>
      <c r="HU51" s="102"/>
      <c r="HV51" s="103"/>
      <c r="HW51" s="100"/>
      <c r="HX51" s="104"/>
      <c r="HY51" s="100"/>
      <c r="HZ51" s="100"/>
      <c r="IA51" s="100"/>
      <c r="IB51" s="101"/>
      <c r="IC51" s="101"/>
      <c r="ID51" s="102"/>
      <c r="IE51" s="103"/>
      <c r="IF51" s="100"/>
      <c r="IG51" s="104"/>
      <c r="IH51" s="100"/>
      <c r="II51" s="100"/>
      <c r="IJ51" s="100"/>
    </row>
    <row r="52" spans="1:244" x14ac:dyDescent="0.2">
      <c r="A52" s="82" t="s">
        <v>440</v>
      </c>
      <c r="B52" s="83"/>
      <c r="C52" s="83"/>
      <c r="D52" s="83"/>
      <c r="E52" s="83"/>
      <c r="F52" s="83"/>
      <c r="G52" s="84"/>
      <c r="H52" s="83"/>
      <c r="I52" s="83"/>
      <c r="J52" s="83"/>
      <c r="K52" s="395"/>
      <c r="M52" s="375"/>
    </row>
    <row r="53" spans="1:244" x14ac:dyDescent="0.2">
      <c r="A53" s="137"/>
      <c r="B53" s="138"/>
      <c r="C53" s="138"/>
      <c r="D53" s="138"/>
      <c r="E53" s="138"/>
      <c r="F53" s="138"/>
      <c r="G53" s="138"/>
      <c r="H53" s="138"/>
      <c r="I53" s="138"/>
      <c r="J53" s="138"/>
      <c r="K53" s="395"/>
      <c r="M53" s="377"/>
    </row>
    <row r="54" spans="1:244" s="93" customFormat="1" ht="39" customHeight="1" outlineLevel="1" x14ac:dyDescent="0.2">
      <c r="A54" s="139" t="s">
        <v>441</v>
      </c>
      <c r="B54" s="116"/>
      <c r="C54" s="85"/>
      <c r="D54" s="86"/>
      <c r="E54" s="86"/>
      <c r="F54" s="87"/>
      <c r="G54" s="88"/>
      <c r="H54" s="89"/>
      <c r="I54" s="90"/>
      <c r="J54" s="91"/>
      <c r="K54" s="395"/>
      <c r="M54" s="367"/>
    </row>
    <row r="55" spans="1:244" s="93" customFormat="1" ht="20" customHeight="1" outlineLevel="2" x14ac:dyDescent="0.2">
      <c r="A55" s="85" t="s">
        <v>341</v>
      </c>
      <c r="B55" s="408" t="s">
        <v>373</v>
      </c>
      <c r="C55" s="85" t="s">
        <v>277</v>
      </c>
      <c r="D55" s="86">
        <f>(20*5+5+5)</f>
        <v>110</v>
      </c>
      <c r="E55" s="86">
        <v>2</v>
      </c>
      <c r="F55" s="87">
        <f>50+150</f>
        <v>200</v>
      </c>
      <c r="G55" s="88">
        <f t="shared" ref="G55:G60" si="18">(D55*E55*F55)</f>
        <v>44000</v>
      </c>
      <c r="H55" s="89">
        <f t="shared" ref="H55:H61" si="19">G55/$K$3</f>
        <v>2802.5477707006371</v>
      </c>
      <c r="I55" s="90">
        <f>H55</f>
        <v>2802.5477707006371</v>
      </c>
      <c r="J55" s="91"/>
      <c r="K55" s="395"/>
      <c r="M55" s="367"/>
    </row>
    <row r="56" spans="1:244" s="93" customFormat="1" ht="20" customHeight="1" outlineLevel="2" x14ac:dyDescent="0.2">
      <c r="A56" s="85" t="s">
        <v>343</v>
      </c>
      <c r="B56" s="408" t="s">
        <v>311</v>
      </c>
      <c r="C56" s="85" t="s">
        <v>374</v>
      </c>
      <c r="D56" s="86">
        <f>1</f>
        <v>1</v>
      </c>
      <c r="E56" s="86">
        <v>5</v>
      </c>
      <c r="F56" s="87">
        <v>3000</v>
      </c>
      <c r="G56" s="88">
        <f t="shared" si="18"/>
        <v>15000</v>
      </c>
      <c r="H56" s="89">
        <f t="shared" si="19"/>
        <v>955.41401273885356</v>
      </c>
      <c r="I56" s="90">
        <f t="shared" ref="I56:I61" si="20">H56</f>
        <v>955.41401273885356</v>
      </c>
      <c r="J56" s="91"/>
      <c r="K56" s="395"/>
      <c r="M56" s="367"/>
    </row>
    <row r="57" spans="1:244" s="93" customFormat="1" ht="20" customHeight="1" outlineLevel="2" x14ac:dyDescent="0.2">
      <c r="A57" s="85" t="s">
        <v>375</v>
      </c>
      <c r="B57" s="408" t="s">
        <v>345</v>
      </c>
      <c r="C57" s="85" t="s">
        <v>280</v>
      </c>
      <c r="D57" s="86">
        <f>20*5</f>
        <v>100</v>
      </c>
      <c r="E57" s="86">
        <v>4</v>
      </c>
      <c r="F57" s="87">
        <v>300</v>
      </c>
      <c r="G57" s="88">
        <f t="shared" si="18"/>
        <v>120000</v>
      </c>
      <c r="H57" s="89">
        <f t="shared" si="19"/>
        <v>7643.3121019108285</v>
      </c>
      <c r="I57" s="90">
        <f t="shared" si="20"/>
        <v>7643.3121019108285</v>
      </c>
      <c r="J57" s="91"/>
      <c r="K57" s="395"/>
      <c r="M57" s="367"/>
    </row>
    <row r="58" spans="1:244" s="93" customFormat="1" ht="20" customHeight="1" outlineLevel="2" x14ac:dyDescent="0.2">
      <c r="A58" s="85"/>
      <c r="B58" s="408"/>
      <c r="C58" s="85"/>
      <c r="D58" s="86"/>
      <c r="E58" s="86"/>
      <c r="F58" s="87"/>
      <c r="G58" s="88">
        <f t="shared" si="18"/>
        <v>0</v>
      </c>
      <c r="H58" s="89">
        <f t="shared" si="19"/>
        <v>0</v>
      </c>
      <c r="I58" s="90">
        <f t="shared" si="20"/>
        <v>0</v>
      </c>
      <c r="J58" s="91"/>
      <c r="K58" s="395"/>
      <c r="M58" s="367"/>
    </row>
    <row r="59" spans="1:244" s="93" customFormat="1" ht="20" customHeight="1" outlineLevel="2" x14ac:dyDescent="0.2">
      <c r="A59" s="85" t="s">
        <v>341</v>
      </c>
      <c r="B59" s="408"/>
      <c r="C59" s="85" t="s">
        <v>308</v>
      </c>
      <c r="D59" s="86"/>
      <c r="E59" s="86"/>
      <c r="F59" s="87"/>
      <c r="G59" s="88">
        <f t="shared" si="18"/>
        <v>0</v>
      </c>
      <c r="H59" s="89">
        <f t="shared" si="19"/>
        <v>0</v>
      </c>
      <c r="I59" s="90">
        <f t="shared" si="20"/>
        <v>0</v>
      </c>
      <c r="J59" s="91"/>
      <c r="K59" s="395"/>
      <c r="M59" s="367"/>
    </row>
    <row r="60" spans="1:244" s="93" customFormat="1" ht="20" customHeight="1" outlineLevel="2" x14ac:dyDescent="0.2">
      <c r="A60" s="85" t="s">
        <v>343</v>
      </c>
      <c r="B60" s="408" t="s">
        <v>311</v>
      </c>
      <c r="C60" s="85" t="s">
        <v>374</v>
      </c>
      <c r="D60" s="86"/>
      <c r="E60" s="86"/>
      <c r="F60" s="87"/>
      <c r="G60" s="88">
        <f t="shared" si="18"/>
        <v>0</v>
      </c>
      <c r="H60" s="89">
        <f t="shared" si="19"/>
        <v>0</v>
      </c>
      <c r="I60" s="90">
        <f t="shared" si="20"/>
        <v>0</v>
      </c>
      <c r="J60" s="91"/>
      <c r="K60" s="395"/>
      <c r="M60" s="367"/>
    </row>
    <row r="61" spans="1:244" s="93" customFormat="1" ht="20" customHeight="1" outlineLevel="2" x14ac:dyDescent="0.2">
      <c r="A61" s="85" t="s">
        <v>370</v>
      </c>
      <c r="B61" s="408"/>
      <c r="C61" s="85" t="s">
        <v>292</v>
      </c>
      <c r="D61" s="86"/>
      <c r="E61" s="86"/>
      <c r="F61" s="87"/>
      <c r="G61" s="88">
        <f>(D61*E61*F61)</f>
        <v>0</v>
      </c>
      <c r="H61" s="89">
        <f t="shared" si="19"/>
        <v>0</v>
      </c>
      <c r="I61" s="90">
        <f t="shared" si="20"/>
        <v>0</v>
      </c>
      <c r="J61" s="91"/>
      <c r="K61" s="395"/>
      <c r="M61" s="367"/>
    </row>
    <row r="62" spans="1:244" s="105" customFormat="1" outlineLevel="1" x14ac:dyDescent="0.2">
      <c r="A62" s="94" t="s">
        <v>288</v>
      </c>
      <c r="B62" s="95"/>
      <c r="C62" s="98"/>
      <c r="D62" s="98"/>
      <c r="E62" s="95"/>
      <c r="F62" s="96"/>
      <c r="G62" s="99">
        <f>SUM(G55:G61)</f>
        <v>179000</v>
      </c>
      <c r="H62" s="406">
        <f>SUM(H55:H61)</f>
        <v>11401.27388535032</v>
      </c>
      <c r="I62" s="96">
        <f>SUM(I55:I61)</f>
        <v>11401.27388535032</v>
      </c>
      <c r="J62" s="97">
        <f>SUM(J55:J61)</f>
        <v>0</v>
      </c>
      <c r="K62" s="395"/>
      <c r="L62" s="101"/>
      <c r="M62" s="367"/>
      <c r="N62" s="103"/>
      <c r="O62" s="100"/>
      <c r="P62" s="104"/>
      <c r="Q62" s="100"/>
      <c r="R62" s="100"/>
      <c r="S62" s="100"/>
      <c r="T62" s="101"/>
      <c r="U62" s="101"/>
      <c r="V62" s="102"/>
      <c r="W62" s="103"/>
      <c r="X62" s="100"/>
      <c r="Y62" s="104"/>
      <c r="Z62" s="100"/>
      <c r="AA62" s="100"/>
      <c r="AB62" s="100"/>
      <c r="AC62" s="101"/>
      <c r="AD62" s="101"/>
      <c r="AE62" s="102"/>
      <c r="AF62" s="103"/>
      <c r="AG62" s="100"/>
      <c r="AH62" s="104"/>
      <c r="AI62" s="100"/>
      <c r="AJ62" s="100"/>
      <c r="AK62" s="100"/>
      <c r="AL62" s="101"/>
      <c r="AM62" s="101"/>
      <c r="AN62" s="102"/>
      <c r="AO62" s="103"/>
      <c r="AP62" s="100"/>
      <c r="AQ62" s="104"/>
      <c r="AR62" s="100"/>
      <c r="AS62" s="100"/>
      <c r="AT62" s="100"/>
      <c r="AU62" s="101"/>
      <c r="AV62" s="101"/>
      <c r="AW62" s="102"/>
      <c r="AX62" s="103"/>
      <c r="AY62" s="100"/>
      <c r="AZ62" s="104"/>
      <c r="BA62" s="100"/>
      <c r="BB62" s="100"/>
      <c r="BC62" s="100"/>
      <c r="BD62" s="101"/>
      <c r="BE62" s="101"/>
      <c r="BF62" s="102"/>
      <c r="BG62" s="103"/>
      <c r="BH62" s="100"/>
      <c r="BI62" s="104"/>
      <c r="BJ62" s="100"/>
      <c r="BK62" s="100"/>
      <c r="BL62" s="100"/>
      <c r="BM62" s="101"/>
      <c r="BN62" s="101"/>
      <c r="BO62" s="102"/>
      <c r="BP62" s="103"/>
      <c r="BQ62" s="100"/>
      <c r="BR62" s="104"/>
      <c r="BS62" s="100"/>
      <c r="BT62" s="100"/>
      <c r="BU62" s="100"/>
      <c r="BV62" s="101"/>
      <c r="BW62" s="101"/>
      <c r="BX62" s="102"/>
      <c r="BY62" s="103"/>
      <c r="BZ62" s="100"/>
      <c r="CA62" s="104"/>
      <c r="CB62" s="100"/>
      <c r="CC62" s="100"/>
      <c r="CD62" s="100"/>
      <c r="CE62" s="101"/>
      <c r="CF62" s="101"/>
      <c r="CG62" s="102"/>
      <c r="CH62" s="103"/>
      <c r="CI62" s="100"/>
      <c r="CJ62" s="104"/>
      <c r="CK62" s="100"/>
      <c r="CL62" s="100"/>
      <c r="CM62" s="100"/>
      <c r="CN62" s="101"/>
      <c r="CO62" s="101"/>
      <c r="CP62" s="102"/>
      <c r="CQ62" s="103"/>
      <c r="CR62" s="100"/>
      <c r="CS62" s="104"/>
      <c r="CT62" s="100"/>
      <c r="CU62" s="100"/>
      <c r="CV62" s="100"/>
      <c r="CW62" s="101"/>
      <c r="CX62" s="101"/>
      <c r="CY62" s="102"/>
      <c r="CZ62" s="103"/>
      <c r="DA62" s="100"/>
      <c r="DB62" s="104"/>
      <c r="DC62" s="100"/>
      <c r="DD62" s="100"/>
      <c r="DE62" s="100"/>
      <c r="DF62" s="101"/>
      <c r="DG62" s="101"/>
      <c r="DH62" s="102"/>
      <c r="DI62" s="103"/>
      <c r="DJ62" s="100"/>
      <c r="DK62" s="104"/>
      <c r="DL62" s="100"/>
      <c r="DM62" s="100"/>
      <c r="DN62" s="100"/>
      <c r="DO62" s="101"/>
      <c r="DP62" s="101"/>
      <c r="DQ62" s="102"/>
      <c r="DR62" s="103"/>
      <c r="DS62" s="100"/>
      <c r="DT62" s="104"/>
      <c r="DU62" s="100"/>
      <c r="DV62" s="100"/>
      <c r="DW62" s="100"/>
      <c r="DX62" s="101"/>
      <c r="DY62" s="101"/>
      <c r="DZ62" s="102"/>
      <c r="EA62" s="103"/>
      <c r="EB62" s="100"/>
      <c r="EC62" s="104"/>
      <c r="ED62" s="100"/>
      <c r="EE62" s="100"/>
      <c r="EF62" s="100"/>
      <c r="EG62" s="101"/>
      <c r="EH62" s="101"/>
      <c r="EI62" s="102"/>
      <c r="EJ62" s="103"/>
      <c r="EK62" s="100"/>
      <c r="EL62" s="104"/>
      <c r="EM62" s="100"/>
      <c r="EN62" s="100"/>
      <c r="EO62" s="100"/>
      <c r="EP62" s="101"/>
      <c r="EQ62" s="101"/>
      <c r="ER62" s="102"/>
      <c r="ES62" s="103"/>
      <c r="ET62" s="100"/>
      <c r="EU62" s="104"/>
      <c r="EV62" s="100"/>
      <c r="EW62" s="100"/>
      <c r="EX62" s="100"/>
      <c r="EY62" s="101"/>
      <c r="EZ62" s="101"/>
      <c r="FA62" s="102"/>
      <c r="FB62" s="103"/>
      <c r="FC62" s="100"/>
      <c r="FD62" s="104"/>
      <c r="FE62" s="100"/>
      <c r="FF62" s="100"/>
      <c r="FG62" s="100"/>
      <c r="FH62" s="101"/>
      <c r="FI62" s="101"/>
      <c r="FJ62" s="102"/>
      <c r="FK62" s="103"/>
      <c r="FL62" s="100"/>
      <c r="FM62" s="104"/>
      <c r="FN62" s="100"/>
      <c r="FO62" s="100"/>
      <c r="FP62" s="100"/>
      <c r="FQ62" s="101"/>
      <c r="FR62" s="101"/>
      <c r="FS62" s="102"/>
      <c r="FT62" s="103"/>
      <c r="FU62" s="100"/>
      <c r="FV62" s="104"/>
      <c r="FW62" s="100"/>
      <c r="FX62" s="100"/>
      <c r="FY62" s="100"/>
      <c r="FZ62" s="101"/>
      <c r="GA62" s="101"/>
      <c r="GB62" s="102"/>
      <c r="GC62" s="103"/>
      <c r="GD62" s="100"/>
      <c r="GE62" s="104"/>
      <c r="GF62" s="100"/>
      <c r="GG62" s="100"/>
      <c r="GH62" s="100"/>
      <c r="GI62" s="101"/>
      <c r="GJ62" s="101"/>
      <c r="GK62" s="102"/>
      <c r="GL62" s="103"/>
      <c r="GM62" s="100"/>
      <c r="GN62" s="104"/>
      <c r="GO62" s="100"/>
      <c r="GP62" s="100"/>
      <c r="GQ62" s="100"/>
      <c r="GR62" s="101"/>
      <c r="GS62" s="101"/>
      <c r="GT62" s="102"/>
      <c r="GU62" s="103"/>
      <c r="GV62" s="100"/>
      <c r="GW62" s="104"/>
      <c r="GX62" s="100"/>
      <c r="GY62" s="100"/>
      <c r="GZ62" s="100"/>
      <c r="HA62" s="101"/>
      <c r="HB62" s="101"/>
      <c r="HC62" s="102"/>
      <c r="HD62" s="103"/>
      <c r="HE62" s="100"/>
      <c r="HF62" s="104"/>
      <c r="HG62" s="100"/>
      <c r="HH62" s="100"/>
      <c r="HI62" s="100"/>
      <c r="HJ62" s="101"/>
      <c r="HK62" s="101"/>
      <c r="HL62" s="102"/>
      <c r="HM62" s="103"/>
      <c r="HN62" s="100"/>
      <c r="HO62" s="104"/>
      <c r="HP62" s="100"/>
      <c r="HQ62" s="100"/>
      <c r="HR62" s="100"/>
      <c r="HS62" s="101"/>
      <c r="HT62" s="101"/>
      <c r="HU62" s="102"/>
      <c r="HV62" s="103"/>
      <c r="HW62" s="100"/>
      <c r="HX62" s="104"/>
      <c r="HY62" s="100"/>
      <c r="HZ62" s="100"/>
      <c r="IA62" s="100"/>
      <c r="IB62" s="101"/>
      <c r="IC62" s="101"/>
      <c r="ID62" s="102"/>
      <c r="IE62" s="103"/>
      <c r="IF62" s="100"/>
      <c r="IG62" s="104"/>
      <c r="IH62" s="100"/>
      <c r="II62" s="100"/>
      <c r="IJ62" s="100"/>
    </row>
    <row r="63" spans="1:244" s="93" customFormat="1" ht="39" customHeight="1" outlineLevel="1" x14ac:dyDescent="0.2">
      <c r="A63" s="139"/>
      <c r="B63" s="407"/>
      <c r="C63" s="85"/>
      <c r="D63" s="86"/>
      <c r="E63" s="86"/>
      <c r="F63" s="87"/>
      <c r="G63" s="88"/>
      <c r="H63" s="89"/>
      <c r="I63" s="90"/>
      <c r="J63" s="91"/>
      <c r="K63" s="395"/>
      <c r="M63" s="367"/>
    </row>
    <row r="64" spans="1:244" s="93" customFormat="1" ht="20" customHeight="1" outlineLevel="2" x14ac:dyDescent="0.2">
      <c r="A64" s="85"/>
      <c r="B64" s="408"/>
      <c r="C64" s="85"/>
      <c r="D64" s="86"/>
      <c r="E64" s="86"/>
      <c r="F64" s="87"/>
      <c r="G64" s="88">
        <f t="shared" ref="G64:G69" si="21">(D64*E64*F64)</f>
        <v>0</v>
      </c>
      <c r="H64" s="89">
        <f t="shared" ref="H64:H70" si="22">G64/$K$3</f>
        <v>0</v>
      </c>
      <c r="I64" s="90">
        <f>H64</f>
        <v>0</v>
      </c>
      <c r="J64" s="91"/>
      <c r="K64" s="395"/>
      <c r="M64" s="367"/>
    </row>
    <row r="65" spans="1:244" s="93" customFormat="1" ht="20" customHeight="1" outlineLevel="2" x14ac:dyDescent="0.2">
      <c r="A65" s="85"/>
      <c r="B65" s="408"/>
      <c r="C65" s="85"/>
      <c r="D65" s="86"/>
      <c r="E65" s="86"/>
      <c r="F65" s="87"/>
      <c r="G65" s="88">
        <f t="shared" si="21"/>
        <v>0</v>
      </c>
      <c r="H65" s="89">
        <f t="shared" si="22"/>
        <v>0</v>
      </c>
      <c r="I65" s="90">
        <f t="shared" ref="I65:I70" si="23">H65</f>
        <v>0</v>
      </c>
      <c r="J65" s="91"/>
      <c r="K65" s="395"/>
      <c r="M65" s="367"/>
    </row>
    <row r="66" spans="1:244" s="93" customFormat="1" ht="20" customHeight="1" outlineLevel="2" x14ac:dyDescent="0.2">
      <c r="A66" s="85"/>
      <c r="B66" s="408"/>
      <c r="C66" s="85"/>
      <c r="D66" s="86"/>
      <c r="E66" s="86"/>
      <c r="F66" s="87"/>
      <c r="G66" s="88">
        <f t="shared" si="21"/>
        <v>0</v>
      </c>
      <c r="H66" s="89">
        <f t="shared" si="22"/>
        <v>0</v>
      </c>
      <c r="I66" s="90">
        <f t="shared" si="23"/>
        <v>0</v>
      </c>
      <c r="J66" s="91"/>
      <c r="K66" s="395"/>
      <c r="M66" s="367"/>
    </row>
    <row r="67" spans="1:244" s="93" customFormat="1" ht="20" customHeight="1" outlineLevel="2" x14ac:dyDescent="0.2">
      <c r="A67" s="85"/>
      <c r="B67" s="408"/>
      <c r="C67" s="85"/>
      <c r="D67" s="86"/>
      <c r="E67" s="86"/>
      <c r="F67" s="87"/>
      <c r="G67" s="88">
        <f t="shared" si="21"/>
        <v>0</v>
      </c>
      <c r="H67" s="89">
        <f t="shared" si="22"/>
        <v>0</v>
      </c>
      <c r="I67" s="90">
        <f t="shared" si="23"/>
        <v>0</v>
      </c>
      <c r="J67" s="91"/>
      <c r="K67" s="395"/>
      <c r="M67" s="367"/>
    </row>
    <row r="68" spans="1:244" s="93" customFormat="1" ht="20" customHeight="1" outlineLevel="2" x14ac:dyDescent="0.2">
      <c r="A68" s="85"/>
      <c r="B68" s="408"/>
      <c r="C68" s="85"/>
      <c r="D68" s="86"/>
      <c r="E68" s="86"/>
      <c r="F68" s="87"/>
      <c r="G68" s="88">
        <f t="shared" si="21"/>
        <v>0</v>
      </c>
      <c r="H68" s="89">
        <f t="shared" si="22"/>
        <v>0</v>
      </c>
      <c r="I68" s="90">
        <f t="shared" si="23"/>
        <v>0</v>
      </c>
      <c r="J68" s="91"/>
      <c r="K68" s="395"/>
      <c r="M68" s="367"/>
    </row>
    <row r="69" spans="1:244" s="93" customFormat="1" ht="20" customHeight="1" outlineLevel="2" x14ac:dyDescent="0.2">
      <c r="A69" s="85"/>
      <c r="B69" s="408"/>
      <c r="C69" s="85"/>
      <c r="D69" s="86"/>
      <c r="E69" s="86"/>
      <c r="F69" s="87"/>
      <c r="G69" s="88">
        <f t="shared" si="21"/>
        <v>0</v>
      </c>
      <c r="H69" s="89">
        <f t="shared" si="22"/>
        <v>0</v>
      </c>
      <c r="I69" s="90">
        <f t="shared" si="23"/>
        <v>0</v>
      </c>
      <c r="J69" s="91"/>
      <c r="K69" s="395"/>
      <c r="M69" s="367"/>
    </row>
    <row r="70" spans="1:244" s="93" customFormat="1" ht="20" customHeight="1" outlineLevel="2" x14ac:dyDescent="0.2">
      <c r="A70" s="85"/>
      <c r="B70" s="408"/>
      <c r="C70" s="85"/>
      <c r="D70" s="86"/>
      <c r="E70" s="86"/>
      <c r="F70" s="87"/>
      <c r="G70" s="88">
        <f>(D70*E70*F70)</f>
        <v>0</v>
      </c>
      <c r="H70" s="89">
        <f t="shared" si="22"/>
        <v>0</v>
      </c>
      <c r="I70" s="90">
        <f t="shared" si="23"/>
        <v>0</v>
      </c>
      <c r="J70" s="91"/>
      <c r="K70" s="395"/>
      <c r="M70" s="367"/>
    </row>
    <row r="71" spans="1:244" s="105" customFormat="1" outlineLevel="1" x14ac:dyDescent="0.2">
      <c r="A71" s="94" t="s">
        <v>288</v>
      </c>
      <c r="B71" s="95"/>
      <c r="C71" s="98"/>
      <c r="D71" s="98"/>
      <c r="E71" s="95"/>
      <c r="F71" s="96"/>
      <c r="G71" s="99">
        <f>SUM(G64:G70)</f>
        <v>0</v>
      </c>
      <c r="H71" s="406">
        <f>SUM(H64:H70)</f>
        <v>0</v>
      </c>
      <c r="I71" s="96">
        <f>SUM(I64:I70)</f>
        <v>0</v>
      </c>
      <c r="J71" s="97">
        <f>SUM(J64:J70)</f>
        <v>0</v>
      </c>
      <c r="K71" s="395"/>
      <c r="L71" s="101"/>
      <c r="M71" s="380">
        <f>$H71</f>
        <v>0</v>
      </c>
      <c r="N71" s="103"/>
      <c r="O71" s="100"/>
      <c r="P71" s="104"/>
      <c r="Q71" s="100"/>
      <c r="R71" s="100"/>
      <c r="S71" s="100"/>
      <c r="T71" s="101"/>
      <c r="U71" s="101"/>
      <c r="V71" s="102"/>
      <c r="W71" s="103"/>
      <c r="X71" s="100"/>
      <c r="Y71" s="104"/>
      <c r="Z71" s="100"/>
      <c r="AA71" s="100"/>
      <c r="AB71" s="100"/>
      <c r="AC71" s="101"/>
      <c r="AD71" s="101"/>
      <c r="AE71" s="102"/>
      <c r="AF71" s="103"/>
      <c r="AG71" s="100"/>
      <c r="AH71" s="104"/>
      <c r="AI71" s="100"/>
      <c r="AJ71" s="100"/>
      <c r="AK71" s="100"/>
      <c r="AL71" s="101"/>
      <c r="AM71" s="101"/>
      <c r="AN71" s="102"/>
      <c r="AO71" s="103"/>
      <c r="AP71" s="100"/>
      <c r="AQ71" s="104"/>
      <c r="AR71" s="100"/>
      <c r="AS71" s="100"/>
      <c r="AT71" s="100"/>
      <c r="AU71" s="101"/>
      <c r="AV71" s="101"/>
      <c r="AW71" s="102"/>
      <c r="AX71" s="103"/>
      <c r="AY71" s="100"/>
      <c r="AZ71" s="104"/>
      <c r="BA71" s="100"/>
      <c r="BB71" s="100"/>
      <c r="BC71" s="100"/>
      <c r="BD71" s="101"/>
      <c r="BE71" s="101"/>
      <c r="BF71" s="102"/>
      <c r="BG71" s="103"/>
      <c r="BH71" s="100"/>
      <c r="BI71" s="104"/>
      <c r="BJ71" s="100"/>
      <c r="BK71" s="100"/>
      <c r="BL71" s="100"/>
      <c r="BM71" s="101"/>
      <c r="BN71" s="101"/>
      <c r="BO71" s="102"/>
      <c r="BP71" s="103"/>
      <c r="BQ71" s="100"/>
      <c r="BR71" s="104"/>
      <c r="BS71" s="100"/>
      <c r="BT71" s="100"/>
      <c r="BU71" s="100"/>
      <c r="BV71" s="101"/>
      <c r="BW71" s="101"/>
      <c r="BX71" s="102"/>
      <c r="BY71" s="103"/>
      <c r="BZ71" s="100"/>
      <c r="CA71" s="104"/>
      <c r="CB71" s="100"/>
      <c r="CC71" s="100"/>
      <c r="CD71" s="100"/>
      <c r="CE71" s="101"/>
      <c r="CF71" s="101"/>
      <c r="CG71" s="102"/>
      <c r="CH71" s="103"/>
      <c r="CI71" s="100"/>
      <c r="CJ71" s="104"/>
      <c r="CK71" s="100"/>
      <c r="CL71" s="100"/>
      <c r="CM71" s="100"/>
      <c r="CN71" s="101"/>
      <c r="CO71" s="101"/>
      <c r="CP71" s="102"/>
      <c r="CQ71" s="103"/>
      <c r="CR71" s="100"/>
      <c r="CS71" s="104"/>
      <c r="CT71" s="100"/>
      <c r="CU71" s="100"/>
      <c r="CV71" s="100"/>
      <c r="CW71" s="101"/>
      <c r="CX71" s="101"/>
      <c r="CY71" s="102"/>
      <c r="CZ71" s="103"/>
      <c r="DA71" s="100"/>
      <c r="DB71" s="104"/>
      <c r="DC71" s="100"/>
      <c r="DD71" s="100"/>
      <c r="DE71" s="100"/>
      <c r="DF71" s="101"/>
      <c r="DG71" s="101"/>
      <c r="DH71" s="102"/>
      <c r="DI71" s="103"/>
      <c r="DJ71" s="100"/>
      <c r="DK71" s="104"/>
      <c r="DL71" s="100"/>
      <c r="DM71" s="100"/>
      <c r="DN71" s="100"/>
      <c r="DO71" s="101"/>
      <c r="DP71" s="101"/>
      <c r="DQ71" s="102"/>
      <c r="DR71" s="103"/>
      <c r="DS71" s="100"/>
      <c r="DT71" s="104"/>
      <c r="DU71" s="100"/>
      <c r="DV71" s="100"/>
      <c r="DW71" s="100"/>
      <c r="DX71" s="101"/>
      <c r="DY71" s="101"/>
      <c r="DZ71" s="102"/>
      <c r="EA71" s="103"/>
      <c r="EB71" s="100"/>
      <c r="EC71" s="104"/>
      <c r="ED71" s="100"/>
      <c r="EE71" s="100"/>
      <c r="EF71" s="100"/>
      <c r="EG71" s="101"/>
      <c r="EH71" s="101"/>
      <c r="EI71" s="102"/>
      <c r="EJ71" s="103"/>
      <c r="EK71" s="100"/>
      <c r="EL71" s="104"/>
      <c r="EM71" s="100"/>
      <c r="EN71" s="100"/>
      <c r="EO71" s="100"/>
      <c r="EP71" s="101"/>
      <c r="EQ71" s="101"/>
      <c r="ER71" s="102"/>
      <c r="ES71" s="103"/>
      <c r="ET71" s="100"/>
      <c r="EU71" s="104"/>
      <c r="EV71" s="100"/>
      <c r="EW71" s="100"/>
      <c r="EX71" s="100"/>
      <c r="EY71" s="101"/>
      <c r="EZ71" s="101"/>
      <c r="FA71" s="102"/>
      <c r="FB71" s="103"/>
      <c r="FC71" s="100"/>
      <c r="FD71" s="104"/>
      <c r="FE71" s="100"/>
      <c r="FF71" s="100"/>
      <c r="FG71" s="100"/>
      <c r="FH71" s="101"/>
      <c r="FI71" s="101"/>
      <c r="FJ71" s="102"/>
      <c r="FK71" s="103"/>
      <c r="FL71" s="100"/>
      <c r="FM71" s="104"/>
      <c r="FN71" s="100"/>
      <c r="FO71" s="100"/>
      <c r="FP71" s="100"/>
      <c r="FQ71" s="101"/>
      <c r="FR71" s="101"/>
      <c r="FS71" s="102"/>
      <c r="FT71" s="103"/>
      <c r="FU71" s="100"/>
      <c r="FV71" s="104"/>
      <c r="FW71" s="100"/>
      <c r="FX71" s="100"/>
      <c r="FY71" s="100"/>
      <c r="FZ71" s="101"/>
      <c r="GA71" s="101"/>
      <c r="GB71" s="102"/>
      <c r="GC71" s="103"/>
      <c r="GD71" s="100"/>
      <c r="GE71" s="104"/>
      <c r="GF71" s="100"/>
      <c r="GG71" s="100"/>
      <c r="GH71" s="100"/>
      <c r="GI71" s="101"/>
      <c r="GJ71" s="101"/>
      <c r="GK71" s="102"/>
      <c r="GL71" s="103"/>
      <c r="GM71" s="100"/>
      <c r="GN71" s="104"/>
      <c r="GO71" s="100"/>
      <c r="GP71" s="100"/>
      <c r="GQ71" s="100"/>
      <c r="GR71" s="101"/>
      <c r="GS71" s="101"/>
      <c r="GT71" s="102"/>
      <c r="GU71" s="103"/>
      <c r="GV71" s="100"/>
      <c r="GW71" s="104"/>
      <c r="GX71" s="100"/>
      <c r="GY71" s="100"/>
      <c r="GZ71" s="100"/>
      <c r="HA71" s="101"/>
      <c r="HB71" s="101"/>
      <c r="HC71" s="102"/>
      <c r="HD71" s="103"/>
      <c r="HE71" s="100"/>
      <c r="HF71" s="104"/>
      <c r="HG71" s="100"/>
      <c r="HH71" s="100"/>
      <c r="HI71" s="100"/>
      <c r="HJ71" s="101"/>
      <c r="HK71" s="101"/>
      <c r="HL71" s="102"/>
      <c r="HM71" s="103"/>
      <c r="HN71" s="100"/>
      <c r="HO71" s="104"/>
      <c r="HP71" s="100"/>
      <c r="HQ71" s="100"/>
      <c r="HR71" s="100"/>
      <c r="HS71" s="101"/>
      <c r="HT71" s="101"/>
      <c r="HU71" s="102"/>
      <c r="HV71" s="103"/>
      <c r="HW71" s="100"/>
      <c r="HX71" s="104"/>
      <c r="HY71" s="100"/>
      <c r="HZ71" s="100"/>
      <c r="IA71" s="100"/>
      <c r="IB71" s="101"/>
      <c r="IC71" s="101"/>
      <c r="ID71" s="102"/>
      <c r="IE71" s="103"/>
      <c r="IF71" s="100"/>
      <c r="IG71" s="104"/>
      <c r="IH71" s="100"/>
      <c r="II71" s="100"/>
      <c r="IJ71" s="100"/>
    </row>
    <row r="72" spans="1:244" s="93" customFormat="1" ht="39" customHeight="1" outlineLevel="1" x14ac:dyDescent="0.2">
      <c r="A72" s="407"/>
      <c r="B72" s="115" t="s">
        <v>292</v>
      </c>
      <c r="C72" s="85"/>
      <c r="D72" s="86"/>
      <c r="E72" s="86"/>
      <c r="F72" s="87"/>
      <c r="G72" s="88"/>
      <c r="H72" s="89"/>
      <c r="I72" s="90"/>
      <c r="J72" s="91"/>
      <c r="K72" s="395"/>
      <c r="M72" s="367"/>
    </row>
    <row r="73" spans="1:244" s="93" customFormat="1" ht="20" customHeight="1" outlineLevel="2" x14ac:dyDescent="0.2">
      <c r="A73" s="85"/>
      <c r="B73" s="408"/>
      <c r="C73" s="85"/>
      <c r="D73" s="86"/>
      <c r="E73" s="86"/>
      <c r="F73" s="87"/>
      <c r="G73" s="88">
        <f t="shared" ref="G73:G78" si="24">(D73*E73*F73)</f>
        <v>0</v>
      </c>
      <c r="H73" s="89">
        <f t="shared" ref="H73:H79" si="25">G73/$K$3</f>
        <v>0</v>
      </c>
      <c r="I73" s="90">
        <f>H73</f>
        <v>0</v>
      </c>
      <c r="J73" s="91"/>
      <c r="K73" s="395"/>
      <c r="M73" s="367"/>
    </row>
    <row r="74" spans="1:244" s="93" customFormat="1" ht="20" customHeight="1" outlineLevel="2" x14ac:dyDescent="0.2">
      <c r="A74" s="85"/>
      <c r="B74" s="408"/>
      <c r="C74" s="85"/>
      <c r="D74" s="86"/>
      <c r="E74" s="86"/>
      <c r="F74" s="87"/>
      <c r="G74" s="88">
        <f t="shared" si="24"/>
        <v>0</v>
      </c>
      <c r="H74" s="89">
        <f t="shared" si="25"/>
        <v>0</v>
      </c>
      <c r="I74" s="90">
        <f t="shared" ref="I74:I79" si="26">H74</f>
        <v>0</v>
      </c>
      <c r="J74" s="91"/>
      <c r="K74" s="395"/>
      <c r="M74" s="367"/>
    </row>
    <row r="75" spans="1:244" s="93" customFormat="1" ht="20" customHeight="1" outlineLevel="2" x14ac:dyDescent="0.2">
      <c r="A75" s="85"/>
      <c r="B75" s="408"/>
      <c r="C75" s="85"/>
      <c r="D75" s="86"/>
      <c r="E75" s="86"/>
      <c r="F75" s="87"/>
      <c r="G75" s="88">
        <f t="shared" si="24"/>
        <v>0</v>
      </c>
      <c r="H75" s="89">
        <f t="shared" si="25"/>
        <v>0</v>
      </c>
      <c r="I75" s="90">
        <f t="shared" si="26"/>
        <v>0</v>
      </c>
      <c r="J75" s="91"/>
      <c r="K75" s="395"/>
      <c r="M75" s="367"/>
    </row>
    <row r="76" spans="1:244" s="93" customFormat="1" ht="20" customHeight="1" outlineLevel="2" x14ac:dyDescent="0.2">
      <c r="A76" s="85"/>
      <c r="B76" s="408"/>
      <c r="C76" s="85"/>
      <c r="D76" s="86"/>
      <c r="E76" s="86"/>
      <c r="F76" s="87"/>
      <c r="G76" s="88">
        <f t="shared" si="24"/>
        <v>0</v>
      </c>
      <c r="H76" s="89">
        <f t="shared" si="25"/>
        <v>0</v>
      </c>
      <c r="I76" s="90">
        <f t="shared" si="26"/>
        <v>0</v>
      </c>
      <c r="J76" s="91"/>
      <c r="K76" s="395"/>
      <c r="M76" s="367"/>
    </row>
    <row r="77" spans="1:244" s="93" customFormat="1" ht="20" customHeight="1" outlineLevel="2" x14ac:dyDescent="0.2">
      <c r="A77" s="85"/>
      <c r="B77" s="408"/>
      <c r="C77" s="85"/>
      <c r="D77" s="86"/>
      <c r="E77" s="86"/>
      <c r="F77" s="87"/>
      <c r="G77" s="88">
        <f t="shared" si="24"/>
        <v>0</v>
      </c>
      <c r="H77" s="89">
        <f t="shared" si="25"/>
        <v>0</v>
      </c>
      <c r="I77" s="90">
        <f t="shared" si="26"/>
        <v>0</v>
      </c>
      <c r="J77" s="91"/>
      <c r="K77" s="395"/>
      <c r="M77" s="367"/>
    </row>
    <row r="78" spans="1:244" s="93" customFormat="1" ht="20" customHeight="1" outlineLevel="2" x14ac:dyDescent="0.2">
      <c r="A78" s="85"/>
      <c r="B78" s="408"/>
      <c r="C78" s="85"/>
      <c r="D78" s="86"/>
      <c r="E78" s="86"/>
      <c r="F78" s="87"/>
      <c r="G78" s="88">
        <f t="shared" si="24"/>
        <v>0</v>
      </c>
      <c r="H78" s="89">
        <f t="shared" si="25"/>
        <v>0</v>
      </c>
      <c r="I78" s="90">
        <f t="shared" si="26"/>
        <v>0</v>
      </c>
      <c r="J78" s="91"/>
      <c r="K78" s="395"/>
      <c r="M78" s="367"/>
    </row>
    <row r="79" spans="1:244" s="93" customFormat="1" ht="20" customHeight="1" outlineLevel="2" x14ac:dyDescent="0.2">
      <c r="A79" s="85"/>
      <c r="B79" s="408"/>
      <c r="C79" s="85"/>
      <c r="D79" s="86"/>
      <c r="E79" s="86"/>
      <c r="F79" s="87"/>
      <c r="G79" s="88">
        <f>(D79*E79*F79)</f>
        <v>0</v>
      </c>
      <c r="H79" s="89">
        <f t="shared" si="25"/>
        <v>0</v>
      </c>
      <c r="I79" s="90">
        <f t="shared" si="26"/>
        <v>0</v>
      </c>
      <c r="J79" s="91"/>
      <c r="K79" s="395"/>
      <c r="M79" s="367"/>
    </row>
    <row r="80" spans="1:244" s="105" customFormat="1" outlineLevel="1" x14ac:dyDescent="0.2">
      <c r="A80" s="94" t="s">
        <v>288</v>
      </c>
      <c r="B80" s="95"/>
      <c r="C80" s="98"/>
      <c r="D80" s="98"/>
      <c r="E80" s="95"/>
      <c r="F80" s="96"/>
      <c r="G80" s="99">
        <f>SUM(G73:G79)</f>
        <v>0</v>
      </c>
      <c r="H80" s="406">
        <f>SUM(H73:H79)</f>
        <v>0</v>
      </c>
      <c r="I80" s="96">
        <f>SUM(I73:I79)</f>
        <v>0</v>
      </c>
      <c r="J80" s="97">
        <f>SUM(J73:J79)</f>
        <v>0</v>
      </c>
      <c r="K80" s="395"/>
      <c r="L80" s="101"/>
      <c r="M80" s="380">
        <f>$H80</f>
        <v>0</v>
      </c>
      <c r="N80" s="103"/>
      <c r="O80" s="100"/>
      <c r="P80" s="104"/>
      <c r="Q80" s="100"/>
      <c r="R80" s="100"/>
      <c r="S80" s="100"/>
      <c r="T80" s="101"/>
      <c r="U80" s="101"/>
      <c r="V80" s="102"/>
      <c r="W80" s="103"/>
      <c r="X80" s="100"/>
      <c r="Y80" s="104"/>
      <c r="Z80" s="100"/>
      <c r="AA80" s="100"/>
      <c r="AB80" s="100"/>
      <c r="AC80" s="101"/>
      <c r="AD80" s="101"/>
      <c r="AE80" s="102"/>
      <c r="AF80" s="103"/>
      <c r="AG80" s="100"/>
      <c r="AH80" s="104"/>
      <c r="AI80" s="100"/>
      <c r="AJ80" s="100"/>
      <c r="AK80" s="100"/>
      <c r="AL80" s="101"/>
      <c r="AM80" s="101"/>
      <c r="AN80" s="102"/>
      <c r="AO80" s="103"/>
      <c r="AP80" s="100"/>
      <c r="AQ80" s="104"/>
      <c r="AR80" s="100"/>
      <c r="AS80" s="100"/>
      <c r="AT80" s="100"/>
      <c r="AU80" s="101"/>
      <c r="AV80" s="101"/>
      <c r="AW80" s="102"/>
      <c r="AX80" s="103"/>
      <c r="AY80" s="100"/>
      <c r="AZ80" s="104"/>
      <c r="BA80" s="100"/>
      <c r="BB80" s="100"/>
      <c r="BC80" s="100"/>
      <c r="BD80" s="101"/>
      <c r="BE80" s="101"/>
      <c r="BF80" s="102"/>
      <c r="BG80" s="103"/>
      <c r="BH80" s="100"/>
      <c r="BI80" s="104"/>
      <c r="BJ80" s="100"/>
      <c r="BK80" s="100"/>
      <c r="BL80" s="100"/>
      <c r="BM80" s="101"/>
      <c r="BN80" s="101"/>
      <c r="BO80" s="102"/>
      <c r="BP80" s="103"/>
      <c r="BQ80" s="100"/>
      <c r="BR80" s="104"/>
      <c r="BS80" s="100"/>
      <c r="BT80" s="100"/>
      <c r="BU80" s="100"/>
      <c r="BV80" s="101"/>
      <c r="BW80" s="101"/>
      <c r="BX80" s="102"/>
      <c r="BY80" s="103"/>
      <c r="BZ80" s="100"/>
      <c r="CA80" s="104"/>
      <c r="CB80" s="100"/>
      <c r="CC80" s="100"/>
      <c r="CD80" s="100"/>
      <c r="CE80" s="101"/>
      <c r="CF80" s="101"/>
      <c r="CG80" s="102"/>
      <c r="CH80" s="103"/>
      <c r="CI80" s="100"/>
      <c r="CJ80" s="104"/>
      <c r="CK80" s="100"/>
      <c r="CL80" s="100"/>
      <c r="CM80" s="100"/>
      <c r="CN80" s="101"/>
      <c r="CO80" s="101"/>
      <c r="CP80" s="102"/>
      <c r="CQ80" s="103"/>
      <c r="CR80" s="100"/>
      <c r="CS80" s="104"/>
      <c r="CT80" s="100"/>
      <c r="CU80" s="100"/>
      <c r="CV80" s="100"/>
      <c r="CW80" s="101"/>
      <c r="CX80" s="101"/>
      <c r="CY80" s="102"/>
      <c r="CZ80" s="103"/>
      <c r="DA80" s="100"/>
      <c r="DB80" s="104"/>
      <c r="DC80" s="100"/>
      <c r="DD80" s="100"/>
      <c r="DE80" s="100"/>
      <c r="DF80" s="101"/>
      <c r="DG80" s="101"/>
      <c r="DH80" s="102"/>
      <c r="DI80" s="103"/>
      <c r="DJ80" s="100"/>
      <c r="DK80" s="104"/>
      <c r="DL80" s="100"/>
      <c r="DM80" s="100"/>
      <c r="DN80" s="100"/>
      <c r="DO80" s="101"/>
      <c r="DP80" s="101"/>
      <c r="DQ80" s="102"/>
      <c r="DR80" s="103"/>
      <c r="DS80" s="100"/>
      <c r="DT80" s="104"/>
      <c r="DU80" s="100"/>
      <c r="DV80" s="100"/>
      <c r="DW80" s="100"/>
      <c r="DX80" s="101"/>
      <c r="DY80" s="101"/>
      <c r="DZ80" s="102"/>
      <c r="EA80" s="103"/>
      <c r="EB80" s="100"/>
      <c r="EC80" s="104"/>
      <c r="ED80" s="100"/>
      <c r="EE80" s="100"/>
      <c r="EF80" s="100"/>
      <c r="EG80" s="101"/>
      <c r="EH80" s="101"/>
      <c r="EI80" s="102"/>
      <c r="EJ80" s="103"/>
      <c r="EK80" s="100"/>
      <c r="EL80" s="104"/>
      <c r="EM80" s="100"/>
      <c r="EN80" s="100"/>
      <c r="EO80" s="100"/>
      <c r="EP80" s="101"/>
      <c r="EQ80" s="101"/>
      <c r="ER80" s="102"/>
      <c r="ES80" s="103"/>
      <c r="ET80" s="100"/>
      <c r="EU80" s="104"/>
      <c r="EV80" s="100"/>
      <c r="EW80" s="100"/>
      <c r="EX80" s="100"/>
      <c r="EY80" s="101"/>
      <c r="EZ80" s="101"/>
      <c r="FA80" s="102"/>
      <c r="FB80" s="103"/>
      <c r="FC80" s="100"/>
      <c r="FD80" s="104"/>
      <c r="FE80" s="100"/>
      <c r="FF80" s="100"/>
      <c r="FG80" s="100"/>
      <c r="FH80" s="101"/>
      <c r="FI80" s="101"/>
      <c r="FJ80" s="102"/>
      <c r="FK80" s="103"/>
      <c r="FL80" s="100"/>
      <c r="FM80" s="104"/>
      <c r="FN80" s="100"/>
      <c r="FO80" s="100"/>
      <c r="FP80" s="100"/>
      <c r="FQ80" s="101"/>
      <c r="FR80" s="101"/>
      <c r="FS80" s="102"/>
      <c r="FT80" s="103"/>
      <c r="FU80" s="100"/>
      <c r="FV80" s="104"/>
      <c r="FW80" s="100"/>
      <c r="FX80" s="100"/>
      <c r="FY80" s="100"/>
      <c r="FZ80" s="101"/>
      <c r="GA80" s="101"/>
      <c r="GB80" s="102"/>
      <c r="GC80" s="103"/>
      <c r="GD80" s="100"/>
      <c r="GE80" s="104"/>
      <c r="GF80" s="100"/>
      <c r="GG80" s="100"/>
      <c r="GH80" s="100"/>
      <c r="GI80" s="101"/>
      <c r="GJ80" s="101"/>
      <c r="GK80" s="102"/>
      <c r="GL80" s="103"/>
      <c r="GM80" s="100"/>
      <c r="GN80" s="104"/>
      <c r="GO80" s="100"/>
      <c r="GP80" s="100"/>
      <c r="GQ80" s="100"/>
      <c r="GR80" s="101"/>
      <c r="GS80" s="101"/>
      <c r="GT80" s="102"/>
      <c r="GU80" s="103"/>
      <c r="GV80" s="100"/>
      <c r="GW80" s="104"/>
      <c r="GX80" s="100"/>
      <c r="GY80" s="100"/>
      <c r="GZ80" s="100"/>
      <c r="HA80" s="101"/>
      <c r="HB80" s="101"/>
      <c r="HC80" s="102"/>
      <c r="HD80" s="103"/>
      <c r="HE80" s="100"/>
      <c r="HF80" s="104"/>
      <c r="HG80" s="100"/>
      <c r="HH80" s="100"/>
      <c r="HI80" s="100"/>
      <c r="HJ80" s="101"/>
      <c r="HK80" s="101"/>
      <c r="HL80" s="102"/>
      <c r="HM80" s="103"/>
      <c r="HN80" s="100"/>
      <c r="HO80" s="104"/>
      <c r="HP80" s="100"/>
      <c r="HQ80" s="100"/>
      <c r="HR80" s="100"/>
      <c r="HS80" s="101"/>
      <c r="HT80" s="101"/>
      <c r="HU80" s="102"/>
      <c r="HV80" s="103"/>
      <c r="HW80" s="100"/>
      <c r="HX80" s="104"/>
      <c r="HY80" s="100"/>
      <c r="HZ80" s="100"/>
      <c r="IA80" s="100"/>
      <c r="IB80" s="101"/>
      <c r="IC80" s="101"/>
      <c r="ID80" s="102"/>
      <c r="IE80" s="103"/>
      <c r="IF80" s="100"/>
      <c r="IG80" s="104"/>
      <c r="IH80" s="100"/>
      <c r="II80" s="100"/>
      <c r="IJ80" s="100"/>
    </row>
    <row r="81" spans="1:244" s="93" customFormat="1" ht="39" customHeight="1" outlineLevel="1" x14ac:dyDescent="0.2">
      <c r="A81" s="139"/>
      <c r="B81" s="115"/>
      <c r="C81" s="85"/>
      <c r="D81" s="86"/>
      <c r="E81" s="86"/>
      <c r="F81" s="87"/>
      <c r="G81" s="88"/>
      <c r="H81" s="89"/>
      <c r="I81" s="90"/>
      <c r="J81" s="91"/>
      <c r="K81" s="395"/>
      <c r="M81" s="380"/>
    </row>
    <row r="82" spans="1:244" s="93" customFormat="1" ht="20" customHeight="1" outlineLevel="2" x14ac:dyDescent="0.2">
      <c r="A82" s="85"/>
      <c r="B82" s="408"/>
      <c r="C82" s="85"/>
      <c r="D82" s="86"/>
      <c r="E82" s="86"/>
      <c r="F82" s="87"/>
      <c r="G82" s="88">
        <f t="shared" ref="G82:G87" si="27">(D82*E82*F82)</f>
        <v>0</v>
      </c>
      <c r="H82" s="89">
        <f t="shared" ref="H82:H88" si="28">G82/$K$3</f>
        <v>0</v>
      </c>
      <c r="I82" s="90">
        <f>H82</f>
        <v>0</v>
      </c>
      <c r="J82" s="91"/>
      <c r="K82" s="395"/>
      <c r="M82" s="367"/>
    </row>
    <row r="83" spans="1:244" s="93" customFormat="1" ht="20" customHeight="1" outlineLevel="2" x14ac:dyDescent="0.2">
      <c r="A83" s="85"/>
      <c r="B83" s="408"/>
      <c r="C83" s="85"/>
      <c r="D83" s="86"/>
      <c r="E83" s="86"/>
      <c r="F83" s="87"/>
      <c r="G83" s="88">
        <f t="shared" si="27"/>
        <v>0</v>
      </c>
      <c r="H83" s="89">
        <f t="shared" si="28"/>
        <v>0</v>
      </c>
      <c r="I83" s="90">
        <f t="shared" ref="I83:I88" si="29">H83</f>
        <v>0</v>
      </c>
      <c r="J83" s="91"/>
      <c r="K83" s="395"/>
      <c r="M83" s="367"/>
    </row>
    <row r="84" spans="1:244" s="93" customFormat="1" ht="20" customHeight="1" outlineLevel="2" x14ac:dyDescent="0.2">
      <c r="A84" s="85"/>
      <c r="B84" s="408"/>
      <c r="C84" s="85"/>
      <c r="D84" s="86"/>
      <c r="E84" s="86"/>
      <c r="F84" s="87"/>
      <c r="G84" s="88">
        <f t="shared" si="27"/>
        <v>0</v>
      </c>
      <c r="H84" s="89">
        <f t="shared" si="28"/>
        <v>0</v>
      </c>
      <c r="I84" s="90">
        <f t="shared" si="29"/>
        <v>0</v>
      </c>
      <c r="J84" s="91"/>
      <c r="K84" s="395"/>
      <c r="M84" s="367"/>
    </row>
    <row r="85" spans="1:244" s="93" customFormat="1" ht="20" customHeight="1" outlineLevel="2" x14ac:dyDescent="0.2">
      <c r="A85" s="85"/>
      <c r="B85" s="408"/>
      <c r="C85" s="85"/>
      <c r="D85" s="86"/>
      <c r="E85" s="86"/>
      <c r="F85" s="87"/>
      <c r="G85" s="88">
        <f t="shared" si="27"/>
        <v>0</v>
      </c>
      <c r="H85" s="89">
        <f t="shared" si="28"/>
        <v>0</v>
      </c>
      <c r="I85" s="90">
        <f t="shared" si="29"/>
        <v>0</v>
      </c>
      <c r="J85" s="91"/>
      <c r="K85" s="395"/>
      <c r="M85" s="367"/>
    </row>
    <row r="86" spans="1:244" s="93" customFormat="1" ht="20" customHeight="1" outlineLevel="2" x14ac:dyDescent="0.2">
      <c r="A86" s="85"/>
      <c r="B86" s="408"/>
      <c r="C86" s="85"/>
      <c r="D86" s="86"/>
      <c r="E86" s="86"/>
      <c r="F86" s="87"/>
      <c r="G86" s="88">
        <f t="shared" si="27"/>
        <v>0</v>
      </c>
      <c r="H86" s="89">
        <f t="shared" si="28"/>
        <v>0</v>
      </c>
      <c r="I86" s="90">
        <f t="shared" si="29"/>
        <v>0</v>
      </c>
      <c r="J86" s="91"/>
      <c r="K86" s="395"/>
      <c r="M86" s="367"/>
    </row>
    <row r="87" spans="1:244" s="93" customFormat="1" ht="20" customHeight="1" outlineLevel="2" x14ac:dyDescent="0.2">
      <c r="A87" s="85"/>
      <c r="B87" s="408"/>
      <c r="C87" s="85"/>
      <c r="D87" s="86"/>
      <c r="E87" s="86"/>
      <c r="F87" s="87"/>
      <c r="G87" s="88">
        <f t="shared" si="27"/>
        <v>0</v>
      </c>
      <c r="H87" s="89">
        <f t="shared" si="28"/>
        <v>0</v>
      </c>
      <c r="I87" s="90">
        <f t="shared" si="29"/>
        <v>0</v>
      </c>
      <c r="J87" s="91"/>
      <c r="K87" s="395"/>
      <c r="M87" s="367"/>
    </row>
    <row r="88" spans="1:244" s="93" customFormat="1" ht="20" customHeight="1" outlineLevel="2" x14ac:dyDescent="0.2">
      <c r="A88" s="85"/>
      <c r="B88" s="408"/>
      <c r="C88" s="85"/>
      <c r="D88" s="86"/>
      <c r="E88" s="86"/>
      <c r="F88" s="87"/>
      <c r="G88" s="88">
        <f>(D88*E88*F88)</f>
        <v>0</v>
      </c>
      <c r="H88" s="89">
        <f t="shared" si="28"/>
        <v>0</v>
      </c>
      <c r="I88" s="90">
        <f t="shared" si="29"/>
        <v>0</v>
      </c>
      <c r="J88" s="91"/>
      <c r="K88" s="395"/>
      <c r="M88" s="367"/>
    </row>
    <row r="89" spans="1:244" s="105" customFormat="1" outlineLevel="1" x14ac:dyDescent="0.2">
      <c r="A89" s="94" t="s">
        <v>288</v>
      </c>
      <c r="B89" s="95"/>
      <c r="C89" s="98"/>
      <c r="D89" s="98"/>
      <c r="E89" s="95"/>
      <c r="F89" s="96"/>
      <c r="G89" s="99">
        <f>SUM(G82:G88)</f>
        <v>0</v>
      </c>
      <c r="H89" s="406">
        <f>SUM(H82:H88)</f>
        <v>0</v>
      </c>
      <c r="I89" s="96">
        <f>SUM(I82:I88)</f>
        <v>0</v>
      </c>
      <c r="J89" s="97">
        <f>SUM(J82:J88)</f>
        <v>0</v>
      </c>
      <c r="K89" s="395"/>
      <c r="L89" s="101"/>
      <c r="M89" s="367"/>
      <c r="N89" s="103"/>
      <c r="O89" s="100"/>
      <c r="P89" s="104"/>
      <c r="Q89" s="100"/>
      <c r="R89" s="100"/>
      <c r="S89" s="100"/>
      <c r="T89" s="101"/>
      <c r="U89" s="101"/>
      <c r="V89" s="102"/>
      <c r="W89" s="103"/>
      <c r="X89" s="100"/>
      <c r="Y89" s="104"/>
      <c r="Z89" s="100"/>
      <c r="AA89" s="100"/>
      <c r="AB89" s="100"/>
      <c r="AC89" s="101"/>
      <c r="AD89" s="101"/>
      <c r="AE89" s="102"/>
      <c r="AF89" s="103"/>
      <c r="AG89" s="100"/>
      <c r="AH89" s="104"/>
      <c r="AI89" s="100"/>
      <c r="AJ89" s="100"/>
      <c r="AK89" s="100"/>
      <c r="AL89" s="101"/>
      <c r="AM89" s="101"/>
      <c r="AN89" s="102"/>
      <c r="AO89" s="103"/>
      <c r="AP89" s="100"/>
      <c r="AQ89" s="104"/>
      <c r="AR89" s="100"/>
      <c r="AS89" s="100"/>
      <c r="AT89" s="100"/>
      <c r="AU89" s="101"/>
      <c r="AV89" s="101"/>
      <c r="AW89" s="102"/>
      <c r="AX89" s="103"/>
      <c r="AY89" s="100"/>
      <c r="AZ89" s="104"/>
      <c r="BA89" s="100"/>
      <c r="BB89" s="100"/>
      <c r="BC89" s="100"/>
      <c r="BD89" s="101"/>
      <c r="BE89" s="101"/>
      <c r="BF89" s="102"/>
      <c r="BG89" s="103"/>
      <c r="BH89" s="100"/>
      <c r="BI89" s="104"/>
      <c r="BJ89" s="100"/>
      <c r="BK89" s="100"/>
      <c r="BL89" s="100"/>
      <c r="BM89" s="101"/>
      <c r="BN89" s="101"/>
      <c r="BO89" s="102"/>
      <c r="BP89" s="103"/>
      <c r="BQ89" s="100"/>
      <c r="BR89" s="104"/>
      <c r="BS89" s="100"/>
      <c r="BT89" s="100"/>
      <c r="BU89" s="100"/>
      <c r="BV89" s="101"/>
      <c r="BW89" s="101"/>
      <c r="BX89" s="102"/>
      <c r="BY89" s="103"/>
      <c r="BZ89" s="100"/>
      <c r="CA89" s="104"/>
      <c r="CB89" s="100"/>
      <c r="CC89" s="100"/>
      <c r="CD89" s="100"/>
      <c r="CE89" s="101"/>
      <c r="CF89" s="101"/>
      <c r="CG89" s="102"/>
      <c r="CH89" s="103"/>
      <c r="CI89" s="100"/>
      <c r="CJ89" s="104"/>
      <c r="CK89" s="100"/>
      <c r="CL89" s="100"/>
      <c r="CM89" s="100"/>
      <c r="CN89" s="101"/>
      <c r="CO89" s="101"/>
      <c r="CP89" s="102"/>
      <c r="CQ89" s="103"/>
      <c r="CR89" s="100"/>
      <c r="CS89" s="104"/>
      <c r="CT89" s="100"/>
      <c r="CU89" s="100"/>
      <c r="CV89" s="100"/>
      <c r="CW89" s="101"/>
      <c r="CX89" s="101"/>
      <c r="CY89" s="102"/>
      <c r="CZ89" s="103"/>
      <c r="DA89" s="100"/>
      <c r="DB89" s="104"/>
      <c r="DC89" s="100"/>
      <c r="DD89" s="100"/>
      <c r="DE89" s="100"/>
      <c r="DF89" s="101"/>
      <c r="DG89" s="101"/>
      <c r="DH89" s="102"/>
      <c r="DI89" s="103"/>
      <c r="DJ89" s="100"/>
      <c r="DK89" s="104"/>
      <c r="DL89" s="100"/>
      <c r="DM89" s="100"/>
      <c r="DN89" s="100"/>
      <c r="DO89" s="101"/>
      <c r="DP89" s="101"/>
      <c r="DQ89" s="102"/>
      <c r="DR89" s="103"/>
      <c r="DS89" s="100"/>
      <c r="DT89" s="104"/>
      <c r="DU89" s="100"/>
      <c r="DV89" s="100"/>
      <c r="DW89" s="100"/>
      <c r="DX89" s="101"/>
      <c r="DY89" s="101"/>
      <c r="DZ89" s="102"/>
      <c r="EA89" s="103"/>
      <c r="EB89" s="100"/>
      <c r="EC89" s="104"/>
      <c r="ED89" s="100"/>
      <c r="EE89" s="100"/>
      <c r="EF89" s="100"/>
      <c r="EG89" s="101"/>
      <c r="EH89" s="101"/>
      <c r="EI89" s="102"/>
      <c r="EJ89" s="103"/>
      <c r="EK89" s="100"/>
      <c r="EL89" s="104"/>
      <c r="EM89" s="100"/>
      <c r="EN89" s="100"/>
      <c r="EO89" s="100"/>
      <c r="EP89" s="101"/>
      <c r="EQ89" s="101"/>
      <c r="ER89" s="102"/>
      <c r="ES89" s="103"/>
      <c r="ET89" s="100"/>
      <c r="EU89" s="104"/>
      <c r="EV89" s="100"/>
      <c r="EW89" s="100"/>
      <c r="EX89" s="100"/>
      <c r="EY89" s="101"/>
      <c r="EZ89" s="101"/>
      <c r="FA89" s="102"/>
      <c r="FB89" s="103"/>
      <c r="FC89" s="100"/>
      <c r="FD89" s="104"/>
      <c r="FE89" s="100"/>
      <c r="FF89" s="100"/>
      <c r="FG89" s="100"/>
      <c r="FH89" s="101"/>
      <c r="FI89" s="101"/>
      <c r="FJ89" s="102"/>
      <c r="FK89" s="103"/>
      <c r="FL89" s="100"/>
      <c r="FM89" s="104"/>
      <c r="FN89" s="100"/>
      <c r="FO89" s="100"/>
      <c r="FP89" s="100"/>
      <c r="FQ89" s="101"/>
      <c r="FR89" s="101"/>
      <c r="FS89" s="102"/>
      <c r="FT89" s="103"/>
      <c r="FU89" s="100"/>
      <c r="FV89" s="104"/>
      <c r="FW89" s="100"/>
      <c r="FX89" s="100"/>
      <c r="FY89" s="100"/>
      <c r="FZ89" s="101"/>
      <c r="GA89" s="101"/>
      <c r="GB89" s="102"/>
      <c r="GC89" s="103"/>
      <c r="GD89" s="100"/>
      <c r="GE89" s="104"/>
      <c r="GF89" s="100"/>
      <c r="GG89" s="100"/>
      <c r="GH89" s="100"/>
      <c r="GI89" s="101"/>
      <c r="GJ89" s="101"/>
      <c r="GK89" s="102"/>
      <c r="GL89" s="103"/>
      <c r="GM89" s="100"/>
      <c r="GN89" s="104"/>
      <c r="GO89" s="100"/>
      <c r="GP89" s="100"/>
      <c r="GQ89" s="100"/>
      <c r="GR89" s="101"/>
      <c r="GS89" s="101"/>
      <c r="GT89" s="102"/>
      <c r="GU89" s="103"/>
      <c r="GV89" s="100"/>
      <c r="GW89" s="104"/>
      <c r="GX89" s="100"/>
      <c r="GY89" s="100"/>
      <c r="GZ89" s="100"/>
      <c r="HA89" s="101"/>
      <c r="HB89" s="101"/>
      <c r="HC89" s="102"/>
      <c r="HD89" s="103"/>
      <c r="HE89" s="100"/>
      <c r="HF89" s="104"/>
      <c r="HG89" s="100"/>
      <c r="HH89" s="100"/>
      <c r="HI89" s="100"/>
      <c r="HJ89" s="101"/>
      <c r="HK89" s="101"/>
      <c r="HL89" s="102"/>
      <c r="HM89" s="103"/>
      <c r="HN89" s="100"/>
      <c r="HO89" s="104"/>
      <c r="HP89" s="100"/>
      <c r="HQ89" s="100"/>
      <c r="HR89" s="100"/>
      <c r="HS89" s="101"/>
      <c r="HT89" s="101"/>
      <c r="HU89" s="102"/>
      <c r="HV89" s="103"/>
      <c r="HW89" s="100"/>
      <c r="HX89" s="104"/>
      <c r="HY89" s="100"/>
      <c r="HZ89" s="100"/>
      <c r="IA89" s="100"/>
      <c r="IB89" s="101"/>
      <c r="IC89" s="101"/>
      <c r="ID89" s="102"/>
      <c r="IE89" s="103"/>
      <c r="IF89" s="100"/>
      <c r="IG89" s="104"/>
      <c r="IH89" s="100"/>
      <c r="II89" s="100"/>
      <c r="IJ89" s="100"/>
    </row>
    <row r="90" spans="1:244" s="93" customFormat="1" ht="39" customHeight="1" outlineLevel="1" x14ac:dyDescent="0.2">
      <c r="A90" s="139"/>
      <c r="B90" s="115"/>
      <c r="C90" s="85"/>
      <c r="D90" s="86"/>
      <c r="E90" s="86"/>
      <c r="F90" s="87"/>
      <c r="G90" s="88"/>
      <c r="H90" s="89"/>
      <c r="I90" s="90"/>
      <c r="J90" s="91"/>
      <c r="K90" s="395"/>
      <c r="M90" s="380">
        <f>SUM(M83:M89)</f>
        <v>0</v>
      </c>
    </row>
    <row r="91" spans="1:244" s="93" customFormat="1" ht="20" customHeight="1" outlineLevel="2" x14ac:dyDescent="0.2">
      <c r="A91" s="85"/>
      <c r="B91" s="408"/>
      <c r="C91" s="85"/>
      <c r="D91" s="86"/>
      <c r="E91" s="86"/>
      <c r="F91" s="87"/>
      <c r="G91" s="88">
        <f t="shared" ref="G91:G96" si="30">(D91*E91*F91)</f>
        <v>0</v>
      </c>
      <c r="H91" s="89">
        <f t="shared" ref="H91:H97" si="31">G91/$K$3</f>
        <v>0</v>
      </c>
      <c r="I91" s="90">
        <f>H91</f>
        <v>0</v>
      </c>
      <c r="J91" s="91"/>
      <c r="K91" s="395"/>
      <c r="M91" s="367"/>
    </row>
    <row r="92" spans="1:244" s="93" customFormat="1" ht="20" customHeight="1" outlineLevel="2" x14ac:dyDescent="0.2">
      <c r="A92" s="85"/>
      <c r="B92" s="408"/>
      <c r="C92" s="85"/>
      <c r="D92" s="86"/>
      <c r="E92" s="86"/>
      <c r="F92" s="87"/>
      <c r="G92" s="88">
        <f t="shared" si="30"/>
        <v>0</v>
      </c>
      <c r="H92" s="89">
        <f t="shared" si="31"/>
        <v>0</v>
      </c>
      <c r="I92" s="90">
        <f t="shared" ref="I92:I97" si="32">H92</f>
        <v>0</v>
      </c>
      <c r="J92" s="91"/>
      <c r="K92" s="395"/>
      <c r="M92" s="367"/>
    </row>
    <row r="93" spans="1:244" s="93" customFormat="1" ht="20" customHeight="1" outlineLevel="2" x14ac:dyDescent="0.2">
      <c r="A93" s="85"/>
      <c r="B93" s="408"/>
      <c r="C93" s="85"/>
      <c r="D93" s="86"/>
      <c r="E93" s="86"/>
      <c r="F93" s="87"/>
      <c r="G93" s="88">
        <f t="shared" si="30"/>
        <v>0</v>
      </c>
      <c r="H93" s="89">
        <f t="shared" si="31"/>
        <v>0</v>
      </c>
      <c r="I93" s="90">
        <f t="shared" si="32"/>
        <v>0</v>
      </c>
      <c r="J93" s="91"/>
      <c r="K93" s="395"/>
      <c r="M93" s="367"/>
    </row>
    <row r="94" spans="1:244" s="93" customFormat="1" ht="20" customHeight="1" outlineLevel="2" x14ac:dyDescent="0.2">
      <c r="A94" s="85"/>
      <c r="B94" s="408"/>
      <c r="C94" s="85"/>
      <c r="D94" s="86"/>
      <c r="E94" s="86"/>
      <c r="F94" s="87"/>
      <c r="G94" s="88">
        <f t="shared" si="30"/>
        <v>0</v>
      </c>
      <c r="H94" s="89">
        <f t="shared" si="31"/>
        <v>0</v>
      </c>
      <c r="I94" s="90">
        <f t="shared" si="32"/>
        <v>0</v>
      </c>
      <c r="J94" s="91"/>
      <c r="K94" s="395"/>
      <c r="M94" s="367"/>
    </row>
    <row r="95" spans="1:244" s="93" customFormat="1" ht="20" customHeight="1" outlineLevel="2" x14ac:dyDescent="0.2">
      <c r="A95" s="85"/>
      <c r="B95" s="408"/>
      <c r="C95" s="85"/>
      <c r="D95" s="86"/>
      <c r="E95" s="86"/>
      <c r="F95" s="87"/>
      <c r="G95" s="88">
        <f t="shared" si="30"/>
        <v>0</v>
      </c>
      <c r="H95" s="89">
        <f t="shared" si="31"/>
        <v>0</v>
      </c>
      <c r="I95" s="90">
        <f t="shared" si="32"/>
        <v>0</v>
      </c>
      <c r="J95" s="91"/>
      <c r="K95" s="395"/>
      <c r="M95" s="367"/>
    </row>
    <row r="96" spans="1:244" s="93" customFormat="1" ht="20" customHeight="1" outlineLevel="2" x14ac:dyDescent="0.2">
      <c r="A96" s="85"/>
      <c r="B96" s="408"/>
      <c r="C96" s="85"/>
      <c r="D96" s="86"/>
      <c r="E96" s="86"/>
      <c r="F96" s="87"/>
      <c r="G96" s="88">
        <f t="shared" si="30"/>
        <v>0</v>
      </c>
      <c r="H96" s="89">
        <f t="shared" si="31"/>
        <v>0</v>
      </c>
      <c r="I96" s="90">
        <f t="shared" si="32"/>
        <v>0</v>
      </c>
      <c r="J96" s="91"/>
      <c r="K96" s="395"/>
      <c r="M96" s="367"/>
    </row>
    <row r="97" spans="1:244" s="93" customFormat="1" ht="20" customHeight="1" outlineLevel="2" x14ac:dyDescent="0.2">
      <c r="A97" s="85"/>
      <c r="B97" s="408"/>
      <c r="C97" s="85"/>
      <c r="D97" s="86"/>
      <c r="E97" s="86"/>
      <c r="F97" s="87"/>
      <c r="G97" s="88">
        <f>(D97*E97*F97)</f>
        <v>0</v>
      </c>
      <c r="H97" s="89">
        <f t="shared" si="31"/>
        <v>0</v>
      </c>
      <c r="I97" s="90">
        <f t="shared" si="32"/>
        <v>0</v>
      </c>
      <c r="J97" s="91"/>
      <c r="K97" s="395"/>
      <c r="M97" s="367"/>
    </row>
    <row r="98" spans="1:244" s="105" customFormat="1" outlineLevel="1" x14ac:dyDescent="0.2">
      <c r="A98" s="94" t="s">
        <v>288</v>
      </c>
      <c r="B98" s="95"/>
      <c r="C98" s="98"/>
      <c r="D98" s="98"/>
      <c r="E98" s="95"/>
      <c r="F98" s="96"/>
      <c r="G98" s="99">
        <f>SUM(G91:G97)</f>
        <v>0</v>
      </c>
      <c r="H98" s="406">
        <f>SUM(H91:H97)</f>
        <v>0</v>
      </c>
      <c r="I98" s="96">
        <f>SUM(I91:I97)</f>
        <v>0</v>
      </c>
      <c r="J98" s="97">
        <f>SUM(J91:J97)</f>
        <v>0</v>
      </c>
      <c r="K98" s="395"/>
      <c r="L98" s="101"/>
      <c r="M98" s="367"/>
      <c r="N98" s="103"/>
      <c r="O98" s="100"/>
      <c r="P98" s="104"/>
      <c r="Q98" s="100"/>
      <c r="R98" s="100"/>
      <c r="S98" s="100"/>
      <c r="T98" s="101"/>
      <c r="U98" s="101"/>
      <c r="V98" s="102"/>
      <c r="W98" s="103"/>
      <c r="X98" s="100"/>
      <c r="Y98" s="104"/>
      <c r="Z98" s="100"/>
      <c r="AA98" s="100"/>
      <c r="AB98" s="100"/>
      <c r="AC98" s="101"/>
      <c r="AD98" s="101"/>
      <c r="AE98" s="102"/>
      <c r="AF98" s="103"/>
      <c r="AG98" s="100"/>
      <c r="AH98" s="104"/>
      <c r="AI98" s="100"/>
      <c r="AJ98" s="100"/>
      <c r="AK98" s="100"/>
      <c r="AL98" s="101"/>
      <c r="AM98" s="101"/>
      <c r="AN98" s="102"/>
      <c r="AO98" s="103"/>
      <c r="AP98" s="100"/>
      <c r="AQ98" s="104"/>
      <c r="AR98" s="100"/>
      <c r="AS98" s="100"/>
      <c r="AT98" s="100"/>
      <c r="AU98" s="101"/>
      <c r="AV98" s="101"/>
      <c r="AW98" s="102"/>
      <c r="AX98" s="103"/>
      <c r="AY98" s="100"/>
      <c r="AZ98" s="104"/>
      <c r="BA98" s="100"/>
      <c r="BB98" s="100"/>
      <c r="BC98" s="100"/>
      <c r="BD98" s="101"/>
      <c r="BE98" s="101"/>
      <c r="BF98" s="102"/>
      <c r="BG98" s="103"/>
      <c r="BH98" s="100"/>
      <c r="BI98" s="104"/>
      <c r="BJ98" s="100"/>
      <c r="BK98" s="100"/>
      <c r="BL98" s="100"/>
      <c r="BM98" s="101"/>
      <c r="BN98" s="101"/>
      <c r="BO98" s="102"/>
      <c r="BP98" s="103"/>
      <c r="BQ98" s="100"/>
      <c r="BR98" s="104"/>
      <c r="BS98" s="100"/>
      <c r="BT98" s="100"/>
      <c r="BU98" s="100"/>
      <c r="BV98" s="101"/>
      <c r="BW98" s="101"/>
      <c r="BX98" s="102"/>
      <c r="BY98" s="103"/>
      <c r="BZ98" s="100"/>
      <c r="CA98" s="104"/>
      <c r="CB98" s="100"/>
      <c r="CC98" s="100"/>
      <c r="CD98" s="100"/>
      <c r="CE98" s="101"/>
      <c r="CF98" s="101"/>
      <c r="CG98" s="102"/>
      <c r="CH98" s="103"/>
      <c r="CI98" s="100"/>
      <c r="CJ98" s="104"/>
      <c r="CK98" s="100"/>
      <c r="CL98" s="100"/>
      <c r="CM98" s="100"/>
      <c r="CN98" s="101"/>
      <c r="CO98" s="101"/>
      <c r="CP98" s="102"/>
      <c r="CQ98" s="103"/>
      <c r="CR98" s="100"/>
      <c r="CS98" s="104"/>
      <c r="CT98" s="100"/>
      <c r="CU98" s="100"/>
      <c r="CV98" s="100"/>
      <c r="CW98" s="101"/>
      <c r="CX98" s="101"/>
      <c r="CY98" s="102"/>
      <c r="CZ98" s="103"/>
      <c r="DA98" s="100"/>
      <c r="DB98" s="104"/>
      <c r="DC98" s="100"/>
      <c r="DD98" s="100"/>
      <c r="DE98" s="100"/>
      <c r="DF98" s="101"/>
      <c r="DG98" s="101"/>
      <c r="DH98" s="102"/>
      <c r="DI98" s="103"/>
      <c r="DJ98" s="100"/>
      <c r="DK98" s="104"/>
      <c r="DL98" s="100"/>
      <c r="DM98" s="100"/>
      <c r="DN98" s="100"/>
      <c r="DO98" s="101"/>
      <c r="DP98" s="101"/>
      <c r="DQ98" s="102"/>
      <c r="DR98" s="103"/>
      <c r="DS98" s="100"/>
      <c r="DT98" s="104"/>
      <c r="DU98" s="100"/>
      <c r="DV98" s="100"/>
      <c r="DW98" s="100"/>
      <c r="DX98" s="101"/>
      <c r="DY98" s="101"/>
      <c r="DZ98" s="102"/>
      <c r="EA98" s="103"/>
      <c r="EB98" s="100"/>
      <c r="EC98" s="104"/>
      <c r="ED98" s="100"/>
      <c r="EE98" s="100"/>
      <c r="EF98" s="100"/>
      <c r="EG98" s="101"/>
      <c r="EH98" s="101"/>
      <c r="EI98" s="102"/>
      <c r="EJ98" s="103"/>
      <c r="EK98" s="100"/>
      <c r="EL98" s="104"/>
      <c r="EM98" s="100"/>
      <c r="EN98" s="100"/>
      <c r="EO98" s="100"/>
      <c r="EP98" s="101"/>
      <c r="EQ98" s="101"/>
      <c r="ER98" s="102"/>
      <c r="ES98" s="103"/>
      <c r="ET98" s="100"/>
      <c r="EU98" s="104"/>
      <c r="EV98" s="100"/>
      <c r="EW98" s="100"/>
      <c r="EX98" s="100"/>
      <c r="EY98" s="101"/>
      <c r="EZ98" s="101"/>
      <c r="FA98" s="102"/>
      <c r="FB98" s="103"/>
      <c r="FC98" s="100"/>
      <c r="FD98" s="104"/>
      <c r="FE98" s="100"/>
      <c r="FF98" s="100"/>
      <c r="FG98" s="100"/>
      <c r="FH98" s="101"/>
      <c r="FI98" s="101"/>
      <c r="FJ98" s="102"/>
      <c r="FK98" s="103"/>
      <c r="FL98" s="100"/>
      <c r="FM98" s="104"/>
      <c r="FN98" s="100"/>
      <c r="FO98" s="100"/>
      <c r="FP98" s="100"/>
      <c r="FQ98" s="101"/>
      <c r="FR98" s="101"/>
      <c r="FS98" s="102"/>
      <c r="FT98" s="103"/>
      <c r="FU98" s="100"/>
      <c r="FV98" s="104"/>
      <c r="FW98" s="100"/>
      <c r="FX98" s="100"/>
      <c r="FY98" s="100"/>
      <c r="FZ98" s="101"/>
      <c r="GA98" s="101"/>
      <c r="GB98" s="102"/>
      <c r="GC98" s="103"/>
      <c r="GD98" s="100"/>
      <c r="GE98" s="104"/>
      <c r="GF98" s="100"/>
      <c r="GG98" s="100"/>
      <c r="GH98" s="100"/>
      <c r="GI98" s="101"/>
      <c r="GJ98" s="101"/>
      <c r="GK98" s="102"/>
      <c r="GL98" s="103"/>
      <c r="GM98" s="100"/>
      <c r="GN98" s="104"/>
      <c r="GO98" s="100"/>
      <c r="GP98" s="100"/>
      <c r="GQ98" s="100"/>
      <c r="GR98" s="101"/>
      <c r="GS98" s="101"/>
      <c r="GT98" s="102"/>
      <c r="GU98" s="103"/>
      <c r="GV98" s="100"/>
      <c r="GW98" s="104"/>
      <c r="GX98" s="100"/>
      <c r="GY98" s="100"/>
      <c r="GZ98" s="100"/>
      <c r="HA98" s="101"/>
      <c r="HB98" s="101"/>
      <c r="HC98" s="102"/>
      <c r="HD98" s="103"/>
      <c r="HE98" s="100"/>
      <c r="HF98" s="104"/>
      <c r="HG98" s="100"/>
      <c r="HH98" s="100"/>
      <c r="HI98" s="100"/>
      <c r="HJ98" s="101"/>
      <c r="HK98" s="101"/>
      <c r="HL98" s="102"/>
      <c r="HM98" s="103"/>
      <c r="HN98" s="100"/>
      <c r="HO98" s="104"/>
      <c r="HP98" s="100"/>
      <c r="HQ98" s="100"/>
      <c r="HR98" s="100"/>
      <c r="HS98" s="101"/>
      <c r="HT98" s="101"/>
      <c r="HU98" s="102"/>
      <c r="HV98" s="103"/>
      <c r="HW98" s="100"/>
      <c r="HX98" s="104"/>
      <c r="HY98" s="100"/>
      <c r="HZ98" s="100"/>
      <c r="IA98" s="100"/>
      <c r="IB98" s="101"/>
      <c r="IC98" s="101"/>
      <c r="ID98" s="102"/>
      <c r="IE98" s="103"/>
      <c r="IF98" s="100"/>
      <c r="IG98" s="104"/>
      <c r="IH98" s="100"/>
      <c r="II98" s="100"/>
      <c r="IJ98" s="100"/>
    </row>
    <row r="99" spans="1:244" s="93" customFormat="1" ht="39" customHeight="1" outlineLevel="1" x14ac:dyDescent="0.2">
      <c r="A99" s="139">
        <v>6</v>
      </c>
      <c r="B99" s="115"/>
      <c r="C99" s="85"/>
      <c r="D99" s="86"/>
      <c r="E99" s="86"/>
      <c r="F99" s="87"/>
      <c r="G99" s="88"/>
      <c r="H99" s="89"/>
      <c r="I99" s="90"/>
      <c r="J99" s="91"/>
      <c r="K99" s="395"/>
      <c r="M99" s="380">
        <f>SUM(M92:M98)</f>
        <v>0</v>
      </c>
    </row>
    <row r="100" spans="1:244" s="93" customFormat="1" ht="20" customHeight="1" outlineLevel="2" x14ac:dyDescent="0.2">
      <c r="A100" s="85"/>
      <c r="B100" s="408"/>
      <c r="C100" s="85"/>
      <c r="D100" s="86"/>
      <c r="E100" s="86"/>
      <c r="F100" s="87"/>
      <c r="G100" s="88">
        <f t="shared" ref="G100:G105" si="33">(D100*E100*F100)</f>
        <v>0</v>
      </c>
      <c r="H100" s="89">
        <f t="shared" ref="H100:H106" si="34">G100/$K$3</f>
        <v>0</v>
      </c>
      <c r="I100" s="90">
        <f>H100</f>
        <v>0</v>
      </c>
      <c r="J100" s="91"/>
      <c r="K100" s="395"/>
      <c r="M100" s="367"/>
    </row>
    <row r="101" spans="1:244" s="93" customFormat="1" ht="20" customHeight="1" outlineLevel="2" x14ac:dyDescent="0.2">
      <c r="A101" s="85"/>
      <c r="B101" s="408"/>
      <c r="C101" s="85"/>
      <c r="D101" s="86"/>
      <c r="E101" s="86"/>
      <c r="F101" s="87"/>
      <c r="G101" s="88">
        <f t="shared" si="33"/>
        <v>0</v>
      </c>
      <c r="H101" s="89">
        <f t="shared" si="34"/>
        <v>0</v>
      </c>
      <c r="I101" s="90">
        <f t="shared" ref="I101:I106" si="35">H101</f>
        <v>0</v>
      </c>
      <c r="J101" s="91"/>
      <c r="K101" s="395"/>
      <c r="M101" s="367"/>
    </row>
    <row r="102" spans="1:244" s="93" customFormat="1" ht="20" customHeight="1" outlineLevel="2" x14ac:dyDescent="0.2">
      <c r="A102" s="85"/>
      <c r="B102" s="408"/>
      <c r="C102" s="85"/>
      <c r="D102" s="86"/>
      <c r="E102" s="86"/>
      <c r="F102" s="87"/>
      <c r="G102" s="88">
        <f t="shared" si="33"/>
        <v>0</v>
      </c>
      <c r="H102" s="89">
        <f t="shared" si="34"/>
        <v>0</v>
      </c>
      <c r="I102" s="90">
        <f t="shared" si="35"/>
        <v>0</v>
      </c>
      <c r="J102" s="91"/>
      <c r="K102" s="395"/>
      <c r="M102" s="367"/>
    </row>
    <row r="103" spans="1:244" s="93" customFormat="1" ht="20" customHeight="1" outlineLevel="2" x14ac:dyDescent="0.2">
      <c r="A103" s="85"/>
      <c r="B103" s="408"/>
      <c r="C103" s="85"/>
      <c r="D103" s="86"/>
      <c r="E103" s="86"/>
      <c r="F103" s="87"/>
      <c r="G103" s="88">
        <f t="shared" si="33"/>
        <v>0</v>
      </c>
      <c r="H103" s="89">
        <f t="shared" si="34"/>
        <v>0</v>
      </c>
      <c r="I103" s="90">
        <f t="shared" si="35"/>
        <v>0</v>
      </c>
      <c r="J103" s="91"/>
      <c r="K103" s="395"/>
      <c r="M103" s="367"/>
    </row>
    <row r="104" spans="1:244" s="93" customFormat="1" ht="20" customHeight="1" outlineLevel="2" x14ac:dyDescent="0.2">
      <c r="A104" s="85"/>
      <c r="B104" s="408"/>
      <c r="C104" s="85"/>
      <c r="D104" s="86"/>
      <c r="E104" s="86"/>
      <c r="F104" s="87"/>
      <c r="G104" s="88">
        <f t="shared" si="33"/>
        <v>0</v>
      </c>
      <c r="H104" s="89">
        <f t="shared" si="34"/>
        <v>0</v>
      </c>
      <c r="I104" s="90">
        <f t="shared" si="35"/>
        <v>0</v>
      </c>
      <c r="J104" s="91"/>
      <c r="K104" s="395"/>
      <c r="M104" s="367"/>
    </row>
    <row r="105" spans="1:244" s="93" customFormat="1" ht="20" customHeight="1" outlineLevel="2" x14ac:dyDescent="0.2">
      <c r="A105" s="85"/>
      <c r="B105" s="408"/>
      <c r="C105" s="85"/>
      <c r="D105" s="86"/>
      <c r="E105" s="86"/>
      <c r="F105" s="87"/>
      <c r="G105" s="88">
        <f t="shared" si="33"/>
        <v>0</v>
      </c>
      <c r="H105" s="89">
        <f t="shared" si="34"/>
        <v>0</v>
      </c>
      <c r="I105" s="90">
        <f t="shared" si="35"/>
        <v>0</v>
      </c>
      <c r="J105" s="91"/>
      <c r="K105" s="395"/>
      <c r="M105" s="367"/>
    </row>
    <row r="106" spans="1:244" s="93" customFormat="1" ht="20" customHeight="1" outlineLevel="2" x14ac:dyDescent="0.2">
      <c r="A106" s="85"/>
      <c r="B106" s="408"/>
      <c r="C106" s="85"/>
      <c r="D106" s="86"/>
      <c r="E106" s="86"/>
      <c r="F106" s="87"/>
      <c r="G106" s="88">
        <f>(D106*E106*F106)</f>
        <v>0</v>
      </c>
      <c r="H106" s="89">
        <f t="shared" si="34"/>
        <v>0</v>
      </c>
      <c r="I106" s="90">
        <f t="shared" si="35"/>
        <v>0</v>
      </c>
      <c r="J106" s="91"/>
      <c r="K106" s="395"/>
      <c r="M106" s="367"/>
    </row>
    <row r="107" spans="1:244" s="105" customFormat="1" outlineLevel="1" x14ac:dyDescent="0.2">
      <c r="A107" s="94" t="s">
        <v>288</v>
      </c>
      <c r="B107" s="95"/>
      <c r="C107" s="98"/>
      <c r="D107" s="98"/>
      <c r="E107" s="95"/>
      <c r="F107" s="96"/>
      <c r="G107" s="99">
        <f>SUM(G100:G106)</f>
        <v>0</v>
      </c>
      <c r="H107" s="406">
        <f>SUM(H100:H106)</f>
        <v>0</v>
      </c>
      <c r="I107" s="96">
        <f>SUM(I100:I106)</f>
        <v>0</v>
      </c>
      <c r="J107" s="97">
        <f>SUM(J100:J106)</f>
        <v>0</v>
      </c>
      <c r="K107" s="395"/>
      <c r="L107" s="101"/>
      <c r="M107" s="367"/>
      <c r="N107" s="103"/>
      <c r="O107" s="100"/>
      <c r="P107" s="104"/>
      <c r="Q107" s="100"/>
      <c r="R107" s="100"/>
      <c r="S107" s="100"/>
      <c r="T107" s="101"/>
      <c r="U107" s="101"/>
      <c r="V107" s="102"/>
      <c r="W107" s="103"/>
      <c r="X107" s="100"/>
      <c r="Y107" s="104"/>
      <c r="Z107" s="100"/>
      <c r="AA107" s="100"/>
      <c r="AB107" s="100"/>
      <c r="AC107" s="101"/>
      <c r="AD107" s="101"/>
      <c r="AE107" s="102"/>
      <c r="AF107" s="103"/>
      <c r="AG107" s="100"/>
      <c r="AH107" s="104"/>
      <c r="AI107" s="100"/>
      <c r="AJ107" s="100"/>
      <c r="AK107" s="100"/>
      <c r="AL107" s="101"/>
      <c r="AM107" s="101"/>
      <c r="AN107" s="102"/>
      <c r="AO107" s="103"/>
      <c r="AP107" s="100"/>
      <c r="AQ107" s="104"/>
      <c r="AR107" s="100"/>
      <c r="AS107" s="100"/>
      <c r="AT107" s="100"/>
      <c r="AU107" s="101"/>
      <c r="AV107" s="101"/>
      <c r="AW107" s="102"/>
      <c r="AX107" s="103"/>
      <c r="AY107" s="100"/>
      <c r="AZ107" s="104"/>
      <c r="BA107" s="100"/>
      <c r="BB107" s="100"/>
      <c r="BC107" s="100"/>
      <c r="BD107" s="101"/>
      <c r="BE107" s="101"/>
      <c r="BF107" s="102"/>
      <c r="BG107" s="103"/>
      <c r="BH107" s="100"/>
      <c r="BI107" s="104"/>
      <c r="BJ107" s="100"/>
      <c r="BK107" s="100"/>
      <c r="BL107" s="100"/>
      <c r="BM107" s="101"/>
      <c r="BN107" s="101"/>
      <c r="BO107" s="102"/>
      <c r="BP107" s="103"/>
      <c r="BQ107" s="100"/>
      <c r="BR107" s="104"/>
      <c r="BS107" s="100"/>
      <c r="BT107" s="100"/>
      <c r="BU107" s="100"/>
      <c r="BV107" s="101"/>
      <c r="BW107" s="101"/>
      <c r="BX107" s="102"/>
      <c r="BY107" s="103"/>
      <c r="BZ107" s="100"/>
      <c r="CA107" s="104"/>
      <c r="CB107" s="100"/>
      <c r="CC107" s="100"/>
      <c r="CD107" s="100"/>
      <c r="CE107" s="101"/>
      <c r="CF107" s="101"/>
      <c r="CG107" s="102"/>
      <c r="CH107" s="103"/>
      <c r="CI107" s="100"/>
      <c r="CJ107" s="104"/>
      <c r="CK107" s="100"/>
      <c r="CL107" s="100"/>
      <c r="CM107" s="100"/>
      <c r="CN107" s="101"/>
      <c r="CO107" s="101"/>
      <c r="CP107" s="102"/>
      <c r="CQ107" s="103"/>
      <c r="CR107" s="100"/>
      <c r="CS107" s="104"/>
      <c r="CT107" s="100"/>
      <c r="CU107" s="100"/>
      <c r="CV107" s="100"/>
      <c r="CW107" s="101"/>
      <c r="CX107" s="101"/>
      <c r="CY107" s="102"/>
      <c r="CZ107" s="103"/>
      <c r="DA107" s="100"/>
      <c r="DB107" s="104"/>
      <c r="DC107" s="100"/>
      <c r="DD107" s="100"/>
      <c r="DE107" s="100"/>
      <c r="DF107" s="101"/>
      <c r="DG107" s="101"/>
      <c r="DH107" s="102"/>
      <c r="DI107" s="103"/>
      <c r="DJ107" s="100"/>
      <c r="DK107" s="104"/>
      <c r="DL107" s="100"/>
      <c r="DM107" s="100"/>
      <c r="DN107" s="100"/>
      <c r="DO107" s="101"/>
      <c r="DP107" s="101"/>
      <c r="DQ107" s="102"/>
      <c r="DR107" s="103"/>
      <c r="DS107" s="100"/>
      <c r="DT107" s="104"/>
      <c r="DU107" s="100"/>
      <c r="DV107" s="100"/>
      <c r="DW107" s="100"/>
      <c r="DX107" s="101"/>
      <c r="DY107" s="101"/>
      <c r="DZ107" s="102"/>
      <c r="EA107" s="103"/>
      <c r="EB107" s="100"/>
      <c r="EC107" s="104"/>
      <c r="ED107" s="100"/>
      <c r="EE107" s="100"/>
      <c r="EF107" s="100"/>
      <c r="EG107" s="101"/>
      <c r="EH107" s="101"/>
      <c r="EI107" s="102"/>
      <c r="EJ107" s="103"/>
      <c r="EK107" s="100"/>
      <c r="EL107" s="104"/>
      <c r="EM107" s="100"/>
      <c r="EN107" s="100"/>
      <c r="EO107" s="100"/>
      <c r="EP107" s="101"/>
      <c r="EQ107" s="101"/>
      <c r="ER107" s="102"/>
      <c r="ES107" s="103"/>
      <c r="ET107" s="100"/>
      <c r="EU107" s="104"/>
      <c r="EV107" s="100"/>
      <c r="EW107" s="100"/>
      <c r="EX107" s="100"/>
      <c r="EY107" s="101"/>
      <c r="EZ107" s="101"/>
      <c r="FA107" s="102"/>
      <c r="FB107" s="103"/>
      <c r="FC107" s="100"/>
      <c r="FD107" s="104"/>
      <c r="FE107" s="100"/>
      <c r="FF107" s="100"/>
      <c r="FG107" s="100"/>
      <c r="FH107" s="101"/>
      <c r="FI107" s="101"/>
      <c r="FJ107" s="102"/>
      <c r="FK107" s="103"/>
      <c r="FL107" s="100"/>
      <c r="FM107" s="104"/>
      <c r="FN107" s="100"/>
      <c r="FO107" s="100"/>
      <c r="FP107" s="100"/>
      <c r="FQ107" s="101"/>
      <c r="FR107" s="101"/>
      <c r="FS107" s="102"/>
      <c r="FT107" s="103"/>
      <c r="FU107" s="100"/>
      <c r="FV107" s="104"/>
      <c r="FW107" s="100"/>
      <c r="FX107" s="100"/>
      <c r="FY107" s="100"/>
      <c r="FZ107" s="101"/>
      <c r="GA107" s="101"/>
      <c r="GB107" s="102"/>
      <c r="GC107" s="103"/>
      <c r="GD107" s="100"/>
      <c r="GE107" s="104"/>
      <c r="GF107" s="100"/>
      <c r="GG107" s="100"/>
      <c r="GH107" s="100"/>
      <c r="GI107" s="101"/>
      <c r="GJ107" s="101"/>
      <c r="GK107" s="102"/>
      <c r="GL107" s="103"/>
      <c r="GM107" s="100"/>
      <c r="GN107" s="104"/>
      <c r="GO107" s="100"/>
      <c r="GP107" s="100"/>
      <c r="GQ107" s="100"/>
      <c r="GR107" s="101"/>
      <c r="GS107" s="101"/>
      <c r="GT107" s="102"/>
      <c r="GU107" s="103"/>
      <c r="GV107" s="100"/>
      <c r="GW107" s="104"/>
      <c r="GX107" s="100"/>
      <c r="GY107" s="100"/>
      <c r="GZ107" s="100"/>
      <c r="HA107" s="101"/>
      <c r="HB107" s="101"/>
      <c r="HC107" s="102"/>
      <c r="HD107" s="103"/>
      <c r="HE107" s="100"/>
      <c r="HF107" s="104"/>
      <c r="HG107" s="100"/>
      <c r="HH107" s="100"/>
      <c r="HI107" s="100"/>
      <c r="HJ107" s="101"/>
      <c r="HK107" s="101"/>
      <c r="HL107" s="102"/>
      <c r="HM107" s="103"/>
      <c r="HN107" s="100"/>
      <c r="HO107" s="104"/>
      <c r="HP107" s="100"/>
      <c r="HQ107" s="100"/>
      <c r="HR107" s="100"/>
      <c r="HS107" s="101"/>
      <c r="HT107" s="101"/>
      <c r="HU107" s="102"/>
      <c r="HV107" s="103"/>
      <c r="HW107" s="100"/>
      <c r="HX107" s="104"/>
      <c r="HY107" s="100"/>
      <c r="HZ107" s="100"/>
      <c r="IA107" s="100"/>
      <c r="IB107" s="101"/>
      <c r="IC107" s="101"/>
      <c r="ID107" s="102"/>
      <c r="IE107" s="103"/>
      <c r="IF107" s="100"/>
      <c r="IG107" s="104"/>
      <c r="IH107" s="100"/>
      <c r="II107" s="100"/>
      <c r="IJ107" s="100"/>
    </row>
    <row r="108" spans="1:244" s="93" customFormat="1" ht="39" customHeight="1" outlineLevel="1" x14ac:dyDescent="0.2">
      <c r="A108" s="139">
        <v>7</v>
      </c>
      <c r="B108" s="115"/>
      <c r="C108" s="85"/>
      <c r="D108" s="86"/>
      <c r="E108" s="86"/>
      <c r="F108" s="87"/>
      <c r="G108" s="88"/>
      <c r="H108" s="89"/>
      <c r="I108" s="90"/>
      <c r="J108" s="91"/>
      <c r="K108" s="395"/>
      <c r="M108" s="380">
        <f>SUM(M101:M107)</f>
        <v>0</v>
      </c>
    </row>
    <row r="109" spans="1:244" s="93" customFormat="1" ht="20" customHeight="1" outlineLevel="2" x14ac:dyDescent="0.2">
      <c r="A109" s="85"/>
      <c r="B109" s="408"/>
      <c r="C109" s="85"/>
      <c r="D109" s="86"/>
      <c r="E109" s="86"/>
      <c r="F109" s="87"/>
      <c r="G109" s="88">
        <f t="shared" ref="G109:G114" si="36">(D109*E109*F109)</f>
        <v>0</v>
      </c>
      <c r="H109" s="89">
        <f t="shared" ref="H109:H115" si="37">G109/$K$3</f>
        <v>0</v>
      </c>
      <c r="I109" s="90">
        <f>H109</f>
        <v>0</v>
      </c>
      <c r="J109" s="91"/>
      <c r="K109" s="395"/>
      <c r="M109" s="367"/>
    </row>
    <row r="110" spans="1:244" s="93" customFormat="1" ht="20" customHeight="1" outlineLevel="2" x14ac:dyDescent="0.2">
      <c r="A110" s="85"/>
      <c r="B110" s="408"/>
      <c r="C110" s="85"/>
      <c r="D110" s="86"/>
      <c r="E110" s="86"/>
      <c r="F110" s="87"/>
      <c r="G110" s="88">
        <f t="shared" si="36"/>
        <v>0</v>
      </c>
      <c r="H110" s="89">
        <f t="shared" si="37"/>
        <v>0</v>
      </c>
      <c r="I110" s="90">
        <f t="shared" ref="I110:I115" si="38">H110</f>
        <v>0</v>
      </c>
      <c r="J110" s="91"/>
      <c r="K110" s="395"/>
      <c r="M110" s="367"/>
    </row>
    <row r="111" spans="1:244" s="93" customFormat="1" ht="20" customHeight="1" outlineLevel="2" x14ac:dyDescent="0.2">
      <c r="A111" s="85"/>
      <c r="B111" s="408"/>
      <c r="C111" s="85"/>
      <c r="D111" s="86"/>
      <c r="E111" s="86"/>
      <c r="F111" s="87"/>
      <c r="G111" s="88">
        <f t="shared" si="36"/>
        <v>0</v>
      </c>
      <c r="H111" s="89">
        <f t="shared" si="37"/>
        <v>0</v>
      </c>
      <c r="I111" s="90">
        <f t="shared" si="38"/>
        <v>0</v>
      </c>
      <c r="J111" s="91"/>
      <c r="K111" s="395"/>
      <c r="M111" s="367"/>
    </row>
    <row r="112" spans="1:244" s="93" customFormat="1" ht="20" customHeight="1" outlineLevel="2" x14ac:dyDescent="0.2">
      <c r="A112" s="85"/>
      <c r="B112" s="408"/>
      <c r="C112" s="85"/>
      <c r="D112" s="86"/>
      <c r="E112" s="86"/>
      <c r="F112" s="87"/>
      <c r="G112" s="88">
        <f t="shared" si="36"/>
        <v>0</v>
      </c>
      <c r="H112" s="89">
        <f t="shared" si="37"/>
        <v>0</v>
      </c>
      <c r="I112" s="90">
        <f t="shared" si="38"/>
        <v>0</v>
      </c>
      <c r="J112" s="91"/>
      <c r="K112" s="395"/>
      <c r="M112" s="367"/>
    </row>
    <row r="113" spans="1:244" s="93" customFormat="1" ht="20" customHeight="1" outlineLevel="2" x14ac:dyDescent="0.2">
      <c r="A113" s="85"/>
      <c r="B113" s="408"/>
      <c r="C113" s="85"/>
      <c r="D113" s="86"/>
      <c r="E113" s="86"/>
      <c r="F113" s="87"/>
      <c r="G113" s="88">
        <f t="shared" si="36"/>
        <v>0</v>
      </c>
      <c r="H113" s="89">
        <f t="shared" si="37"/>
        <v>0</v>
      </c>
      <c r="I113" s="90">
        <f t="shared" si="38"/>
        <v>0</v>
      </c>
      <c r="J113" s="91"/>
      <c r="K113" s="395"/>
      <c r="M113" s="367"/>
    </row>
    <row r="114" spans="1:244" s="93" customFormat="1" ht="20" customHeight="1" outlineLevel="2" x14ac:dyDescent="0.2">
      <c r="A114" s="85"/>
      <c r="B114" s="408"/>
      <c r="C114" s="85"/>
      <c r="D114" s="86"/>
      <c r="E114" s="86"/>
      <c r="F114" s="87"/>
      <c r="G114" s="88">
        <f t="shared" si="36"/>
        <v>0</v>
      </c>
      <c r="H114" s="89">
        <f t="shared" si="37"/>
        <v>0</v>
      </c>
      <c r="I114" s="90">
        <f t="shared" si="38"/>
        <v>0</v>
      </c>
      <c r="J114" s="91"/>
      <c r="K114" s="395"/>
      <c r="M114" s="367"/>
    </row>
    <row r="115" spans="1:244" s="93" customFormat="1" ht="20" customHeight="1" outlineLevel="2" x14ac:dyDescent="0.2">
      <c r="A115" s="85"/>
      <c r="B115" s="408"/>
      <c r="C115" s="85"/>
      <c r="D115" s="86"/>
      <c r="E115" s="86"/>
      <c r="F115" s="87"/>
      <c r="G115" s="88">
        <f>(D115*E115*F115)</f>
        <v>0</v>
      </c>
      <c r="H115" s="89">
        <f t="shared" si="37"/>
        <v>0</v>
      </c>
      <c r="I115" s="90">
        <f t="shared" si="38"/>
        <v>0</v>
      </c>
      <c r="J115" s="91"/>
      <c r="K115" s="395"/>
      <c r="M115" s="367"/>
    </row>
    <row r="116" spans="1:244" s="105" customFormat="1" outlineLevel="1" x14ac:dyDescent="0.2">
      <c r="A116" s="94" t="s">
        <v>288</v>
      </c>
      <c r="B116" s="95"/>
      <c r="C116" s="98"/>
      <c r="D116" s="98"/>
      <c r="E116" s="95"/>
      <c r="F116" s="96"/>
      <c r="G116" s="99">
        <f>SUM(G109:G115)</f>
        <v>0</v>
      </c>
      <c r="H116" s="406">
        <f>SUM(H109:H115)</f>
        <v>0</v>
      </c>
      <c r="I116" s="96">
        <f>SUM(I109:I115)</f>
        <v>0</v>
      </c>
      <c r="J116" s="97">
        <f>SUM(J109:J115)</f>
        <v>0</v>
      </c>
      <c r="K116" s="395"/>
      <c r="L116" s="101"/>
      <c r="M116" s="367"/>
      <c r="N116" s="103"/>
      <c r="O116" s="100"/>
      <c r="P116" s="104"/>
      <c r="Q116" s="100"/>
      <c r="R116" s="100"/>
      <c r="S116" s="100"/>
      <c r="T116" s="101"/>
      <c r="U116" s="101"/>
      <c r="V116" s="102"/>
      <c r="W116" s="103"/>
      <c r="X116" s="100"/>
      <c r="Y116" s="104"/>
      <c r="Z116" s="100"/>
      <c r="AA116" s="100"/>
      <c r="AB116" s="100"/>
      <c r="AC116" s="101"/>
      <c r="AD116" s="101"/>
      <c r="AE116" s="102"/>
      <c r="AF116" s="103"/>
      <c r="AG116" s="100"/>
      <c r="AH116" s="104"/>
      <c r="AI116" s="100"/>
      <c r="AJ116" s="100"/>
      <c r="AK116" s="100"/>
      <c r="AL116" s="101"/>
      <c r="AM116" s="101"/>
      <c r="AN116" s="102"/>
      <c r="AO116" s="103"/>
      <c r="AP116" s="100"/>
      <c r="AQ116" s="104"/>
      <c r="AR116" s="100"/>
      <c r="AS116" s="100"/>
      <c r="AT116" s="100"/>
      <c r="AU116" s="101"/>
      <c r="AV116" s="101"/>
      <c r="AW116" s="102"/>
      <c r="AX116" s="103"/>
      <c r="AY116" s="100"/>
      <c r="AZ116" s="104"/>
      <c r="BA116" s="100"/>
      <c r="BB116" s="100"/>
      <c r="BC116" s="100"/>
      <c r="BD116" s="101"/>
      <c r="BE116" s="101"/>
      <c r="BF116" s="102"/>
      <c r="BG116" s="103"/>
      <c r="BH116" s="100"/>
      <c r="BI116" s="104"/>
      <c r="BJ116" s="100"/>
      <c r="BK116" s="100"/>
      <c r="BL116" s="100"/>
      <c r="BM116" s="101"/>
      <c r="BN116" s="101"/>
      <c r="BO116" s="102"/>
      <c r="BP116" s="103"/>
      <c r="BQ116" s="100"/>
      <c r="BR116" s="104"/>
      <c r="BS116" s="100"/>
      <c r="BT116" s="100"/>
      <c r="BU116" s="100"/>
      <c r="BV116" s="101"/>
      <c r="BW116" s="101"/>
      <c r="BX116" s="102"/>
      <c r="BY116" s="103"/>
      <c r="BZ116" s="100"/>
      <c r="CA116" s="104"/>
      <c r="CB116" s="100"/>
      <c r="CC116" s="100"/>
      <c r="CD116" s="100"/>
      <c r="CE116" s="101"/>
      <c r="CF116" s="101"/>
      <c r="CG116" s="102"/>
      <c r="CH116" s="103"/>
      <c r="CI116" s="100"/>
      <c r="CJ116" s="104"/>
      <c r="CK116" s="100"/>
      <c r="CL116" s="100"/>
      <c r="CM116" s="100"/>
      <c r="CN116" s="101"/>
      <c r="CO116" s="101"/>
      <c r="CP116" s="102"/>
      <c r="CQ116" s="103"/>
      <c r="CR116" s="100"/>
      <c r="CS116" s="104"/>
      <c r="CT116" s="100"/>
      <c r="CU116" s="100"/>
      <c r="CV116" s="100"/>
      <c r="CW116" s="101"/>
      <c r="CX116" s="101"/>
      <c r="CY116" s="102"/>
      <c r="CZ116" s="103"/>
      <c r="DA116" s="100"/>
      <c r="DB116" s="104"/>
      <c r="DC116" s="100"/>
      <c r="DD116" s="100"/>
      <c r="DE116" s="100"/>
      <c r="DF116" s="101"/>
      <c r="DG116" s="101"/>
      <c r="DH116" s="102"/>
      <c r="DI116" s="103"/>
      <c r="DJ116" s="100"/>
      <c r="DK116" s="104"/>
      <c r="DL116" s="100"/>
      <c r="DM116" s="100"/>
      <c r="DN116" s="100"/>
      <c r="DO116" s="101"/>
      <c r="DP116" s="101"/>
      <c r="DQ116" s="102"/>
      <c r="DR116" s="103"/>
      <c r="DS116" s="100"/>
      <c r="DT116" s="104"/>
      <c r="DU116" s="100"/>
      <c r="DV116" s="100"/>
      <c r="DW116" s="100"/>
      <c r="DX116" s="101"/>
      <c r="DY116" s="101"/>
      <c r="DZ116" s="102"/>
      <c r="EA116" s="103"/>
      <c r="EB116" s="100"/>
      <c r="EC116" s="104"/>
      <c r="ED116" s="100"/>
      <c r="EE116" s="100"/>
      <c r="EF116" s="100"/>
      <c r="EG116" s="101"/>
      <c r="EH116" s="101"/>
      <c r="EI116" s="102"/>
      <c r="EJ116" s="103"/>
      <c r="EK116" s="100"/>
      <c r="EL116" s="104"/>
      <c r="EM116" s="100"/>
      <c r="EN116" s="100"/>
      <c r="EO116" s="100"/>
      <c r="EP116" s="101"/>
      <c r="EQ116" s="101"/>
      <c r="ER116" s="102"/>
      <c r="ES116" s="103"/>
      <c r="ET116" s="100"/>
      <c r="EU116" s="104"/>
      <c r="EV116" s="100"/>
      <c r="EW116" s="100"/>
      <c r="EX116" s="100"/>
      <c r="EY116" s="101"/>
      <c r="EZ116" s="101"/>
      <c r="FA116" s="102"/>
      <c r="FB116" s="103"/>
      <c r="FC116" s="100"/>
      <c r="FD116" s="104"/>
      <c r="FE116" s="100"/>
      <c r="FF116" s="100"/>
      <c r="FG116" s="100"/>
      <c r="FH116" s="101"/>
      <c r="FI116" s="101"/>
      <c r="FJ116" s="102"/>
      <c r="FK116" s="103"/>
      <c r="FL116" s="100"/>
      <c r="FM116" s="104"/>
      <c r="FN116" s="100"/>
      <c r="FO116" s="100"/>
      <c r="FP116" s="100"/>
      <c r="FQ116" s="101"/>
      <c r="FR116" s="101"/>
      <c r="FS116" s="102"/>
      <c r="FT116" s="103"/>
      <c r="FU116" s="100"/>
      <c r="FV116" s="104"/>
      <c r="FW116" s="100"/>
      <c r="FX116" s="100"/>
      <c r="FY116" s="100"/>
      <c r="FZ116" s="101"/>
      <c r="GA116" s="101"/>
      <c r="GB116" s="102"/>
      <c r="GC116" s="103"/>
      <c r="GD116" s="100"/>
      <c r="GE116" s="104"/>
      <c r="GF116" s="100"/>
      <c r="GG116" s="100"/>
      <c r="GH116" s="100"/>
      <c r="GI116" s="101"/>
      <c r="GJ116" s="101"/>
      <c r="GK116" s="102"/>
      <c r="GL116" s="103"/>
      <c r="GM116" s="100"/>
      <c r="GN116" s="104"/>
      <c r="GO116" s="100"/>
      <c r="GP116" s="100"/>
      <c r="GQ116" s="100"/>
      <c r="GR116" s="101"/>
      <c r="GS116" s="101"/>
      <c r="GT116" s="102"/>
      <c r="GU116" s="103"/>
      <c r="GV116" s="100"/>
      <c r="GW116" s="104"/>
      <c r="GX116" s="100"/>
      <c r="GY116" s="100"/>
      <c r="GZ116" s="100"/>
      <c r="HA116" s="101"/>
      <c r="HB116" s="101"/>
      <c r="HC116" s="102"/>
      <c r="HD116" s="103"/>
      <c r="HE116" s="100"/>
      <c r="HF116" s="104"/>
      <c r="HG116" s="100"/>
      <c r="HH116" s="100"/>
      <c r="HI116" s="100"/>
      <c r="HJ116" s="101"/>
      <c r="HK116" s="101"/>
      <c r="HL116" s="102"/>
      <c r="HM116" s="103"/>
      <c r="HN116" s="100"/>
      <c r="HO116" s="104"/>
      <c r="HP116" s="100"/>
      <c r="HQ116" s="100"/>
      <c r="HR116" s="100"/>
      <c r="HS116" s="101"/>
      <c r="HT116" s="101"/>
      <c r="HU116" s="102"/>
      <c r="HV116" s="103"/>
      <c r="HW116" s="100"/>
      <c r="HX116" s="104"/>
      <c r="HY116" s="100"/>
      <c r="HZ116" s="100"/>
      <c r="IA116" s="100"/>
      <c r="IB116" s="101"/>
      <c r="IC116" s="101"/>
      <c r="ID116" s="102"/>
      <c r="IE116" s="103"/>
      <c r="IF116" s="100"/>
      <c r="IG116" s="104"/>
      <c r="IH116" s="100"/>
      <c r="II116" s="100"/>
      <c r="IJ116" s="100"/>
    </row>
    <row r="117" spans="1:244" s="93" customFormat="1" ht="39" customHeight="1" outlineLevel="1" x14ac:dyDescent="0.2">
      <c r="A117" s="139">
        <v>8</v>
      </c>
      <c r="B117" s="115"/>
      <c r="C117" s="85"/>
      <c r="D117" s="86"/>
      <c r="E117" s="86"/>
      <c r="F117" s="87"/>
      <c r="G117" s="88"/>
      <c r="H117" s="89"/>
      <c r="I117" s="90"/>
      <c r="J117" s="91"/>
      <c r="K117" s="395"/>
      <c r="M117" s="380">
        <f>SUM(M110:M116)</f>
        <v>0</v>
      </c>
    </row>
    <row r="118" spans="1:244" s="93" customFormat="1" ht="20" customHeight="1" outlineLevel="2" x14ac:dyDescent="0.2">
      <c r="A118" s="85"/>
      <c r="B118" s="408"/>
      <c r="C118" s="85"/>
      <c r="D118" s="86"/>
      <c r="E118" s="86"/>
      <c r="F118" s="87"/>
      <c r="G118" s="88">
        <f t="shared" ref="G118:G123" si="39">(D118*E118*F118)</f>
        <v>0</v>
      </c>
      <c r="H118" s="89">
        <f t="shared" ref="H118:H124" si="40">G118/$K$3</f>
        <v>0</v>
      </c>
      <c r="I118" s="90">
        <f>H118</f>
        <v>0</v>
      </c>
      <c r="J118" s="91"/>
      <c r="K118" s="395"/>
      <c r="M118" s="367"/>
    </row>
    <row r="119" spans="1:244" s="93" customFormat="1" ht="20" customHeight="1" outlineLevel="2" x14ac:dyDescent="0.2">
      <c r="A119" s="85"/>
      <c r="B119" s="408"/>
      <c r="C119" s="85"/>
      <c r="D119" s="86"/>
      <c r="E119" s="86"/>
      <c r="F119" s="87"/>
      <c r="G119" s="88">
        <f t="shared" si="39"/>
        <v>0</v>
      </c>
      <c r="H119" s="89">
        <f t="shared" si="40"/>
        <v>0</v>
      </c>
      <c r="I119" s="90">
        <f t="shared" ref="I119:I124" si="41">H119</f>
        <v>0</v>
      </c>
      <c r="J119" s="91"/>
      <c r="K119" s="395"/>
      <c r="M119" s="367"/>
    </row>
    <row r="120" spans="1:244" s="93" customFormat="1" ht="20" customHeight="1" outlineLevel="2" x14ac:dyDescent="0.2">
      <c r="A120" s="85"/>
      <c r="B120" s="408"/>
      <c r="C120" s="85"/>
      <c r="D120" s="86"/>
      <c r="E120" s="86"/>
      <c r="F120" s="87"/>
      <c r="G120" s="88">
        <f t="shared" si="39"/>
        <v>0</v>
      </c>
      <c r="H120" s="89">
        <f t="shared" si="40"/>
        <v>0</v>
      </c>
      <c r="I120" s="90">
        <f t="shared" si="41"/>
        <v>0</v>
      </c>
      <c r="J120" s="91"/>
      <c r="K120" s="395"/>
      <c r="M120" s="367"/>
    </row>
    <row r="121" spans="1:244" s="93" customFormat="1" ht="20" customHeight="1" outlineLevel="2" x14ac:dyDescent="0.2">
      <c r="A121" s="85"/>
      <c r="B121" s="408"/>
      <c r="C121" s="85"/>
      <c r="D121" s="86"/>
      <c r="E121" s="86"/>
      <c r="F121" s="87"/>
      <c r="G121" s="88">
        <f t="shared" si="39"/>
        <v>0</v>
      </c>
      <c r="H121" s="89">
        <f t="shared" si="40"/>
        <v>0</v>
      </c>
      <c r="I121" s="90">
        <f t="shared" si="41"/>
        <v>0</v>
      </c>
      <c r="J121" s="91"/>
      <c r="K121" s="395"/>
      <c r="M121" s="367"/>
    </row>
    <row r="122" spans="1:244" s="93" customFormat="1" ht="20" customHeight="1" outlineLevel="2" x14ac:dyDescent="0.2">
      <c r="A122" s="85"/>
      <c r="B122" s="408"/>
      <c r="C122" s="85"/>
      <c r="D122" s="86"/>
      <c r="E122" s="86"/>
      <c r="F122" s="87"/>
      <c r="G122" s="88">
        <f t="shared" si="39"/>
        <v>0</v>
      </c>
      <c r="H122" s="89">
        <f t="shared" si="40"/>
        <v>0</v>
      </c>
      <c r="I122" s="90">
        <f t="shared" si="41"/>
        <v>0</v>
      </c>
      <c r="J122" s="91"/>
      <c r="K122" s="395"/>
      <c r="M122" s="367"/>
    </row>
    <row r="123" spans="1:244" s="93" customFormat="1" ht="20" customHeight="1" outlineLevel="2" x14ac:dyDescent="0.2">
      <c r="A123" s="85"/>
      <c r="B123" s="408"/>
      <c r="C123" s="85"/>
      <c r="D123" s="86"/>
      <c r="E123" s="86"/>
      <c r="F123" s="87"/>
      <c r="G123" s="88">
        <f t="shared" si="39"/>
        <v>0</v>
      </c>
      <c r="H123" s="89">
        <f t="shared" si="40"/>
        <v>0</v>
      </c>
      <c r="I123" s="90">
        <f t="shared" si="41"/>
        <v>0</v>
      </c>
      <c r="J123" s="91"/>
      <c r="K123" s="395"/>
      <c r="M123" s="367"/>
    </row>
    <row r="124" spans="1:244" s="93" customFormat="1" ht="20" customHeight="1" outlineLevel="3" x14ac:dyDescent="0.2">
      <c r="A124" s="85"/>
      <c r="B124" s="408"/>
      <c r="C124" s="85"/>
      <c r="D124" s="86"/>
      <c r="E124" s="86"/>
      <c r="F124" s="87"/>
      <c r="G124" s="88">
        <f>(D124*E124*F124)</f>
        <v>0</v>
      </c>
      <c r="H124" s="89">
        <f t="shared" si="40"/>
        <v>0</v>
      </c>
      <c r="I124" s="90">
        <f t="shared" si="41"/>
        <v>0</v>
      </c>
      <c r="J124" s="91"/>
      <c r="K124" s="395"/>
      <c r="M124" s="367"/>
    </row>
    <row r="125" spans="1:244" s="105" customFormat="1" outlineLevel="1" x14ac:dyDescent="0.2">
      <c r="A125" s="94" t="s">
        <v>288</v>
      </c>
      <c r="B125" s="95"/>
      <c r="C125" s="98"/>
      <c r="D125" s="98"/>
      <c r="E125" s="95"/>
      <c r="F125" s="96"/>
      <c r="G125" s="99">
        <f>SUM(G118:G124)</f>
        <v>0</v>
      </c>
      <c r="H125" s="406">
        <f>SUM(H118:H124)</f>
        <v>0</v>
      </c>
      <c r="I125" s="96">
        <f>SUM(I118:I124)</f>
        <v>0</v>
      </c>
      <c r="J125" s="97">
        <f>SUM(J118:J124)</f>
        <v>0</v>
      </c>
      <c r="K125" s="395"/>
      <c r="L125" s="101"/>
      <c r="M125" s="367"/>
      <c r="N125" s="103"/>
      <c r="O125" s="100"/>
      <c r="P125" s="104"/>
      <c r="Q125" s="100"/>
      <c r="R125" s="100"/>
      <c r="S125" s="100"/>
      <c r="T125" s="101"/>
      <c r="U125" s="101"/>
      <c r="V125" s="102"/>
      <c r="W125" s="103"/>
      <c r="X125" s="100"/>
      <c r="Y125" s="104"/>
      <c r="Z125" s="100"/>
      <c r="AA125" s="100"/>
      <c r="AB125" s="100"/>
      <c r="AC125" s="101"/>
      <c r="AD125" s="101"/>
      <c r="AE125" s="102"/>
      <c r="AF125" s="103"/>
      <c r="AG125" s="100"/>
      <c r="AH125" s="104"/>
      <c r="AI125" s="100"/>
      <c r="AJ125" s="100"/>
      <c r="AK125" s="100"/>
      <c r="AL125" s="101"/>
      <c r="AM125" s="101"/>
      <c r="AN125" s="102"/>
      <c r="AO125" s="103"/>
      <c r="AP125" s="100"/>
      <c r="AQ125" s="104"/>
      <c r="AR125" s="100"/>
      <c r="AS125" s="100"/>
      <c r="AT125" s="100"/>
      <c r="AU125" s="101"/>
      <c r="AV125" s="101"/>
      <c r="AW125" s="102"/>
      <c r="AX125" s="103"/>
      <c r="AY125" s="100"/>
      <c r="AZ125" s="104"/>
      <c r="BA125" s="100"/>
      <c r="BB125" s="100"/>
      <c r="BC125" s="100"/>
      <c r="BD125" s="101"/>
      <c r="BE125" s="101"/>
      <c r="BF125" s="102"/>
      <c r="BG125" s="103"/>
      <c r="BH125" s="100"/>
      <c r="BI125" s="104"/>
      <c r="BJ125" s="100"/>
      <c r="BK125" s="100"/>
      <c r="BL125" s="100"/>
      <c r="BM125" s="101"/>
      <c r="BN125" s="101"/>
      <c r="BO125" s="102"/>
      <c r="BP125" s="103"/>
      <c r="BQ125" s="100"/>
      <c r="BR125" s="104"/>
      <c r="BS125" s="100"/>
      <c r="BT125" s="100"/>
      <c r="BU125" s="100"/>
      <c r="BV125" s="101"/>
      <c r="BW125" s="101"/>
      <c r="BX125" s="102"/>
      <c r="BY125" s="103"/>
      <c r="BZ125" s="100"/>
      <c r="CA125" s="104"/>
      <c r="CB125" s="100"/>
      <c r="CC125" s="100"/>
      <c r="CD125" s="100"/>
      <c r="CE125" s="101"/>
      <c r="CF125" s="101"/>
      <c r="CG125" s="102"/>
      <c r="CH125" s="103"/>
      <c r="CI125" s="100"/>
      <c r="CJ125" s="104"/>
      <c r="CK125" s="100"/>
      <c r="CL125" s="100"/>
      <c r="CM125" s="100"/>
      <c r="CN125" s="101"/>
      <c r="CO125" s="101"/>
      <c r="CP125" s="102"/>
      <c r="CQ125" s="103"/>
      <c r="CR125" s="100"/>
      <c r="CS125" s="104"/>
      <c r="CT125" s="100"/>
      <c r="CU125" s="100"/>
      <c r="CV125" s="100"/>
      <c r="CW125" s="101"/>
      <c r="CX125" s="101"/>
      <c r="CY125" s="102"/>
      <c r="CZ125" s="103"/>
      <c r="DA125" s="100"/>
      <c r="DB125" s="104"/>
      <c r="DC125" s="100"/>
      <c r="DD125" s="100"/>
      <c r="DE125" s="100"/>
      <c r="DF125" s="101"/>
      <c r="DG125" s="101"/>
      <c r="DH125" s="102"/>
      <c r="DI125" s="103"/>
      <c r="DJ125" s="100"/>
      <c r="DK125" s="104"/>
      <c r="DL125" s="100"/>
      <c r="DM125" s="100"/>
      <c r="DN125" s="100"/>
      <c r="DO125" s="101"/>
      <c r="DP125" s="101"/>
      <c r="DQ125" s="102"/>
      <c r="DR125" s="103"/>
      <c r="DS125" s="100"/>
      <c r="DT125" s="104"/>
      <c r="DU125" s="100"/>
      <c r="DV125" s="100"/>
      <c r="DW125" s="100"/>
      <c r="DX125" s="101"/>
      <c r="DY125" s="101"/>
      <c r="DZ125" s="102"/>
      <c r="EA125" s="103"/>
      <c r="EB125" s="100"/>
      <c r="EC125" s="104"/>
      <c r="ED125" s="100"/>
      <c r="EE125" s="100"/>
      <c r="EF125" s="100"/>
      <c r="EG125" s="101"/>
      <c r="EH125" s="101"/>
      <c r="EI125" s="102"/>
      <c r="EJ125" s="103"/>
      <c r="EK125" s="100"/>
      <c r="EL125" s="104"/>
      <c r="EM125" s="100"/>
      <c r="EN125" s="100"/>
      <c r="EO125" s="100"/>
      <c r="EP125" s="101"/>
      <c r="EQ125" s="101"/>
      <c r="ER125" s="102"/>
      <c r="ES125" s="103"/>
      <c r="ET125" s="100"/>
      <c r="EU125" s="104"/>
      <c r="EV125" s="100"/>
      <c r="EW125" s="100"/>
      <c r="EX125" s="100"/>
      <c r="EY125" s="101"/>
      <c r="EZ125" s="101"/>
      <c r="FA125" s="102"/>
      <c r="FB125" s="103"/>
      <c r="FC125" s="100"/>
      <c r="FD125" s="104"/>
      <c r="FE125" s="100"/>
      <c r="FF125" s="100"/>
      <c r="FG125" s="100"/>
      <c r="FH125" s="101"/>
      <c r="FI125" s="101"/>
      <c r="FJ125" s="102"/>
      <c r="FK125" s="103"/>
      <c r="FL125" s="100"/>
      <c r="FM125" s="104"/>
      <c r="FN125" s="100"/>
      <c r="FO125" s="100"/>
      <c r="FP125" s="100"/>
      <c r="FQ125" s="101"/>
      <c r="FR125" s="101"/>
      <c r="FS125" s="102"/>
      <c r="FT125" s="103"/>
      <c r="FU125" s="100"/>
      <c r="FV125" s="104"/>
      <c r="FW125" s="100"/>
      <c r="FX125" s="100"/>
      <c r="FY125" s="100"/>
      <c r="FZ125" s="101"/>
      <c r="GA125" s="101"/>
      <c r="GB125" s="102"/>
      <c r="GC125" s="103"/>
      <c r="GD125" s="100"/>
      <c r="GE125" s="104"/>
      <c r="GF125" s="100"/>
      <c r="GG125" s="100"/>
      <c r="GH125" s="100"/>
      <c r="GI125" s="101"/>
      <c r="GJ125" s="101"/>
      <c r="GK125" s="102"/>
      <c r="GL125" s="103"/>
      <c r="GM125" s="100"/>
      <c r="GN125" s="104"/>
      <c r="GO125" s="100"/>
      <c r="GP125" s="100"/>
      <c r="GQ125" s="100"/>
      <c r="GR125" s="101"/>
      <c r="GS125" s="101"/>
      <c r="GT125" s="102"/>
      <c r="GU125" s="103"/>
      <c r="GV125" s="100"/>
      <c r="GW125" s="104"/>
      <c r="GX125" s="100"/>
      <c r="GY125" s="100"/>
      <c r="GZ125" s="100"/>
      <c r="HA125" s="101"/>
      <c r="HB125" s="101"/>
      <c r="HC125" s="102"/>
      <c r="HD125" s="103"/>
      <c r="HE125" s="100"/>
      <c r="HF125" s="104"/>
      <c r="HG125" s="100"/>
      <c r="HH125" s="100"/>
      <c r="HI125" s="100"/>
      <c r="HJ125" s="101"/>
      <c r="HK125" s="101"/>
      <c r="HL125" s="102"/>
      <c r="HM125" s="103"/>
      <c r="HN125" s="100"/>
      <c r="HO125" s="104"/>
      <c r="HP125" s="100"/>
      <c r="HQ125" s="100"/>
      <c r="HR125" s="100"/>
      <c r="HS125" s="101"/>
      <c r="HT125" s="101"/>
      <c r="HU125" s="102"/>
      <c r="HV125" s="103"/>
      <c r="HW125" s="100"/>
      <c r="HX125" s="104"/>
      <c r="HY125" s="100"/>
      <c r="HZ125" s="100"/>
      <c r="IA125" s="100"/>
      <c r="IB125" s="101"/>
      <c r="IC125" s="101"/>
      <c r="ID125" s="102"/>
      <c r="IE125" s="103"/>
      <c r="IF125" s="100"/>
      <c r="IG125" s="104"/>
      <c r="IH125" s="100"/>
      <c r="II125" s="100"/>
      <c r="IJ125" s="100"/>
    </row>
    <row r="126" spans="1:244" x14ac:dyDescent="0.2">
      <c r="A126" s="82" t="s">
        <v>442</v>
      </c>
      <c r="B126" s="83"/>
      <c r="C126" s="83"/>
      <c r="D126" s="83"/>
      <c r="E126" s="83"/>
      <c r="F126" s="83"/>
      <c r="G126" s="84"/>
      <c r="H126" s="83"/>
      <c r="I126" s="83"/>
      <c r="J126" s="83"/>
      <c r="K126" s="395"/>
      <c r="M126" s="76"/>
    </row>
    <row r="127" spans="1:244" x14ac:dyDescent="0.2">
      <c r="A127" s="137"/>
      <c r="B127" s="138"/>
      <c r="C127" s="138"/>
      <c r="D127" s="138"/>
      <c r="E127" s="138"/>
      <c r="F127" s="138"/>
      <c r="G127" s="138"/>
      <c r="H127" s="138"/>
      <c r="I127" s="138"/>
      <c r="J127" s="138"/>
      <c r="K127" s="395"/>
      <c r="M127" s="375"/>
    </row>
    <row r="128" spans="1:244" s="93" customFormat="1" ht="39" customHeight="1" outlineLevel="1" x14ac:dyDescent="0.2">
      <c r="A128" s="139" t="s">
        <v>443</v>
      </c>
      <c r="B128" s="407" t="s">
        <v>444</v>
      </c>
      <c r="C128" s="85"/>
      <c r="D128" s="86"/>
      <c r="E128" s="86"/>
      <c r="F128" s="87"/>
      <c r="G128" s="88"/>
      <c r="H128" s="89"/>
      <c r="I128" s="90"/>
      <c r="J128" s="91"/>
      <c r="K128" s="395"/>
      <c r="M128" s="367"/>
    </row>
    <row r="129" spans="1:244" s="93" customFormat="1" ht="20" customHeight="1" outlineLevel="2" x14ac:dyDescent="0.2">
      <c r="A129" s="85" t="s">
        <v>341</v>
      </c>
      <c r="B129" s="408" t="s">
        <v>445</v>
      </c>
      <c r="C129" s="85" t="s">
        <v>277</v>
      </c>
      <c r="D129" s="86">
        <f>20*5</f>
        <v>100</v>
      </c>
      <c r="E129" s="86">
        <f>2*2</f>
        <v>4</v>
      </c>
      <c r="F129" s="87">
        <f>50+150</f>
        <v>200</v>
      </c>
      <c r="G129" s="88">
        <f t="shared" ref="G129:G134" si="42">(D129*E129*F129)</f>
        <v>80000</v>
      </c>
      <c r="H129" s="89">
        <f t="shared" ref="H129:H135" si="43">G129/$K$3</f>
        <v>5095.5414012738856</v>
      </c>
      <c r="I129" s="90">
        <f>H129</f>
        <v>5095.5414012738856</v>
      </c>
      <c r="J129" s="91"/>
      <c r="K129" s="395"/>
      <c r="M129" s="367"/>
    </row>
    <row r="130" spans="1:244" s="93" customFormat="1" ht="20" customHeight="1" outlineLevel="2" x14ac:dyDescent="0.2">
      <c r="A130" s="85" t="s">
        <v>343</v>
      </c>
      <c r="B130" s="408" t="s">
        <v>311</v>
      </c>
      <c r="C130" s="85" t="s">
        <v>374</v>
      </c>
      <c r="D130" s="86">
        <v>1</v>
      </c>
      <c r="E130" s="86">
        <v>5</v>
      </c>
      <c r="F130" s="87">
        <v>3000</v>
      </c>
      <c r="G130" s="88">
        <f t="shared" si="42"/>
        <v>15000</v>
      </c>
      <c r="H130" s="89">
        <f t="shared" si="43"/>
        <v>955.41401273885356</v>
      </c>
      <c r="I130" s="90">
        <f t="shared" ref="I130:I135" si="44">H130</f>
        <v>955.41401273885356</v>
      </c>
      <c r="J130" s="91"/>
      <c r="K130" s="395"/>
      <c r="M130" s="367"/>
    </row>
    <row r="131" spans="1:244" s="93" customFormat="1" ht="20" customHeight="1" outlineLevel="2" x14ac:dyDescent="0.2">
      <c r="A131" s="85" t="s">
        <v>279</v>
      </c>
      <c r="B131" s="408" t="s">
        <v>345</v>
      </c>
      <c r="C131" s="85" t="s">
        <v>280</v>
      </c>
      <c r="D131" s="86">
        <f>15*5</f>
        <v>75</v>
      </c>
      <c r="E131" s="86">
        <v>4</v>
      </c>
      <c r="F131" s="87">
        <v>300</v>
      </c>
      <c r="G131" s="88">
        <f t="shared" si="42"/>
        <v>90000</v>
      </c>
      <c r="H131" s="89">
        <f t="shared" si="43"/>
        <v>5732.4840764331211</v>
      </c>
      <c r="I131" s="90">
        <f t="shared" si="44"/>
        <v>5732.4840764331211</v>
      </c>
      <c r="J131" s="91"/>
      <c r="K131" s="395"/>
      <c r="M131" s="367"/>
    </row>
    <row r="132" spans="1:244" s="93" customFormat="1" ht="20" customHeight="1" outlineLevel="2" x14ac:dyDescent="0.2">
      <c r="A132" s="85"/>
      <c r="B132" s="408"/>
      <c r="C132" s="85"/>
      <c r="D132" s="86"/>
      <c r="E132" s="86"/>
      <c r="F132" s="87"/>
      <c r="G132" s="88">
        <f t="shared" si="42"/>
        <v>0</v>
      </c>
      <c r="H132" s="89">
        <f t="shared" si="43"/>
        <v>0</v>
      </c>
      <c r="I132" s="90">
        <f t="shared" si="44"/>
        <v>0</v>
      </c>
      <c r="J132" s="91"/>
      <c r="K132" s="395"/>
      <c r="M132" s="367"/>
    </row>
    <row r="133" spans="1:244" s="93" customFormat="1" ht="20" customHeight="1" outlineLevel="2" x14ac:dyDescent="0.2">
      <c r="A133" s="85"/>
      <c r="B133" s="408"/>
      <c r="C133" s="85"/>
      <c r="D133" s="86"/>
      <c r="E133" s="86"/>
      <c r="F133" s="87"/>
      <c r="G133" s="88">
        <f t="shared" si="42"/>
        <v>0</v>
      </c>
      <c r="H133" s="89">
        <f t="shared" si="43"/>
        <v>0</v>
      </c>
      <c r="I133" s="90">
        <f t="shared" si="44"/>
        <v>0</v>
      </c>
      <c r="J133" s="91"/>
      <c r="K133" s="395"/>
      <c r="M133" s="367"/>
    </row>
    <row r="134" spans="1:244" s="93" customFormat="1" ht="20" customHeight="1" outlineLevel="2" x14ac:dyDescent="0.2">
      <c r="A134" s="85"/>
      <c r="B134" s="408"/>
      <c r="C134" s="85"/>
      <c r="D134" s="86"/>
      <c r="E134" s="86"/>
      <c r="F134" s="87"/>
      <c r="G134" s="88">
        <f t="shared" si="42"/>
        <v>0</v>
      </c>
      <c r="H134" s="89">
        <f t="shared" si="43"/>
        <v>0</v>
      </c>
      <c r="I134" s="90">
        <f t="shared" si="44"/>
        <v>0</v>
      </c>
      <c r="J134" s="91"/>
      <c r="K134" s="395"/>
      <c r="M134" s="367"/>
    </row>
    <row r="135" spans="1:244" s="93" customFormat="1" ht="20" customHeight="1" outlineLevel="2" x14ac:dyDescent="0.2">
      <c r="A135" s="85"/>
      <c r="B135" s="408"/>
      <c r="C135" s="85"/>
      <c r="D135" s="86"/>
      <c r="E135" s="86"/>
      <c r="F135" s="87"/>
      <c r="G135" s="88">
        <f>(D135*E135*F135)</f>
        <v>0</v>
      </c>
      <c r="H135" s="89">
        <f t="shared" si="43"/>
        <v>0</v>
      </c>
      <c r="I135" s="90">
        <f t="shared" si="44"/>
        <v>0</v>
      </c>
      <c r="J135" s="91"/>
      <c r="K135" s="395"/>
      <c r="M135" s="367"/>
    </row>
    <row r="136" spans="1:244" s="105" customFormat="1" outlineLevel="1" x14ac:dyDescent="0.2">
      <c r="A136" s="94" t="s">
        <v>288</v>
      </c>
      <c r="B136" s="95"/>
      <c r="C136" s="98"/>
      <c r="D136" s="98"/>
      <c r="E136" s="95"/>
      <c r="F136" s="96"/>
      <c r="G136" s="99">
        <f>SUM(G129:G135)</f>
        <v>185000</v>
      </c>
      <c r="H136" s="406">
        <f>SUM(H129:H135)</f>
        <v>11783.43949044586</v>
      </c>
      <c r="I136" s="96">
        <f>SUM(I129:I135)</f>
        <v>11783.43949044586</v>
      </c>
      <c r="J136" s="97">
        <f>SUM(J129:J135)</f>
        <v>0</v>
      </c>
      <c r="K136" s="395"/>
      <c r="L136" s="101"/>
      <c r="M136" s="380">
        <f>$H136</f>
        <v>11783.43949044586</v>
      </c>
      <c r="N136" s="103"/>
      <c r="O136" s="100"/>
      <c r="P136" s="104"/>
      <c r="Q136" s="100"/>
      <c r="R136" s="100"/>
      <c r="S136" s="100"/>
      <c r="T136" s="101"/>
      <c r="U136" s="101"/>
      <c r="V136" s="102"/>
      <c r="W136" s="103"/>
      <c r="X136" s="100"/>
      <c r="Y136" s="104"/>
      <c r="Z136" s="100"/>
      <c r="AA136" s="100"/>
      <c r="AB136" s="100"/>
      <c r="AC136" s="101"/>
      <c r="AD136" s="101"/>
      <c r="AE136" s="102"/>
      <c r="AF136" s="103"/>
      <c r="AG136" s="100"/>
      <c r="AH136" s="104"/>
      <c r="AI136" s="100"/>
      <c r="AJ136" s="100"/>
      <c r="AK136" s="100"/>
      <c r="AL136" s="101"/>
      <c r="AM136" s="101"/>
      <c r="AN136" s="102"/>
      <c r="AO136" s="103"/>
      <c r="AP136" s="100"/>
      <c r="AQ136" s="104"/>
      <c r="AR136" s="100"/>
      <c r="AS136" s="100"/>
      <c r="AT136" s="100"/>
      <c r="AU136" s="101"/>
      <c r="AV136" s="101"/>
      <c r="AW136" s="102"/>
      <c r="AX136" s="103"/>
      <c r="AY136" s="100"/>
      <c r="AZ136" s="104"/>
      <c r="BA136" s="100"/>
      <c r="BB136" s="100"/>
      <c r="BC136" s="100"/>
      <c r="BD136" s="101"/>
      <c r="BE136" s="101"/>
      <c r="BF136" s="102"/>
      <c r="BG136" s="103"/>
      <c r="BH136" s="100"/>
      <c r="BI136" s="104"/>
      <c r="BJ136" s="100"/>
      <c r="BK136" s="100"/>
      <c r="BL136" s="100"/>
      <c r="BM136" s="101"/>
      <c r="BN136" s="101"/>
      <c r="BO136" s="102"/>
      <c r="BP136" s="103"/>
      <c r="BQ136" s="100"/>
      <c r="BR136" s="104"/>
      <c r="BS136" s="100"/>
      <c r="BT136" s="100"/>
      <c r="BU136" s="100"/>
      <c r="BV136" s="101"/>
      <c r="BW136" s="101"/>
      <c r="BX136" s="102"/>
      <c r="BY136" s="103"/>
      <c r="BZ136" s="100"/>
      <c r="CA136" s="104"/>
      <c r="CB136" s="100"/>
      <c r="CC136" s="100"/>
      <c r="CD136" s="100"/>
      <c r="CE136" s="101"/>
      <c r="CF136" s="101"/>
      <c r="CG136" s="102"/>
      <c r="CH136" s="103"/>
      <c r="CI136" s="100"/>
      <c r="CJ136" s="104"/>
      <c r="CK136" s="100"/>
      <c r="CL136" s="100"/>
      <c r="CM136" s="100"/>
      <c r="CN136" s="101"/>
      <c r="CO136" s="101"/>
      <c r="CP136" s="102"/>
      <c r="CQ136" s="103"/>
      <c r="CR136" s="100"/>
      <c r="CS136" s="104"/>
      <c r="CT136" s="100"/>
      <c r="CU136" s="100"/>
      <c r="CV136" s="100"/>
      <c r="CW136" s="101"/>
      <c r="CX136" s="101"/>
      <c r="CY136" s="102"/>
      <c r="CZ136" s="103"/>
      <c r="DA136" s="100"/>
      <c r="DB136" s="104"/>
      <c r="DC136" s="100"/>
      <c r="DD136" s="100"/>
      <c r="DE136" s="100"/>
      <c r="DF136" s="101"/>
      <c r="DG136" s="101"/>
      <c r="DH136" s="102"/>
      <c r="DI136" s="103"/>
      <c r="DJ136" s="100"/>
      <c r="DK136" s="104"/>
      <c r="DL136" s="100"/>
      <c r="DM136" s="100"/>
      <c r="DN136" s="100"/>
      <c r="DO136" s="101"/>
      <c r="DP136" s="101"/>
      <c r="DQ136" s="102"/>
      <c r="DR136" s="103"/>
      <c r="DS136" s="100"/>
      <c r="DT136" s="104"/>
      <c r="DU136" s="100"/>
      <c r="DV136" s="100"/>
      <c r="DW136" s="100"/>
      <c r="DX136" s="101"/>
      <c r="DY136" s="101"/>
      <c r="DZ136" s="102"/>
      <c r="EA136" s="103"/>
      <c r="EB136" s="100"/>
      <c r="EC136" s="104"/>
      <c r="ED136" s="100"/>
      <c r="EE136" s="100"/>
      <c r="EF136" s="100"/>
      <c r="EG136" s="101"/>
      <c r="EH136" s="101"/>
      <c r="EI136" s="102"/>
      <c r="EJ136" s="103"/>
      <c r="EK136" s="100"/>
      <c r="EL136" s="104"/>
      <c r="EM136" s="100"/>
      <c r="EN136" s="100"/>
      <c r="EO136" s="100"/>
      <c r="EP136" s="101"/>
      <c r="EQ136" s="101"/>
      <c r="ER136" s="102"/>
      <c r="ES136" s="103"/>
      <c r="ET136" s="100"/>
      <c r="EU136" s="104"/>
      <c r="EV136" s="100"/>
      <c r="EW136" s="100"/>
      <c r="EX136" s="100"/>
      <c r="EY136" s="101"/>
      <c r="EZ136" s="101"/>
      <c r="FA136" s="102"/>
      <c r="FB136" s="103"/>
      <c r="FC136" s="100"/>
      <c r="FD136" s="104"/>
      <c r="FE136" s="100"/>
      <c r="FF136" s="100"/>
      <c r="FG136" s="100"/>
      <c r="FH136" s="101"/>
      <c r="FI136" s="101"/>
      <c r="FJ136" s="102"/>
      <c r="FK136" s="103"/>
      <c r="FL136" s="100"/>
      <c r="FM136" s="104"/>
      <c r="FN136" s="100"/>
      <c r="FO136" s="100"/>
      <c r="FP136" s="100"/>
      <c r="FQ136" s="101"/>
      <c r="FR136" s="101"/>
      <c r="FS136" s="102"/>
      <c r="FT136" s="103"/>
      <c r="FU136" s="100"/>
      <c r="FV136" s="104"/>
      <c r="FW136" s="100"/>
      <c r="FX136" s="100"/>
      <c r="FY136" s="100"/>
      <c r="FZ136" s="101"/>
      <c r="GA136" s="101"/>
      <c r="GB136" s="102"/>
      <c r="GC136" s="103"/>
      <c r="GD136" s="100"/>
      <c r="GE136" s="104"/>
      <c r="GF136" s="100"/>
      <c r="GG136" s="100"/>
      <c r="GH136" s="100"/>
      <c r="GI136" s="101"/>
      <c r="GJ136" s="101"/>
      <c r="GK136" s="102"/>
      <c r="GL136" s="103"/>
      <c r="GM136" s="100"/>
      <c r="GN136" s="104"/>
      <c r="GO136" s="100"/>
      <c r="GP136" s="100"/>
      <c r="GQ136" s="100"/>
      <c r="GR136" s="101"/>
      <c r="GS136" s="101"/>
      <c r="GT136" s="102"/>
      <c r="GU136" s="103"/>
      <c r="GV136" s="100"/>
      <c r="GW136" s="104"/>
      <c r="GX136" s="100"/>
      <c r="GY136" s="100"/>
      <c r="GZ136" s="100"/>
      <c r="HA136" s="101"/>
      <c r="HB136" s="101"/>
      <c r="HC136" s="102"/>
      <c r="HD136" s="103"/>
      <c r="HE136" s="100"/>
      <c r="HF136" s="104"/>
      <c r="HG136" s="100"/>
      <c r="HH136" s="100"/>
      <c r="HI136" s="100"/>
      <c r="HJ136" s="101"/>
      <c r="HK136" s="101"/>
      <c r="HL136" s="102"/>
      <c r="HM136" s="103"/>
      <c r="HN136" s="100"/>
      <c r="HO136" s="104"/>
      <c r="HP136" s="100"/>
      <c r="HQ136" s="100"/>
      <c r="HR136" s="100"/>
      <c r="HS136" s="101"/>
      <c r="HT136" s="101"/>
      <c r="HU136" s="102"/>
      <c r="HV136" s="103"/>
      <c r="HW136" s="100"/>
      <c r="HX136" s="104"/>
      <c r="HY136" s="100"/>
      <c r="HZ136" s="100"/>
      <c r="IA136" s="100"/>
      <c r="IB136" s="101"/>
      <c r="IC136" s="101"/>
      <c r="ID136" s="102"/>
      <c r="IE136" s="103"/>
      <c r="IF136" s="100"/>
      <c r="IG136" s="104"/>
      <c r="IH136" s="100"/>
      <c r="II136" s="100"/>
      <c r="IJ136" s="100"/>
    </row>
    <row r="137" spans="1:244" s="93" customFormat="1" ht="39" customHeight="1" outlineLevel="1" x14ac:dyDescent="0.2">
      <c r="A137" s="139" t="s">
        <v>446</v>
      </c>
      <c r="B137" s="115"/>
      <c r="C137" s="85"/>
      <c r="D137" s="86"/>
      <c r="E137" s="86"/>
      <c r="F137" s="87"/>
      <c r="G137" s="88"/>
      <c r="H137" s="89"/>
      <c r="I137" s="90"/>
      <c r="J137" s="91"/>
      <c r="K137" s="395"/>
      <c r="M137" s="380">
        <f>SUM(M130:M136)</f>
        <v>11783.43949044586</v>
      </c>
    </row>
    <row r="138" spans="1:244" s="93" customFormat="1" ht="20" customHeight="1" outlineLevel="2" x14ac:dyDescent="0.2">
      <c r="A138" s="85" t="s">
        <v>292</v>
      </c>
      <c r="B138" s="85" t="s">
        <v>292</v>
      </c>
      <c r="C138" s="85" t="s">
        <v>447</v>
      </c>
      <c r="D138" s="86">
        <v>15000</v>
      </c>
      <c r="E138" s="86">
        <v>1</v>
      </c>
      <c r="F138" s="87">
        <v>5</v>
      </c>
      <c r="G138" s="88">
        <f t="shared" ref="G138:G143" si="45">(D138*E138*F138)</f>
        <v>75000</v>
      </c>
      <c r="H138" s="89">
        <f t="shared" ref="H138:H144" si="46">G138/$K$3</f>
        <v>4777.0700636942674</v>
      </c>
      <c r="I138" s="90">
        <f>H138</f>
        <v>4777.0700636942674</v>
      </c>
      <c r="J138" s="91"/>
      <c r="K138" s="395"/>
      <c r="M138" s="367"/>
    </row>
    <row r="139" spans="1:244" s="93" customFormat="1" ht="20" customHeight="1" outlineLevel="2" x14ac:dyDescent="0.2">
      <c r="A139" s="85"/>
      <c r="B139" s="408"/>
      <c r="C139" s="85"/>
      <c r="D139" s="86"/>
      <c r="E139" s="86"/>
      <c r="F139" s="87"/>
      <c r="G139" s="88">
        <f t="shared" si="45"/>
        <v>0</v>
      </c>
      <c r="H139" s="89">
        <f t="shared" si="46"/>
        <v>0</v>
      </c>
      <c r="I139" s="90">
        <f t="shared" ref="I139:I144" si="47">H139</f>
        <v>0</v>
      </c>
      <c r="J139" s="91"/>
      <c r="K139" s="395"/>
      <c r="M139" s="367"/>
    </row>
    <row r="140" spans="1:244" s="93" customFormat="1" ht="20" customHeight="1" outlineLevel="2" x14ac:dyDescent="0.2">
      <c r="A140" s="85"/>
      <c r="B140" s="408"/>
      <c r="C140" s="85"/>
      <c r="D140" s="86"/>
      <c r="E140" s="86"/>
      <c r="F140" s="87"/>
      <c r="G140" s="88">
        <f t="shared" si="45"/>
        <v>0</v>
      </c>
      <c r="H140" s="89">
        <f t="shared" si="46"/>
        <v>0</v>
      </c>
      <c r="I140" s="90">
        <f t="shared" si="47"/>
        <v>0</v>
      </c>
      <c r="J140" s="91"/>
      <c r="K140" s="395"/>
      <c r="M140" s="367"/>
    </row>
    <row r="141" spans="1:244" s="93" customFormat="1" ht="20" customHeight="1" outlineLevel="2" x14ac:dyDescent="0.2">
      <c r="A141" s="85"/>
      <c r="B141" s="408"/>
      <c r="C141" s="85"/>
      <c r="D141" s="86"/>
      <c r="E141" s="86"/>
      <c r="F141" s="87"/>
      <c r="G141" s="88">
        <f t="shared" si="45"/>
        <v>0</v>
      </c>
      <c r="H141" s="89">
        <f t="shared" si="46"/>
        <v>0</v>
      </c>
      <c r="I141" s="90">
        <f t="shared" si="47"/>
        <v>0</v>
      </c>
      <c r="J141" s="91"/>
      <c r="K141" s="395"/>
      <c r="M141" s="367"/>
    </row>
    <row r="142" spans="1:244" s="93" customFormat="1" ht="20" customHeight="1" outlineLevel="2" x14ac:dyDescent="0.2">
      <c r="A142" s="85"/>
      <c r="B142" s="408"/>
      <c r="C142" s="85"/>
      <c r="D142" s="86"/>
      <c r="E142" s="86"/>
      <c r="F142" s="87"/>
      <c r="G142" s="88">
        <f t="shared" si="45"/>
        <v>0</v>
      </c>
      <c r="H142" s="89">
        <f t="shared" si="46"/>
        <v>0</v>
      </c>
      <c r="I142" s="90">
        <f t="shared" si="47"/>
        <v>0</v>
      </c>
      <c r="J142" s="91"/>
      <c r="K142" s="395"/>
      <c r="M142" s="367"/>
    </row>
    <row r="143" spans="1:244" s="93" customFormat="1" ht="20" customHeight="1" outlineLevel="2" x14ac:dyDescent="0.2">
      <c r="A143" s="85"/>
      <c r="B143" s="408"/>
      <c r="C143" s="85"/>
      <c r="D143" s="86"/>
      <c r="E143" s="86"/>
      <c r="F143" s="87"/>
      <c r="G143" s="88">
        <f t="shared" si="45"/>
        <v>0</v>
      </c>
      <c r="H143" s="89">
        <f t="shared" si="46"/>
        <v>0</v>
      </c>
      <c r="I143" s="90">
        <f t="shared" si="47"/>
        <v>0</v>
      </c>
      <c r="J143" s="91"/>
      <c r="K143" s="395"/>
      <c r="M143" s="367"/>
    </row>
    <row r="144" spans="1:244" s="93" customFormat="1" ht="20" customHeight="1" outlineLevel="2" x14ac:dyDescent="0.2">
      <c r="A144" s="85"/>
      <c r="B144" s="408"/>
      <c r="C144" s="85"/>
      <c r="D144" s="86"/>
      <c r="E144" s="86"/>
      <c r="F144" s="87"/>
      <c r="G144" s="88">
        <f>(D144*E144*F144)</f>
        <v>0</v>
      </c>
      <c r="H144" s="89">
        <f t="shared" si="46"/>
        <v>0</v>
      </c>
      <c r="I144" s="90">
        <f t="shared" si="47"/>
        <v>0</v>
      </c>
      <c r="J144" s="91"/>
      <c r="K144" s="395"/>
      <c r="M144" s="367"/>
    </row>
    <row r="145" spans="1:244" s="105" customFormat="1" outlineLevel="1" x14ac:dyDescent="0.2">
      <c r="A145" s="94" t="s">
        <v>288</v>
      </c>
      <c r="B145" s="95"/>
      <c r="C145" s="98"/>
      <c r="D145" s="98"/>
      <c r="E145" s="95"/>
      <c r="F145" s="96"/>
      <c r="G145" s="99">
        <f>SUM(G138:G144)</f>
        <v>75000</v>
      </c>
      <c r="H145" s="406">
        <f>SUM(H138:H144)</f>
        <v>4777.0700636942674</v>
      </c>
      <c r="I145" s="96">
        <f>SUM(I138:I144)</f>
        <v>4777.0700636942674</v>
      </c>
      <c r="J145" s="97">
        <f>SUM(J138:J144)</f>
        <v>0</v>
      </c>
      <c r="K145" s="395"/>
      <c r="L145" s="101"/>
      <c r="M145" s="367"/>
      <c r="N145" s="103"/>
      <c r="O145" s="100"/>
      <c r="P145" s="104"/>
      <c r="Q145" s="100"/>
      <c r="R145" s="100"/>
      <c r="S145" s="100"/>
      <c r="T145" s="101"/>
      <c r="U145" s="101"/>
      <c r="V145" s="102"/>
      <c r="W145" s="103"/>
      <c r="X145" s="100"/>
      <c r="Y145" s="104"/>
      <c r="Z145" s="100"/>
      <c r="AA145" s="100"/>
      <c r="AB145" s="100"/>
      <c r="AC145" s="101"/>
      <c r="AD145" s="101"/>
      <c r="AE145" s="102"/>
      <c r="AF145" s="103"/>
      <c r="AG145" s="100"/>
      <c r="AH145" s="104"/>
      <c r="AI145" s="100"/>
      <c r="AJ145" s="100"/>
      <c r="AK145" s="100"/>
      <c r="AL145" s="101"/>
      <c r="AM145" s="101"/>
      <c r="AN145" s="102"/>
      <c r="AO145" s="103"/>
      <c r="AP145" s="100"/>
      <c r="AQ145" s="104"/>
      <c r="AR145" s="100"/>
      <c r="AS145" s="100"/>
      <c r="AT145" s="100"/>
      <c r="AU145" s="101"/>
      <c r="AV145" s="101"/>
      <c r="AW145" s="102"/>
      <c r="AX145" s="103"/>
      <c r="AY145" s="100"/>
      <c r="AZ145" s="104"/>
      <c r="BA145" s="100"/>
      <c r="BB145" s="100"/>
      <c r="BC145" s="100"/>
      <c r="BD145" s="101"/>
      <c r="BE145" s="101"/>
      <c r="BF145" s="102"/>
      <c r="BG145" s="103"/>
      <c r="BH145" s="100"/>
      <c r="BI145" s="104"/>
      <c r="BJ145" s="100"/>
      <c r="BK145" s="100"/>
      <c r="BL145" s="100"/>
      <c r="BM145" s="101"/>
      <c r="BN145" s="101"/>
      <c r="BO145" s="102"/>
      <c r="BP145" s="103"/>
      <c r="BQ145" s="100"/>
      <c r="BR145" s="104"/>
      <c r="BS145" s="100"/>
      <c r="BT145" s="100"/>
      <c r="BU145" s="100"/>
      <c r="BV145" s="101"/>
      <c r="BW145" s="101"/>
      <c r="BX145" s="102"/>
      <c r="BY145" s="103"/>
      <c r="BZ145" s="100"/>
      <c r="CA145" s="104"/>
      <c r="CB145" s="100"/>
      <c r="CC145" s="100"/>
      <c r="CD145" s="100"/>
      <c r="CE145" s="101"/>
      <c r="CF145" s="101"/>
      <c r="CG145" s="102"/>
      <c r="CH145" s="103"/>
      <c r="CI145" s="100"/>
      <c r="CJ145" s="104"/>
      <c r="CK145" s="100"/>
      <c r="CL145" s="100"/>
      <c r="CM145" s="100"/>
      <c r="CN145" s="101"/>
      <c r="CO145" s="101"/>
      <c r="CP145" s="102"/>
      <c r="CQ145" s="103"/>
      <c r="CR145" s="100"/>
      <c r="CS145" s="104"/>
      <c r="CT145" s="100"/>
      <c r="CU145" s="100"/>
      <c r="CV145" s="100"/>
      <c r="CW145" s="101"/>
      <c r="CX145" s="101"/>
      <c r="CY145" s="102"/>
      <c r="CZ145" s="103"/>
      <c r="DA145" s="100"/>
      <c r="DB145" s="104"/>
      <c r="DC145" s="100"/>
      <c r="DD145" s="100"/>
      <c r="DE145" s="100"/>
      <c r="DF145" s="101"/>
      <c r="DG145" s="101"/>
      <c r="DH145" s="102"/>
      <c r="DI145" s="103"/>
      <c r="DJ145" s="100"/>
      <c r="DK145" s="104"/>
      <c r="DL145" s="100"/>
      <c r="DM145" s="100"/>
      <c r="DN145" s="100"/>
      <c r="DO145" s="101"/>
      <c r="DP145" s="101"/>
      <c r="DQ145" s="102"/>
      <c r="DR145" s="103"/>
      <c r="DS145" s="100"/>
      <c r="DT145" s="104"/>
      <c r="DU145" s="100"/>
      <c r="DV145" s="100"/>
      <c r="DW145" s="100"/>
      <c r="DX145" s="101"/>
      <c r="DY145" s="101"/>
      <c r="DZ145" s="102"/>
      <c r="EA145" s="103"/>
      <c r="EB145" s="100"/>
      <c r="EC145" s="104"/>
      <c r="ED145" s="100"/>
      <c r="EE145" s="100"/>
      <c r="EF145" s="100"/>
      <c r="EG145" s="101"/>
      <c r="EH145" s="101"/>
      <c r="EI145" s="102"/>
      <c r="EJ145" s="103"/>
      <c r="EK145" s="100"/>
      <c r="EL145" s="104"/>
      <c r="EM145" s="100"/>
      <c r="EN145" s="100"/>
      <c r="EO145" s="100"/>
      <c r="EP145" s="101"/>
      <c r="EQ145" s="101"/>
      <c r="ER145" s="102"/>
      <c r="ES145" s="103"/>
      <c r="ET145" s="100"/>
      <c r="EU145" s="104"/>
      <c r="EV145" s="100"/>
      <c r="EW145" s="100"/>
      <c r="EX145" s="100"/>
      <c r="EY145" s="101"/>
      <c r="EZ145" s="101"/>
      <c r="FA145" s="102"/>
      <c r="FB145" s="103"/>
      <c r="FC145" s="100"/>
      <c r="FD145" s="104"/>
      <c r="FE145" s="100"/>
      <c r="FF145" s="100"/>
      <c r="FG145" s="100"/>
      <c r="FH145" s="101"/>
      <c r="FI145" s="101"/>
      <c r="FJ145" s="102"/>
      <c r="FK145" s="103"/>
      <c r="FL145" s="100"/>
      <c r="FM145" s="104"/>
      <c r="FN145" s="100"/>
      <c r="FO145" s="100"/>
      <c r="FP145" s="100"/>
      <c r="FQ145" s="101"/>
      <c r="FR145" s="101"/>
      <c r="FS145" s="102"/>
      <c r="FT145" s="103"/>
      <c r="FU145" s="100"/>
      <c r="FV145" s="104"/>
      <c r="FW145" s="100"/>
      <c r="FX145" s="100"/>
      <c r="FY145" s="100"/>
      <c r="FZ145" s="101"/>
      <c r="GA145" s="101"/>
      <c r="GB145" s="102"/>
      <c r="GC145" s="103"/>
      <c r="GD145" s="100"/>
      <c r="GE145" s="104"/>
      <c r="GF145" s="100"/>
      <c r="GG145" s="100"/>
      <c r="GH145" s="100"/>
      <c r="GI145" s="101"/>
      <c r="GJ145" s="101"/>
      <c r="GK145" s="102"/>
      <c r="GL145" s="103"/>
      <c r="GM145" s="100"/>
      <c r="GN145" s="104"/>
      <c r="GO145" s="100"/>
      <c r="GP145" s="100"/>
      <c r="GQ145" s="100"/>
      <c r="GR145" s="101"/>
      <c r="GS145" s="101"/>
      <c r="GT145" s="102"/>
      <c r="GU145" s="103"/>
      <c r="GV145" s="100"/>
      <c r="GW145" s="104"/>
      <c r="GX145" s="100"/>
      <c r="GY145" s="100"/>
      <c r="GZ145" s="100"/>
      <c r="HA145" s="101"/>
      <c r="HB145" s="101"/>
      <c r="HC145" s="102"/>
      <c r="HD145" s="103"/>
      <c r="HE145" s="100"/>
      <c r="HF145" s="104"/>
      <c r="HG145" s="100"/>
      <c r="HH145" s="100"/>
      <c r="HI145" s="100"/>
      <c r="HJ145" s="101"/>
      <c r="HK145" s="101"/>
      <c r="HL145" s="102"/>
      <c r="HM145" s="103"/>
      <c r="HN145" s="100"/>
      <c r="HO145" s="104"/>
      <c r="HP145" s="100"/>
      <c r="HQ145" s="100"/>
      <c r="HR145" s="100"/>
      <c r="HS145" s="101"/>
      <c r="HT145" s="101"/>
      <c r="HU145" s="102"/>
      <c r="HV145" s="103"/>
      <c r="HW145" s="100"/>
      <c r="HX145" s="104"/>
      <c r="HY145" s="100"/>
      <c r="HZ145" s="100"/>
      <c r="IA145" s="100"/>
      <c r="IB145" s="101"/>
      <c r="IC145" s="101"/>
      <c r="ID145" s="102"/>
      <c r="IE145" s="103"/>
      <c r="IF145" s="100"/>
      <c r="IG145" s="104"/>
      <c r="IH145" s="100"/>
      <c r="II145" s="100"/>
      <c r="IJ145" s="100"/>
    </row>
    <row r="146" spans="1:244" s="93" customFormat="1" ht="39" customHeight="1" outlineLevel="1" x14ac:dyDescent="0.2">
      <c r="A146" s="409">
        <v>3</v>
      </c>
      <c r="B146" s="115"/>
      <c r="C146" s="85"/>
      <c r="D146" s="86"/>
      <c r="E146" s="86"/>
      <c r="F146" s="87"/>
      <c r="G146" s="88"/>
      <c r="H146" s="89"/>
      <c r="I146" s="90"/>
      <c r="J146" s="91"/>
      <c r="K146" s="395"/>
      <c r="M146" s="380">
        <f>SUM(M139:M145)</f>
        <v>0</v>
      </c>
    </row>
    <row r="147" spans="1:244" s="93" customFormat="1" ht="20" customHeight="1" outlineLevel="2" x14ac:dyDescent="0.2">
      <c r="A147" s="85"/>
      <c r="B147" s="408"/>
      <c r="C147" s="85"/>
      <c r="D147" s="86"/>
      <c r="E147" s="86"/>
      <c r="F147" s="87"/>
      <c r="G147" s="88">
        <f t="shared" ref="G147:G152" si="48">(D147*E147*F147)</f>
        <v>0</v>
      </c>
      <c r="H147" s="89">
        <f t="shared" ref="H147:H153" si="49">G147/$K$3</f>
        <v>0</v>
      </c>
      <c r="I147" s="90">
        <f>H147</f>
        <v>0</v>
      </c>
      <c r="J147" s="91"/>
      <c r="K147" s="395"/>
      <c r="M147" s="367"/>
    </row>
    <row r="148" spans="1:244" s="93" customFormat="1" ht="20" customHeight="1" outlineLevel="2" x14ac:dyDescent="0.2">
      <c r="A148" s="85"/>
      <c r="B148" s="408"/>
      <c r="C148" s="85"/>
      <c r="D148" s="86"/>
      <c r="E148" s="86"/>
      <c r="F148" s="87"/>
      <c r="G148" s="88">
        <f t="shared" si="48"/>
        <v>0</v>
      </c>
      <c r="H148" s="89">
        <f t="shared" si="49"/>
        <v>0</v>
      </c>
      <c r="I148" s="90">
        <f t="shared" ref="I148:I153" si="50">H148</f>
        <v>0</v>
      </c>
      <c r="J148" s="91"/>
      <c r="K148" s="395"/>
      <c r="M148" s="367"/>
    </row>
    <row r="149" spans="1:244" s="93" customFormat="1" ht="20" customHeight="1" outlineLevel="2" x14ac:dyDescent="0.2">
      <c r="A149" s="85"/>
      <c r="B149" s="408"/>
      <c r="C149" s="85"/>
      <c r="D149" s="86"/>
      <c r="E149" s="86"/>
      <c r="F149" s="87"/>
      <c r="G149" s="88">
        <f t="shared" si="48"/>
        <v>0</v>
      </c>
      <c r="H149" s="89">
        <f t="shared" si="49"/>
        <v>0</v>
      </c>
      <c r="I149" s="90">
        <f t="shared" si="50"/>
        <v>0</v>
      </c>
      <c r="J149" s="91"/>
      <c r="K149" s="395"/>
      <c r="M149" s="367"/>
    </row>
    <row r="150" spans="1:244" s="93" customFormat="1" ht="20" customHeight="1" outlineLevel="2" x14ac:dyDescent="0.2">
      <c r="A150" s="85"/>
      <c r="B150" s="408"/>
      <c r="C150" s="85"/>
      <c r="D150" s="86"/>
      <c r="E150" s="86"/>
      <c r="F150" s="87"/>
      <c r="G150" s="88">
        <f t="shared" si="48"/>
        <v>0</v>
      </c>
      <c r="H150" s="89">
        <f t="shared" si="49"/>
        <v>0</v>
      </c>
      <c r="I150" s="90">
        <f t="shared" si="50"/>
        <v>0</v>
      </c>
      <c r="J150" s="91"/>
      <c r="K150" s="395"/>
      <c r="M150" s="367"/>
    </row>
    <row r="151" spans="1:244" s="93" customFormat="1" ht="20" customHeight="1" outlineLevel="2" x14ac:dyDescent="0.2">
      <c r="A151" s="85"/>
      <c r="B151" s="408"/>
      <c r="C151" s="85"/>
      <c r="D151" s="86"/>
      <c r="E151" s="86"/>
      <c r="F151" s="87"/>
      <c r="G151" s="88">
        <f t="shared" si="48"/>
        <v>0</v>
      </c>
      <c r="H151" s="89">
        <f t="shared" si="49"/>
        <v>0</v>
      </c>
      <c r="I151" s="90">
        <f t="shared" si="50"/>
        <v>0</v>
      </c>
      <c r="J151" s="91"/>
      <c r="K151" s="395"/>
      <c r="M151" s="367"/>
    </row>
    <row r="152" spans="1:244" s="93" customFormat="1" ht="20" customHeight="1" outlineLevel="2" x14ac:dyDescent="0.2">
      <c r="A152" s="85"/>
      <c r="B152" s="408"/>
      <c r="C152" s="85"/>
      <c r="D152" s="86"/>
      <c r="E152" s="86"/>
      <c r="F152" s="87"/>
      <c r="G152" s="88">
        <f t="shared" si="48"/>
        <v>0</v>
      </c>
      <c r="H152" s="89">
        <f t="shared" si="49"/>
        <v>0</v>
      </c>
      <c r="I152" s="90">
        <f t="shared" si="50"/>
        <v>0</v>
      </c>
      <c r="J152" s="91"/>
      <c r="K152" s="395"/>
      <c r="M152" s="367"/>
    </row>
    <row r="153" spans="1:244" s="93" customFormat="1" ht="20" customHeight="1" outlineLevel="2" x14ac:dyDescent="0.2">
      <c r="A153" s="85"/>
      <c r="B153" s="408"/>
      <c r="C153" s="85"/>
      <c r="D153" s="86"/>
      <c r="E153" s="86"/>
      <c r="F153" s="87"/>
      <c r="G153" s="88">
        <f>(D153*E153*F153)</f>
        <v>0</v>
      </c>
      <c r="H153" s="89">
        <f t="shared" si="49"/>
        <v>0</v>
      </c>
      <c r="I153" s="90">
        <f t="shared" si="50"/>
        <v>0</v>
      </c>
      <c r="J153" s="91"/>
      <c r="K153" s="395"/>
      <c r="M153" s="367"/>
    </row>
    <row r="154" spans="1:244" s="105" customFormat="1" outlineLevel="1" x14ac:dyDescent="0.2">
      <c r="A154" s="94" t="s">
        <v>288</v>
      </c>
      <c r="B154" s="95"/>
      <c r="C154" s="98"/>
      <c r="D154" s="98"/>
      <c r="E154" s="95"/>
      <c r="F154" s="96"/>
      <c r="G154" s="99">
        <f>SUM(G147:G153)</f>
        <v>0</v>
      </c>
      <c r="H154" s="406">
        <f>SUM(H147:H153)</f>
        <v>0</v>
      </c>
      <c r="I154" s="96">
        <f>SUM(I147:I153)</f>
        <v>0</v>
      </c>
      <c r="J154" s="97">
        <f>SUM(J147:J153)</f>
        <v>0</v>
      </c>
      <c r="K154" s="395"/>
      <c r="L154" s="101"/>
      <c r="M154" s="367"/>
      <c r="N154" s="103"/>
      <c r="O154" s="100"/>
      <c r="P154" s="104"/>
      <c r="Q154" s="100"/>
      <c r="R154" s="100"/>
      <c r="S154" s="100"/>
      <c r="T154" s="101"/>
      <c r="U154" s="101"/>
      <c r="V154" s="102"/>
      <c r="W154" s="103"/>
      <c r="X154" s="100"/>
      <c r="Y154" s="104"/>
      <c r="Z154" s="100"/>
      <c r="AA154" s="100"/>
      <c r="AB154" s="100"/>
      <c r="AC154" s="101"/>
      <c r="AD154" s="101"/>
      <c r="AE154" s="102"/>
      <c r="AF154" s="103"/>
      <c r="AG154" s="100"/>
      <c r="AH154" s="104"/>
      <c r="AI154" s="100"/>
      <c r="AJ154" s="100"/>
      <c r="AK154" s="100"/>
      <c r="AL154" s="101"/>
      <c r="AM154" s="101"/>
      <c r="AN154" s="102"/>
      <c r="AO154" s="103"/>
      <c r="AP154" s="100"/>
      <c r="AQ154" s="104"/>
      <c r="AR154" s="100"/>
      <c r="AS154" s="100"/>
      <c r="AT154" s="100"/>
      <c r="AU154" s="101"/>
      <c r="AV154" s="101"/>
      <c r="AW154" s="102"/>
      <c r="AX154" s="103"/>
      <c r="AY154" s="100"/>
      <c r="AZ154" s="104"/>
      <c r="BA154" s="100"/>
      <c r="BB154" s="100"/>
      <c r="BC154" s="100"/>
      <c r="BD154" s="101"/>
      <c r="BE154" s="101"/>
      <c r="BF154" s="102"/>
      <c r="BG154" s="103"/>
      <c r="BH154" s="100"/>
      <c r="BI154" s="104"/>
      <c r="BJ154" s="100"/>
      <c r="BK154" s="100"/>
      <c r="BL154" s="100"/>
      <c r="BM154" s="101"/>
      <c r="BN154" s="101"/>
      <c r="BO154" s="102"/>
      <c r="BP154" s="103"/>
      <c r="BQ154" s="100"/>
      <c r="BR154" s="104"/>
      <c r="BS154" s="100"/>
      <c r="BT154" s="100"/>
      <c r="BU154" s="100"/>
      <c r="BV154" s="101"/>
      <c r="BW154" s="101"/>
      <c r="BX154" s="102"/>
      <c r="BY154" s="103"/>
      <c r="BZ154" s="100"/>
      <c r="CA154" s="104"/>
      <c r="CB154" s="100"/>
      <c r="CC154" s="100"/>
      <c r="CD154" s="100"/>
      <c r="CE154" s="101"/>
      <c r="CF154" s="101"/>
      <c r="CG154" s="102"/>
      <c r="CH154" s="103"/>
      <c r="CI154" s="100"/>
      <c r="CJ154" s="104"/>
      <c r="CK154" s="100"/>
      <c r="CL154" s="100"/>
      <c r="CM154" s="100"/>
      <c r="CN154" s="101"/>
      <c r="CO154" s="101"/>
      <c r="CP154" s="102"/>
      <c r="CQ154" s="103"/>
      <c r="CR154" s="100"/>
      <c r="CS154" s="104"/>
      <c r="CT154" s="100"/>
      <c r="CU154" s="100"/>
      <c r="CV154" s="100"/>
      <c r="CW154" s="101"/>
      <c r="CX154" s="101"/>
      <c r="CY154" s="102"/>
      <c r="CZ154" s="103"/>
      <c r="DA154" s="100"/>
      <c r="DB154" s="104"/>
      <c r="DC154" s="100"/>
      <c r="DD154" s="100"/>
      <c r="DE154" s="100"/>
      <c r="DF154" s="101"/>
      <c r="DG154" s="101"/>
      <c r="DH154" s="102"/>
      <c r="DI154" s="103"/>
      <c r="DJ154" s="100"/>
      <c r="DK154" s="104"/>
      <c r="DL154" s="100"/>
      <c r="DM154" s="100"/>
      <c r="DN154" s="100"/>
      <c r="DO154" s="101"/>
      <c r="DP154" s="101"/>
      <c r="DQ154" s="102"/>
      <c r="DR154" s="103"/>
      <c r="DS154" s="100"/>
      <c r="DT154" s="104"/>
      <c r="DU154" s="100"/>
      <c r="DV154" s="100"/>
      <c r="DW154" s="100"/>
      <c r="DX154" s="101"/>
      <c r="DY154" s="101"/>
      <c r="DZ154" s="102"/>
      <c r="EA154" s="103"/>
      <c r="EB154" s="100"/>
      <c r="EC154" s="104"/>
      <c r="ED154" s="100"/>
      <c r="EE154" s="100"/>
      <c r="EF154" s="100"/>
      <c r="EG154" s="101"/>
      <c r="EH154" s="101"/>
      <c r="EI154" s="102"/>
      <c r="EJ154" s="103"/>
      <c r="EK154" s="100"/>
      <c r="EL154" s="104"/>
      <c r="EM154" s="100"/>
      <c r="EN154" s="100"/>
      <c r="EO154" s="100"/>
      <c r="EP154" s="101"/>
      <c r="EQ154" s="101"/>
      <c r="ER154" s="102"/>
      <c r="ES154" s="103"/>
      <c r="ET154" s="100"/>
      <c r="EU154" s="104"/>
      <c r="EV154" s="100"/>
      <c r="EW154" s="100"/>
      <c r="EX154" s="100"/>
      <c r="EY154" s="101"/>
      <c r="EZ154" s="101"/>
      <c r="FA154" s="102"/>
      <c r="FB154" s="103"/>
      <c r="FC154" s="100"/>
      <c r="FD154" s="104"/>
      <c r="FE154" s="100"/>
      <c r="FF154" s="100"/>
      <c r="FG154" s="100"/>
      <c r="FH154" s="101"/>
      <c r="FI154" s="101"/>
      <c r="FJ154" s="102"/>
      <c r="FK154" s="103"/>
      <c r="FL154" s="100"/>
      <c r="FM154" s="104"/>
      <c r="FN154" s="100"/>
      <c r="FO154" s="100"/>
      <c r="FP154" s="100"/>
      <c r="FQ154" s="101"/>
      <c r="FR154" s="101"/>
      <c r="FS154" s="102"/>
      <c r="FT154" s="103"/>
      <c r="FU154" s="100"/>
      <c r="FV154" s="104"/>
      <c r="FW154" s="100"/>
      <c r="FX154" s="100"/>
      <c r="FY154" s="100"/>
      <c r="FZ154" s="101"/>
      <c r="GA154" s="101"/>
      <c r="GB154" s="102"/>
      <c r="GC154" s="103"/>
      <c r="GD154" s="100"/>
      <c r="GE154" s="104"/>
      <c r="GF154" s="100"/>
      <c r="GG154" s="100"/>
      <c r="GH154" s="100"/>
      <c r="GI154" s="101"/>
      <c r="GJ154" s="101"/>
      <c r="GK154" s="102"/>
      <c r="GL154" s="103"/>
      <c r="GM154" s="100"/>
      <c r="GN154" s="104"/>
      <c r="GO154" s="100"/>
      <c r="GP154" s="100"/>
      <c r="GQ154" s="100"/>
      <c r="GR154" s="101"/>
      <c r="GS154" s="101"/>
      <c r="GT154" s="102"/>
      <c r="GU154" s="103"/>
      <c r="GV154" s="100"/>
      <c r="GW154" s="104"/>
      <c r="GX154" s="100"/>
      <c r="GY154" s="100"/>
      <c r="GZ154" s="100"/>
      <c r="HA154" s="101"/>
      <c r="HB154" s="101"/>
      <c r="HC154" s="102"/>
      <c r="HD154" s="103"/>
      <c r="HE154" s="100"/>
      <c r="HF154" s="104"/>
      <c r="HG154" s="100"/>
      <c r="HH154" s="100"/>
      <c r="HI154" s="100"/>
      <c r="HJ154" s="101"/>
      <c r="HK154" s="101"/>
      <c r="HL154" s="102"/>
      <c r="HM154" s="103"/>
      <c r="HN154" s="100"/>
      <c r="HO154" s="104"/>
      <c r="HP154" s="100"/>
      <c r="HQ154" s="100"/>
      <c r="HR154" s="100"/>
      <c r="HS154" s="101"/>
      <c r="HT154" s="101"/>
      <c r="HU154" s="102"/>
      <c r="HV154" s="103"/>
      <c r="HW154" s="100"/>
      <c r="HX154" s="104"/>
      <c r="HY154" s="100"/>
      <c r="HZ154" s="100"/>
      <c r="IA154" s="100"/>
      <c r="IB154" s="101"/>
      <c r="IC154" s="101"/>
      <c r="ID154" s="102"/>
      <c r="IE154" s="103"/>
      <c r="IF154" s="100"/>
      <c r="IG154" s="104"/>
      <c r="IH154" s="100"/>
      <c r="II154" s="100"/>
      <c r="IJ154" s="100"/>
    </row>
    <row r="155" spans="1:244" s="93" customFormat="1" ht="39" customHeight="1" outlineLevel="1" x14ac:dyDescent="0.2">
      <c r="A155" s="409">
        <v>4</v>
      </c>
      <c r="B155" s="115"/>
      <c r="C155" s="85"/>
      <c r="D155" s="86"/>
      <c r="E155" s="86"/>
      <c r="F155" s="87"/>
      <c r="G155" s="88"/>
      <c r="H155" s="89"/>
      <c r="I155" s="90"/>
      <c r="J155" s="91"/>
      <c r="K155" s="395"/>
      <c r="M155" s="380">
        <f>SUM(M148:M154)</f>
        <v>0</v>
      </c>
    </row>
    <row r="156" spans="1:244" s="93" customFormat="1" ht="20" customHeight="1" outlineLevel="2" x14ac:dyDescent="0.2">
      <c r="A156" s="85"/>
      <c r="B156" s="408"/>
      <c r="C156" s="85"/>
      <c r="D156" s="86"/>
      <c r="E156" s="86"/>
      <c r="F156" s="87"/>
      <c r="G156" s="88">
        <f t="shared" ref="G156:G161" si="51">(D156*E156*F156)</f>
        <v>0</v>
      </c>
      <c r="H156" s="89">
        <f t="shared" ref="H156:H162" si="52">G156/$K$3</f>
        <v>0</v>
      </c>
      <c r="I156" s="90">
        <f>H156</f>
        <v>0</v>
      </c>
      <c r="J156" s="91"/>
      <c r="K156" s="395"/>
      <c r="M156" s="367"/>
    </row>
    <row r="157" spans="1:244" s="93" customFormat="1" ht="20" customHeight="1" outlineLevel="2" x14ac:dyDescent="0.2">
      <c r="A157" s="85"/>
      <c r="B157" s="408"/>
      <c r="C157" s="85"/>
      <c r="D157" s="86"/>
      <c r="E157" s="86"/>
      <c r="F157" s="87"/>
      <c r="G157" s="88">
        <f t="shared" si="51"/>
        <v>0</v>
      </c>
      <c r="H157" s="89">
        <f t="shared" si="52"/>
        <v>0</v>
      </c>
      <c r="I157" s="90">
        <f t="shared" ref="I157:I162" si="53">H157</f>
        <v>0</v>
      </c>
      <c r="J157" s="91"/>
      <c r="K157" s="395"/>
      <c r="M157" s="367"/>
    </row>
    <row r="158" spans="1:244" s="93" customFormat="1" ht="20" customHeight="1" outlineLevel="2" x14ac:dyDescent="0.2">
      <c r="A158" s="85"/>
      <c r="B158" s="408"/>
      <c r="C158" s="85"/>
      <c r="D158" s="86"/>
      <c r="E158" s="86"/>
      <c r="F158" s="87"/>
      <c r="G158" s="88">
        <f t="shared" si="51"/>
        <v>0</v>
      </c>
      <c r="H158" s="89">
        <f t="shared" si="52"/>
        <v>0</v>
      </c>
      <c r="I158" s="90">
        <f t="shared" si="53"/>
        <v>0</v>
      </c>
      <c r="J158" s="91"/>
      <c r="K158" s="395"/>
      <c r="M158" s="367"/>
    </row>
    <row r="159" spans="1:244" s="93" customFormat="1" ht="20" customHeight="1" outlineLevel="2" x14ac:dyDescent="0.2">
      <c r="A159" s="85"/>
      <c r="B159" s="408"/>
      <c r="C159" s="85"/>
      <c r="D159" s="86"/>
      <c r="E159" s="86"/>
      <c r="F159" s="87"/>
      <c r="G159" s="88">
        <f t="shared" si="51"/>
        <v>0</v>
      </c>
      <c r="H159" s="89">
        <f t="shared" si="52"/>
        <v>0</v>
      </c>
      <c r="I159" s="90">
        <f t="shared" si="53"/>
        <v>0</v>
      </c>
      <c r="J159" s="91"/>
      <c r="K159" s="395"/>
      <c r="M159" s="367"/>
    </row>
    <row r="160" spans="1:244" s="93" customFormat="1" ht="20" customHeight="1" outlineLevel="2" x14ac:dyDescent="0.2">
      <c r="A160" s="85"/>
      <c r="B160" s="408"/>
      <c r="C160" s="85"/>
      <c r="D160" s="86"/>
      <c r="E160" s="86"/>
      <c r="F160" s="87"/>
      <c r="G160" s="88">
        <f t="shared" si="51"/>
        <v>0</v>
      </c>
      <c r="H160" s="89">
        <f t="shared" si="52"/>
        <v>0</v>
      </c>
      <c r="I160" s="90">
        <f t="shared" si="53"/>
        <v>0</v>
      </c>
      <c r="J160" s="91"/>
      <c r="K160" s="395"/>
      <c r="M160" s="367"/>
    </row>
    <row r="161" spans="1:244" s="93" customFormat="1" ht="20" customHeight="1" outlineLevel="2" x14ac:dyDescent="0.2">
      <c r="A161" s="85"/>
      <c r="B161" s="408"/>
      <c r="C161" s="85"/>
      <c r="D161" s="86"/>
      <c r="E161" s="86"/>
      <c r="F161" s="87"/>
      <c r="G161" s="88">
        <f t="shared" si="51"/>
        <v>0</v>
      </c>
      <c r="H161" s="89">
        <f t="shared" si="52"/>
        <v>0</v>
      </c>
      <c r="I161" s="90">
        <f t="shared" si="53"/>
        <v>0</v>
      </c>
      <c r="J161" s="91"/>
      <c r="K161" s="395"/>
      <c r="M161" s="367"/>
    </row>
    <row r="162" spans="1:244" s="93" customFormat="1" ht="20" customHeight="1" outlineLevel="2" x14ac:dyDescent="0.2">
      <c r="A162" s="85"/>
      <c r="B162" s="408"/>
      <c r="C162" s="85"/>
      <c r="D162" s="86"/>
      <c r="E162" s="86"/>
      <c r="F162" s="87"/>
      <c r="G162" s="88">
        <f>(D162*E162*F162)</f>
        <v>0</v>
      </c>
      <c r="H162" s="89">
        <f t="shared" si="52"/>
        <v>0</v>
      </c>
      <c r="I162" s="90">
        <f t="shared" si="53"/>
        <v>0</v>
      </c>
      <c r="J162" s="91"/>
      <c r="K162" s="395"/>
      <c r="M162" s="367"/>
    </row>
    <row r="163" spans="1:244" s="105" customFormat="1" outlineLevel="1" x14ac:dyDescent="0.2">
      <c r="A163" s="94" t="s">
        <v>288</v>
      </c>
      <c r="B163" s="95"/>
      <c r="C163" s="98"/>
      <c r="D163" s="98"/>
      <c r="E163" s="95"/>
      <c r="F163" s="96"/>
      <c r="G163" s="99">
        <f>SUM(G156:G162)</f>
        <v>0</v>
      </c>
      <c r="H163" s="406">
        <f>SUM(H156:H162)</f>
        <v>0</v>
      </c>
      <c r="I163" s="96">
        <f>SUM(I156:I162)</f>
        <v>0</v>
      </c>
      <c r="J163" s="97">
        <f>SUM(J156:J162)</f>
        <v>0</v>
      </c>
      <c r="K163" s="395"/>
      <c r="L163" s="101"/>
      <c r="M163" s="367"/>
      <c r="N163" s="103"/>
      <c r="O163" s="100"/>
      <c r="P163" s="104"/>
      <c r="Q163" s="100"/>
      <c r="R163" s="100"/>
      <c r="S163" s="100"/>
      <c r="T163" s="101"/>
      <c r="U163" s="101"/>
      <c r="V163" s="102"/>
      <c r="W163" s="103"/>
      <c r="X163" s="100"/>
      <c r="Y163" s="104"/>
      <c r="Z163" s="100"/>
      <c r="AA163" s="100"/>
      <c r="AB163" s="100"/>
      <c r="AC163" s="101"/>
      <c r="AD163" s="101"/>
      <c r="AE163" s="102"/>
      <c r="AF163" s="103"/>
      <c r="AG163" s="100"/>
      <c r="AH163" s="104"/>
      <c r="AI163" s="100"/>
      <c r="AJ163" s="100"/>
      <c r="AK163" s="100"/>
      <c r="AL163" s="101"/>
      <c r="AM163" s="101"/>
      <c r="AN163" s="102"/>
      <c r="AO163" s="103"/>
      <c r="AP163" s="100"/>
      <c r="AQ163" s="104"/>
      <c r="AR163" s="100"/>
      <c r="AS163" s="100"/>
      <c r="AT163" s="100"/>
      <c r="AU163" s="101"/>
      <c r="AV163" s="101"/>
      <c r="AW163" s="102"/>
      <c r="AX163" s="103"/>
      <c r="AY163" s="100"/>
      <c r="AZ163" s="104"/>
      <c r="BA163" s="100"/>
      <c r="BB163" s="100"/>
      <c r="BC163" s="100"/>
      <c r="BD163" s="101"/>
      <c r="BE163" s="101"/>
      <c r="BF163" s="102"/>
      <c r="BG163" s="103"/>
      <c r="BH163" s="100"/>
      <c r="BI163" s="104"/>
      <c r="BJ163" s="100"/>
      <c r="BK163" s="100"/>
      <c r="BL163" s="100"/>
      <c r="BM163" s="101"/>
      <c r="BN163" s="101"/>
      <c r="BO163" s="102"/>
      <c r="BP163" s="103"/>
      <c r="BQ163" s="100"/>
      <c r="BR163" s="104"/>
      <c r="BS163" s="100"/>
      <c r="BT163" s="100"/>
      <c r="BU163" s="100"/>
      <c r="BV163" s="101"/>
      <c r="BW163" s="101"/>
      <c r="BX163" s="102"/>
      <c r="BY163" s="103"/>
      <c r="BZ163" s="100"/>
      <c r="CA163" s="104"/>
      <c r="CB163" s="100"/>
      <c r="CC163" s="100"/>
      <c r="CD163" s="100"/>
      <c r="CE163" s="101"/>
      <c r="CF163" s="101"/>
      <c r="CG163" s="102"/>
      <c r="CH163" s="103"/>
      <c r="CI163" s="100"/>
      <c r="CJ163" s="104"/>
      <c r="CK163" s="100"/>
      <c r="CL163" s="100"/>
      <c r="CM163" s="100"/>
      <c r="CN163" s="101"/>
      <c r="CO163" s="101"/>
      <c r="CP163" s="102"/>
      <c r="CQ163" s="103"/>
      <c r="CR163" s="100"/>
      <c r="CS163" s="104"/>
      <c r="CT163" s="100"/>
      <c r="CU163" s="100"/>
      <c r="CV163" s="100"/>
      <c r="CW163" s="101"/>
      <c r="CX163" s="101"/>
      <c r="CY163" s="102"/>
      <c r="CZ163" s="103"/>
      <c r="DA163" s="100"/>
      <c r="DB163" s="104"/>
      <c r="DC163" s="100"/>
      <c r="DD163" s="100"/>
      <c r="DE163" s="100"/>
      <c r="DF163" s="101"/>
      <c r="DG163" s="101"/>
      <c r="DH163" s="102"/>
      <c r="DI163" s="103"/>
      <c r="DJ163" s="100"/>
      <c r="DK163" s="104"/>
      <c r="DL163" s="100"/>
      <c r="DM163" s="100"/>
      <c r="DN163" s="100"/>
      <c r="DO163" s="101"/>
      <c r="DP163" s="101"/>
      <c r="DQ163" s="102"/>
      <c r="DR163" s="103"/>
      <c r="DS163" s="100"/>
      <c r="DT163" s="104"/>
      <c r="DU163" s="100"/>
      <c r="DV163" s="100"/>
      <c r="DW163" s="100"/>
      <c r="DX163" s="101"/>
      <c r="DY163" s="101"/>
      <c r="DZ163" s="102"/>
      <c r="EA163" s="103"/>
      <c r="EB163" s="100"/>
      <c r="EC163" s="104"/>
      <c r="ED163" s="100"/>
      <c r="EE163" s="100"/>
      <c r="EF163" s="100"/>
      <c r="EG163" s="101"/>
      <c r="EH163" s="101"/>
      <c r="EI163" s="102"/>
      <c r="EJ163" s="103"/>
      <c r="EK163" s="100"/>
      <c r="EL163" s="104"/>
      <c r="EM163" s="100"/>
      <c r="EN163" s="100"/>
      <c r="EO163" s="100"/>
      <c r="EP163" s="101"/>
      <c r="EQ163" s="101"/>
      <c r="ER163" s="102"/>
      <c r="ES163" s="103"/>
      <c r="ET163" s="100"/>
      <c r="EU163" s="104"/>
      <c r="EV163" s="100"/>
      <c r="EW163" s="100"/>
      <c r="EX163" s="100"/>
      <c r="EY163" s="101"/>
      <c r="EZ163" s="101"/>
      <c r="FA163" s="102"/>
      <c r="FB163" s="103"/>
      <c r="FC163" s="100"/>
      <c r="FD163" s="104"/>
      <c r="FE163" s="100"/>
      <c r="FF163" s="100"/>
      <c r="FG163" s="100"/>
      <c r="FH163" s="101"/>
      <c r="FI163" s="101"/>
      <c r="FJ163" s="102"/>
      <c r="FK163" s="103"/>
      <c r="FL163" s="100"/>
      <c r="FM163" s="104"/>
      <c r="FN163" s="100"/>
      <c r="FO163" s="100"/>
      <c r="FP163" s="100"/>
      <c r="FQ163" s="101"/>
      <c r="FR163" s="101"/>
      <c r="FS163" s="102"/>
      <c r="FT163" s="103"/>
      <c r="FU163" s="100"/>
      <c r="FV163" s="104"/>
      <c r="FW163" s="100"/>
      <c r="FX163" s="100"/>
      <c r="FY163" s="100"/>
      <c r="FZ163" s="101"/>
      <c r="GA163" s="101"/>
      <c r="GB163" s="102"/>
      <c r="GC163" s="103"/>
      <c r="GD163" s="100"/>
      <c r="GE163" s="104"/>
      <c r="GF163" s="100"/>
      <c r="GG163" s="100"/>
      <c r="GH163" s="100"/>
      <c r="GI163" s="101"/>
      <c r="GJ163" s="101"/>
      <c r="GK163" s="102"/>
      <c r="GL163" s="103"/>
      <c r="GM163" s="100"/>
      <c r="GN163" s="104"/>
      <c r="GO163" s="100"/>
      <c r="GP163" s="100"/>
      <c r="GQ163" s="100"/>
      <c r="GR163" s="101"/>
      <c r="GS163" s="101"/>
      <c r="GT163" s="102"/>
      <c r="GU163" s="103"/>
      <c r="GV163" s="100"/>
      <c r="GW163" s="104"/>
      <c r="GX163" s="100"/>
      <c r="GY163" s="100"/>
      <c r="GZ163" s="100"/>
      <c r="HA163" s="101"/>
      <c r="HB163" s="101"/>
      <c r="HC163" s="102"/>
      <c r="HD163" s="103"/>
      <c r="HE163" s="100"/>
      <c r="HF163" s="104"/>
      <c r="HG163" s="100"/>
      <c r="HH163" s="100"/>
      <c r="HI163" s="100"/>
      <c r="HJ163" s="101"/>
      <c r="HK163" s="101"/>
      <c r="HL163" s="102"/>
      <c r="HM163" s="103"/>
      <c r="HN163" s="100"/>
      <c r="HO163" s="104"/>
      <c r="HP163" s="100"/>
      <c r="HQ163" s="100"/>
      <c r="HR163" s="100"/>
      <c r="HS163" s="101"/>
      <c r="HT163" s="101"/>
      <c r="HU163" s="102"/>
      <c r="HV163" s="103"/>
      <c r="HW163" s="100"/>
      <c r="HX163" s="104"/>
      <c r="HY163" s="100"/>
      <c r="HZ163" s="100"/>
      <c r="IA163" s="100"/>
      <c r="IB163" s="101"/>
      <c r="IC163" s="101"/>
      <c r="ID163" s="102"/>
      <c r="IE163" s="103"/>
      <c r="IF163" s="100"/>
      <c r="IG163" s="104"/>
      <c r="IH163" s="100"/>
      <c r="II163" s="100"/>
      <c r="IJ163" s="100"/>
    </row>
    <row r="164" spans="1:244" s="93" customFormat="1" ht="39" customHeight="1" outlineLevel="1" x14ac:dyDescent="0.2">
      <c r="A164" s="139">
        <v>5</v>
      </c>
      <c r="B164" s="115"/>
      <c r="C164" s="85"/>
      <c r="D164" s="86"/>
      <c r="E164" s="86"/>
      <c r="F164" s="87"/>
      <c r="G164" s="88"/>
      <c r="H164" s="89"/>
      <c r="I164" s="90"/>
      <c r="J164" s="91"/>
      <c r="K164" s="395"/>
      <c r="M164" s="380">
        <f>SUM(M157:M163)</f>
        <v>0</v>
      </c>
    </row>
    <row r="165" spans="1:244" s="93" customFormat="1" ht="20" customHeight="1" outlineLevel="2" x14ac:dyDescent="0.2">
      <c r="A165" s="85"/>
      <c r="B165" s="408"/>
      <c r="C165" s="85"/>
      <c r="D165" s="86"/>
      <c r="E165" s="86"/>
      <c r="F165" s="87"/>
      <c r="G165" s="88">
        <f t="shared" ref="G165:G170" si="54">(D165*E165*F165)</f>
        <v>0</v>
      </c>
      <c r="H165" s="89">
        <f t="shared" ref="H165:H171" si="55">G165/$K$3</f>
        <v>0</v>
      </c>
      <c r="I165" s="90">
        <f>H165</f>
        <v>0</v>
      </c>
      <c r="J165" s="91"/>
      <c r="K165" s="395"/>
      <c r="M165" s="367"/>
    </row>
    <row r="166" spans="1:244" s="93" customFormat="1" ht="20" customHeight="1" outlineLevel="2" x14ac:dyDescent="0.2">
      <c r="A166" s="85"/>
      <c r="B166" s="408"/>
      <c r="C166" s="85"/>
      <c r="D166" s="86"/>
      <c r="E166" s="86"/>
      <c r="F166" s="87"/>
      <c r="G166" s="88">
        <f t="shared" si="54"/>
        <v>0</v>
      </c>
      <c r="H166" s="89">
        <f t="shared" si="55"/>
        <v>0</v>
      </c>
      <c r="I166" s="90">
        <f t="shared" ref="I166:I171" si="56">H166</f>
        <v>0</v>
      </c>
      <c r="J166" s="91"/>
      <c r="K166" s="395"/>
      <c r="M166" s="367"/>
    </row>
    <row r="167" spans="1:244" s="93" customFormat="1" ht="20" customHeight="1" outlineLevel="2" x14ac:dyDescent="0.2">
      <c r="A167" s="85"/>
      <c r="B167" s="408"/>
      <c r="C167" s="85"/>
      <c r="D167" s="86"/>
      <c r="E167" s="86"/>
      <c r="F167" s="87"/>
      <c r="G167" s="88">
        <f t="shared" si="54"/>
        <v>0</v>
      </c>
      <c r="H167" s="89">
        <f t="shared" si="55"/>
        <v>0</v>
      </c>
      <c r="I167" s="90">
        <f t="shared" si="56"/>
        <v>0</v>
      </c>
      <c r="J167" s="91"/>
      <c r="K167" s="395"/>
      <c r="M167" s="367"/>
    </row>
    <row r="168" spans="1:244" s="93" customFormat="1" ht="20" customHeight="1" outlineLevel="2" x14ac:dyDescent="0.2">
      <c r="A168" s="85"/>
      <c r="B168" s="408"/>
      <c r="C168" s="85"/>
      <c r="D168" s="86"/>
      <c r="E168" s="86"/>
      <c r="F168" s="87"/>
      <c r="G168" s="88">
        <f t="shared" si="54"/>
        <v>0</v>
      </c>
      <c r="H168" s="89">
        <f t="shared" si="55"/>
        <v>0</v>
      </c>
      <c r="I168" s="90">
        <f t="shared" si="56"/>
        <v>0</v>
      </c>
      <c r="J168" s="91"/>
      <c r="K168" s="395"/>
      <c r="M168" s="367"/>
    </row>
    <row r="169" spans="1:244" s="93" customFormat="1" ht="20" customHeight="1" outlineLevel="2" x14ac:dyDescent="0.2">
      <c r="A169" s="85"/>
      <c r="B169" s="408"/>
      <c r="C169" s="85"/>
      <c r="D169" s="86"/>
      <c r="E169" s="86"/>
      <c r="F169" s="87"/>
      <c r="G169" s="88">
        <f t="shared" si="54"/>
        <v>0</v>
      </c>
      <c r="H169" s="89">
        <f t="shared" si="55"/>
        <v>0</v>
      </c>
      <c r="I169" s="90">
        <f t="shared" si="56"/>
        <v>0</v>
      </c>
      <c r="J169" s="91"/>
      <c r="K169" s="395"/>
      <c r="M169" s="367"/>
    </row>
    <row r="170" spans="1:244" s="93" customFormat="1" ht="20" customHeight="1" outlineLevel="2" x14ac:dyDescent="0.2">
      <c r="A170" s="85"/>
      <c r="B170" s="408"/>
      <c r="C170" s="85"/>
      <c r="D170" s="86"/>
      <c r="E170" s="86"/>
      <c r="F170" s="87"/>
      <c r="G170" s="88">
        <f t="shared" si="54"/>
        <v>0</v>
      </c>
      <c r="H170" s="89">
        <f t="shared" si="55"/>
        <v>0</v>
      </c>
      <c r="I170" s="90">
        <f t="shared" si="56"/>
        <v>0</v>
      </c>
      <c r="J170" s="91"/>
      <c r="K170" s="395"/>
      <c r="M170" s="367"/>
    </row>
    <row r="171" spans="1:244" s="93" customFormat="1" ht="20" customHeight="1" outlineLevel="2" x14ac:dyDescent="0.2">
      <c r="A171" s="85"/>
      <c r="B171" s="408"/>
      <c r="C171" s="85"/>
      <c r="D171" s="86"/>
      <c r="E171" s="86"/>
      <c r="F171" s="87"/>
      <c r="G171" s="88">
        <f>(D171*E171*F171)</f>
        <v>0</v>
      </c>
      <c r="H171" s="89">
        <f t="shared" si="55"/>
        <v>0</v>
      </c>
      <c r="I171" s="90">
        <f t="shared" si="56"/>
        <v>0</v>
      </c>
      <c r="J171" s="91"/>
      <c r="K171" s="395"/>
      <c r="M171" s="367"/>
    </row>
    <row r="172" spans="1:244" s="105" customFormat="1" outlineLevel="1" x14ac:dyDescent="0.2">
      <c r="A172" s="94" t="s">
        <v>288</v>
      </c>
      <c r="B172" s="95"/>
      <c r="C172" s="98"/>
      <c r="D172" s="98"/>
      <c r="E172" s="95"/>
      <c r="F172" s="96"/>
      <c r="G172" s="99">
        <f>SUM(G165:G171)</f>
        <v>0</v>
      </c>
      <c r="H172" s="406">
        <f>SUM(H165:H171)</f>
        <v>0</v>
      </c>
      <c r="I172" s="96">
        <f>SUM(I165:I171)</f>
        <v>0</v>
      </c>
      <c r="J172" s="97">
        <f>SUM(J165:J171)</f>
        <v>0</v>
      </c>
      <c r="K172" s="395"/>
      <c r="L172" s="101"/>
      <c r="M172" s="367"/>
      <c r="N172" s="103"/>
      <c r="O172" s="100"/>
      <c r="P172" s="104"/>
      <c r="Q172" s="100"/>
      <c r="R172" s="100"/>
      <c r="S172" s="100"/>
      <c r="T172" s="101"/>
      <c r="U172" s="101"/>
      <c r="V172" s="102"/>
      <c r="W172" s="103"/>
      <c r="X172" s="100"/>
      <c r="Y172" s="104"/>
      <c r="Z172" s="100"/>
      <c r="AA172" s="100"/>
      <c r="AB172" s="100"/>
      <c r="AC172" s="101"/>
      <c r="AD172" s="101"/>
      <c r="AE172" s="102"/>
      <c r="AF172" s="103"/>
      <c r="AG172" s="100"/>
      <c r="AH172" s="104"/>
      <c r="AI172" s="100"/>
      <c r="AJ172" s="100"/>
      <c r="AK172" s="100"/>
      <c r="AL172" s="101"/>
      <c r="AM172" s="101"/>
      <c r="AN172" s="102"/>
      <c r="AO172" s="103"/>
      <c r="AP172" s="100"/>
      <c r="AQ172" s="104"/>
      <c r="AR172" s="100"/>
      <c r="AS172" s="100"/>
      <c r="AT172" s="100"/>
      <c r="AU172" s="101"/>
      <c r="AV172" s="101"/>
      <c r="AW172" s="102"/>
      <c r="AX172" s="103"/>
      <c r="AY172" s="100"/>
      <c r="AZ172" s="104"/>
      <c r="BA172" s="100"/>
      <c r="BB172" s="100"/>
      <c r="BC172" s="100"/>
      <c r="BD172" s="101"/>
      <c r="BE172" s="101"/>
      <c r="BF172" s="102"/>
      <c r="BG172" s="103"/>
      <c r="BH172" s="100"/>
      <c r="BI172" s="104"/>
      <c r="BJ172" s="100"/>
      <c r="BK172" s="100"/>
      <c r="BL172" s="100"/>
      <c r="BM172" s="101"/>
      <c r="BN172" s="101"/>
      <c r="BO172" s="102"/>
      <c r="BP172" s="103"/>
      <c r="BQ172" s="100"/>
      <c r="BR172" s="104"/>
      <c r="BS172" s="100"/>
      <c r="BT172" s="100"/>
      <c r="BU172" s="100"/>
      <c r="BV172" s="101"/>
      <c r="BW172" s="101"/>
      <c r="BX172" s="102"/>
      <c r="BY172" s="103"/>
      <c r="BZ172" s="100"/>
      <c r="CA172" s="104"/>
      <c r="CB172" s="100"/>
      <c r="CC172" s="100"/>
      <c r="CD172" s="100"/>
      <c r="CE172" s="101"/>
      <c r="CF172" s="101"/>
      <c r="CG172" s="102"/>
      <c r="CH172" s="103"/>
      <c r="CI172" s="100"/>
      <c r="CJ172" s="104"/>
      <c r="CK172" s="100"/>
      <c r="CL172" s="100"/>
      <c r="CM172" s="100"/>
      <c r="CN172" s="101"/>
      <c r="CO172" s="101"/>
      <c r="CP172" s="102"/>
      <c r="CQ172" s="103"/>
      <c r="CR172" s="100"/>
      <c r="CS172" s="104"/>
      <c r="CT172" s="100"/>
      <c r="CU172" s="100"/>
      <c r="CV172" s="100"/>
      <c r="CW172" s="101"/>
      <c r="CX172" s="101"/>
      <c r="CY172" s="102"/>
      <c r="CZ172" s="103"/>
      <c r="DA172" s="100"/>
      <c r="DB172" s="104"/>
      <c r="DC172" s="100"/>
      <c r="DD172" s="100"/>
      <c r="DE172" s="100"/>
      <c r="DF172" s="101"/>
      <c r="DG172" s="101"/>
      <c r="DH172" s="102"/>
      <c r="DI172" s="103"/>
      <c r="DJ172" s="100"/>
      <c r="DK172" s="104"/>
      <c r="DL172" s="100"/>
      <c r="DM172" s="100"/>
      <c r="DN172" s="100"/>
      <c r="DO172" s="101"/>
      <c r="DP172" s="101"/>
      <c r="DQ172" s="102"/>
      <c r="DR172" s="103"/>
      <c r="DS172" s="100"/>
      <c r="DT172" s="104"/>
      <c r="DU172" s="100"/>
      <c r="DV172" s="100"/>
      <c r="DW172" s="100"/>
      <c r="DX172" s="101"/>
      <c r="DY172" s="101"/>
      <c r="DZ172" s="102"/>
      <c r="EA172" s="103"/>
      <c r="EB172" s="100"/>
      <c r="EC172" s="104"/>
      <c r="ED172" s="100"/>
      <c r="EE172" s="100"/>
      <c r="EF172" s="100"/>
      <c r="EG172" s="101"/>
      <c r="EH172" s="101"/>
      <c r="EI172" s="102"/>
      <c r="EJ172" s="103"/>
      <c r="EK172" s="100"/>
      <c r="EL172" s="104"/>
      <c r="EM172" s="100"/>
      <c r="EN172" s="100"/>
      <c r="EO172" s="100"/>
      <c r="EP172" s="101"/>
      <c r="EQ172" s="101"/>
      <c r="ER172" s="102"/>
      <c r="ES172" s="103"/>
      <c r="ET172" s="100"/>
      <c r="EU172" s="104"/>
      <c r="EV172" s="100"/>
      <c r="EW172" s="100"/>
      <c r="EX172" s="100"/>
      <c r="EY172" s="101"/>
      <c r="EZ172" s="101"/>
      <c r="FA172" s="102"/>
      <c r="FB172" s="103"/>
      <c r="FC172" s="100"/>
      <c r="FD172" s="104"/>
      <c r="FE172" s="100"/>
      <c r="FF172" s="100"/>
      <c r="FG172" s="100"/>
      <c r="FH172" s="101"/>
      <c r="FI172" s="101"/>
      <c r="FJ172" s="102"/>
      <c r="FK172" s="103"/>
      <c r="FL172" s="100"/>
      <c r="FM172" s="104"/>
      <c r="FN172" s="100"/>
      <c r="FO172" s="100"/>
      <c r="FP172" s="100"/>
      <c r="FQ172" s="101"/>
      <c r="FR172" s="101"/>
      <c r="FS172" s="102"/>
      <c r="FT172" s="103"/>
      <c r="FU172" s="100"/>
      <c r="FV172" s="104"/>
      <c r="FW172" s="100"/>
      <c r="FX172" s="100"/>
      <c r="FY172" s="100"/>
      <c r="FZ172" s="101"/>
      <c r="GA172" s="101"/>
      <c r="GB172" s="102"/>
      <c r="GC172" s="103"/>
      <c r="GD172" s="100"/>
      <c r="GE172" s="104"/>
      <c r="GF172" s="100"/>
      <c r="GG172" s="100"/>
      <c r="GH172" s="100"/>
      <c r="GI172" s="101"/>
      <c r="GJ172" s="101"/>
      <c r="GK172" s="102"/>
      <c r="GL172" s="103"/>
      <c r="GM172" s="100"/>
      <c r="GN172" s="104"/>
      <c r="GO172" s="100"/>
      <c r="GP172" s="100"/>
      <c r="GQ172" s="100"/>
      <c r="GR172" s="101"/>
      <c r="GS172" s="101"/>
      <c r="GT172" s="102"/>
      <c r="GU172" s="103"/>
      <c r="GV172" s="100"/>
      <c r="GW172" s="104"/>
      <c r="GX172" s="100"/>
      <c r="GY172" s="100"/>
      <c r="GZ172" s="100"/>
      <c r="HA172" s="101"/>
      <c r="HB172" s="101"/>
      <c r="HC172" s="102"/>
      <c r="HD172" s="103"/>
      <c r="HE172" s="100"/>
      <c r="HF172" s="104"/>
      <c r="HG172" s="100"/>
      <c r="HH172" s="100"/>
      <c r="HI172" s="100"/>
      <c r="HJ172" s="101"/>
      <c r="HK172" s="101"/>
      <c r="HL172" s="102"/>
      <c r="HM172" s="103"/>
      <c r="HN172" s="100"/>
      <c r="HO172" s="104"/>
      <c r="HP172" s="100"/>
      <c r="HQ172" s="100"/>
      <c r="HR172" s="100"/>
      <c r="HS172" s="101"/>
      <c r="HT172" s="101"/>
      <c r="HU172" s="102"/>
      <c r="HV172" s="103"/>
      <c r="HW172" s="100"/>
      <c r="HX172" s="104"/>
      <c r="HY172" s="100"/>
      <c r="HZ172" s="100"/>
      <c r="IA172" s="100"/>
      <c r="IB172" s="101"/>
      <c r="IC172" s="101"/>
      <c r="ID172" s="102"/>
      <c r="IE172" s="103"/>
      <c r="IF172" s="100"/>
      <c r="IG172" s="104"/>
      <c r="IH172" s="100"/>
      <c r="II172" s="100"/>
      <c r="IJ172" s="100"/>
    </row>
    <row r="173" spans="1:244" s="93" customFormat="1" ht="39" customHeight="1" outlineLevel="1" x14ac:dyDescent="0.2">
      <c r="A173" s="139">
        <v>6</v>
      </c>
      <c r="B173" s="115"/>
      <c r="C173" s="85"/>
      <c r="D173" s="86"/>
      <c r="E173" s="86"/>
      <c r="F173" s="87"/>
      <c r="G173" s="88"/>
      <c r="H173" s="89"/>
      <c r="I173" s="90"/>
      <c r="J173" s="91"/>
      <c r="K173" s="395"/>
      <c r="M173" s="380">
        <f>SUM(M166:M172)</f>
        <v>0</v>
      </c>
    </row>
    <row r="174" spans="1:244" s="93" customFormat="1" ht="20" customHeight="1" outlineLevel="2" x14ac:dyDescent="0.2">
      <c r="A174" s="85"/>
      <c r="B174" s="408"/>
      <c r="C174" s="85"/>
      <c r="D174" s="86"/>
      <c r="E174" s="86"/>
      <c r="F174" s="87"/>
      <c r="G174" s="88">
        <f t="shared" ref="G174:G179" si="57">(D174*E174*F174)</f>
        <v>0</v>
      </c>
      <c r="H174" s="89">
        <f t="shared" ref="H174:H180" si="58">G174/$K$3</f>
        <v>0</v>
      </c>
      <c r="I174" s="90">
        <f>H174</f>
        <v>0</v>
      </c>
      <c r="J174" s="91"/>
      <c r="K174" s="395"/>
      <c r="M174" s="367"/>
    </row>
    <row r="175" spans="1:244" s="93" customFormat="1" ht="20" customHeight="1" outlineLevel="2" x14ac:dyDescent="0.2">
      <c r="A175" s="85"/>
      <c r="B175" s="408"/>
      <c r="C175" s="85"/>
      <c r="D175" s="86"/>
      <c r="E175" s="86"/>
      <c r="F175" s="87"/>
      <c r="G175" s="88">
        <f t="shared" si="57"/>
        <v>0</v>
      </c>
      <c r="H175" s="89">
        <f t="shared" si="58"/>
        <v>0</v>
      </c>
      <c r="I175" s="90">
        <f t="shared" ref="I175:I180" si="59">H175</f>
        <v>0</v>
      </c>
      <c r="J175" s="91"/>
      <c r="K175" s="395"/>
      <c r="M175" s="367"/>
    </row>
    <row r="176" spans="1:244" s="93" customFormat="1" ht="20" customHeight="1" outlineLevel="2" x14ac:dyDescent="0.2">
      <c r="A176" s="85"/>
      <c r="B176" s="408"/>
      <c r="C176" s="85"/>
      <c r="D176" s="86"/>
      <c r="E176" s="86"/>
      <c r="F176" s="87"/>
      <c r="G176" s="88">
        <f t="shared" si="57"/>
        <v>0</v>
      </c>
      <c r="H176" s="89">
        <f t="shared" si="58"/>
        <v>0</v>
      </c>
      <c r="I176" s="90">
        <f t="shared" si="59"/>
        <v>0</v>
      </c>
      <c r="J176" s="91"/>
      <c r="K176" s="395"/>
      <c r="M176" s="367"/>
    </row>
    <row r="177" spans="1:244" s="93" customFormat="1" ht="20" customHeight="1" outlineLevel="2" x14ac:dyDescent="0.2">
      <c r="A177" s="85"/>
      <c r="B177" s="408"/>
      <c r="C177" s="85"/>
      <c r="D177" s="86"/>
      <c r="E177" s="86"/>
      <c r="F177" s="87"/>
      <c r="G177" s="88">
        <f t="shared" si="57"/>
        <v>0</v>
      </c>
      <c r="H177" s="89">
        <f t="shared" si="58"/>
        <v>0</v>
      </c>
      <c r="I177" s="90">
        <f t="shared" si="59"/>
        <v>0</v>
      </c>
      <c r="J177" s="91"/>
      <c r="K177" s="395"/>
      <c r="M177" s="367"/>
    </row>
    <row r="178" spans="1:244" s="93" customFormat="1" ht="20" customHeight="1" outlineLevel="2" x14ac:dyDescent="0.2">
      <c r="A178" s="85"/>
      <c r="B178" s="408"/>
      <c r="C178" s="85"/>
      <c r="D178" s="86"/>
      <c r="E178" s="86"/>
      <c r="F178" s="87"/>
      <c r="G178" s="88">
        <f t="shared" si="57"/>
        <v>0</v>
      </c>
      <c r="H178" s="89">
        <f t="shared" si="58"/>
        <v>0</v>
      </c>
      <c r="I178" s="90">
        <f t="shared" si="59"/>
        <v>0</v>
      </c>
      <c r="J178" s="91"/>
      <c r="K178" s="395"/>
      <c r="M178" s="367"/>
    </row>
    <row r="179" spans="1:244" s="93" customFormat="1" ht="20" customHeight="1" outlineLevel="2" x14ac:dyDescent="0.2">
      <c r="A179" s="85"/>
      <c r="B179" s="408"/>
      <c r="C179" s="85"/>
      <c r="D179" s="86"/>
      <c r="E179" s="86"/>
      <c r="F179" s="87"/>
      <c r="G179" s="88">
        <f t="shared" si="57"/>
        <v>0</v>
      </c>
      <c r="H179" s="89">
        <f t="shared" si="58"/>
        <v>0</v>
      </c>
      <c r="I179" s="90">
        <f t="shared" si="59"/>
        <v>0</v>
      </c>
      <c r="J179" s="91"/>
      <c r="K179" s="395"/>
      <c r="M179" s="367"/>
    </row>
    <row r="180" spans="1:244" s="93" customFormat="1" ht="20" customHeight="1" outlineLevel="2" x14ac:dyDescent="0.2">
      <c r="A180" s="85"/>
      <c r="B180" s="408"/>
      <c r="C180" s="85"/>
      <c r="D180" s="86"/>
      <c r="E180" s="86"/>
      <c r="F180" s="87"/>
      <c r="G180" s="88">
        <f>(D180*E180*F180)</f>
        <v>0</v>
      </c>
      <c r="H180" s="89">
        <f t="shared" si="58"/>
        <v>0</v>
      </c>
      <c r="I180" s="90">
        <f t="shared" si="59"/>
        <v>0</v>
      </c>
      <c r="J180" s="91"/>
      <c r="K180" s="395"/>
      <c r="M180" s="367"/>
    </row>
    <row r="181" spans="1:244" s="105" customFormat="1" outlineLevel="1" x14ac:dyDescent="0.2">
      <c r="A181" s="94" t="s">
        <v>288</v>
      </c>
      <c r="B181" s="95"/>
      <c r="C181" s="98"/>
      <c r="D181" s="98"/>
      <c r="E181" s="95"/>
      <c r="F181" s="96"/>
      <c r="G181" s="99">
        <f>SUM(G174:G180)</f>
        <v>0</v>
      </c>
      <c r="H181" s="406">
        <f>SUM(H174:H180)</f>
        <v>0</v>
      </c>
      <c r="I181" s="96">
        <f>SUM(I174:I180)</f>
        <v>0</v>
      </c>
      <c r="J181" s="97">
        <f>SUM(J174:J180)</f>
        <v>0</v>
      </c>
      <c r="K181" s="395"/>
      <c r="L181" s="101"/>
      <c r="M181" s="367"/>
      <c r="N181" s="103"/>
      <c r="O181" s="100"/>
      <c r="P181" s="104"/>
      <c r="Q181" s="100"/>
      <c r="R181" s="100"/>
      <c r="S181" s="100"/>
      <c r="T181" s="101"/>
      <c r="U181" s="101"/>
      <c r="V181" s="102"/>
      <c r="W181" s="103"/>
      <c r="X181" s="100"/>
      <c r="Y181" s="104"/>
      <c r="Z181" s="100"/>
      <c r="AA181" s="100"/>
      <c r="AB181" s="100"/>
      <c r="AC181" s="101"/>
      <c r="AD181" s="101"/>
      <c r="AE181" s="102"/>
      <c r="AF181" s="103"/>
      <c r="AG181" s="100"/>
      <c r="AH181" s="104"/>
      <c r="AI181" s="100"/>
      <c r="AJ181" s="100"/>
      <c r="AK181" s="100"/>
      <c r="AL181" s="101"/>
      <c r="AM181" s="101"/>
      <c r="AN181" s="102"/>
      <c r="AO181" s="103"/>
      <c r="AP181" s="100"/>
      <c r="AQ181" s="104"/>
      <c r="AR181" s="100"/>
      <c r="AS181" s="100"/>
      <c r="AT181" s="100"/>
      <c r="AU181" s="101"/>
      <c r="AV181" s="101"/>
      <c r="AW181" s="102"/>
      <c r="AX181" s="103"/>
      <c r="AY181" s="100"/>
      <c r="AZ181" s="104"/>
      <c r="BA181" s="100"/>
      <c r="BB181" s="100"/>
      <c r="BC181" s="100"/>
      <c r="BD181" s="101"/>
      <c r="BE181" s="101"/>
      <c r="BF181" s="102"/>
      <c r="BG181" s="103"/>
      <c r="BH181" s="100"/>
      <c r="BI181" s="104"/>
      <c r="BJ181" s="100"/>
      <c r="BK181" s="100"/>
      <c r="BL181" s="100"/>
      <c r="BM181" s="101"/>
      <c r="BN181" s="101"/>
      <c r="BO181" s="102"/>
      <c r="BP181" s="103"/>
      <c r="BQ181" s="100"/>
      <c r="BR181" s="104"/>
      <c r="BS181" s="100"/>
      <c r="BT181" s="100"/>
      <c r="BU181" s="100"/>
      <c r="BV181" s="101"/>
      <c r="BW181" s="101"/>
      <c r="BX181" s="102"/>
      <c r="BY181" s="103"/>
      <c r="BZ181" s="100"/>
      <c r="CA181" s="104"/>
      <c r="CB181" s="100"/>
      <c r="CC181" s="100"/>
      <c r="CD181" s="100"/>
      <c r="CE181" s="101"/>
      <c r="CF181" s="101"/>
      <c r="CG181" s="102"/>
      <c r="CH181" s="103"/>
      <c r="CI181" s="100"/>
      <c r="CJ181" s="104"/>
      <c r="CK181" s="100"/>
      <c r="CL181" s="100"/>
      <c r="CM181" s="100"/>
      <c r="CN181" s="101"/>
      <c r="CO181" s="101"/>
      <c r="CP181" s="102"/>
      <c r="CQ181" s="103"/>
      <c r="CR181" s="100"/>
      <c r="CS181" s="104"/>
      <c r="CT181" s="100"/>
      <c r="CU181" s="100"/>
      <c r="CV181" s="100"/>
      <c r="CW181" s="101"/>
      <c r="CX181" s="101"/>
      <c r="CY181" s="102"/>
      <c r="CZ181" s="103"/>
      <c r="DA181" s="100"/>
      <c r="DB181" s="104"/>
      <c r="DC181" s="100"/>
      <c r="DD181" s="100"/>
      <c r="DE181" s="100"/>
      <c r="DF181" s="101"/>
      <c r="DG181" s="101"/>
      <c r="DH181" s="102"/>
      <c r="DI181" s="103"/>
      <c r="DJ181" s="100"/>
      <c r="DK181" s="104"/>
      <c r="DL181" s="100"/>
      <c r="DM181" s="100"/>
      <c r="DN181" s="100"/>
      <c r="DO181" s="101"/>
      <c r="DP181" s="101"/>
      <c r="DQ181" s="102"/>
      <c r="DR181" s="103"/>
      <c r="DS181" s="100"/>
      <c r="DT181" s="104"/>
      <c r="DU181" s="100"/>
      <c r="DV181" s="100"/>
      <c r="DW181" s="100"/>
      <c r="DX181" s="101"/>
      <c r="DY181" s="101"/>
      <c r="DZ181" s="102"/>
      <c r="EA181" s="103"/>
      <c r="EB181" s="100"/>
      <c r="EC181" s="104"/>
      <c r="ED181" s="100"/>
      <c r="EE181" s="100"/>
      <c r="EF181" s="100"/>
      <c r="EG181" s="101"/>
      <c r="EH181" s="101"/>
      <c r="EI181" s="102"/>
      <c r="EJ181" s="103"/>
      <c r="EK181" s="100"/>
      <c r="EL181" s="104"/>
      <c r="EM181" s="100"/>
      <c r="EN181" s="100"/>
      <c r="EO181" s="100"/>
      <c r="EP181" s="101"/>
      <c r="EQ181" s="101"/>
      <c r="ER181" s="102"/>
      <c r="ES181" s="103"/>
      <c r="ET181" s="100"/>
      <c r="EU181" s="104"/>
      <c r="EV181" s="100"/>
      <c r="EW181" s="100"/>
      <c r="EX181" s="100"/>
      <c r="EY181" s="101"/>
      <c r="EZ181" s="101"/>
      <c r="FA181" s="102"/>
      <c r="FB181" s="103"/>
      <c r="FC181" s="100"/>
      <c r="FD181" s="104"/>
      <c r="FE181" s="100"/>
      <c r="FF181" s="100"/>
      <c r="FG181" s="100"/>
      <c r="FH181" s="101"/>
      <c r="FI181" s="101"/>
      <c r="FJ181" s="102"/>
      <c r="FK181" s="103"/>
      <c r="FL181" s="100"/>
      <c r="FM181" s="104"/>
      <c r="FN181" s="100"/>
      <c r="FO181" s="100"/>
      <c r="FP181" s="100"/>
      <c r="FQ181" s="101"/>
      <c r="FR181" s="101"/>
      <c r="FS181" s="102"/>
      <c r="FT181" s="103"/>
      <c r="FU181" s="100"/>
      <c r="FV181" s="104"/>
      <c r="FW181" s="100"/>
      <c r="FX181" s="100"/>
      <c r="FY181" s="100"/>
      <c r="FZ181" s="101"/>
      <c r="GA181" s="101"/>
      <c r="GB181" s="102"/>
      <c r="GC181" s="103"/>
      <c r="GD181" s="100"/>
      <c r="GE181" s="104"/>
      <c r="GF181" s="100"/>
      <c r="GG181" s="100"/>
      <c r="GH181" s="100"/>
      <c r="GI181" s="101"/>
      <c r="GJ181" s="101"/>
      <c r="GK181" s="102"/>
      <c r="GL181" s="103"/>
      <c r="GM181" s="100"/>
      <c r="GN181" s="104"/>
      <c r="GO181" s="100"/>
      <c r="GP181" s="100"/>
      <c r="GQ181" s="100"/>
      <c r="GR181" s="101"/>
      <c r="GS181" s="101"/>
      <c r="GT181" s="102"/>
      <c r="GU181" s="103"/>
      <c r="GV181" s="100"/>
      <c r="GW181" s="104"/>
      <c r="GX181" s="100"/>
      <c r="GY181" s="100"/>
      <c r="GZ181" s="100"/>
      <c r="HA181" s="101"/>
      <c r="HB181" s="101"/>
      <c r="HC181" s="102"/>
      <c r="HD181" s="103"/>
      <c r="HE181" s="100"/>
      <c r="HF181" s="104"/>
      <c r="HG181" s="100"/>
      <c r="HH181" s="100"/>
      <c r="HI181" s="100"/>
      <c r="HJ181" s="101"/>
      <c r="HK181" s="101"/>
      <c r="HL181" s="102"/>
      <c r="HM181" s="103"/>
      <c r="HN181" s="100"/>
      <c r="HO181" s="104"/>
      <c r="HP181" s="100"/>
      <c r="HQ181" s="100"/>
      <c r="HR181" s="100"/>
      <c r="HS181" s="101"/>
      <c r="HT181" s="101"/>
      <c r="HU181" s="102"/>
      <c r="HV181" s="103"/>
      <c r="HW181" s="100"/>
      <c r="HX181" s="104"/>
      <c r="HY181" s="100"/>
      <c r="HZ181" s="100"/>
      <c r="IA181" s="100"/>
      <c r="IB181" s="101"/>
      <c r="IC181" s="101"/>
      <c r="ID181" s="102"/>
      <c r="IE181" s="103"/>
      <c r="IF181" s="100"/>
      <c r="IG181" s="104"/>
      <c r="IH181" s="100"/>
      <c r="II181" s="100"/>
      <c r="IJ181" s="100"/>
    </row>
    <row r="182" spans="1:244" s="93" customFormat="1" ht="39" customHeight="1" outlineLevel="1" x14ac:dyDescent="0.2">
      <c r="A182" s="139">
        <v>7</v>
      </c>
      <c r="B182" s="115"/>
      <c r="C182" s="85"/>
      <c r="D182" s="86"/>
      <c r="E182" s="86"/>
      <c r="F182" s="87"/>
      <c r="G182" s="88"/>
      <c r="H182" s="89"/>
      <c r="I182" s="90"/>
      <c r="J182" s="91"/>
      <c r="K182" s="395"/>
      <c r="M182" s="380">
        <f>SUM(M175:M181)</f>
        <v>0</v>
      </c>
    </row>
    <row r="183" spans="1:244" s="93" customFormat="1" ht="20" customHeight="1" outlineLevel="2" x14ac:dyDescent="0.2">
      <c r="A183" s="85"/>
      <c r="B183" s="408"/>
      <c r="C183" s="85"/>
      <c r="D183" s="86"/>
      <c r="E183" s="86"/>
      <c r="F183" s="87"/>
      <c r="G183" s="88">
        <f t="shared" ref="G183:G188" si="60">(D183*E183*F183)</f>
        <v>0</v>
      </c>
      <c r="H183" s="89">
        <f t="shared" ref="H183:H189" si="61">G183/$K$3</f>
        <v>0</v>
      </c>
      <c r="I183" s="90">
        <f>H183</f>
        <v>0</v>
      </c>
      <c r="J183" s="91"/>
      <c r="K183" s="395"/>
      <c r="M183" s="367"/>
    </row>
    <row r="184" spans="1:244" s="93" customFormat="1" ht="20" customHeight="1" outlineLevel="2" x14ac:dyDescent="0.2">
      <c r="A184" s="85"/>
      <c r="B184" s="408"/>
      <c r="C184" s="85"/>
      <c r="D184" s="86"/>
      <c r="E184" s="86"/>
      <c r="F184" s="87"/>
      <c r="G184" s="88">
        <f t="shared" si="60"/>
        <v>0</v>
      </c>
      <c r="H184" s="89">
        <f t="shared" si="61"/>
        <v>0</v>
      </c>
      <c r="I184" s="90">
        <f t="shared" ref="I184:I189" si="62">H184</f>
        <v>0</v>
      </c>
      <c r="J184" s="91"/>
      <c r="K184" s="395"/>
      <c r="M184" s="367"/>
    </row>
    <row r="185" spans="1:244" s="93" customFormat="1" ht="20" customHeight="1" outlineLevel="2" x14ac:dyDescent="0.2">
      <c r="A185" s="85"/>
      <c r="B185" s="408"/>
      <c r="C185" s="85"/>
      <c r="D185" s="86"/>
      <c r="E185" s="86"/>
      <c r="F185" s="87"/>
      <c r="G185" s="88">
        <f t="shared" si="60"/>
        <v>0</v>
      </c>
      <c r="H185" s="89">
        <f t="shared" si="61"/>
        <v>0</v>
      </c>
      <c r="I185" s="90">
        <f t="shared" si="62"/>
        <v>0</v>
      </c>
      <c r="J185" s="91"/>
      <c r="K185" s="395"/>
      <c r="M185" s="367"/>
    </row>
    <row r="186" spans="1:244" s="93" customFormat="1" ht="20" customHeight="1" outlineLevel="2" x14ac:dyDescent="0.2">
      <c r="A186" s="85"/>
      <c r="B186" s="408"/>
      <c r="C186" s="85"/>
      <c r="D186" s="86"/>
      <c r="E186" s="86"/>
      <c r="F186" s="87"/>
      <c r="G186" s="88">
        <f t="shared" si="60"/>
        <v>0</v>
      </c>
      <c r="H186" s="89">
        <f t="shared" si="61"/>
        <v>0</v>
      </c>
      <c r="I186" s="90">
        <f t="shared" si="62"/>
        <v>0</v>
      </c>
      <c r="J186" s="91"/>
      <c r="K186" s="395"/>
      <c r="M186" s="367"/>
    </row>
    <row r="187" spans="1:244" s="93" customFormat="1" ht="20" customHeight="1" outlineLevel="2" x14ac:dyDescent="0.2">
      <c r="A187" s="85"/>
      <c r="B187" s="408"/>
      <c r="C187" s="85"/>
      <c r="D187" s="86"/>
      <c r="E187" s="86"/>
      <c r="F187" s="87"/>
      <c r="G187" s="88">
        <f t="shared" si="60"/>
        <v>0</v>
      </c>
      <c r="H187" s="89">
        <f t="shared" si="61"/>
        <v>0</v>
      </c>
      <c r="I187" s="90">
        <f t="shared" si="62"/>
        <v>0</v>
      </c>
      <c r="J187" s="91"/>
      <c r="K187" s="395"/>
      <c r="M187" s="367"/>
    </row>
    <row r="188" spans="1:244" s="93" customFormat="1" ht="20" customHeight="1" outlineLevel="2" x14ac:dyDescent="0.2">
      <c r="A188" s="85"/>
      <c r="B188" s="408"/>
      <c r="C188" s="85"/>
      <c r="D188" s="86"/>
      <c r="E188" s="86"/>
      <c r="F188" s="87"/>
      <c r="G188" s="88">
        <f t="shared" si="60"/>
        <v>0</v>
      </c>
      <c r="H188" s="89">
        <f t="shared" si="61"/>
        <v>0</v>
      </c>
      <c r="I188" s="90">
        <f t="shared" si="62"/>
        <v>0</v>
      </c>
      <c r="J188" s="91"/>
      <c r="K188" s="395"/>
      <c r="M188" s="367"/>
    </row>
    <row r="189" spans="1:244" s="93" customFormat="1" ht="20" customHeight="1" outlineLevel="2" x14ac:dyDescent="0.2">
      <c r="A189" s="85"/>
      <c r="B189" s="408"/>
      <c r="C189" s="85"/>
      <c r="D189" s="86"/>
      <c r="E189" s="86"/>
      <c r="F189" s="87"/>
      <c r="G189" s="88">
        <f>(D189*E189*F189)</f>
        <v>0</v>
      </c>
      <c r="H189" s="89">
        <f t="shared" si="61"/>
        <v>0</v>
      </c>
      <c r="I189" s="90">
        <f t="shared" si="62"/>
        <v>0</v>
      </c>
      <c r="J189" s="91"/>
      <c r="K189" s="395"/>
      <c r="M189" s="367"/>
    </row>
    <row r="190" spans="1:244" s="105" customFormat="1" outlineLevel="1" x14ac:dyDescent="0.2">
      <c r="A190" s="94" t="s">
        <v>288</v>
      </c>
      <c r="B190" s="95"/>
      <c r="C190" s="98"/>
      <c r="D190" s="98"/>
      <c r="E190" s="95"/>
      <c r="F190" s="96"/>
      <c r="G190" s="99">
        <f>SUM(G183:G189)</f>
        <v>0</v>
      </c>
      <c r="H190" s="406">
        <f>SUM(H183:H189)</f>
        <v>0</v>
      </c>
      <c r="I190" s="96">
        <f>SUM(I183:I189)</f>
        <v>0</v>
      </c>
      <c r="J190" s="97">
        <f>SUM(J183:J189)</f>
        <v>0</v>
      </c>
      <c r="K190" s="395"/>
      <c r="L190" s="101"/>
      <c r="M190" s="367"/>
      <c r="N190" s="103"/>
      <c r="O190" s="100"/>
      <c r="P190" s="104"/>
      <c r="Q190" s="100"/>
      <c r="R190" s="100"/>
      <c r="S190" s="100"/>
      <c r="T190" s="101"/>
      <c r="U190" s="101"/>
      <c r="V190" s="102"/>
      <c r="W190" s="103"/>
      <c r="X190" s="100"/>
      <c r="Y190" s="104"/>
      <c r="Z190" s="100"/>
      <c r="AA190" s="100"/>
      <c r="AB190" s="100"/>
      <c r="AC190" s="101"/>
      <c r="AD190" s="101"/>
      <c r="AE190" s="102"/>
      <c r="AF190" s="103"/>
      <c r="AG190" s="100"/>
      <c r="AH190" s="104"/>
      <c r="AI190" s="100"/>
      <c r="AJ190" s="100"/>
      <c r="AK190" s="100"/>
      <c r="AL190" s="101"/>
      <c r="AM190" s="101"/>
      <c r="AN190" s="102"/>
      <c r="AO190" s="103"/>
      <c r="AP190" s="100"/>
      <c r="AQ190" s="104"/>
      <c r="AR190" s="100"/>
      <c r="AS190" s="100"/>
      <c r="AT190" s="100"/>
      <c r="AU190" s="101"/>
      <c r="AV190" s="101"/>
      <c r="AW190" s="102"/>
      <c r="AX190" s="103"/>
      <c r="AY190" s="100"/>
      <c r="AZ190" s="104"/>
      <c r="BA190" s="100"/>
      <c r="BB190" s="100"/>
      <c r="BC190" s="100"/>
      <c r="BD190" s="101"/>
      <c r="BE190" s="101"/>
      <c r="BF190" s="102"/>
      <c r="BG190" s="103"/>
      <c r="BH190" s="100"/>
      <c r="BI190" s="104"/>
      <c r="BJ190" s="100"/>
      <c r="BK190" s="100"/>
      <c r="BL190" s="100"/>
      <c r="BM190" s="101"/>
      <c r="BN190" s="101"/>
      <c r="BO190" s="102"/>
      <c r="BP190" s="103"/>
      <c r="BQ190" s="100"/>
      <c r="BR190" s="104"/>
      <c r="BS190" s="100"/>
      <c r="BT190" s="100"/>
      <c r="BU190" s="100"/>
      <c r="BV190" s="101"/>
      <c r="BW190" s="101"/>
      <c r="BX190" s="102"/>
      <c r="BY190" s="103"/>
      <c r="BZ190" s="100"/>
      <c r="CA190" s="104"/>
      <c r="CB190" s="100"/>
      <c r="CC190" s="100"/>
      <c r="CD190" s="100"/>
      <c r="CE190" s="101"/>
      <c r="CF190" s="101"/>
      <c r="CG190" s="102"/>
      <c r="CH190" s="103"/>
      <c r="CI190" s="100"/>
      <c r="CJ190" s="104"/>
      <c r="CK190" s="100"/>
      <c r="CL190" s="100"/>
      <c r="CM190" s="100"/>
      <c r="CN190" s="101"/>
      <c r="CO190" s="101"/>
      <c r="CP190" s="102"/>
      <c r="CQ190" s="103"/>
      <c r="CR190" s="100"/>
      <c r="CS190" s="104"/>
      <c r="CT190" s="100"/>
      <c r="CU190" s="100"/>
      <c r="CV190" s="100"/>
      <c r="CW190" s="101"/>
      <c r="CX190" s="101"/>
      <c r="CY190" s="102"/>
      <c r="CZ190" s="103"/>
      <c r="DA190" s="100"/>
      <c r="DB190" s="104"/>
      <c r="DC190" s="100"/>
      <c r="DD190" s="100"/>
      <c r="DE190" s="100"/>
      <c r="DF190" s="101"/>
      <c r="DG190" s="101"/>
      <c r="DH190" s="102"/>
      <c r="DI190" s="103"/>
      <c r="DJ190" s="100"/>
      <c r="DK190" s="104"/>
      <c r="DL190" s="100"/>
      <c r="DM190" s="100"/>
      <c r="DN190" s="100"/>
      <c r="DO190" s="101"/>
      <c r="DP190" s="101"/>
      <c r="DQ190" s="102"/>
      <c r="DR190" s="103"/>
      <c r="DS190" s="100"/>
      <c r="DT190" s="104"/>
      <c r="DU190" s="100"/>
      <c r="DV190" s="100"/>
      <c r="DW190" s="100"/>
      <c r="DX190" s="101"/>
      <c r="DY190" s="101"/>
      <c r="DZ190" s="102"/>
      <c r="EA190" s="103"/>
      <c r="EB190" s="100"/>
      <c r="EC190" s="104"/>
      <c r="ED190" s="100"/>
      <c r="EE190" s="100"/>
      <c r="EF190" s="100"/>
      <c r="EG190" s="101"/>
      <c r="EH190" s="101"/>
      <c r="EI190" s="102"/>
      <c r="EJ190" s="103"/>
      <c r="EK190" s="100"/>
      <c r="EL190" s="104"/>
      <c r="EM190" s="100"/>
      <c r="EN190" s="100"/>
      <c r="EO190" s="100"/>
      <c r="EP190" s="101"/>
      <c r="EQ190" s="101"/>
      <c r="ER190" s="102"/>
      <c r="ES190" s="103"/>
      <c r="ET190" s="100"/>
      <c r="EU190" s="104"/>
      <c r="EV190" s="100"/>
      <c r="EW190" s="100"/>
      <c r="EX190" s="100"/>
      <c r="EY190" s="101"/>
      <c r="EZ190" s="101"/>
      <c r="FA190" s="102"/>
      <c r="FB190" s="103"/>
      <c r="FC190" s="100"/>
      <c r="FD190" s="104"/>
      <c r="FE190" s="100"/>
      <c r="FF190" s="100"/>
      <c r="FG190" s="100"/>
      <c r="FH190" s="101"/>
      <c r="FI190" s="101"/>
      <c r="FJ190" s="102"/>
      <c r="FK190" s="103"/>
      <c r="FL190" s="100"/>
      <c r="FM190" s="104"/>
      <c r="FN190" s="100"/>
      <c r="FO190" s="100"/>
      <c r="FP190" s="100"/>
      <c r="FQ190" s="101"/>
      <c r="FR190" s="101"/>
      <c r="FS190" s="102"/>
      <c r="FT190" s="103"/>
      <c r="FU190" s="100"/>
      <c r="FV190" s="104"/>
      <c r="FW190" s="100"/>
      <c r="FX190" s="100"/>
      <c r="FY190" s="100"/>
      <c r="FZ190" s="101"/>
      <c r="GA190" s="101"/>
      <c r="GB190" s="102"/>
      <c r="GC190" s="103"/>
      <c r="GD190" s="100"/>
      <c r="GE190" s="104"/>
      <c r="GF190" s="100"/>
      <c r="GG190" s="100"/>
      <c r="GH190" s="100"/>
      <c r="GI190" s="101"/>
      <c r="GJ190" s="101"/>
      <c r="GK190" s="102"/>
      <c r="GL190" s="103"/>
      <c r="GM190" s="100"/>
      <c r="GN190" s="104"/>
      <c r="GO190" s="100"/>
      <c r="GP190" s="100"/>
      <c r="GQ190" s="100"/>
      <c r="GR190" s="101"/>
      <c r="GS190" s="101"/>
      <c r="GT190" s="102"/>
      <c r="GU190" s="103"/>
      <c r="GV190" s="100"/>
      <c r="GW190" s="104"/>
      <c r="GX190" s="100"/>
      <c r="GY190" s="100"/>
      <c r="GZ190" s="100"/>
      <c r="HA190" s="101"/>
      <c r="HB190" s="101"/>
      <c r="HC190" s="102"/>
      <c r="HD190" s="103"/>
      <c r="HE190" s="100"/>
      <c r="HF190" s="104"/>
      <c r="HG190" s="100"/>
      <c r="HH190" s="100"/>
      <c r="HI190" s="100"/>
      <c r="HJ190" s="101"/>
      <c r="HK190" s="101"/>
      <c r="HL190" s="102"/>
      <c r="HM190" s="103"/>
      <c r="HN190" s="100"/>
      <c r="HO190" s="104"/>
      <c r="HP190" s="100"/>
      <c r="HQ190" s="100"/>
      <c r="HR190" s="100"/>
      <c r="HS190" s="101"/>
      <c r="HT190" s="101"/>
      <c r="HU190" s="102"/>
      <c r="HV190" s="103"/>
      <c r="HW190" s="100"/>
      <c r="HX190" s="104"/>
      <c r="HY190" s="100"/>
      <c r="HZ190" s="100"/>
      <c r="IA190" s="100"/>
      <c r="IB190" s="101"/>
      <c r="IC190" s="101"/>
      <c r="ID190" s="102"/>
      <c r="IE190" s="103"/>
      <c r="IF190" s="100"/>
      <c r="IG190" s="104"/>
      <c r="IH190" s="100"/>
      <c r="II190" s="100"/>
      <c r="IJ190" s="100"/>
    </row>
    <row r="191" spans="1:244" s="93" customFormat="1" ht="39" customHeight="1" outlineLevel="1" x14ac:dyDescent="0.2">
      <c r="A191" s="409">
        <v>8</v>
      </c>
      <c r="B191" s="115"/>
      <c r="C191" s="85"/>
      <c r="D191" s="86"/>
      <c r="E191" s="86"/>
      <c r="F191" s="87"/>
      <c r="G191" s="88"/>
      <c r="H191" s="89"/>
      <c r="I191" s="90"/>
      <c r="J191" s="91"/>
      <c r="K191" s="395"/>
      <c r="M191" s="380">
        <f>SUM(M184:M190)</f>
        <v>0</v>
      </c>
    </row>
    <row r="192" spans="1:244" s="93" customFormat="1" ht="20" customHeight="1" outlineLevel="2" x14ac:dyDescent="0.2">
      <c r="A192" s="85"/>
      <c r="B192" s="408"/>
      <c r="C192" s="85"/>
      <c r="D192" s="86"/>
      <c r="E192" s="86"/>
      <c r="F192" s="87"/>
      <c r="G192" s="88">
        <f t="shared" ref="G192:G197" si="63">(D192*E192*F192)</f>
        <v>0</v>
      </c>
      <c r="H192" s="89">
        <f t="shared" ref="H192:H198" si="64">G192/$K$3</f>
        <v>0</v>
      </c>
      <c r="I192" s="90">
        <f>H192</f>
        <v>0</v>
      </c>
      <c r="J192" s="91"/>
      <c r="K192" s="395"/>
      <c r="M192" s="367"/>
    </row>
    <row r="193" spans="1:244" s="93" customFormat="1" ht="20" customHeight="1" outlineLevel="2" x14ac:dyDescent="0.2">
      <c r="A193" s="85"/>
      <c r="B193" s="408"/>
      <c r="C193" s="85"/>
      <c r="D193" s="86"/>
      <c r="E193" s="86"/>
      <c r="F193" s="87"/>
      <c r="G193" s="88">
        <f t="shared" si="63"/>
        <v>0</v>
      </c>
      <c r="H193" s="89">
        <f t="shared" si="64"/>
        <v>0</v>
      </c>
      <c r="I193" s="90">
        <f t="shared" ref="I193:I198" si="65">H193</f>
        <v>0</v>
      </c>
      <c r="J193" s="91"/>
      <c r="K193" s="395"/>
      <c r="M193" s="367"/>
    </row>
    <row r="194" spans="1:244" s="93" customFormat="1" ht="20" customHeight="1" outlineLevel="2" x14ac:dyDescent="0.2">
      <c r="A194" s="85"/>
      <c r="B194" s="408"/>
      <c r="C194" s="85"/>
      <c r="D194" s="86"/>
      <c r="E194" s="86"/>
      <c r="F194" s="87"/>
      <c r="G194" s="88">
        <f t="shared" si="63"/>
        <v>0</v>
      </c>
      <c r="H194" s="89">
        <f t="shared" si="64"/>
        <v>0</v>
      </c>
      <c r="I194" s="90">
        <f t="shared" si="65"/>
        <v>0</v>
      </c>
      <c r="J194" s="91"/>
      <c r="K194" s="395"/>
      <c r="M194" s="367"/>
    </row>
    <row r="195" spans="1:244" s="93" customFormat="1" ht="20" customHeight="1" outlineLevel="2" x14ac:dyDescent="0.2">
      <c r="A195" s="85"/>
      <c r="B195" s="408"/>
      <c r="C195" s="85"/>
      <c r="D195" s="86"/>
      <c r="E195" s="86"/>
      <c r="F195" s="87"/>
      <c r="G195" s="88">
        <f t="shared" si="63"/>
        <v>0</v>
      </c>
      <c r="H195" s="89">
        <f t="shared" si="64"/>
        <v>0</v>
      </c>
      <c r="I195" s="90">
        <f t="shared" si="65"/>
        <v>0</v>
      </c>
      <c r="J195" s="91"/>
      <c r="K195" s="395"/>
      <c r="M195" s="367"/>
    </row>
    <row r="196" spans="1:244" s="93" customFormat="1" ht="20" customHeight="1" outlineLevel="2" x14ac:dyDescent="0.2">
      <c r="A196" s="85"/>
      <c r="B196" s="408"/>
      <c r="C196" s="85"/>
      <c r="D196" s="86"/>
      <c r="E196" s="86"/>
      <c r="F196" s="87"/>
      <c r="G196" s="88">
        <f t="shared" si="63"/>
        <v>0</v>
      </c>
      <c r="H196" s="89">
        <f t="shared" si="64"/>
        <v>0</v>
      </c>
      <c r="I196" s="90">
        <f t="shared" si="65"/>
        <v>0</v>
      </c>
      <c r="J196" s="91"/>
      <c r="K196" s="395"/>
      <c r="M196" s="367"/>
    </row>
    <row r="197" spans="1:244" s="93" customFormat="1" ht="20" customHeight="1" outlineLevel="2" x14ac:dyDescent="0.2">
      <c r="A197" s="85"/>
      <c r="B197" s="408"/>
      <c r="C197" s="85"/>
      <c r="D197" s="86"/>
      <c r="E197" s="86"/>
      <c r="F197" s="87"/>
      <c r="G197" s="88">
        <f t="shared" si="63"/>
        <v>0</v>
      </c>
      <c r="H197" s="89">
        <f t="shared" si="64"/>
        <v>0</v>
      </c>
      <c r="I197" s="90">
        <f t="shared" si="65"/>
        <v>0</v>
      </c>
      <c r="J197" s="91"/>
      <c r="K197" s="395"/>
      <c r="M197" s="367"/>
    </row>
    <row r="198" spans="1:244" s="93" customFormat="1" ht="20" customHeight="1" outlineLevel="2" x14ac:dyDescent="0.2">
      <c r="A198" s="85"/>
      <c r="B198" s="408"/>
      <c r="C198" s="85"/>
      <c r="D198" s="86"/>
      <c r="E198" s="86"/>
      <c r="F198" s="87"/>
      <c r="G198" s="88">
        <f>(D198*E198*F198)</f>
        <v>0</v>
      </c>
      <c r="H198" s="89">
        <f t="shared" si="64"/>
        <v>0</v>
      </c>
      <c r="I198" s="90">
        <f t="shared" si="65"/>
        <v>0</v>
      </c>
      <c r="J198" s="91"/>
      <c r="K198" s="395"/>
      <c r="M198" s="367"/>
    </row>
    <row r="199" spans="1:244" s="105" customFormat="1" outlineLevel="1" x14ac:dyDescent="0.2">
      <c r="A199" s="94" t="s">
        <v>288</v>
      </c>
      <c r="B199" s="95"/>
      <c r="C199" s="98"/>
      <c r="D199" s="98"/>
      <c r="E199" s="95"/>
      <c r="F199" s="96"/>
      <c r="G199" s="99">
        <f>SUM(G192:G198)</f>
        <v>0</v>
      </c>
      <c r="H199" s="406">
        <f>SUM(H192:H198)</f>
        <v>0</v>
      </c>
      <c r="I199" s="96">
        <f>SUM(I192:I198)</f>
        <v>0</v>
      </c>
      <c r="J199" s="97">
        <f>SUM(J192:J198)</f>
        <v>0</v>
      </c>
      <c r="K199" s="395"/>
      <c r="L199" s="101"/>
      <c r="M199" s="367"/>
      <c r="N199" s="103"/>
      <c r="O199" s="100"/>
      <c r="P199" s="104"/>
      <c r="Q199" s="100"/>
      <c r="R199" s="100"/>
      <c r="S199" s="100"/>
      <c r="T199" s="101"/>
      <c r="U199" s="101"/>
      <c r="V199" s="102"/>
      <c r="W199" s="103"/>
      <c r="X199" s="100"/>
      <c r="Y199" s="104"/>
      <c r="Z199" s="100"/>
      <c r="AA199" s="100"/>
      <c r="AB199" s="100"/>
      <c r="AC199" s="101"/>
      <c r="AD199" s="101"/>
      <c r="AE199" s="102"/>
      <c r="AF199" s="103"/>
      <c r="AG199" s="100"/>
      <c r="AH199" s="104"/>
      <c r="AI199" s="100"/>
      <c r="AJ199" s="100"/>
      <c r="AK199" s="100"/>
      <c r="AL199" s="101"/>
      <c r="AM199" s="101"/>
      <c r="AN199" s="102"/>
      <c r="AO199" s="103"/>
      <c r="AP199" s="100"/>
      <c r="AQ199" s="104"/>
      <c r="AR199" s="100"/>
      <c r="AS199" s="100"/>
      <c r="AT199" s="100"/>
      <c r="AU199" s="101"/>
      <c r="AV199" s="101"/>
      <c r="AW199" s="102"/>
      <c r="AX199" s="103"/>
      <c r="AY199" s="100"/>
      <c r="AZ199" s="104"/>
      <c r="BA199" s="100"/>
      <c r="BB199" s="100"/>
      <c r="BC199" s="100"/>
      <c r="BD199" s="101"/>
      <c r="BE199" s="101"/>
      <c r="BF199" s="102"/>
      <c r="BG199" s="103"/>
      <c r="BH199" s="100"/>
      <c r="BI199" s="104"/>
      <c r="BJ199" s="100"/>
      <c r="BK199" s="100"/>
      <c r="BL199" s="100"/>
      <c r="BM199" s="101"/>
      <c r="BN199" s="101"/>
      <c r="BO199" s="102"/>
      <c r="BP199" s="103"/>
      <c r="BQ199" s="100"/>
      <c r="BR199" s="104"/>
      <c r="BS199" s="100"/>
      <c r="BT199" s="100"/>
      <c r="BU199" s="100"/>
      <c r="BV199" s="101"/>
      <c r="BW199" s="101"/>
      <c r="BX199" s="102"/>
      <c r="BY199" s="103"/>
      <c r="BZ199" s="100"/>
      <c r="CA199" s="104"/>
      <c r="CB199" s="100"/>
      <c r="CC199" s="100"/>
      <c r="CD199" s="100"/>
      <c r="CE199" s="101"/>
      <c r="CF199" s="101"/>
      <c r="CG199" s="102"/>
      <c r="CH199" s="103"/>
      <c r="CI199" s="100"/>
      <c r="CJ199" s="104"/>
      <c r="CK199" s="100"/>
      <c r="CL199" s="100"/>
      <c r="CM199" s="100"/>
      <c r="CN199" s="101"/>
      <c r="CO199" s="101"/>
      <c r="CP199" s="102"/>
      <c r="CQ199" s="103"/>
      <c r="CR199" s="100"/>
      <c r="CS199" s="104"/>
      <c r="CT199" s="100"/>
      <c r="CU199" s="100"/>
      <c r="CV199" s="100"/>
      <c r="CW199" s="101"/>
      <c r="CX199" s="101"/>
      <c r="CY199" s="102"/>
      <c r="CZ199" s="103"/>
      <c r="DA199" s="100"/>
      <c r="DB199" s="104"/>
      <c r="DC199" s="100"/>
      <c r="DD199" s="100"/>
      <c r="DE199" s="100"/>
      <c r="DF199" s="101"/>
      <c r="DG199" s="101"/>
      <c r="DH199" s="102"/>
      <c r="DI199" s="103"/>
      <c r="DJ199" s="100"/>
      <c r="DK199" s="104"/>
      <c r="DL199" s="100"/>
      <c r="DM199" s="100"/>
      <c r="DN199" s="100"/>
      <c r="DO199" s="101"/>
      <c r="DP199" s="101"/>
      <c r="DQ199" s="102"/>
      <c r="DR199" s="103"/>
      <c r="DS199" s="100"/>
      <c r="DT199" s="104"/>
      <c r="DU199" s="100"/>
      <c r="DV199" s="100"/>
      <c r="DW199" s="100"/>
      <c r="DX199" s="101"/>
      <c r="DY199" s="101"/>
      <c r="DZ199" s="102"/>
      <c r="EA199" s="103"/>
      <c r="EB199" s="100"/>
      <c r="EC199" s="104"/>
      <c r="ED199" s="100"/>
      <c r="EE199" s="100"/>
      <c r="EF199" s="100"/>
      <c r="EG199" s="101"/>
      <c r="EH199" s="101"/>
      <c r="EI199" s="102"/>
      <c r="EJ199" s="103"/>
      <c r="EK199" s="100"/>
      <c r="EL199" s="104"/>
      <c r="EM199" s="100"/>
      <c r="EN199" s="100"/>
      <c r="EO199" s="100"/>
      <c r="EP199" s="101"/>
      <c r="EQ199" s="101"/>
      <c r="ER199" s="102"/>
      <c r="ES199" s="103"/>
      <c r="ET199" s="100"/>
      <c r="EU199" s="104"/>
      <c r="EV199" s="100"/>
      <c r="EW199" s="100"/>
      <c r="EX199" s="100"/>
      <c r="EY199" s="101"/>
      <c r="EZ199" s="101"/>
      <c r="FA199" s="102"/>
      <c r="FB199" s="103"/>
      <c r="FC199" s="100"/>
      <c r="FD199" s="104"/>
      <c r="FE199" s="100"/>
      <c r="FF199" s="100"/>
      <c r="FG199" s="100"/>
      <c r="FH199" s="101"/>
      <c r="FI199" s="101"/>
      <c r="FJ199" s="102"/>
      <c r="FK199" s="103"/>
      <c r="FL199" s="100"/>
      <c r="FM199" s="104"/>
      <c r="FN199" s="100"/>
      <c r="FO199" s="100"/>
      <c r="FP199" s="100"/>
      <c r="FQ199" s="101"/>
      <c r="FR199" s="101"/>
      <c r="FS199" s="102"/>
      <c r="FT199" s="103"/>
      <c r="FU199" s="100"/>
      <c r="FV199" s="104"/>
      <c r="FW199" s="100"/>
      <c r="FX199" s="100"/>
      <c r="FY199" s="100"/>
      <c r="FZ199" s="101"/>
      <c r="GA199" s="101"/>
      <c r="GB199" s="102"/>
      <c r="GC199" s="103"/>
      <c r="GD199" s="100"/>
      <c r="GE199" s="104"/>
      <c r="GF199" s="100"/>
      <c r="GG199" s="100"/>
      <c r="GH199" s="100"/>
      <c r="GI199" s="101"/>
      <c r="GJ199" s="101"/>
      <c r="GK199" s="102"/>
      <c r="GL199" s="103"/>
      <c r="GM199" s="100"/>
      <c r="GN199" s="104"/>
      <c r="GO199" s="100"/>
      <c r="GP199" s="100"/>
      <c r="GQ199" s="100"/>
      <c r="GR199" s="101"/>
      <c r="GS199" s="101"/>
      <c r="GT199" s="102"/>
      <c r="GU199" s="103"/>
      <c r="GV199" s="100"/>
      <c r="GW199" s="104"/>
      <c r="GX199" s="100"/>
      <c r="GY199" s="100"/>
      <c r="GZ199" s="100"/>
      <c r="HA199" s="101"/>
      <c r="HB199" s="101"/>
      <c r="HC199" s="102"/>
      <c r="HD199" s="103"/>
      <c r="HE199" s="100"/>
      <c r="HF199" s="104"/>
      <c r="HG199" s="100"/>
      <c r="HH199" s="100"/>
      <c r="HI199" s="100"/>
      <c r="HJ199" s="101"/>
      <c r="HK199" s="101"/>
      <c r="HL199" s="102"/>
      <c r="HM199" s="103"/>
      <c r="HN199" s="100"/>
      <c r="HO199" s="104"/>
      <c r="HP199" s="100"/>
      <c r="HQ199" s="100"/>
      <c r="HR199" s="100"/>
      <c r="HS199" s="101"/>
      <c r="HT199" s="101"/>
      <c r="HU199" s="102"/>
      <c r="HV199" s="103"/>
      <c r="HW199" s="100"/>
      <c r="HX199" s="104"/>
      <c r="HY199" s="100"/>
      <c r="HZ199" s="100"/>
      <c r="IA199" s="100"/>
      <c r="IB199" s="101"/>
      <c r="IC199" s="101"/>
      <c r="ID199" s="102"/>
      <c r="IE199" s="103"/>
      <c r="IF199" s="100"/>
      <c r="IG199" s="104"/>
      <c r="IH199" s="100"/>
      <c r="II199" s="100"/>
      <c r="IJ199" s="100"/>
    </row>
    <row r="200" spans="1:244" x14ac:dyDescent="0.2">
      <c r="A200" s="82" t="s">
        <v>448</v>
      </c>
      <c r="B200" s="83"/>
      <c r="C200" s="83"/>
      <c r="D200" s="83"/>
      <c r="E200" s="83"/>
      <c r="F200" s="83"/>
      <c r="G200" s="84"/>
      <c r="H200" s="83"/>
      <c r="I200" s="83"/>
      <c r="J200" s="83"/>
      <c r="K200" s="395"/>
      <c r="M200" s="380">
        <f>SUM(M193:M199)</f>
        <v>0</v>
      </c>
    </row>
    <row r="201" spans="1:244" x14ac:dyDescent="0.2">
      <c r="A201" s="137"/>
      <c r="B201" s="138"/>
      <c r="C201" s="138"/>
      <c r="D201" s="138"/>
      <c r="E201" s="138"/>
      <c r="F201" s="138"/>
      <c r="G201" s="138"/>
      <c r="H201" s="138"/>
      <c r="I201" s="138"/>
      <c r="J201" s="138"/>
      <c r="K201" s="395"/>
      <c r="M201" s="375"/>
    </row>
    <row r="202" spans="1:244" s="93" customFormat="1" ht="39" customHeight="1" outlineLevel="1" x14ac:dyDescent="0.2">
      <c r="A202" s="115"/>
      <c r="B202" s="116"/>
      <c r="C202" s="85"/>
      <c r="D202" s="86"/>
      <c r="E202" s="86"/>
      <c r="F202" s="87"/>
      <c r="G202" s="88"/>
      <c r="H202" s="89"/>
      <c r="I202" s="90"/>
      <c r="J202" s="91"/>
      <c r="K202" s="395"/>
      <c r="M202" s="401"/>
    </row>
    <row r="203" spans="1:244" s="93" customFormat="1" ht="20" customHeight="1" outlineLevel="2" x14ac:dyDescent="0.2">
      <c r="A203" s="85"/>
      <c r="B203" s="408"/>
      <c r="C203" s="85"/>
      <c r="D203" s="86"/>
      <c r="E203" s="86"/>
      <c r="F203" s="87"/>
      <c r="G203" s="88">
        <f t="shared" ref="G203:G208" si="66">(D203*E203*F203)</f>
        <v>0</v>
      </c>
      <c r="H203" s="89">
        <f t="shared" ref="H203:H209" si="67">G203/$K$3</f>
        <v>0</v>
      </c>
      <c r="I203" s="90">
        <f>H203</f>
        <v>0</v>
      </c>
      <c r="J203" s="91"/>
      <c r="K203" s="395"/>
      <c r="M203" s="367"/>
    </row>
    <row r="204" spans="1:244" s="93" customFormat="1" ht="20" customHeight="1" outlineLevel="2" x14ac:dyDescent="0.2">
      <c r="A204" s="85"/>
      <c r="B204" s="408"/>
      <c r="C204" s="85"/>
      <c r="D204" s="86"/>
      <c r="E204" s="86"/>
      <c r="F204" s="87"/>
      <c r="G204" s="88">
        <f t="shared" si="66"/>
        <v>0</v>
      </c>
      <c r="H204" s="89">
        <f t="shared" si="67"/>
        <v>0</v>
      </c>
      <c r="I204" s="90">
        <f t="shared" ref="I204:I209" si="68">H204</f>
        <v>0</v>
      </c>
      <c r="J204" s="91"/>
      <c r="K204" s="395"/>
      <c r="M204" s="367"/>
    </row>
    <row r="205" spans="1:244" s="93" customFormat="1" ht="20" customHeight="1" outlineLevel="2" x14ac:dyDescent="0.2">
      <c r="A205" s="85"/>
      <c r="B205" s="408"/>
      <c r="C205" s="85"/>
      <c r="D205" s="86"/>
      <c r="E205" s="86"/>
      <c r="F205" s="87"/>
      <c r="G205" s="88">
        <f t="shared" si="66"/>
        <v>0</v>
      </c>
      <c r="H205" s="89">
        <f t="shared" si="67"/>
        <v>0</v>
      </c>
      <c r="I205" s="90">
        <f t="shared" si="68"/>
        <v>0</v>
      </c>
      <c r="J205" s="91"/>
      <c r="K205" s="395"/>
      <c r="M205" s="367"/>
    </row>
    <row r="206" spans="1:244" s="93" customFormat="1" ht="20" customHeight="1" outlineLevel="2" x14ac:dyDescent="0.2">
      <c r="A206" s="85"/>
      <c r="B206" s="408"/>
      <c r="C206" s="85"/>
      <c r="D206" s="86"/>
      <c r="E206" s="86"/>
      <c r="F206" s="87"/>
      <c r="G206" s="88">
        <f t="shared" si="66"/>
        <v>0</v>
      </c>
      <c r="H206" s="89">
        <f t="shared" si="67"/>
        <v>0</v>
      </c>
      <c r="I206" s="90">
        <f t="shared" si="68"/>
        <v>0</v>
      </c>
      <c r="J206" s="91"/>
      <c r="K206" s="395"/>
      <c r="M206" s="367"/>
    </row>
    <row r="207" spans="1:244" s="93" customFormat="1" ht="20" customHeight="1" outlineLevel="2" x14ac:dyDescent="0.2">
      <c r="A207" s="85"/>
      <c r="B207" s="408"/>
      <c r="C207" s="85"/>
      <c r="D207" s="86"/>
      <c r="E207" s="86"/>
      <c r="F207" s="87"/>
      <c r="G207" s="88">
        <f t="shared" si="66"/>
        <v>0</v>
      </c>
      <c r="H207" s="89">
        <f t="shared" si="67"/>
        <v>0</v>
      </c>
      <c r="I207" s="90">
        <f t="shared" si="68"/>
        <v>0</v>
      </c>
      <c r="J207" s="91"/>
      <c r="K207" s="395"/>
      <c r="M207" s="367"/>
    </row>
    <row r="208" spans="1:244" s="93" customFormat="1" ht="20" customHeight="1" outlineLevel="2" x14ac:dyDescent="0.2">
      <c r="A208" s="85"/>
      <c r="B208" s="408"/>
      <c r="C208" s="85"/>
      <c r="D208" s="86"/>
      <c r="E208" s="86"/>
      <c r="F208" s="87"/>
      <c r="G208" s="88">
        <f t="shared" si="66"/>
        <v>0</v>
      </c>
      <c r="H208" s="89">
        <f t="shared" si="67"/>
        <v>0</v>
      </c>
      <c r="I208" s="90">
        <f t="shared" si="68"/>
        <v>0</v>
      </c>
      <c r="J208" s="91"/>
      <c r="K208" s="395"/>
      <c r="M208" s="367"/>
    </row>
    <row r="209" spans="1:244" s="93" customFormat="1" ht="20" customHeight="1" outlineLevel="2" x14ac:dyDescent="0.2">
      <c r="A209" s="85"/>
      <c r="B209" s="408"/>
      <c r="C209" s="85"/>
      <c r="D209" s="86"/>
      <c r="E209" s="86"/>
      <c r="F209" s="87"/>
      <c r="G209" s="88">
        <f>(D209*E209*F209)</f>
        <v>0</v>
      </c>
      <c r="H209" s="89">
        <f t="shared" si="67"/>
        <v>0</v>
      </c>
      <c r="I209" s="90">
        <f t="shared" si="68"/>
        <v>0</v>
      </c>
      <c r="J209" s="91"/>
      <c r="K209" s="395"/>
      <c r="M209" s="367"/>
    </row>
    <row r="210" spans="1:244" s="105" customFormat="1" outlineLevel="1" x14ac:dyDescent="0.2">
      <c r="A210" s="94" t="s">
        <v>288</v>
      </c>
      <c r="B210" s="95"/>
      <c r="C210" s="98"/>
      <c r="D210" s="98"/>
      <c r="E210" s="95"/>
      <c r="F210" s="96"/>
      <c r="G210" s="99">
        <f>SUM(G203:G209)</f>
        <v>0</v>
      </c>
      <c r="H210" s="406">
        <f>SUM(H203:H209)</f>
        <v>0</v>
      </c>
      <c r="I210" s="96">
        <f>SUM(I203:I209)</f>
        <v>0</v>
      </c>
      <c r="J210" s="97">
        <f>SUM(J203:J209)</f>
        <v>0</v>
      </c>
      <c r="K210" s="395"/>
      <c r="L210" s="101"/>
      <c r="M210" s="367"/>
      <c r="N210" s="103"/>
      <c r="O210" s="100"/>
      <c r="P210" s="104"/>
      <c r="Q210" s="100"/>
      <c r="R210" s="100"/>
      <c r="S210" s="100"/>
      <c r="T210" s="101"/>
      <c r="U210" s="101"/>
      <c r="V210" s="102"/>
      <c r="W210" s="103"/>
      <c r="X210" s="100"/>
      <c r="Y210" s="104"/>
      <c r="Z210" s="100"/>
      <c r="AA210" s="100"/>
      <c r="AB210" s="100"/>
      <c r="AC210" s="101"/>
      <c r="AD210" s="101"/>
      <c r="AE210" s="102"/>
      <c r="AF210" s="103"/>
      <c r="AG210" s="100"/>
      <c r="AH210" s="104"/>
      <c r="AI210" s="100"/>
      <c r="AJ210" s="100"/>
      <c r="AK210" s="100"/>
      <c r="AL210" s="101"/>
      <c r="AM210" s="101"/>
      <c r="AN210" s="102"/>
      <c r="AO210" s="103"/>
      <c r="AP210" s="100"/>
      <c r="AQ210" s="104"/>
      <c r="AR210" s="100"/>
      <c r="AS210" s="100"/>
      <c r="AT210" s="100"/>
      <c r="AU210" s="101"/>
      <c r="AV210" s="101"/>
      <c r="AW210" s="102"/>
      <c r="AX210" s="103"/>
      <c r="AY210" s="100"/>
      <c r="AZ210" s="104"/>
      <c r="BA210" s="100"/>
      <c r="BB210" s="100"/>
      <c r="BC210" s="100"/>
      <c r="BD210" s="101"/>
      <c r="BE210" s="101"/>
      <c r="BF210" s="102"/>
      <c r="BG210" s="103"/>
      <c r="BH210" s="100"/>
      <c r="BI210" s="104"/>
      <c r="BJ210" s="100"/>
      <c r="BK210" s="100"/>
      <c r="BL210" s="100"/>
      <c r="BM210" s="101"/>
      <c r="BN210" s="101"/>
      <c r="BO210" s="102"/>
      <c r="BP210" s="103"/>
      <c r="BQ210" s="100"/>
      <c r="BR210" s="104"/>
      <c r="BS210" s="100"/>
      <c r="BT210" s="100"/>
      <c r="BU210" s="100"/>
      <c r="BV210" s="101"/>
      <c r="BW210" s="101"/>
      <c r="BX210" s="102"/>
      <c r="BY210" s="103"/>
      <c r="BZ210" s="100"/>
      <c r="CA210" s="104"/>
      <c r="CB210" s="100"/>
      <c r="CC210" s="100"/>
      <c r="CD210" s="100"/>
      <c r="CE210" s="101"/>
      <c r="CF210" s="101"/>
      <c r="CG210" s="102"/>
      <c r="CH210" s="103"/>
      <c r="CI210" s="100"/>
      <c r="CJ210" s="104"/>
      <c r="CK210" s="100"/>
      <c r="CL210" s="100"/>
      <c r="CM210" s="100"/>
      <c r="CN210" s="101"/>
      <c r="CO210" s="101"/>
      <c r="CP210" s="102"/>
      <c r="CQ210" s="103"/>
      <c r="CR210" s="100"/>
      <c r="CS210" s="104"/>
      <c r="CT210" s="100"/>
      <c r="CU210" s="100"/>
      <c r="CV210" s="100"/>
      <c r="CW210" s="101"/>
      <c r="CX210" s="101"/>
      <c r="CY210" s="102"/>
      <c r="CZ210" s="103"/>
      <c r="DA210" s="100"/>
      <c r="DB210" s="104"/>
      <c r="DC210" s="100"/>
      <c r="DD210" s="100"/>
      <c r="DE210" s="100"/>
      <c r="DF210" s="101"/>
      <c r="DG210" s="101"/>
      <c r="DH210" s="102"/>
      <c r="DI210" s="103"/>
      <c r="DJ210" s="100"/>
      <c r="DK210" s="104"/>
      <c r="DL210" s="100"/>
      <c r="DM210" s="100"/>
      <c r="DN210" s="100"/>
      <c r="DO210" s="101"/>
      <c r="DP210" s="101"/>
      <c r="DQ210" s="102"/>
      <c r="DR210" s="103"/>
      <c r="DS210" s="100"/>
      <c r="DT210" s="104"/>
      <c r="DU210" s="100"/>
      <c r="DV210" s="100"/>
      <c r="DW210" s="100"/>
      <c r="DX210" s="101"/>
      <c r="DY210" s="101"/>
      <c r="DZ210" s="102"/>
      <c r="EA210" s="103"/>
      <c r="EB210" s="100"/>
      <c r="EC210" s="104"/>
      <c r="ED210" s="100"/>
      <c r="EE210" s="100"/>
      <c r="EF210" s="100"/>
      <c r="EG210" s="101"/>
      <c r="EH210" s="101"/>
      <c r="EI210" s="102"/>
      <c r="EJ210" s="103"/>
      <c r="EK210" s="100"/>
      <c r="EL210" s="104"/>
      <c r="EM210" s="100"/>
      <c r="EN210" s="100"/>
      <c r="EO210" s="100"/>
      <c r="EP210" s="101"/>
      <c r="EQ210" s="101"/>
      <c r="ER210" s="102"/>
      <c r="ES210" s="103"/>
      <c r="ET210" s="100"/>
      <c r="EU210" s="104"/>
      <c r="EV210" s="100"/>
      <c r="EW210" s="100"/>
      <c r="EX210" s="100"/>
      <c r="EY210" s="101"/>
      <c r="EZ210" s="101"/>
      <c r="FA210" s="102"/>
      <c r="FB210" s="103"/>
      <c r="FC210" s="100"/>
      <c r="FD210" s="104"/>
      <c r="FE210" s="100"/>
      <c r="FF210" s="100"/>
      <c r="FG210" s="100"/>
      <c r="FH210" s="101"/>
      <c r="FI210" s="101"/>
      <c r="FJ210" s="102"/>
      <c r="FK210" s="103"/>
      <c r="FL210" s="100"/>
      <c r="FM210" s="104"/>
      <c r="FN210" s="100"/>
      <c r="FO210" s="100"/>
      <c r="FP210" s="100"/>
      <c r="FQ210" s="101"/>
      <c r="FR210" s="101"/>
      <c r="FS210" s="102"/>
      <c r="FT210" s="103"/>
      <c r="FU210" s="100"/>
      <c r="FV210" s="104"/>
      <c r="FW210" s="100"/>
      <c r="FX210" s="100"/>
      <c r="FY210" s="100"/>
      <c r="FZ210" s="101"/>
      <c r="GA210" s="101"/>
      <c r="GB210" s="102"/>
      <c r="GC210" s="103"/>
      <c r="GD210" s="100"/>
      <c r="GE210" s="104"/>
      <c r="GF210" s="100"/>
      <c r="GG210" s="100"/>
      <c r="GH210" s="100"/>
      <c r="GI210" s="101"/>
      <c r="GJ210" s="101"/>
      <c r="GK210" s="102"/>
      <c r="GL210" s="103"/>
      <c r="GM210" s="100"/>
      <c r="GN210" s="104"/>
      <c r="GO210" s="100"/>
      <c r="GP210" s="100"/>
      <c r="GQ210" s="100"/>
      <c r="GR210" s="101"/>
      <c r="GS210" s="101"/>
      <c r="GT210" s="102"/>
      <c r="GU210" s="103"/>
      <c r="GV210" s="100"/>
      <c r="GW210" s="104"/>
      <c r="GX210" s="100"/>
      <c r="GY210" s="100"/>
      <c r="GZ210" s="100"/>
      <c r="HA210" s="101"/>
      <c r="HB210" s="101"/>
      <c r="HC210" s="102"/>
      <c r="HD210" s="103"/>
      <c r="HE210" s="100"/>
      <c r="HF210" s="104"/>
      <c r="HG210" s="100"/>
      <c r="HH210" s="100"/>
      <c r="HI210" s="100"/>
      <c r="HJ210" s="101"/>
      <c r="HK210" s="101"/>
      <c r="HL210" s="102"/>
      <c r="HM210" s="103"/>
      <c r="HN210" s="100"/>
      <c r="HO210" s="104"/>
      <c r="HP210" s="100"/>
      <c r="HQ210" s="100"/>
      <c r="HR210" s="100"/>
      <c r="HS210" s="101"/>
      <c r="HT210" s="101"/>
      <c r="HU210" s="102"/>
      <c r="HV210" s="103"/>
      <c r="HW210" s="100"/>
      <c r="HX210" s="104"/>
      <c r="HY210" s="100"/>
      <c r="HZ210" s="100"/>
      <c r="IA210" s="100"/>
      <c r="IB210" s="101"/>
      <c r="IC210" s="101"/>
      <c r="ID210" s="102"/>
      <c r="IE210" s="103"/>
      <c r="IF210" s="100"/>
      <c r="IG210" s="104"/>
      <c r="IH210" s="100"/>
      <c r="II210" s="100"/>
      <c r="IJ210" s="100"/>
    </row>
    <row r="211" spans="1:244" s="93" customFormat="1" ht="39" customHeight="1" outlineLevel="1" x14ac:dyDescent="0.2">
      <c r="A211" s="115"/>
      <c r="B211" s="115"/>
      <c r="C211" s="85"/>
      <c r="D211" s="86"/>
      <c r="E211" s="86"/>
      <c r="F211" s="87"/>
      <c r="G211" s="88"/>
      <c r="H211" s="89"/>
      <c r="I211" s="90"/>
      <c r="J211" s="91"/>
      <c r="K211" s="395"/>
      <c r="M211" s="380">
        <f>SUM(M204:M210)</f>
        <v>0</v>
      </c>
    </row>
    <row r="212" spans="1:244" s="93" customFormat="1" ht="20" customHeight="1" outlineLevel="2" x14ac:dyDescent="0.2">
      <c r="A212" s="85"/>
      <c r="B212" s="408"/>
      <c r="C212" s="85"/>
      <c r="D212" s="86"/>
      <c r="E212" s="86"/>
      <c r="F212" s="87"/>
      <c r="G212" s="88">
        <f t="shared" ref="G212:G217" si="69">(D212*E212*F212)</f>
        <v>0</v>
      </c>
      <c r="H212" s="89">
        <f t="shared" ref="H212:H218" si="70">G212/$K$3</f>
        <v>0</v>
      </c>
      <c r="I212" s="90">
        <f>H212</f>
        <v>0</v>
      </c>
      <c r="J212" s="91"/>
      <c r="K212" s="395"/>
      <c r="M212" s="367"/>
    </row>
    <row r="213" spans="1:244" s="93" customFormat="1" ht="20" customHeight="1" outlineLevel="2" x14ac:dyDescent="0.2">
      <c r="A213" s="85"/>
      <c r="B213" s="408"/>
      <c r="C213" s="85"/>
      <c r="D213" s="86"/>
      <c r="E213" s="86"/>
      <c r="F213" s="87"/>
      <c r="G213" s="88">
        <f t="shared" si="69"/>
        <v>0</v>
      </c>
      <c r="H213" s="89">
        <f t="shared" si="70"/>
        <v>0</v>
      </c>
      <c r="I213" s="90">
        <f t="shared" ref="I213:I218" si="71">H213</f>
        <v>0</v>
      </c>
      <c r="J213" s="91"/>
      <c r="K213" s="395"/>
      <c r="M213" s="367"/>
    </row>
    <row r="214" spans="1:244" s="93" customFormat="1" ht="20" customHeight="1" outlineLevel="2" x14ac:dyDescent="0.2">
      <c r="A214" s="85"/>
      <c r="B214" s="408"/>
      <c r="C214" s="85"/>
      <c r="D214" s="86"/>
      <c r="E214" s="86"/>
      <c r="F214" s="87"/>
      <c r="G214" s="88">
        <f t="shared" si="69"/>
        <v>0</v>
      </c>
      <c r="H214" s="89">
        <f t="shared" si="70"/>
        <v>0</v>
      </c>
      <c r="I214" s="90">
        <f t="shared" si="71"/>
        <v>0</v>
      </c>
      <c r="J214" s="91"/>
      <c r="K214" s="395"/>
      <c r="M214" s="367"/>
    </row>
    <row r="215" spans="1:244" s="93" customFormat="1" ht="20" customHeight="1" outlineLevel="2" x14ac:dyDescent="0.2">
      <c r="A215" s="85"/>
      <c r="B215" s="408"/>
      <c r="C215" s="85"/>
      <c r="D215" s="86"/>
      <c r="E215" s="86"/>
      <c r="F215" s="87"/>
      <c r="G215" s="88">
        <f t="shared" si="69"/>
        <v>0</v>
      </c>
      <c r="H215" s="89">
        <f t="shared" si="70"/>
        <v>0</v>
      </c>
      <c r="I215" s="90">
        <f t="shared" si="71"/>
        <v>0</v>
      </c>
      <c r="J215" s="91"/>
      <c r="K215" s="395"/>
      <c r="M215" s="367"/>
    </row>
    <row r="216" spans="1:244" s="93" customFormat="1" ht="20" customHeight="1" outlineLevel="2" x14ac:dyDescent="0.2">
      <c r="A216" s="85"/>
      <c r="B216" s="408"/>
      <c r="C216" s="85"/>
      <c r="D216" s="86"/>
      <c r="E216" s="86"/>
      <c r="F216" s="87"/>
      <c r="G216" s="88">
        <f t="shared" si="69"/>
        <v>0</v>
      </c>
      <c r="H216" s="89">
        <f t="shared" si="70"/>
        <v>0</v>
      </c>
      <c r="I216" s="90">
        <f t="shared" si="71"/>
        <v>0</v>
      </c>
      <c r="J216" s="91"/>
      <c r="K216" s="395"/>
      <c r="M216" s="367"/>
    </row>
    <row r="217" spans="1:244" s="93" customFormat="1" ht="20" customHeight="1" outlineLevel="2" x14ac:dyDescent="0.2">
      <c r="A217" s="85"/>
      <c r="B217" s="408"/>
      <c r="C217" s="85"/>
      <c r="D217" s="86"/>
      <c r="E217" s="86"/>
      <c r="F217" s="87"/>
      <c r="G217" s="88">
        <f t="shared" si="69"/>
        <v>0</v>
      </c>
      <c r="H217" s="89">
        <f t="shared" si="70"/>
        <v>0</v>
      </c>
      <c r="I217" s="90">
        <f t="shared" si="71"/>
        <v>0</v>
      </c>
      <c r="J217" s="91"/>
      <c r="K217" s="395"/>
      <c r="M217" s="367"/>
    </row>
    <row r="218" spans="1:244" s="93" customFormat="1" ht="20" customHeight="1" outlineLevel="2" x14ac:dyDescent="0.2">
      <c r="A218" s="85"/>
      <c r="B218" s="408"/>
      <c r="C218" s="85"/>
      <c r="D218" s="86"/>
      <c r="E218" s="86"/>
      <c r="F218" s="87"/>
      <c r="G218" s="88">
        <f>(D218*E218*F218)</f>
        <v>0</v>
      </c>
      <c r="H218" s="89">
        <f t="shared" si="70"/>
        <v>0</v>
      </c>
      <c r="I218" s="90">
        <f t="shared" si="71"/>
        <v>0</v>
      </c>
      <c r="J218" s="91"/>
      <c r="K218" s="395"/>
      <c r="M218" s="367"/>
    </row>
    <row r="219" spans="1:244" s="105" customFormat="1" outlineLevel="1" x14ac:dyDescent="0.2">
      <c r="A219" s="94" t="s">
        <v>288</v>
      </c>
      <c r="B219" s="95"/>
      <c r="C219" s="98"/>
      <c r="D219" s="98"/>
      <c r="E219" s="95"/>
      <c r="F219" s="96"/>
      <c r="G219" s="99">
        <f>SUM(G212:G218)</f>
        <v>0</v>
      </c>
      <c r="H219" s="406">
        <f>SUM(H212:H218)</f>
        <v>0</v>
      </c>
      <c r="I219" s="96">
        <f>SUM(I212:I218)</f>
        <v>0</v>
      </c>
      <c r="J219" s="97">
        <f>SUM(J212:J218)</f>
        <v>0</v>
      </c>
      <c r="K219" s="395"/>
      <c r="L219" s="101"/>
      <c r="M219" s="367"/>
      <c r="N219" s="103"/>
      <c r="O219" s="100"/>
      <c r="P219" s="104"/>
      <c r="Q219" s="100"/>
      <c r="R219" s="100"/>
      <c r="S219" s="100"/>
      <c r="T219" s="101"/>
      <c r="U219" s="101"/>
      <c r="V219" s="102"/>
      <c r="W219" s="103"/>
      <c r="X219" s="100"/>
      <c r="Y219" s="104"/>
      <c r="Z219" s="100"/>
      <c r="AA219" s="100"/>
      <c r="AB219" s="100"/>
      <c r="AC219" s="101"/>
      <c r="AD219" s="101"/>
      <c r="AE219" s="102"/>
      <c r="AF219" s="103"/>
      <c r="AG219" s="100"/>
      <c r="AH219" s="104"/>
      <c r="AI219" s="100"/>
      <c r="AJ219" s="100"/>
      <c r="AK219" s="100"/>
      <c r="AL219" s="101"/>
      <c r="AM219" s="101"/>
      <c r="AN219" s="102"/>
      <c r="AO219" s="103"/>
      <c r="AP219" s="100"/>
      <c r="AQ219" s="104"/>
      <c r="AR219" s="100"/>
      <c r="AS219" s="100"/>
      <c r="AT219" s="100"/>
      <c r="AU219" s="101"/>
      <c r="AV219" s="101"/>
      <c r="AW219" s="102"/>
      <c r="AX219" s="103"/>
      <c r="AY219" s="100"/>
      <c r="AZ219" s="104"/>
      <c r="BA219" s="100"/>
      <c r="BB219" s="100"/>
      <c r="BC219" s="100"/>
      <c r="BD219" s="101"/>
      <c r="BE219" s="101"/>
      <c r="BF219" s="102"/>
      <c r="BG219" s="103"/>
      <c r="BH219" s="100"/>
      <c r="BI219" s="104"/>
      <c r="BJ219" s="100"/>
      <c r="BK219" s="100"/>
      <c r="BL219" s="100"/>
      <c r="BM219" s="101"/>
      <c r="BN219" s="101"/>
      <c r="BO219" s="102"/>
      <c r="BP219" s="103"/>
      <c r="BQ219" s="100"/>
      <c r="BR219" s="104"/>
      <c r="BS219" s="100"/>
      <c r="BT219" s="100"/>
      <c r="BU219" s="100"/>
      <c r="BV219" s="101"/>
      <c r="BW219" s="101"/>
      <c r="BX219" s="102"/>
      <c r="BY219" s="103"/>
      <c r="BZ219" s="100"/>
      <c r="CA219" s="104"/>
      <c r="CB219" s="100"/>
      <c r="CC219" s="100"/>
      <c r="CD219" s="100"/>
      <c r="CE219" s="101"/>
      <c r="CF219" s="101"/>
      <c r="CG219" s="102"/>
      <c r="CH219" s="103"/>
      <c r="CI219" s="100"/>
      <c r="CJ219" s="104"/>
      <c r="CK219" s="100"/>
      <c r="CL219" s="100"/>
      <c r="CM219" s="100"/>
      <c r="CN219" s="101"/>
      <c r="CO219" s="101"/>
      <c r="CP219" s="102"/>
      <c r="CQ219" s="103"/>
      <c r="CR219" s="100"/>
      <c r="CS219" s="104"/>
      <c r="CT219" s="100"/>
      <c r="CU219" s="100"/>
      <c r="CV219" s="100"/>
      <c r="CW219" s="101"/>
      <c r="CX219" s="101"/>
      <c r="CY219" s="102"/>
      <c r="CZ219" s="103"/>
      <c r="DA219" s="100"/>
      <c r="DB219" s="104"/>
      <c r="DC219" s="100"/>
      <c r="DD219" s="100"/>
      <c r="DE219" s="100"/>
      <c r="DF219" s="101"/>
      <c r="DG219" s="101"/>
      <c r="DH219" s="102"/>
      <c r="DI219" s="103"/>
      <c r="DJ219" s="100"/>
      <c r="DK219" s="104"/>
      <c r="DL219" s="100"/>
      <c r="DM219" s="100"/>
      <c r="DN219" s="100"/>
      <c r="DO219" s="101"/>
      <c r="DP219" s="101"/>
      <c r="DQ219" s="102"/>
      <c r="DR219" s="103"/>
      <c r="DS219" s="100"/>
      <c r="DT219" s="104"/>
      <c r="DU219" s="100"/>
      <c r="DV219" s="100"/>
      <c r="DW219" s="100"/>
      <c r="DX219" s="101"/>
      <c r="DY219" s="101"/>
      <c r="DZ219" s="102"/>
      <c r="EA219" s="103"/>
      <c r="EB219" s="100"/>
      <c r="EC219" s="104"/>
      <c r="ED219" s="100"/>
      <c r="EE219" s="100"/>
      <c r="EF219" s="100"/>
      <c r="EG219" s="101"/>
      <c r="EH219" s="101"/>
      <c r="EI219" s="102"/>
      <c r="EJ219" s="103"/>
      <c r="EK219" s="100"/>
      <c r="EL219" s="104"/>
      <c r="EM219" s="100"/>
      <c r="EN219" s="100"/>
      <c r="EO219" s="100"/>
      <c r="EP219" s="101"/>
      <c r="EQ219" s="101"/>
      <c r="ER219" s="102"/>
      <c r="ES219" s="103"/>
      <c r="ET219" s="100"/>
      <c r="EU219" s="104"/>
      <c r="EV219" s="100"/>
      <c r="EW219" s="100"/>
      <c r="EX219" s="100"/>
      <c r="EY219" s="101"/>
      <c r="EZ219" s="101"/>
      <c r="FA219" s="102"/>
      <c r="FB219" s="103"/>
      <c r="FC219" s="100"/>
      <c r="FD219" s="104"/>
      <c r="FE219" s="100"/>
      <c r="FF219" s="100"/>
      <c r="FG219" s="100"/>
      <c r="FH219" s="101"/>
      <c r="FI219" s="101"/>
      <c r="FJ219" s="102"/>
      <c r="FK219" s="103"/>
      <c r="FL219" s="100"/>
      <c r="FM219" s="104"/>
      <c r="FN219" s="100"/>
      <c r="FO219" s="100"/>
      <c r="FP219" s="100"/>
      <c r="FQ219" s="101"/>
      <c r="FR219" s="101"/>
      <c r="FS219" s="102"/>
      <c r="FT219" s="103"/>
      <c r="FU219" s="100"/>
      <c r="FV219" s="104"/>
      <c r="FW219" s="100"/>
      <c r="FX219" s="100"/>
      <c r="FY219" s="100"/>
      <c r="FZ219" s="101"/>
      <c r="GA219" s="101"/>
      <c r="GB219" s="102"/>
      <c r="GC219" s="103"/>
      <c r="GD219" s="100"/>
      <c r="GE219" s="104"/>
      <c r="GF219" s="100"/>
      <c r="GG219" s="100"/>
      <c r="GH219" s="100"/>
      <c r="GI219" s="101"/>
      <c r="GJ219" s="101"/>
      <c r="GK219" s="102"/>
      <c r="GL219" s="103"/>
      <c r="GM219" s="100"/>
      <c r="GN219" s="104"/>
      <c r="GO219" s="100"/>
      <c r="GP219" s="100"/>
      <c r="GQ219" s="100"/>
      <c r="GR219" s="101"/>
      <c r="GS219" s="101"/>
      <c r="GT219" s="102"/>
      <c r="GU219" s="103"/>
      <c r="GV219" s="100"/>
      <c r="GW219" s="104"/>
      <c r="GX219" s="100"/>
      <c r="GY219" s="100"/>
      <c r="GZ219" s="100"/>
      <c r="HA219" s="101"/>
      <c r="HB219" s="101"/>
      <c r="HC219" s="102"/>
      <c r="HD219" s="103"/>
      <c r="HE219" s="100"/>
      <c r="HF219" s="104"/>
      <c r="HG219" s="100"/>
      <c r="HH219" s="100"/>
      <c r="HI219" s="100"/>
      <c r="HJ219" s="101"/>
      <c r="HK219" s="101"/>
      <c r="HL219" s="102"/>
      <c r="HM219" s="103"/>
      <c r="HN219" s="100"/>
      <c r="HO219" s="104"/>
      <c r="HP219" s="100"/>
      <c r="HQ219" s="100"/>
      <c r="HR219" s="100"/>
      <c r="HS219" s="101"/>
      <c r="HT219" s="101"/>
      <c r="HU219" s="102"/>
      <c r="HV219" s="103"/>
      <c r="HW219" s="100"/>
      <c r="HX219" s="104"/>
      <c r="HY219" s="100"/>
      <c r="HZ219" s="100"/>
      <c r="IA219" s="100"/>
      <c r="IB219" s="101"/>
      <c r="IC219" s="101"/>
      <c r="ID219" s="102"/>
      <c r="IE219" s="103"/>
      <c r="IF219" s="100"/>
      <c r="IG219" s="104"/>
      <c r="IH219" s="100"/>
      <c r="II219" s="100"/>
      <c r="IJ219" s="100"/>
    </row>
    <row r="220" spans="1:244" s="93" customFormat="1" ht="39" customHeight="1" outlineLevel="1" x14ac:dyDescent="0.2">
      <c r="A220" s="115"/>
      <c r="B220" s="115"/>
      <c r="C220" s="85"/>
      <c r="D220" s="86"/>
      <c r="E220" s="86"/>
      <c r="F220" s="87"/>
      <c r="G220" s="88"/>
      <c r="H220" s="89"/>
      <c r="I220" s="90"/>
      <c r="J220" s="91"/>
      <c r="K220" s="395"/>
      <c r="M220" s="380">
        <f>SUM(M213:M219)</f>
        <v>0</v>
      </c>
    </row>
    <row r="221" spans="1:244" s="93" customFormat="1" ht="20" customHeight="1" outlineLevel="2" x14ac:dyDescent="0.2">
      <c r="A221" s="85"/>
      <c r="B221" s="408"/>
      <c r="C221" s="85"/>
      <c r="D221" s="86"/>
      <c r="E221" s="86"/>
      <c r="F221" s="87"/>
      <c r="G221" s="88">
        <f t="shared" ref="G221:G226" si="72">(D221*E221*F221)</f>
        <v>0</v>
      </c>
      <c r="H221" s="89">
        <f t="shared" ref="H221:H227" si="73">G221/$K$3</f>
        <v>0</v>
      </c>
      <c r="I221" s="90">
        <f>H221</f>
        <v>0</v>
      </c>
      <c r="J221" s="91"/>
      <c r="K221" s="395"/>
      <c r="M221" s="367"/>
    </row>
    <row r="222" spans="1:244" s="93" customFormat="1" ht="20" customHeight="1" outlineLevel="2" x14ac:dyDescent="0.2">
      <c r="A222" s="85"/>
      <c r="B222" s="408"/>
      <c r="C222" s="85"/>
      <c r="D222" s="86"/>
      <c r="E222" s="86"/>
      <c r="F222" s="87"/>
      <c r="G222" s="88">
        <f t="shared" si="72"/>
        <v>0</v>
      </c>
      <c r="H222" s="89">
        <f t="shared" si="73"/>
        <v>0</v>
      </c>
      <c r="I222" s="90">
        <f t="shared" ref="I222:I227" si="74">H222</f>
        <v>0</v>
      </c>
      <c r="J222" s="91"/>
      <c r="K222" s="395"/>
      <c r="M222" s="367"/>
    </row>
    <row r="223" spans="1:244" s="93" customFormat="1" ht="20" customHeight="1" outlineLevel="2" x14ac:dyDescent="0.2">
      <c r="A223" s="85"/>
      <c r="B223" s="408"/>
      <c r="C223" s="85"/>
      <c r="D223" s="86"/>
      <c r="E223" s="86"/>
      <c r="F223" s="87"/>
      <c r="G223" s="88">
        <f t="shared" si="72"/>
        <v>0</v>
      </c>
      <c r="H223" s="89">
        <f t="shared" si="73"/>
        <v>0</v>
      </c>
      <c r="I223" s="90">
        <f t="shared" si="74"/>
        <v>0</v>
      </c>
      <c r="J223" s="91"/>
      <c r="K223" s="395"/>
      <c r="M223" s="367"/>
    </row>
    <row r="224" spans="1:244" s="93" customFormat="1" ht="20" customHeight="1" outlineLevel="2" x14ac:dyDescent="0.2">
      <c r="A224" s="85"/>
      <c r="B224" s="408"/>
      <c r="C224" s="85"/>
      <c r="D224" s="86"/>
      <c r="E224" s="86"/>
      <c r="F224" s="87"/>
      <c r="G224" s="88">
        <f t="shared" si="72"/>
        <v>0</v>
      </c>
      <c r="H224" s="89">
        <f t="shared" si="73"/>
        <v>0</v>
      </c>
      <c r="I224" s="90">
        <f t="shared" si="74"/>
        <v>0</v>
      </c>
      <c r="J224" s="91"/>
      <c r="K224" s="395"/>
      <c r="M224" s="367"/>
    </row>
    <row r="225" spans="1:244" s="93" customFormat="1" ht="20" customHeight="1" outlineLevel="2" x14ac:dyDescent="0.2">
      <c r="A225" s="85"/>
      <c r="B225" s="408"/>
      <c r="C225" s="85"/>
      <c r="D225" s="86"/>
      <c r="E225" s="86"/>
      <c r="F225" s="87"/>
      <c r="G225" s="88">
        <f t="shared" si="72"/>
        <v>0</v>
      </c>
      <c r="H225" s="89">
        <f t="shared" si="73"/>
        <v>0</v>
      </c>
      <c r="I225" s="90">
        <f t="shared" si="74"/>
        <v>0</v>
      </c>
      <c r="J225" s="91"/>
      <c r="K225" s="395"/>
      <c r="M225" s="367"/>
    </row>
    <row r="226" spans="1:244" s="93" customFormat="1" ht="20" customHeight="1" outlineLevel="2" x14ac:dyDescent="0.2">
      <c r="A226" s="85"/>
      <c r="B226" s="408"/>
      <c r="C226" s="85"/>
      <c r="D226" s="86"/>
      <c r="E226" s="86"/>
      <c r="F226" s="87"/>
      <c r="G226" s="88">
        <f t="shared" si="72"/>
        <v>0</v>
      </c>
      <c r="H226" s="89">
        <f t="shared" si="73"/>
        <v>0</v>
      </c>
      <c r="I226" s="90">
        <f t="shared" si="74"/>
        <v>0</v>
      </c>
      <c r="J226" s="91"/>
      <c r="K226" s="395"/>
      <c r="M226" s="367"/>
    </row>
    <row r="227" spans="1:244" s="93" customFormat="1" ht="20" customHeight="1" outlineLevel="2" x14ac:dyDescent="0.2">
      <c r="A227" s="85"/>
      <c r="B227" s="408"/>
      <c r="C227" s="85"/>
      <c r="D227" s="86"/>
      <c r="E227" s="86"/>
      <c r="F227" s="87"/>
      <c r="G227" s="88">
        <f>(D227*E227*F227)</f>
        <v>0</v>
      </c>
      <c r="H227" s="89">
        <f t="shared" si="73"/>
        <v>0</v>
      </c>
      <c r="I227" s="90">
        <f t="shared" si="74"/>
        <v>0</v>
      </c>
      <c r="J227" s="91"/>
      <c r="K227" s="395"/>
      <c r="M227" s="367"/>
    </row>
    <row r="228" spans="1:244" s="105" customFormat="1" outlineLevel="1" x14ac:dyDescent="0.2">
      <c r="A228" s="94" t="s">
        <v>288</v>
      </c>
      <c r="B228" s="95"/>
      <c r="C228" s="98"/>
      <c r="D228" s="98"/>
      <c r="E228" s="95"/>
      <c r="F228" s="96"/>
      <c r="G228" s="99">
        <f>SUM(G221:G227)</f>
        <v>0</v>
      </c>
      <c r="H228" s="406">
        <f>SUM(H221:H227)</f>
        <v>0</v>
      </c>
      <c r="I228" s="96">
        <f>SUM(I221:I227)</f>
        <v>0</v>
      </c>
      <c r="J228" s="97">
        <f>SUM(J221:J227)</f>
        <v>0</v>
      </c>
      <c r="K228" s="395"/>
      <c r="L228" s="101"/>
      <c r="M228" s="367"/>
      <c r="N228" s="103"/>
      <c r="O228" s="100"/>
      <c r="P228" s="104"/>
      <c r="Q228" s="100"/>
      <c r="R228" s="100"/>
      <c r="S228" s="100"/>
      <c r="T228" s="101"/>
      <c r="U228" s="101"/>
      <c r="V228" s="102"/>
      <c r="W228" s="103"/>
      <c r="X228" s="100"/>
      <c r="Y228" s="104"/>
      <c r="Z228" s="100"/>
      <c r="AA228" s="100"/>
      <c r="AB228" s="100"/>
      <c r="AC228" s="101"/>
      <c r="AD228" s="101"/>
      <c r="AE228" s="102"/>
      <c r="AF228" s="103"/>
      <c r="AG228" s="100"/>
      <c r="AH228" s="104"/>
      <c r="AI228" s="100"/>
      <c r="AJ228" s="100"/>
      <c r="AK228" s="100"/>
      <c r="AL228" s="101"/>
      <c r="AM228" s="101"/>
      <c r="AN228" s="102"/>
      <c r="AO228" s="103"/>
      <c r="AP228" s="100"/>
      <c r="AQ228" s="104"/>
      <c r="AR228" s="100"/>
      <c r="AS228" s="100"/>
      <c r="AT228" s="100"/>
      <c r="AU228" s="101"/>
      <c r="AV228" s="101"/>
      <c r="AW228" s="102"/>
      <c r="AX228" s="103"/>
      <c r="AY228" s="100"/>
      <c r="AZ228" s="104"/>
      <c r="BA228" s="100"/>
      <c r="BB228" s="100"/>
      <c r="BC228" s="100"/>
      <c r="BD228" s="101"/>
      <c r="BE228" s="101"/>
      <c r="BF228" s="102"/>
      <c r="BG228" s="103"/>
      <c r="BH228" s="100"/>
      <c r="BI228" s="104"/>
      <c r="BJ228" s="100"/>
      <c r="BK228" s="100"/>
      <c r="BL228" s="100"/>
      <c r="BM228" s="101"/>
      <c r="BN228" s="101"/>
      <c r="BO228" s="102"/>
      <c r="BP228" s="103"/>
      <c r="BQ228" s="100"/>
      <c r="BR228" s="104"/>
      <c r="BS228" s="100"/>
      <c r="BT228" s="100"/>
      <c r="BU228" s="100"/>
      <c r="BV228" s="101"/>
      <c r="BW228" s="101"/>
      <c r="BX228" s="102"/>
      <c r="BY228" s="103"/>
      <c r="BZ228" s="100"/>
      <c r="CA228" s="104"/>
      <c r="CB228" s="100"/>
      <c r="CC228" s="100"/>
      <c r="CD228" s="100"/>
      <c r="CE228" s="101"/>
      <c r="CF228" s="101"/>
      <c r="CG228" s="102"/>
      <c r="CH228" s="103"/>
      <c r="CI228" s="100"/>
      <c r="CJ228" s="104"/>
      <c r="CK228" s="100"/>
      <c r="CL228" s="100"/>
      <c r="CM228" s="100"/>
      <c r="CN228" s="101"/>
      <c r="CO228" s="101"/>
      <c r="CP228" s="102"/>
      <c r="CQ228" s="103"/>
      <c r="CR228" s="100"/>
      <c r="CS228" s="104"/>
      <c r="CT228" s="100"/>
      <c r="CU228" s="100"/>
      <c r="CV228" s="100"/>
      <c r="CW228" s="101"/>
      <c r="CX228" s="101"/>
      <c r="CY228" s="102"/>
      <c r="CZ228" s="103"/>
      <c r="DA228" s="100"/>
      <c r="DB228" s="104"/>
      <c r="DC228" s="100"/>
      <c r="DD228" s="100"/>
      <c r="DE228" s="100"/>
      <c r="DF228" s="101"/>
      <c r="DG228" s="101"/>
      <c r="DH228" s="102"/>
      <c r="DI228" s="103"/>
      <c r="DJ228" s="100"/>
      <c r="DK228" s="104"/>
      <c r="DL228" s="100"/>
      <c r="DM228" s="100"/>
      <c r="DN228" s="100"/>
      <c r="DO228" s="101"/>
      <c r="DP228" s="101"/>
      <c r="DQ228" s="102"/>
      <c r="DR228" s="103"/>
      <c r="DS228" s="100"/>
      <c r="DT228" s="104"/>
      <c r="DU228" s="100"/>
      <c r="DV228" s="100"/>
      <c r="DW228" s="100"/>
      <c r="DX228" s="101"/>
      <c r="DY228" s="101"/>
      <c r="DZ228" s="102"/>
      <c r="EA228" s="103"/>
      <c r="EB228" s="100"/>
      <c r="EC228" s="104"/>
      <c r="ED228" s="100"/>
      <c r="EE228" s="100"/>
      <c r="EF228" s="100"/>
      <c r="EG228" s="101"/>
      <c r="EH228" s="101"/>
      <c r="EI228" s="102"/>
      <c r="EJ228" s="103"/>
      <c r="EK228" s="100"/>
      <c r="EL228" s="104"/>
      <c r="EM228" s="100"/>
      <c r="EN228" s="100"/>
      <c r="EO228" s="100"/>
      <c r="EP228" s="101"/>
      <c r="EQ228" s="101"/>
      <c r="ER228" s="102"/>
      <c r="ES228" s="103"/>
      <c r="ET228" s="100"/>
      <c r="EU228" s="104"/>
      <c r="EV228" s="100"/>
      <c r="EW228" s="100"/>
      <c r="EX228" s="100"/>
      <c r="EY228" s="101"/>
      <c r="EZ228" s="101"/>
      <c r="FA228" s="102"/>
      <c r="FB228" s="103"/>
      <c r="FC228" s="100"/>
      <c r="FD228" s="104"/>
      <c r="FE228" s="100"/>
      <c r="FF228" s="100"/>
      <c r="FG228" s="100"/>
      <c r="FH228" s="101"/>
      <c r="FI228" s="101"/>
      <c r="FJ228" s="102"/>
      <c r="FK228" s="103"/>
      <c r="FL228" s="100"/>
      <c r="FM228" s="104"/>
      <c r="FN228" s="100"/>
      <c r="FO228" s="100"/>
      <c r="FP228" s="100"/>
      <c r="FQ228" s="101"/>
      <c r="FR228" s="101"/>
      <c r="FS228" s="102"/>
      <c r="FT228" s="103"/>
      <c r="FU228" s="100"/>
      <c r="FV228" s="104"/>
      <c r="FW228" s="100"/>
      <c r="FX228" s="100"/>
      <c r="FY228" s="100"/>
      <c r="FZ228" s="101"/>
      <c r="GA228" s="101"/>
      <c r="GB228" s="102"/>
      <c r="GC228" s="103"/>
      <c r="GD228" s="100"/>
      <c r="GE228" s="104"/>
      <c r="GF228" s="100"/>
      <c r="GG228" s="100"/>
      <c r="GH228" s="100"/>
      <c r="GI228" s="101"/>
      <c r="GJ228" s="101"/>
      <c r="GK228" s="102"/>
      <c r="GL228" s="103"/>
      <c r="GM228" s="100"/>
      <c r="GN228" s="104"/>
      <c r="GO228" s="100"/>
      <c r="GP228" s="100"/>
      <c r="GQ228" s="100"/>
      <c r="GR228" s="101"/>
      <c r="GS228" s="101"/>
      <c r="GT228" s="102"/>
      <c r="GU228" s="103"/>
      <c r="GV228" s="100"/>
      <c r="GW228" s="104"/>
      <c r="GX228" s="100"/>
      <c r="GY228" s="100"/>
      <c r="GZ228" s="100"/>
      <c r="HA228" s="101"/>
      <c r="HB228" s="101"/>
      <c r="HC228" s="102"/>
      <c r="HD228" s="103"/>
      <c r="HE228" s="100"/>
      <c r="HF228" s="104"/>
      <c r="HG228" s="100"/>
      <c r="HH228" s="100"/>
      <c r="HI228" s="100"/>
      <c r="HJ228" s="101"/>
      <c r="HK228" s="101"/>
      <c r="HL228" s="102"/>
      <c r="HM228" s="103"/>
      <c r="HN228" s="100"/>
      <c r="HO228" s="104"/>
      <c r="HP228" s="100"/>
      <c r="HQ228" s="100"/>
      <c r="HR228" s="100"/>
      <c r="HS228" s="101"/>
      <c r="HT228" s="101"/>
      <c r="HU228" s="102"/>
      <c r="HV228" s="103"/>
      <c r="HW228" s="100"/>
      <c r="HX228" s="104"/>
      <c r="HY228" s="100"/>
      <c r="HZ228" s="100"/>
      <c r="IA228" s="100"/>
      <c r="IB228" s="101"/>
      <c r="IC228" s="101"/>
      <c r="ID228" s="102"/>
      <c r="IE228" s="103"/>
      <c r="IF228" s="100"/>
      <c r="IG228" s="104"/>
      <c r="IH228" s="100"/>
      <c r="II228" s="100"/>
      <c r="IJ228" s="100"/>
    </row>
    <row r="229" spans="1:244" s="93" customFormat="1" ht="39" customHeight="1" outlineLevel="1" x14ac:dyDescent="0.2">
      <c r="A229" s="115"/>
      <c r="B229" s="115"/>
      <c r="C229" s="85"/>
      <c r="D229" s="86"/>
      <c r="E229" s="86"/>
      <c r="F229" s="87"/>
      <c r="G229" s="88"/>
      <c r="H229" s="89"/>
      <c r="I229" s="90"/>
      <c r="J229" s="91"/>
      <c r="K229" s="395"/>
      <c r="M229" s="380">
        <f>SUM(M222:M228)</f>
        <v>0</v>
      </c>
    </row>
    <row r="230" spans="1:244" s="93" customFormat="1" ht="20" customHeight="1" outlineLevel="2" x14ac:dyDescent="0.2">
      <c r="A230" s="85"/>
      <c r="B230" s="408"/>
      <c r="C230" s="85"/>
      <c r="D230" s="86"/>
      <c r="E230" s="86"/>
      <c r="F230" s="87"/>
      <c r="G230" s="88">
        <f t="shared" ref="G230:G235" si="75">(D230*E230*F230)</f>
        <v>0</v>
      </c>
      <c r="H230" s="89">
        <f t="shared" ref="H230:H236" si="76">G230/$K$3</f>
        <v>0</v>
      </c>
      <c r="I230" s="90">
        <f>H230</f>
        <v>0</v>
      </c>
      <c r="J230" s="91"/>
      <c r="K230" s="395"/>
      <c r="M230" s="367"/>
    </row>
    <row r="231" spans="1:244" s="93" customFormat="1" ht="20" customHeight="1" outlineLevel="2" x14ac:dyDescent="0.2">
      <c r="A231" s="85"/>
      <c r="B231" s="408"/>
      <c r="C231" s="85"/>
      <c r="D231" s="86"/>
      <c r="E231" s="86"/>
      <c r="F231" s="87"/>
      <c r="G231" s="88">
        <f t="shared" si="75"/>
        <v>0</v>
      </c>
      <c r="H231" s="89">
        <f t="shared" si="76"/>
        <v>0</v>
      </c>
      <c r="I231" s="90">
        <f t="shared" ref="I231:I236" si="77">H231</f>
        <v>0</v>
      </c>
      <c r="J231" s="91"/>
      <c r="K231" s="395"/>
      <c r="M231" s="367"/>
    </row>
    <row r="232" spans="1:244" s="93" customFormat="1" ht="20" customHeight="1" outlineLevel="2" x14ac:dyDescent="0.2">
      <c r="A232" s="85"/>
      <c r="B232" s="408"/>
      <c r="C232" s="85"/>
      <c r="D232" s="86"/>
      <c r="E232" s="86"/>
      <c r="F232" s="87"/>
      <c r="G232" s="88">
        <f t="shared" si="75"/>
        <v>0</v>
      </c>
      <c r="H232" s="89">
        <f t="shared" si="76"/>
        <v>0</v>
      </c>
      <c r="I232" s="90">
        <f t="shared" si="77"/>
        <v>0</v>
      </c>
      <c r="J232" s="91"/>
      <c r="K232" s="395"/>
      <c r="M232" s="367"/>
    </row>
    <row r="233" spans="1:244" s="93" customFormat="1" ht="20" customHeight="1" outlineLevel="2" x14ac:dyDescent="0.2">
      <c r="A233" s="85"/>
      <c r="B233" s="408"/>
      <c r="C233" s="85"/>
      <c r="D233" s="86"/>
      <c r="E233" s="86"/>
      <c r="F233" s="87"/>
      <c r="G233" s="88">
        <f t="shared" si="75"/>
        <v>0</v>
      </c>
      <c r="H233" s="89">
        <f t="shared" si="76"/>
        <v>0</v>
      </c>
      <c r="I233" s="90">
        <f t="shared" si="77"/>
        <v>0</v>
      </c>
      <c r="J233" s="91"/>
      <c r="K233" s="395"/>
      <c r="M233" s="367"/>
    </row>
    <row r="234" spans="1:244" s="93" customFormat="1" ht="20" customHeight="1" outlineLevel="2" x14ac:dyDescent="0.2">
      <c r="A234" s="85"/>
      <c r="B234" s="408"/>
      <c r="C234" s="85"/>
      <c r="D234" s="86"/>
      <c r="E234" s="86"/>
      <c r="F234" s="87"/>
      <c r="G234" s="88">
        <f t="shared" si="75"/>
        <v>0</v>
      </c>
      <c r="H234" s="89">
        <f t="shared" si="76"/>
        <v>0</v>
      </c>
      <c r="I234" s="90">
        <f t="shared" si="77"/>
        <v>0</v>
      </c>
      <c r="J234" s="91"/>
      <c r="K234" s="395"/>
      <c r="M234" s="367"/>
    </row>
    <row r="235" spans="1:244" s="93" customFormat="1" ht="20" customHeight="1" outlineLevel="2" x14ac:dyDescent="0.2">
      <c r="A235" s="85"/>
      <c r="B235" s="408"/>
      <c r="C235" s="85"/>
      <c r="D235" s="86"/>
      <c r="E235" s="86"/>
      <c r="F235" s="87"/>
      <c r="G235" s="88">
        <f t="shared" si="75"/>
        <v>0</v>
      </c>
      <c r="H235" s="89">
        <f t="shared" si="76"/>
        <v>0</v>
      </c>
      <c r="I235" s="90">
        <f t="shared" si="77"/>
        <v>0</v>
      </c>
      <c r="J235" s="91"/>
      <c r="K235" s="395"/>
      <c r="M235" s="367"/>
    </row>
    <row r="236" spans="1:244" s="93" customFormat="1" ht="20" customHeight="1" outlineLevel="2" x14ac:dyDescent="0.2">
      <c r="A236" s="85"/>
      <c r="B236" s="408"/>
      <c r="C236" s="85"/>
      <c r="D236" s="86"/>
      <c r="E236" s="86"/>
      <c r="F236" s="87"/>
      <c r="G236" s="88">
        <f>(D236*E236*F236)</f>
        <v>0</v>
      </c>
      <c r="H236" s="89">
        <f t="shared" si="76"/>
        <v>0</v>
      </c>
      <c r="I236" s="90">
        <f t="shared" si="77"/>
        <v>0</v>
      </c>
      <c r="J236" s="91"/>
      <c r="K236" s="395"/>
      <c r="M236" s="367"/>
    </row>
    <row r="237" spans="1:244" s="105" customFormat="1" outlineLevel="1" x14ac:dyDescent="0.2">
      <c r="A237" s="94" t="s">
        <v>288</v>
      </c>
      <c r="B237" s="95"/>
      <c r="C237" s="98"/>
      <c r="D237" s="98"/>
      <c r="E237" s="95"/>
      <c r="F237" s="96"/>
      <c r="G237" s="99">
        <f>SUM(G230:G236)</f>
        <v>0</v>
      </c>
      <c r="H237" s="406">
        <f>SUM(H230:H236)</f>
        <v>0</v>
      </c>
      <c r="I237" s="96">
        <f>SUM(I230:I236)</f>
        <v>0</v>
      </c>
      <c r="J237" s="97">
        <f>SUM(J230:J236)</f>
        <v>0</v>
      </c>
      <c r="K237" s="395"/>
      <c r="L237" s="101"/>
      <c r="M237" s="367"/>
      <c r="N237" s="103"/>
      <c r="O237" s="100"/>
      <c r="P237" s="104"/>
      <c r="Q237" s="100"/>
      <c r="R237" s="100"/>
      <c r="S237" s="100"/>
      <c r="T237" s="101"/>
      <c r="U237" s="101"/>
      <c r="V237" s="102"/>
      <c r="W237" s="103"/>
      <c r="X237" s="100"/>
      <c r="Y237" s="104"/>
      <c r="Z237" s="100"/>
      <c r="AA237" s="100"/>
      <c r="AB237" s="100"/>
      <c r="AC237" s="101"/>
      <c r="AD237" s="101"/>
      <c r="AE237" s="102"/>
      <c r="AF237" s="103"/>
      <c r="AG237" s="100"/>
      <c r="AH237" s="104"/>
      <c r="AI237" s="100"/>
      <c r="AJ237" s="100"/>
      <c r="AK237" s="100"/>
      <c r="AL237" s="101"/>
      <c r="AM237" s="101"/>
      <c r="AN237" s="102"/>
      <c r="AO237" s="103"/>
      <c r="AP237" s="100"/>
      <c r="AQ237" s="104"/>
      <c r="AR237" s="100"/>
      <c r="AS237" s="100"/>
      <c r="AT237" s="100"/>
      <c r="AU237" s="101"/>
      <c r="AV237" s="101"/>
      <c r="AW237" s="102"/>
      <c r="AX237" s="103"/>
      <c r="AY237" s="100"/>
      <c r="AZ237" s="104"/>
      <c r="BA237" s="100"/>
      <c r="BB237" s="100"/>
      <c r="BC237" s="100"/>
      <c r="BD237" s="101"/>
      <c r="BE237" s="101"/>
      <c r="BF237" s="102"/>
      <c r="BG237" s="103"/>
      <c r="BH237" s="100"/>
      <c r="BI237" s="104"/>
      <c r="BJ237" s="100"/>
      <c r="BK237" s="100"/>
      <c r="BL237" s="100"/>
      <c r="BM237" s="101"/>
      <c r="BN237" s="101"/>
      <c r="BO237" s="102"/>
      <c r="BP237" s="103"/>
      <c r="BQ237" s="100"/>
      <c r="BR237" s="104"/>
      <c r="BS237" s="100"/>
      <c r="BT237" s="100"/>
      <c r="BU237" s="100"/>
      <c r="BV237" s="101"/>
      <c r="BW237" s="101"/>
      <c r="BX237" s="102"/>
      <c r="BY237" s="103"/>
      <c r="BZ237" s="100"/>
      <c r="CA237" s="104"/>
      <c r="CB237" s="100"/>
      <c r="CC237" s="100"/>
      <c r="CD237" s="100"/>
      <c r="CE237" s="101"/>
      <c r="CF237" s="101"/>
      <c r="CG237" s="102"/>
      <c r="CH237" s="103"/>
      <c r="CI237" s="100"/>
      <c r="CJ237" s="104"/>
      <c r="CK237" s="100"/>
      <c r="CL237" s="100"/>
      <c r="CM237" s="100"/>
      <c r="CN237" s="101"/>
      <c r="CO237" s="101"/>
      <c r="CP237" s="102"/>
      <c r="CQ237" s="103"/>
      <c r="CR237" s="100"/>
      <c r="CS237" s="104"/>
      <c r="CT237" s="100"/>
      <c r="CU237" s="100"/>
      <c r="CV237" s="100"/>
      <c r="CW237" s="101"/>
      <c r="CX237" s="101"/>
      <c r="CY237" s="102"/>
      <c r="CZ237" s="103"/>
      <c r="DA237" s="100"/>
      <c r="DB237" s="104"/>
      <c r="DC237" s="100"/>
      <c r="DD237" s="100"/>
      <c r="DE237" s="100"/>
      <c r="DF237" s="101"/>
      <c r="DG237" s="101"/>
      <c r="DH237" s="102"/>
      <c r="DI237" s="103"/>
      <c r="DJ237" s="100"/>
      <c r="DK237" s="104"/>
      <c r="DL237" s="100"/>
      <c r="DM237" s="100"/>
      <c r="DN237" s="100"/>
      <c r="DO237" s="101"/>
      <c r="DP237" s="101"/>
      <c r="DQ237" s="102"/>
      <c r="DR237" s="103"/>
      <c r="DS237" s="100"/>
      <c r="DT237" s="104"/>
      <c r="DU237" s="100"/>
      <c r="DV237" s="100"/>
      <c r="DW237" s="100"/>
      <c r="DX237" s="101"/>
      <c r="DY237" s="101"/>
      <c r="DZ237" s="102"/>
      <c r="EA237" s="103"/>
      <c r="EB237" s="100"/>
      <c r="EC237" s="104"/>
      <c r="ED237" s="100"/>
      <c r="EE237" s="100"/>
      <c r="EF237" s="100"/>
      <c r="EG237" s="101"/>
      <c r="EH237" s="101"/>
      <c r="EI237" s="102"/>
      <c r="EJ237" s="103"/>
      <c r="EK237" s="100"/>
      <c r="EL237" s="104"/>
      <c r="EM237" s="100"/>
      <c r="EN237" s="100"/>
      <c r="EO237" s="100"/>
      <c r="EP237" s="101"/>
      <c r="EQ237" s="101"/>
      <c r="ER237" s="102"/>
      <c r="ES237" s="103"/>
      <c r="ET237" s="100"/>
      <c r="EU237" s="104"/>
      <c r="EV237" s="100"/>
      <c r="EW237" s="100"/>
      <c r="EX237" s="100"/>
      <c r="EY237" s="101"/>
      <c r="EZ237" s="101"/>
      <c r="FA237" s="102"/>
      <c r="FB237" s="103"/>
      <c r="FC237" s="100"/>
      <c r="FD237" s="104"/>
      <c r="FE237" s="100"/>
      <c r="FF237" s="100"/>
      <c r="FG237" s="100"/>
      <c r="FH237" s="101"/>
      <c r="FI237" s="101"/>
      <c r="FJ237" s="102"/>
      <c r="FK237" s="103"/>
      <c r="FL237" s="100"/>
      <c r="FM237" s="104"/>
      <c r="FN237" s="100"/>
      <c r="FO237" s="100"/>
      <c r="FP237" s="100"/>
      <c r="FQ237" s="101"/>
      <c r="FR237" s="101"/>
      <c r="FS237" s="102"/>
      <c r="FT237" s="103"/>
      <c r="FU237" s="100"/>
      <c r="FV237" s="104"/>
      <c r="FW237" s="100"/>
      <c r="FX237" s="100"/>
      <c r="FY237" s="100"/>
      <c r="FZ237" s="101"/>
      <c r="GA237" s="101"/>
      <c r="GB237" s="102"/>
      <c r="GC237" s="103"/>
      <c r="GD237" s="100"/>
      <c r="GE237" s="104"/>
      <c r="GF237" s="100"/>
      <c r="GG237" s="100"/>
      <c r="GH237" s="100"/>
      <c r="GI237" s="101"/>
      <c r="GJ237" s="101"/>
      <c r="GK237" s="102"/>
      <c r="GL237" s="103"/>
      <c r="GM237" s="100"/>
      <c r="GN237" s="104"/>
      <c r="GO237" s="100"/>
      <c r="GP237" s="100"/>
      <c r="GQ237" s="100"/>
      <c r="GR237" s="101"/>
      <c r="GS237" s="101"/>
      <c r="GT237" s="102"/>
      <c r="GU237" s="103"/>
      <c r="GV237" s="100"/>
      <c r="GW237" s="104"/>
      <c r="GX237" s="100"/>
      <c r="GY237" s="100"/>
      <c r="GZ237" s="100"/>
      <c r="HA237" s="101"/>
      <c r="HB237" s="101"/>
      <c r="HC237" s="102"/>
      <c r="HD237" s="103"/>
      <c r="HE237" s="100"/>
      <c r="HF237" s="104"/>
      <c r="HG237" s="100"/>
      <c r="HH237" s="100"/>
      <c r="HI237" s="100"/>
      <c r="HJ237" s="101"/>
      <c r="HK237" s="101"/>
      <c r="HL237" s="102"/>
      <c r="HM237" s="103"/>
      <c r="HN237" s="100"/>
      <c r="HO237" s="104"/>
      <c r="HP237" s="100"/>
      <c r="HQ237" s="100"/>
      <c r="HR237" s="100"/>
      <c r="HS237" s="101"/>
      <c r="HT237" s="101"/>
      <c r="HU237" s="102"/>
      <c r="HV237" s="103"/>
      <c r="HW237" s="100"/>
      <c r="HX237" s="104"/>
      <c r="HY237" s="100"/>
      <c r="HZ237" s="100"/>
      <c r="IA237" s="100"/>
      <c r="IB237" s="101"/>
      <c r="IC237" s="101"/>
      <c r="ID237" s="102"/>
      <c r="IE237" s="103"/>
      <c r="IF237" s="100"/>
      <c r="IG237" s="104"/>
      <c r="IH237" s="100"/>
      <c r="II237" s="100"/>
      <c r="IJ237" s="100"/>
    </row>
    <row r="238" spans="1:244" s="93" customFormat="1" ht="39" customHeight="1" outlineLevel="1" x14ac:dyDescent="0.2">
      <c r="A238" s="115"/>
      <c r="B238" s="115"/>
      <c r="C238" s="85"/>
      <c r="D238" s="86"/>
      <c r="E238" s="86"/>
      <c r="F238" s="87"/>
      <c r="G238" s="88"/>
      <c r="H238" s="89"/>
      <c r="I238" s="90"/>
      <c r="J238" s="91"/>
      <c r="K238" s="395"/>
      <c r="M238" s="380">
        <f>SUM(M231:M237)</f>
        <v>0</v>
      </c>
    </row>
    <row r="239" spans="1:244" s="93" customFormat="1" ht="20" customHeight="1" outlineLevel="2" x14ac:dyDescent="0.2">
      <c r="A239" s="85"/>
      <c r="B239" s="408"/>
      <c r="C239" s="85"/>
      <c r="D239" s="86"/>
      <c r="E239" s="86"/>
      <c r="F239" s="87"/>
      <c r="G239" s="88">
        <f t="shared" ref="G239:G244" si="78">(D239*E239*F239)</f>
        <v>0</v>
      </c>
      <c r="H239" s="89">
        <f t="shared" ref="H239:H245" si="79">G239/$K$3</f>
        <v>0</v>
      </c>
      <c r="I239" s="90">
        <f>H239</f>
        <v>0</v>
      </c>
      <c r="J239" s="91"/>
      <c r="K239" s="395"/>
      <c r="M239" s="367"/>
    </row>
    <row r="240" spans="1:244" s="93" customFormat="1" ht="20" customHeight="1" outlineLevel="2" x14ac:dyDescent="0.2">
      <c r="A240" s="85"/>
      <c r="B240" s="408"/>
      <c r="C240" s="85"/>
      <c r="D240" s="86"/>
      <c r="E240" s="86"/>
      <c r="F240" s="87"/>
      <c r="G240" s="88">
        <f t="shared" si="78"/>
        <v>0</v>
      </c>
      <c r="H240" s="89">
        <f t="shared" si="79"/>
        <v>0</v>
      </c>
      <c r="I240" s="90">
        <f t="shared" ref="I240:I245" si="80">H240</f>
        <v>0</v>
      </c>
      <c r="J240" s="91"/>
      <c r="K240" s="395"/>
      <c r="M240" s="367"/>
    </row>
    <row r="241" spans="1:244" s="93" customFormat="1" ht="20" customHeight="1" outlineLevel="2" x14ac:dyDescent="0.2">
      <c r="A241" s="85"/>
      <c r="B241" s="408"/>
      <c r="C241" s="85"/>
      <c r="D241" s="86"/>
      <c r="E241" s="86"/>
      <c r="F241" s="87"/>
      <c r="G241" s="88">
        <f t="shared" si="78"/>
        <v>0</v>
      </c>
      <c r="H241" s="89">
        <f t="shared" si="79"/>
        <v>0</v>
      </c>
      <c r="I241" s="90">
        <f t="shared" si="80"/>
        <v>0</v>
      </c>
      <c r="J241" s="91"/>
      <c r="K241" s="395"/>
      <c r="M241" s="367"/>
    </row>
    <row r="242" spans="1:244" s="93" customFormat="1" ht="20" customHeight="1" outlineLevel="2" x14ac:dyDescent="0.2">
      <c r="A242" s="85"/>
      <c r="B242" s="408"/>
      <c r="C242" s="85"/>
      <c r="D242" s="86"/>
      <c r="E242" s="86"/>
      <c r="F242" s="87"/>
      <c r="G242" s="88">
        <f t="shared" si="78"/>
        <v>0</v>
      </c>
      <c r="H242" s="89">
        <f t="shared" si="79"/>
        <v>0</v>
      </c>
      <c r="I242" s="90">
        <f t="shared" si="80"/>
        <v>0</v>
      </c>
      <c r="J242" s="91"/>
      <c r="K242" s="395"/>
      <c r="M242" s="367"/>
    </row>
    <row r="243" spans="1:244" s="93" customFormat="1" ht="20" customHeight="1" outlineLevel="2" x14ac:dyDescent="0.2">
      <c r="A243" s="85"/>
      <c r="B243" s="408"/>
      <c r="C243" s="85"/>
      <c r="D243" s="86"/>
      <c r="E243" s="86"/>
      <c r="F243" s="87"/>
      <c r="G243" s="88">
        <f t="shared" si="78"/>
        <v>0</v>
      </c>
      <c r="H243" s="89">
        <f t="shared" si="79"/>
        <v>0</v>
      </c>
      <c r="I243" s="90">
        <f t="shared" si="80"/>
        <v>0</v>
      </c>
      <c r="J243" s="91"/>
      <c r="K243" s="395"/>
      <c r="M243" s="367"/>
    </row>
    <row r="244" spans="1:244" s="93" customFormat="1" ht="20" customHeight="1" outlineLevel="2" x14ac:dyDescent="0.2">
      <c r="A244" s="85"/>
      <c r="B244" s="408"/>
      <c r="C244" s="85"/>
      <c r="D244" s="86"/>
      <c r="E244" s="86"/>
      <c r="F244" s="87"/>
      <c r="G244" s="88">
        <f t="shared" si="78"/>
        <v>0</v>
      </c>
      <c r="H244" s="89">
        <f t="shared" si="79"/>
        <v>0</v>
      </c>
      <c r="I244" s="90">
        <f t="shared" si="80"/>
        <v>0</v>
      </c>
      <c r="J244" s="91"/>
      <c r="K244" s="395"/>
      <c r="M244" s="367"/>
    </row>
    <row r="245" spans="1:244" s="93" customFormat="1" ht="20" customHeight="1" outlineLevel="2" x14ac:dyDescent="0.2">
      <c r="A245" s="85"/>
      <c r="B245" s="408"/>
      <c r="C245" s="85"/>
      <c r="D245" s="86"/>
      <c r="E245" s="86"/>
      <c r="F245" s="87"/>
      <c r="G245" s="88">
        <f>(D245*E245*F245)</f>
        <v>0</v>
      </c>
      <c r="H245" s="89">
        <f t="shared" si="79"/>
        <v>0</v>
      </c>
      <c r="I245" s="90">
        <f t="shared" si="80"/>
        <v>0</v>
      </c>
      <c r="J245" s="91"/>
      <c r="K245" s="395"/>
      <c r="M245" s="367"/>
    </row>
    <row r="246" spans="1:244" s="105" customFormat="1" outlineLevel="1" x14ac:dyDescent="0.2">
      <c r="A246" s="94" t="s">
        <v>288</v>
      </c>
      <c r="B246" s="95"/>
      <c r="C246" s="98"/>
      <c r="D246" s="98"/>
      <c r="E246" s="95"/>
      <c r="F246" s="96"/>
      <c r="G246" s="99">
        <f>SUM(G239:G245)</f>
        <v>0</v>
      </c>
      <c r="H246" s="406">
        <f>SUM(H239:H245)</f>
        <v>0</v>
      </c>
      <c r="I246" s="96">
        <f>SUM(I239:I245)</f>
        <v>0</v>
      </c>
      <c r="J246" s="97">
        <f>SUM(J239:J245)</f>
        <v>0</v>
      </c>
      <c r="K246" s="395"/>
      <c r="L246" s="101"/>
      <c r="M246" s="367"/>
      <c r="N246" s="103"/>
      <c r="O246" s="100"/>
      <c r="P246" s="104"/>
      <c r="Q246" s="100"/>
      <c r="R246" s="100"/>
      <c r="S246" s="100"/>
      <c r="T246" s="101"/>
      <c r="U246" s="101"/>
      <c r="V246" s="102"/>
      <c r="W246" s="103"/>
      <c r="X246" s="100"/>
      <c r="Y246" s="104"/>
      <c r="Z246" s="100"/>
      <c r="AA246" s="100"/>
      <c r="AB246" s="100"/>
      <c r="AC246" s="101"/>
      <c r="AD246" s="101"/>
      <c r="AE246" s="102"/>
      <c r="AF246" s="103"/>
      <c r="AG246" s="100"/>
      <c r="AH246" s="104"/>
      <c r="AI246" s="100"/>
      <c r="AJ246" s="100"/>
      <c r="AK246" s="100"/>
      <c r="AL246" s="101"/>
      <c r="AM246" s="101"/>
      <c r="AN246" s="102"/>
      <c r="AO246" s="103"/>
      <c r="AP246" s="100"/>
      <c r="AQ246" s="104"/>
      <c r="AR246" s="100"/>
      <c r="AS246" s="100"/>
      <c r="AT246" s="100"/>
      <c r="AU246" s="101"/>
      <c r="AV246" s="101"/>
      <c r="AW246" s="102"/>
      <c r="AX246" s="103"/>
      <c r="AY246" s="100"/>
      <c r="AZ246" s="104"/>
      <c r="BA246" s="100"/>
      <c r="BB246" s="100"/>
      <c r="BC246" s="100"/>
      <c r="BD246" s="101"/>
      <c r="BE246" s="101"/>
      <c r="BF246" s="102"/>
      <c r="BG246" s="103"/>
      <c r="BH246" s="100"/>
      <c r="BI246" s="104"/>
      <c r="BJ246" s="100"/>
      <c r="BK246" s="100"/>
      <c r="BL246" s="100"/>
      <c r="BM246" s="101"/>
      <c r="BN246" s="101"/>
      <c r="BO246" s="102"/>
      <c r="BP246" s="103"/>
      <c r="BQ246" s="100"/>
      <c r="BR246" s="104"/>
      <c r="BS246" s="100"/>
      <c r="BT246" s="100"/>
      <c r="BU246" s="100"/>
      <c r="BV246" s="101"/>
      <c r="BW246" s="101"/>
      <c r="BX246" s="102"/>
      <c r="BY246" s="103"/>
      <c r="BZ246" s="100"/>
      <c r="CA246" s="104"/>
      <c r="CB246" s="100"/>
      <c r="CC246" s="100"/>
      <c r="CD246" s="100"/>
      <c r="CE246" s="101"/>
      <c r="CF246" s="101"/>
      <c r="CG246" s="102"/>
      <c r="CH246" s="103"/>
      <c r="CI246" s="100"/>
      <c r="CJ246" s="104"/>
      <c r="CK246" s="100"/>
      <c r="CL246" s="100"/>
      <c r="CM246" s="100"/>
      <c r="CN246" s="101"/>
      <c r="CO246" s="101"/>
      <c r="CP246" s="102"/>
      <c r="CQ246" s="103"/>
      <c r="CR246" s="100"/>
      <c r="CS246" s="104"/>
      <c r="CT246" s="100"/>
      <c r="CU246" s="100"/>
      <c r="CV246" s="100"/>
      <c r="CW246" s="101"/>
      <c r="CX246" s="101"/>
      <c r="CY246" s="102"/>
      <c r="CZ246" s="103"/>
      <c r="DA246" s="100"/>
      <c r="DB246" s="104"/>
      <c r="DC246" s="100"/>
      <c r="DD246" s="100"/>
      <c r="DE246" s="100"/>
      <c r="DF246" s="101"/>
      <c r="DG246" s="101"/>
      <c r="DH246" s="102"/>
      <c r="DI246" s="103"/>
      <c r="DJ246" s="100"/>
      <c r="DK246" s="104"/>
      <c r="DL246" s="100"/>
      <c r="DM246" s="100"/>
      <c r="DN246" s="100"/>
      <c r="DO246" s="101"/>
      <c r="DP246" s="101"/>
      <c r="DQ246" s="102"/>
      <c r="DR246" s="103"/>
      <c r="DS246" s="100"/>
      <c r="DT246" s="104"/>
      <c r="DU246" s="100"/>
      <c r="DV246" s="100"/>
      <c r="DW246" s="100"/>
      <c r="DX246" s="101"/>
      <c r="DY246" s="101"/>
      <c r="DZ246" s="102"/>
      <c r="EA246" s="103"/>
      <c r="EB246" s="100"/>
      <c r="EC246" s="104"/>
      <c r="ED246" s="100"/>
      <c r="EE246" s="100"/>
      <c r="EF246" s="100"/>
      <c r="EG246" s="101"/>
      <c r="EH246" s="101"/>
      <c r="EI246" s="102"/>
      <c r="EJ246" s="103"/>
      <c r="EK246" s="100"/>
      <c r="EL246" s="104"/>
      <c r="EM246" s="100"/>
      <c r="EN246" s="100"/>
      <c r="EO246" s="100"/>
      <c r="EP246" s="101"/>
      <c r="EQ246" s="101"/>
      <c r="ER246" s="102"/>
      <c r="ES246" s="103"/>
      <c r="ET246" s="100"/>
      <c r="EU246" s="104"/>
      <c r="EV246" s="100"/>
      <c r="EW246" s="100"/>
      <c r="EX246" s="100"/>
      <c r="EY246" s="101"/>
      <c r="EZ246" s="101"/>
      <c r="FA246" s="102"/>
      <c r="FB246" s="103"/>
      <c r="FC246" s="100"/>
      <c r="FD246" s="104"/>
      <c r="FE246" s="100"/>
      <c r="FF246" s="100"/>
      <c r="FG246" s="100"/>
      <c r="FH246" s="101"/>
      <c r="FI246" s="101"/>
      <c r="FJ246" s="102"/>
      <c r="FK246" s="103"/>
      <c r="FL246" s="100"/>
      <c r="FM246" s="104"/>
      <c r="FN246" s="100"/>
      <c r="FO246" s="100"/>
      <c r="FP246" s="100"/>
      <c r="FQ246" s="101"/>
      <c r="FR246" s="101"/>
      <c r="FS246" s="102"/>
      <c r="FT246" s="103"/>
      <c r="FU246" s="100"/>
      <c r="FV246" s="104"/>
      <c r="FW246" s="100"/>
      <c r="FX246" s="100"/>
      <c r="FY246" s="100"/>
      <c r="FZ246" s="101"/>
      <c r="GA246" s="101"/>
      <c r="GB246" s="102"/>
      <c r="GC246" s="103"/>
      <c r="GD246" s="100"/>
      <c r="GE246" s="104"/>
      <c r="GF246" s="100"/>
      <c r="GG246" s="100"/>
      <c r="GH246" s="100"/>
      <c r="GI246" s="101"/>
      <c r="GJ246" s="101"/>
      <c r="GK246" s="102"/>
      <c r="GL246" s="103"/>
      <c r="GM246" s="100"/>
      <c r="GN246" s="104"/>
      <c r="GO246" s="100"/>
      <c r="GP246" s="100"/>
      <c r="GQ246" s="100"/>
      <c r="GR246" s="101"/>
      <c r="GS246" s="101"/>
      <c r="GT246" s="102"/>
      <c r="GU246" s="103"/>
      <c r="GV246" s="100"/>
      <c r="GW246" s="104"/>
      <c r="GX246" s="100"/>
      <c r="GY246" s="100"/>
      <c r="GZ246" s="100"/>
      <c r="HA246" s="101"/>
      <c r="HB246" s="101"/>
      <c r="HC246" s="102"/>
      <c r="HD246" s="103"/>
      <c r="HE246" s="100"/>
      <c r="HF246" s="104"/>
      <c r="HG246" s="100"/>
      <c r="HH246" s="100"/>
      <c r="HI246" s="100"/>
      <c r="HJ246" s="101"/>
      <c r="HK246" s="101"/>
      <c r="HL246" s="102"/>
      <c r="HM246" s="103"/>
      <c r="HN246" s="100"/>
      <c r="HO246" s="104"/>
      <c r="HP246" s="100"/>
      <c r="HQ246" s="100"/>
      <c r="HR246" s="100"/>
      <c r="HS246" s="101"/>
      <c r="HT246" s="101"/>
      <c r="HU246" s="102"/>
      <c r="HV246" s="103"/>
      <c r="HW246" s="100"/>
      <c r="HX246" s="104"/>
      <c r="HY246" s="100"/>
      <c r="HZ246" s="100"/>
      <c r="IA246" s="100"/>
      <c r="IB246" s="101"/>
      <c r="IC246" s="101"/>
      <c r="ID246" s="102"/>
      <c r="IE246" s="103"/>
      <c r="IF246" s="100"/>
      <c r="IG246" s="104"/>
      <c r="IH246" s="100"/>
      <c r="II246" s="100"/>
      <c r="IJ246" s="100"/>
    </row>
    <row r="247" spans="1:244" s="93" customFormat="1" ht="39" customHeight="1" outlineLevel="1" x14ac:dyDescent="0.2">
      <c r="A247" s="115"/>
      <c r="B247" s="115"/>
      <c r="C247" s="85"/>
      <c r="D247" s="86"/>
      <c r="E247" s="86"/>
      <c r="F247" s="87"/>
      <c r="G247" s="88"/>
      <c r="H247" s="89"/>
      <c r="I247" s="90"/>
      <c r="J247" s="91"/>
      <c r="K247" s="395"/>
      <c r="M247" s="380">
        <f>SUM(M240:M246)</f>
        <v>0</v>
      </c>
    </row>
    <row r="248" spans="1:244" s="93" customFormat="1" ht="20" customHeight="1" outlineLevel="2" x14ac:dyDescent="0.2">
      <c r="A248" s="85"/>
      <c r="B248" s="408"/>
      <c r="C248" s="85"/>
      <c r="D248" s="86"/>
      <c r="E248" s="86"/>
      <c r="F248" s="87"/>
      <c r="G248" s="88">
        <f t="shared" ref="G248:G253" si="81">(D248*E248*F248)</f>
        <v>0</v>
      </c>
      <c r="H248" s="89">
        <f t="shared" ref="H248:H254" si="82">G248/$K$3</f>
        <v>0</v>
      </c>
      <c r="I248" s="90">
        <f>H248</f>
        <v>0</v>
      </c>
      <c r="J248" s="91"/>
      <c r="K248" s="395"/>
      <c r="M248" s="367"/>
    </row>
    <row r="249" spans="1:244" s="93" customFormat="1" ht="20" customHeight="1" outlineLevel="2" x14ac:dyDescent="0.2">
      <c r="A249" s="85"/>
      <c r="B249" s="408"/>
      <c r="C249" s="85"/>
      <c r="D249" s="86"/>
      <c r="E249" s="86"/>
      <c r="F249" s="87"/>
      <c r="G249" s="88">
        <f t="shared" si="81"/>
        <v>0</v>
      </c>
      <c r="H249" s="89">
        <f t="shared" si="82"/>
        <v>0</v>
      </c>
      <c r="I249" s="90">
        <f t="shared" ref="I249:I254" si="83">H249</f>
        <v>0</v>
      </c>
      <c r="J249" s="91"/>
      <c r="K249" s="395"/>
      <c r="M249" s="367"/>
    </row>
    <row r="250" spans="1:244" s="93" customFormat="1" ht="20" customHeight="1" outlineLevel="2" x14ac:dyDescent="0.2">
      <c r="A250" s="85"/>
      <c r="B250" s="408"/>
      <c r="C250" s="85"/>
      <c r="D250" s="86"/>
      <c r="E250" s="86"/>
      <c r="F250" s="87"/>
      <c r="G250" s="88">
        <f t="shared" si="81"/>
        <v>0</v>
      </c>
      <c r="H250" s="89">
        <f t="shared" si="82"/>
        <v>0</v>
      </c>
      <c r="I250" s="90">
        <f t="shared" si="83"/>
        <v>0</v>
      </c>
      <c r="J250" s="91"/>
      <c r="K250" s="395"/>
      <c r="M250" s="367"/>
    </row>
    <row r="251" spans="1:244" s="93" customFormat="1" ht="20" customHeight="1" outlineLevel="2" x14ac:dyDescent="0.2">
      <c r="A251" s="85"/>
      <c r="B251" s="408"/>
      <c r="C251" s="85"/>
      <c r="D251" s="86"/>
      <c r="E251" s="86"/>
      <c r="F251" s="87"/>
      <c r="G251" s="88">
        <f t="shared" si="81"/>
        <v>0</v>
      </c>
      <c r="H251" s="89">
        <f t="shared" si="82"/>
        <v>0</v>
      </c>
      <c r="I251" s="90">
        <f t="shared" si="83"/>
        <v>0</v>
      </c>
      <c r="J251" s="91"/>
      <c r="K251" s="395"/>
      <c r="M251" s="367"/>
    </row>
    <row r="252" spans="1:244" s="93" customFormat="1" ht="20" customHeight="1" outlineLevel="2" x14ac:dyDescent="0.2">
      <c r="A252" s="85"/>
      <c r="B252" s="408"/>
      <c r="C252" s="85"/>
      <c r="D252" s="86"/>
      <c r="E252" s="86"/>
      <c r="F252" s="87"/>
      <c r="G252" s="88">
        <f t="shared" si="81"/>
        <v>0</v>
      </c>
      <c r="H252" s="89">
        <f t="shared" si="82"/>
        <v>0</v>
      </c>
      <c r="I252" s="90">
        <f t="shared" si="83"/>
        <v>0</v>
      </c>
      <c r="J252" s="91"/>
      <c r="K252" s="395"/>
      <c r="M252" s="367"/>
    </row>
    <row r="253" spans="1:244" s="93" customFormat="1" ht="20" customHeight="1" outlineLevel="2" x14ac:dyDescent="0.2">
      <c r="A253" s="85"/>
      <c r="B253" s="408"/>
      <c r="C253" s="85"/>
      <c r="D253" s="86"/>
      <c r="E253" s="86"/>
      <c r="F253" s="87"/>
      <c r="G253" s="88">
        <f t="shared" si="81"/>
        <v>0</v>
      </c>
      <c r="H253" s="89">
        <f t="shared" si="82"/>
        <v>0</v>
      </c>
      <c r="I253" s="90">
        <f t="shared" si="83"/>
        <v>0</v>
      </c>
      <c r="J253" s="91"/>
      <c r="K253" s="395"/>
      <c r="M253" s="367"/>
    </row>
    <row r="254" spans="1:244" s="93" customFormat="1" ht="20" customHeight="1" outlineLevel="2" x14ac:dyDescent="0.2">
      <c r="A254" s="85"/>
      <c r="B254" s="408"/>
      <c r="C254" s="85"/>
      <c r="D254" s="86"/>
      <c r="E254" s="86"/>
      <c r="F254" s="87"/>
      <c r="G254" s="88">
        <f>(D254*E254*F254)</f>
        <v>0</v>
      </c>
      <c r="H254" s="89">
        <f t="shared" si="82"/>
        <v>0</v>
      </c>
      <c r="I254" s="90">
        <f t="shared" si="83"/>
        <v>0</v>
      </c>
      <c r="J254" s="91"/>
      <c r="K254" s="395"/>
      <c r="M254" s="367"/>
    </row>
    <row r="255" spans="1:244" s="105" customFormat="1" outlineLevel="1" x14ac:dyDescent="0.2">
      <c r="A255" s="94" t="s">
        <v>288</v>
      </c>
      <c r="B255" s="95"/>
      <c r="C255" s="98"/>
      <c r="D255" s="98"/>
      <c r="E255" s="95"/>
      <c r="F255" s="96"/>
      <c r="G255" s="99">
        <f>SUM(G248:G254)</f>
        <v>0</v>
      </c>
      <c r="H255" s="406">
        <f>SUM(H248:H254)</f>
        <v>0</v>
      </c>
      <c r="I255" s="96">
        <f>SUM(I248:I254)</f>
        <v>0</v>
      </c>
      <c r="J255" s="97">
        <f>SUM(J248:J254)</f>
        <v>0</v>
      </c>
      <c r="K255" s="395"/>
      <c r="L255" s="101"/>
      <c r="M255" s="367"/>
      <c r="N255" s="103"/>
      <c r="O255" s="100"/>
      <c r="P255" s="104"/>
      <c r="Q255" s="100"/>
      <c r="R255" s="100"/>
      <c r="S255" s="100"/>
      <c r="T255" s="101"/>
      <c r="U255" s="101"/>
      <c r="V255" s="102"/>
      <c r="W255" s="103"/>
      <c r="X255" s="100"/>
      <c r="Y255" s="104"/>
      <c r="Z255" s="100"/>
      <c r="AA255" s="100"/>
      <c r="AB255" s="100"/>
      <c r="AC255" s="101"/>
      <c r="AD255" s="101"/>
      <c r="AE255" s="102"/>
      <c r="AF255" s="103"/>
      <c r="AG255" s="100"/>
      <c r="AH255" s="104"/>
      <c r="AI255" s="100"/>
      <c r="AJ255" s="100"/>
      <c r="AK255" s="100"/>
      <c r="AL255" s="101"/>
      <c r="AM255" s="101"/>
      <c r="AN255" s="102"/>
      <c r="AO255" s="103"/>
      <c r="AP255" s="100"/>
      <c r="AQ255" s="104"/>
      <c r="AR255" s="100"/>
      <c r="AS255" s="100"/>
      <c r="AT255" s="100"/>
      <c r="AU255" s="101"/>
      <c r="AV255" s="101"/>
      <c r="AW255" s="102"/>
      <c r="AX255" s="103"/>
      <c r="AY255" s="100"/>
      <c r="AZ255" s="104"/>
      <c r="BA255" s="100"/>
      <c r="BB255" s="100"/>
      <c r="BC255" s="100"/>
      <c r="BD255" s="101"/>
      <c r="BE255" s="101"/>
      <c r="BF255" s="102"/>
      <c r="BG255" s="103"/>
      <c r="BH255" s="100"/>
      <c r="BI255" s="104"/>
      <c r="BJ255" s="100"/>
      <c r="BK255" s="100"/>
      <c r="BL255" s="100"/>
      <c r="BM255" s="101"/>
      <c r="BN255" s="101"/>
      <c r="BO255" s="102"/>
      <c r="BP255" s="103"/>
      <c r="BQ255" s="100"/>
      <c r="BR255" s="104"/>
      <c r="BS255" s="100"/>
      <c r="BT255" s="100"/>
      <c r="BU255" s="100"/>
      <c r="BV255" s="101"/>
      <c r="BW255" s="101"/>
      <c r="BX255" s="102"/>
      <c r="BY255" s="103"/>
      <c r="BZ255" s="100"/>
      <c r="CA255" s="104"/>
      <c r="CB255" s="100"/>
      <c r="CC255" s="100"/>
      <c r="CD255" s="100"/>
      <c r="CE255" s="101"/>
      <c r="CF255" s="101"/>
      <c r="CG255" s="102"/>
      <c r="CH255" s="103"/>
      <c r="CI255" s="100"/>
      <c r="CJ255" s="104"/>
      <c r="CK255" s="100"/>
      <c r="CL255" s="100"/>
      <c r="CM255" s="100"/>
      <c r="CN255" s="101"/>
      <c r="CO255" s="101"/>
      <c r="CP255" s="102"/>
      <c r="CQ255" s="103"/>
      <c r="CR255" s="100"/>
      <c r="CS255" s="104"/>
      <c r="CT255" s="100"/>
      <c r="CU255" s="100"/>
      <c r="CV255" s="100"/>
      <c r="CW255" s="101"/>
      <c r="CX255" s="101"/>
      <c r="CY255" s="102"/>
      <c r="CZ255" s="103"/>
      <c r="DA255" s="100"/>
      <c r="DB255" s="104"/>
      <c r="DC255" s="100"/>
      <c r="DD255" s="100"/>
      <c r="DE255" s="100"/>
      <c r="DF255" s="101"/>
      <c r="DG255" s="101"/>
      <c r="DH255" s="102"/>
      <c r="DI255" s="103"/>
      <c r="DJ255" s="100"/>
      <c r="DK255" s="104"/>
      <c r="DL255" s="100"/>
      <c r="DM255" s="100"/>
      <c r="DN255" s="100"/>
      <c r="DO255" s="101"/>
      <c r="DP255" s="101"/>
      <c r="DQ255" s="102"/>
      <c r="DR255" s="103"/>
      <c r="DS255" s="100"/>
      <c r="DT255" s="104"/>
      <c r="DU255" s="100"/>
      <c r="DV255" s="100"/>
      <c r="DW255" s="100"/>
      <c r="DX255" s="101"/>
      <c r="DY255" s="101"/>
      <c r="DZ255" s="102"/>
      <c r="EA255" s="103"/>
      <c r="EB255" s="100"/>
      <c r="EC255" s="104"/>
      <c r="ED255" s="100"/>
      <c r="EE255" s="100"/>
      <c r="EF255" s="100"/>
      <c r="EG255" s="101"/>
      <c r="EH255" s="101"/>
      <c r="EI255" s="102"/>
      <c r="EJ255" s="103"/>
      <c r="EK255" s="100"/>
      <c r="EL255" s="104"/>
      <c r="EM255" s="100"/>
      <c r="EN255" s="100"/>
      <c r="EO255" s="100"/>
      <c r="EP255" s="101"/>
      <c r="EQ255" s="101"/>
      <c r="ER255" s="102"/>
      <c r="ES255" s="103"/>
      <c r="ET255" s="100"/>
      <c r="EU255" s="104"/>
      <c r="EV255" s="100"/>
      <c r="EW255" s="100"/>
      <c r="EX255" s="100"/>
      <c r="EY255" s="101"/>
      <c r="EZ255" s="101"/>
      <c r="FA255" s="102"/>
      <c r="FB255" s="103"/>
      <c r="FC255" s="100"/>
      <c r="FD255" s="104"/>
      <c r="FE255" s="100"/>
      <c r="FF255" s="100"/>
      <c r="FG255" s="100"/>
      <c r="FH255" s="101"/>
      <c r="FI255" s="101"/>
      <c r="FJ255" s="102"/>
      <c r="FK255" s="103"/>
      <c r="FL255" s="100"/>
      <c r="FM255" s="104"/>
      <c r="FN255" s="100"/>
      <c r="FO255" s="100"/>
      <c r="FP255" s="100"/>
      <c r="FQ255" s="101"/>
      <c r="FR255" s="101"/>
      <c r="FS255" s="102"/>
      <c r="FT255" s="103"/>
      <c r="FU255" s="100"/>
      <c r="FV255" s="104"/>
      <c r="FW255" s="100"/>
      <c r="FX255" s="100"/>
      <c r="FY255" s="100"/>
      <c r="FZ255" s="101"/>
      <c r="GA255" s="101"/>
      <c r="GB255" s="102"/>
      <c r="GC255" s="103"/>
      <c r="GD255" s="100"/>
      <c r="GE255" s="104"/>
      <c r="GF255" s="100"/>
      <c r="GG255" s="100"/>
      <c r="GH255" s="100"/>
      <c r="GI255" s="101"/>
      <c r="GJ255" s="101"/>
      <c r="GK255" s="102"/>
      <c r="GL255" s="103"/>
      <c r="GM255" s="100"/>
      <c r="GN255" s="104"/>
      <c r="GO255" s="100"/>
      <c r="GP255" s="100"/>
      <c r="GQ255" s="100"/>
      <c r="GR255" s="101"/>
      <c r="GS255" s="101"/>
      <c r="GT255" s="102"/>
      <c r="GU255" s="103"/>
      <c r="GV255" s="100"/>
      <c r="GW255" s="104"/>
      <c r="GX255" s="100"/>
      <c r="GY255" s="100"/>
      <c r="GZ255" s="100"/>
      <c r="HA255" s="101"/>
      <c r="HB255" s="101"/>
      <c r="HC255" s="102"/>
      <c r="HD255" s="103"/>
      <c r="HE255" s="100"/>
      <c r="HF255" s="104"/>
      <c r="HG255" s="100"/>
      <c r="HH255" s="100"/>
      <c r="HI255" s="100"/>
      <c r="HJ255" s="101"/>
      <c r="HK255" s="101"/>
      <c r="HL255" s="102"/>
      <c r="HM255" s="103"/>
      <c r="HN255" s="100"/>
      <c r="HO255" s="104"/>
      <c r="HP255" s="100"/>
      <c r="HQ255" s="100"/>
      <c r="HR255" s="100"/>
      <c r="HS255" s="101"/>
      <c r="HT255" s="101"/>
      <c r="HU255" s="102"/>
      <c r="HV255" s="103"/>
      <c r="HW255" s="100"/>
      <c r="HX255" s="104"/>
      <c r="HY255" s="100"/>
      <c r="HZ255" s="100"/>
      <c r="IA255" s="100"/>
      <c r="IB255" s="101"/>
      <c r="IC255" s="101"/>
      <c r="ID255" s="102"/>
      <c r="IE255" s="103"/>
      <c r="IF255" s="100"/>
      <c r="IG255" s="104"/>
      <c r="IH255" s="100"/>
      <c r="II255" s="100"/>
      <c r="IJ255" s="100"/>
    </row>
    <row r="256" spans="1:244" s="93" customFormat="1" ht="39" customHeight="1" outlineLevel="1" x14ac:dyDescent="0.2">
      <c r="A256" s="115"/>
      <c r="B256" s="115"/>
      <c r="C256" s="85"/>
      <c r="D256" s="86"/>
      <c r="E256" s="86"/>
      <c r="F256" s="87"/>
      <c r="G256" s="88"/>
      <c r="H256" s="89"/>
      <c r="I256" s="90"/>
      <c r="J256" s="91"/>
      <c r="K256" s="395"/>
      <c r="M256" s="380">
        <f>SUM(M249:M255)</f>
        <v>0</v>
      </c>
    </row>
    <row r="257" spans="1:244" s="93" customFormat="1" ht="20" customHeight="1" outlineLevel="2" x14ac:dyDescent="0.2">
      <c r="A257" s="85"/>
      <c r="B257" s="408"/>
      <c r="C257" s="85"/>
      <c r="D257" s="86"/>
      <c r="E257" s="86"/>
      <c r="F257" s="87"/>
      <c r="G257" s="88">
        <f t="shared" ref="G257:G262" si="84">(D257*E257*F257)</f>
        <v>0</v>
      </c>
      <c r="H257" s="89">
        <f t="shared" ref="H257:H263" si="85">G257/$K$3</f>
        <v>0</v>
      </c>
      <c r="I257" s="90">
        <f>H257</f>
        <v>0</v>
      </c>
      <c r="J257" s="91"/>
      <c r="K257" s="395"/>
      <c r="M257" s="367"/>
    </row>
    <row r="258" spans="1:244" s="93" customFormat="1" ht="20" customHeight="1" outlineLevel="2" x14ac:dyDescent="0.2">
      <c r="A258" s="85"/>
      <c r="B258" s="408"/>
      <c r="C258" s="85"/>
      <c r="D258" s="86"/>
      <c r="E258" s="86"/>
      <c r="F258" s="87"/>
      <c r="G258" s="88">
        <f t="shared" si="84"/>
        <v>0</v>
      </c>
      <c r="H258" s="89">
        <f t="shared" si="85"/>
        <v>0</v>
      </c>
      <c r="I258" s="90">
        <f t="shared" ref="I258:I263" si="86">H258</f>
        <v>0</v>
      </c>
      <c r="J258" s="91"/>
      <c r="K258" s="395"/>
      <c r="M258" s="367"/>
    </row>
    <row r="259" spans="1:244" s="93" customFormat="1" ht="20" customHeight="1" outlineLevel="2" x14ac:dyDescent="0.2">
      <c r="A259" s="85"/>
      <c r="B259" s="408"/>
      <c r="C259" s="85"/>
      <c r="D259" s="86"/>
      <c r="E259" s="86"/>
      <c r="F259" s="87"/>
      <c r="G259" s="88">
        <f t="shared" si="84"/>
        <v>0</v>
      </c>
      <c r="H259" s="89">
        <f t="shared" si="85"/>
        <v>0</v>
      </c>
      <c r="I259" s="90">
        <f t="shared" si="86"/>
        <v>0</v>
      </c>
      <c r="J259" s="91"/>
      <c r="K259" s="395"/>
      <c r="M259" s="367"/>
    </row>
    <row r="260" spans="1:244" s="93" customFormat="1" ht="20" customHeight="1" outlineLevel="2" x14ac:dyDescent="0.2">
      <c r="A260" s="85"/>
      <c r="B260" s="408"/>
      <c r="C260" s="85"/>
      <c r="D260" s="86"/>
      <c r="E260" s="86"/>
      <c r="F260" s="87"/>
      <c r="G260" s="88">
        <f t="shared" si="84"/>
        <v>0</v>
      </c>
      <c r="H260" s="89">
        <f t="shared" si="85"/>
        <v>0</v>
      </c>
      <c r="I260" s="90">
        <f t="shared" si="86"/>
        <v>0</v>
      </c>
      <c r="J260" s="91"/>
      <c r="K260" s="395"/>
      <c r="M260" s="367"/>
    </row>
    <row r="261" spans="1:244" s="93" customFormat="1" ht="20" customHeight="1" outlineLevel="2" x14ac:dyDescent="0.2">
      <c r="A261" s="85"/>
      <c r="B261" s="408"/>
      <c r="C261" s="85"/>
      <c r="D261" s="86"/>
      <c r="E261" s="86"/>
      <c r="F261" s="87"/>
      <c r="G261" s="88">
        <f t="shared" si="84"/>
        <v>0</v>
      </c>
      <c r="H261" s="89">
        <f t="shared" si="85"/>
        <v>0</v>
      </c>
      <c r="I261" s="90">
        <f t="shared" si="86"/>
        <v>0</v>
      </c>
      <c r="J261" s="91"/>
      <c r="K261" s="395"/>
      <c r="M261" s="367"/>
    </row>
    <row r="262" spans="1:244" s="93" customFormat="1" ht="20" customHeight="1" outlineLevel="2" x14ac:dyDescent="0.2">
      <c r="A262" s="85"/>
      <c r="B262" s="408"/>
      <c r="C262" s="85"/>
      <c r="D262" s="86"/>
      <c r="E262" s="86"/>
      <c r="F262" s="87"/>
      <c r="G262" s="88">
        <f t="shared" si="84"/>
        <v>0</v>
      </c>
      <c r="H262" s="89">
        <f t="shared" si="85"/>
        <v>0</v>
      </c>
      <c r="I262" s="90">
        <f t="shared" si="86"/>
        <v>0</v>
      </c>
      <c r="J262" s="91"/>
      <c r="K262" s="395"/>
      <c r="M262" s="367"/>
    </row>
    <row r="263" spans="1:244" s="93" customFormat="1" ht="20" customHeight="1" outlineLevel="2" x14ac:dyDescent="0.2">
      <c r="A263" s="85"/>
      <c r="B263" s="408"/>
      <c r="C263" s="85"/>
      <c r="D263" s="86"/>
      <c r="E263" s="86"/>
      <c r="F263" s="87"/>
      <c r="G263" s="88">
        <f>(D263*E263*F263)</f>
        <v>0</v>
      </c>
      <c r="H263" s="89">
        <f t="shared" si="85"/>
        <v>0</v>
      </c>
      <c r="I263" s="90">
        <f t="shared" si="86"/>
        <v>0</v>
      </c>
      <c r="J263" s="91"/>
      <c r="K263" s="395"/>
      <c r="M263" s="367"/>
    </row>
    <row r="264" spans="1:244" s="105" customFormat="1" outlineLevel="1" x14ac:dyDescent="0.2">
      <c r="A264" s="94" t="s">
        <v>288</v>
      </c>
      <c r="B264" s="95"/>
      <c r="C264" s="98"/>
      <c r="D264" s="98"/>
      <c r="E264" s="95"/>
      <c r="F264" s="96"/>
      <c r="G264" s="99">
        <f>SUM(G257:G263)</f>
        <v>0</v>
      </c>
      <c r="H264" s="406">
        <f>SUM(H257:H263)</f>
        <v>0</v>
      </c>
      <c r="I264" s="96">
        <f>SUM(I257:I263)</f>
        <v>0</v>
      </c>
      <c r="J264" s="97">
        <f>SUM(J257:J263)</f>
        <v>0</v>
      </c>
      <c r="K264" s="395"/>
      <c r="L264" s="101"/>
      <c r="M264" s="367"/>
      <c r="N264" s="103"/>
      <c r="O264" s="100"/>
      <c r="P264" s="104"/>
      <c r="Q264" s="100"/>
      <c r="R264" s="100"/>
      <c r="S264" s="100"/>
      <c r="T264" s="101"/>
      <c r="U264" s="101"/>
      <c r="V264" s="102"/>
      <c r="W264" s="103"/>
      <c r="X264" s="100"/>
      <c r="Y264" s="104"/>
      <c r="Z264" s="100"/>
      <c r="AA264" s="100"/>
      <c r="AB264" s="100"/>
      <c r="AC264" s="101"/>
      <c r="AD264" s="101"/>
      <c r="AE264" s="102"/>
      <c r="AF264" s="103"/>
      <c r="AG264" s="100"/>
      <c r="AH264" s="104"/>
      <c r="AI264" s="100"/>
      <c r="AJ264" s="100"/>
      <c r="AK264" s="100"/>
      <c r="AL264" s="101"/>
      <c r="AM264" s="101"/>
      <c r="AN264" s="102"/>
      <c r="AO264" s="103"/>
      <c r="AP264" s="100"/>
      <c r="AQ264" s="104"/>
      <c r="AR264" s="100"/>
      <c r="AS264" s="100"/>
      <c r="AT264" s="100"/>
      <c r="AU264" s="101"/>
      <c r="AV264" s="101"/>
      <c r="AW264" s="102"/>
      <c r="AX264" s="103"/>
      <c r="AY264" s="100"/>
      <c r="AZ264" s="104"/>
      <c r="BA264" s="100"/>
      <c r="BB264" s="100"/>
      <c r="BC264" s="100"/>
      <c r="BD264" s="101"/>
      <c r="BE264" s="101"/>
      <c r="BF264" s="102"/>
      <c r="BG264" s="103"/>
      <c r="BH264" s="100"/>
      <c r="BI264" s="104"/>
      <c r="BJ264" s="100"/>
      <c r="BK264" s="100"/>
      <c r="BL264" s="100"/>
      <c r="BM264" s="101"/>
      <c r="BN264" s="101"/>
      <c r="BO264" s="102"/>
      <c r="BP264" s="103"/>
      <c r="BQ264" s="100"/>
      <c r="BR264" s="104"/>
      <c r="BS264" s="100"/>
      <c r="BT264" s="100"/>
      <c r="BU264" s="100"/>
      <c r="BV264" s="101"/>
      <c r="BW264" s="101"/>
      <c r="BX264" s="102"/>
      <c r="BY264" s="103"/>
      <c r="BZ264" s="100"/>
      <c r="CA264" s="104"/>
      <c r="CB264" s="100"/>
      <c r="CC264" s="100"/>
      <c r="CD264" s="100"/>
      <c r="CE264" s="101"/>
      <c r="CF264" s="101"/>
      <c r="CG264" s="102"/>
      <c r="CH264" s="103"/>
      <c r="CI264" s="100"/>
      <c r="CJ264" s="104"/>
      <c r="CK264" s="100"/>
      <c r="CL264" s="100"/>
      <c r="CM264" s="100"/>
      <c r="CN264" s="101"/>
      <c r="CO264" s="101"/>
      <c r="CP264" s="102"/>
      <c r="CQ264" s="103"/>
      <c r="CR264" s="100"/>
      <c r="CS264" s="104"/>
      <c r="CT264" s="100"/>
      <c r="CU264" s="100"/>
      <c r="CV264" s="100"/>
      <c r="CW264" s="101"/>
      <c r="CX264" s="101"/>
      <c r="CY264" s="102"/>
      <c r="CZ264" s="103"/>
      <c r="DA264" s="100"/>
      <c r="DB264" s="104"/>
      <c r="DC264" s="100"/>
      <c r="DD264" s="100"/>
      <c r="DE264" s="100"/>
      <c r="DF264" s="101"/>
      <c r="DG264" s="101"/>
      <c r="DH264" s="102"/>
      <c r="DI264" s="103"/>
      <c r="DJ264" s="100"/>
      <c r="DK264" s="104"/>
      <c r="DL264" s="100"/>
      <c r="DM264" s="100"/>
      <c r="DN264" s="100"/>
      <c r="DO264" s="101"/>
      <c r="DP264" s="101"/>
      <c r="DQ264" s="102"/>
      <c r="DR264" s="103"/>
      <c r="DS264" s="100"/>
      <c r="DT264" s="104"/>
      <c r="DU264" s="100"/>
      <c r="DV264" s="100"/>
      <c r="DW264" s="100"/>
      <c r="DX264" s="101"/>
      <c r="DY264" s="101"/>
      <c r="DZ264" s="102"/>
      <c r="EA264" s="103"/>
      <c r="EB264" s="100"/>
      <c r="EC264" s="104"/>
      <c r="ED264" s="100"/>
      <c r="EE264" s="100"/>
      <c r="EF264" s="100"/>
      <c r="EG264" s="101"/>
      <c r="EH264" s="101"/>
      <c r="EI264" s="102"/>
      <c r="EJ264" s="103"/>
      <c r="EK264" s="100"/>
      <c r="EL264" s="104"/>
      <c r="EM264" s="100"/>
      <c r="EN264" s="100"/>
      <c r="EO264" s="100"/>
      <c r="EP264" s="101"/>
      <c r="EQ264" s="101"/>
      <c r="ER264" s="102"/>
      <c r="ES264" s="103"/>
      <c r="ET264" s="100"/>
      <c r="EU264" s="104"/>
      <c r="EV264" s="100"/>
      <c r="EW264" s="100"/>
      <c r="EX264" s="100"/>
      <c r="EY264" s="101"/>
      <c r="EZ264" s="101"/>
      <c r="FA264" s="102"/>
      <c r="FB264" s="103"/>
      <c r="FC264" s="100"/>
      <c r="FD264" s="104"/>
      <c r="FE264" s="100"/>
      <c r="FF264" s="100"/>
      <c r="FG264" s="100"/>
      <c r="FH264" s="101"/>
      <c r="FI264" s="101"/>
      <c r="FJ264" s="102"/>
      <c r="FK264" s="103"/>
      <c r="FL264" s="100"/>
      <c r="FM264" s="104"/>
      <c r="FN264" s="100"/>
      <c r="FO264" s="100"/>
      <c r="FP264" s="100"/>
      <c r="FQ264" s="101"/>
      <c r="FR264" s="101"/>
      <c r="FS264" s="102"/>
      <c r="FT264" s="103"/>
      <c r="FU264" s="100"/>
      <c r="FV264" s="104"/>
      <c r="FW264" s="100"/>
      <c r="FX264" s="100"/>
      <c r="FY264" s="100"/>
      <c r="FZ264" s="101"/>
      <c r="GA264" s="101"/>
      <c r="GB264" s="102"/>
      <c r="GC264" s="103"/>
      <c r="GD264" s="100"/>
      <c r="GE264" s="104"/>
      <c r="GF264" s="100"/>
      <c r="GG264" s="100"/>
      <c r="GH264" s="100"/>
      <c r="GI264" s="101"/>
      <c r="GJ264" s="101"/>
      <c r="GK264" s="102"/>
      <c r="GL264" s="103"/>
      <c r="GM264" s="100"/>
      <c r="GN264" s="104"/>
      <c r="GO264" s="100"/>
      <c r="GP264" s="100"/>
      <c r="GQ264" s="100"/>
      <c r="GR264" s="101"/>
      <c r="GS264" s="101"/>
      <c r="GT264" s="102"/>
      <c r="GU264" s="103"/>
      <c r="GV264" s="100"/>
      <c r="GW264" s="104"/>
      <c r="GX264" s="100"/>
      <c r="GY264" s="100"/>
      <c r="GZ264" s="100"/>
      <c r="HA264" s="101"/>
      <c r="HB264" s="101"/>
      <c r="HC264" s="102"/>
      <c r="HD264" s="103"/>
      <c r="HE264" s="100"/>
      <c r="HF264" s="104"/>
      <c r="HG264" s="100"/>
      <c r="HH264" s="100"/>
      <c r="HI264" s="100"/>
      <c r="HJ264" s="101"/>
      <c r="HK264" s="101"/>
      <c r="HL264" s="102"/>
      <c r="HM264" s="103"/>
      <c r="HN264" s="100"/>
      <c r="HO264" s="104"/>
      <c r="HP264" s="100"/>
      <c r="HQ264" s="100"/>
      <c r="HR264" s="100"/>
      <c r="HS264" s="101"/>
      <c r="HT264" s="101"/>
      <c r="HU264" s="102"/>
      <c r="HV264" s="103"/>
      <c r="HW264" s="100"/>
      <c r="HX264" s="104"/>
      <c r="HY264" s="100"/>
      <c r="HZ264" s="100"/>
      <c r="IA264" s="100"/>
      <c r="IB264" s="101"/>
      <c r="IC264" s="101"/>
      <c r="ID264" s="102"/>
      <c r="IE264" s="103"/>
      <c r="IF264" s="100"/>
      <c r="IG264" s="104"/>
      <c r="IH264" s="100"/>
      <c r="II264" s="100"/>
      <c r="IJ264" s="100"/>
    </row>
    <row r="265" spans="1:244" s="93" customFormat="1" ht="39" customHeight="1" outlineLevel="1" x14ac:dyDescent="0.2">
      <c r="A265" s="115"/>
      <c r="B265" s="115"/>
      <c r="C265" s="85"/>
      <c r="D265" s="86"/>
      <c r="E265" s="86"/>
      <c r="F265" s="87"/>
      <c r="G265" s="88"/>
      <c r="H265" s="89"/>
      <c r="I265" s="90"/>
      <c r="J265" s="91"/>
      <c r="K265" s="395"/>
      <c r="M265" s="380">
        <f>SUM(M258:M264)</f>
        <v>0</v>
      </c>
    </row>
    <row r="266" spans="1:244" s="93" customFormat="1" ht="20" customHeight="1" outlineLevel="2" x14ac:dyDescent="0.2">
      <c r="A266" s="85"/>
      <c r="B266" s="408"/>
      <c r="C266" s="85"/>
      <c r="D266" s="86"/>
      <c r="E266" s="86"/>
      <c r="F266" s="87"/>
      <c r="G266" s="88">
        <f t="shared" ref="G266:G271" si="87">(D266*E266*F266)</f>
        <v>0</v>
      </c>
      <c r="H266" s="89">
        <f t="shared" ref="H266:H272" si="88">G266/$K$3</f>
        <v>0</v>
      </c>
      <c r="I266" s="90">
        <f>H266</f>
        <v>0</v>
      </c>
      <c r="J266" s="91"/>
      <c r="K266" s="395"/>
      <c r="M266" s="367"/>
    </row>
    <row r="267" spans="1:244" s="93" customFormat="1" ht="20" customHeight="1" outlineLevel="2" x14ac:dyDescent="0.2">
      <c r="A267" s="85"/>
      <c r="B267" s="408"/>
      <c r="C267" s="85"/>
      <c r="D267" s="86"/>
      <c r="E267" s="86"/>
      <c r="F267" s="87"/>
      <c r="G267" s="88">
        <f t="shared" si="87"/>
        <v>0</v>
      </c>
      <c r="H267" s="89">
        <f t="shared" si="88"/>
        <v>0</v>
      </c>
      <c r="I267" s="90">
        <f t="shared" ref="I267:I272" si="89">H267</f>
        <v>0</v>
      </c>
      <c r="J267" s="91"/>
      <c r="K267" s="395"/>
      <c r="M267" s="367"/>
    </row>
    <row r="268" spans="1:244" s="93" customFormat="1" ht="20" customHeight="1" outlineLevel="2" x14ac:dyDescent="0.2">
      <c r="A268" s="85"/>
      <c r="B268" s="408"/>
      <c r="C268" s="85"/>
      <c r="D268" s="86"/>
      <c r="E268" s="86"/>
      <c r="F268" s="87"/>
      <c r="G268" s="88">
        <f t="shared" si="87"/>
        <v>0</v>
      </c>
      <c r="H268" s="89">
        <f t="shared" si="88"/>
        <v>0</v>
      </c>
      <c r="I268" s="90">
        <f t="shared" si="89"/>
        <v>0</v>
      </c>
      <c r="J268" s="91"/>
      <c r="K268" s="395"/>
      <c r="M268" s="367"/>
    </row>
    <row r="269" spans="1:244" s="93" customFormat="1" ht="20" customHeight="1" outlineLevel="2" x14ac:dyDescent="0.2">
      <c r="A269" s="85"/>
      <c r="B269" s="408"/>
      <c r="C269" s="85"/>
      <c r="D269" s="86"/>
      <c r="E269" s="86"/>
      <c r="F269" s="87"/>
      <c r="G269" s="88">
        <f t="shared" si="87"/>
        <v>0</v>
      </c>
      <c r="H269" s="89">
        <f t="shared" si="88"/>
        <v>0</v>
      </c>
      <c r="I269" s="90">
        <f t="shared" si="89"/>
        <v>0</v>
      </c>
      <c r="J269" s="91"/>
      <c r="K269" s="395"/>
      <c r="M269" s="367"/>
    </row>
    <row r="270" spans="1:244" s="93" customFormat="1" ht="20" customHeight="1" outlineLevel="2" x14ac:dyDescent="0.2">
      <c r="A270" s="85"/>
      <c r="B270" s="408"/>
      <c r="C270" s="85"/>
      <c r="D270" s="86"/>
      <c r="E270" s="86"/>
      <c r="F270" s="87"/>
      <c r="G270" s="88">
        <f t="shared" si="87"/>
        <v>0</v>
      </c>
      <c r="H270" s="89">
        <f t="shared" si="88"/>
        <v>0</v>
      </c>
      <c r="I270" s="90">
        <f t="shared" si="89"/>
        <v>0</v>
      </c>
      <c r="J270" s="91"/>
      <c r="K270" s="395"/>
      <c r="M270" s="367"/>
    </row>
    <row r="271" spans="1:244" s="93" customFormat="1" ht="20" customHeight="1" outlineLevel="2" x14ac:dyDescent="0.2">
      <c r="A271" s="85"/>
      <c r="B271" s="408"/>
      <c r="C271" s="85"/>
      <c r="D271" s="86"/>
      <c r="E271" s="86"/>
      <c r="F271" s="87"/>
      <c r="G271" s="88">
        <f t="shared" si="87"/>
        <v>0</v>
      </c>
      <c r="H271" s="89">
        <f t="shared" si="88"/>
        <v>0</v>
      </c>
      <c r="I271" s="90">
        <f t="shared" si="89"/>
        <v>0</v>
      </c>
      <c r="J271" s="91"/>
      <c r="K271" s="395"/>
      <c r="M271" s="367"/>
    </row>
    <row r="272" spans="1:244" s="93" customFormat="1" ht="20" customHeight="1" outlineLevel="2" x14ac:dyDescent="0.2">
      <c r="A272" s="85"/>
      <c r="B272" s="408"/>
      <c r="C272" s="85"/>
      <c r="D272" s="86"/>
      <c r="E272" s="86"/>
      <c r="F272" s="87"/>
      <c r="G272" s="88">
        <f>(D272*E272*F272)</f>
        <v>0</v>
      </c>
      <c r="H272" s="89">
        <f t="shared" si="88"/>
        <v>0</v>
      </c>
      <c r="I272" s="90">
        <f t="shared" si="89"/>
        <v>0</v>
      </c>
      <c r="J272" s="91"/>
      <c r="K272" s="395"/>
      <c r="M272" s="367"/>
    </row>
    <row r="273" spans="1:244" s="105" customFormat="1" outlineLevel="1" x14ac:dyDescent="0.2">
      <c r="A273" s="94" t="s">
        <v>288</v>
      </c>
      <c r="B273" s="95"/>
      <c r="C273" s="98"/>
      <c r="D273" s="98"/>
      <c r="E273" s="95"/>
      <c r="F273" s="96"/>
      <c r="G273" s="99">
        <f>SUM(G266:G272)</f>
        <v>0</v>
      </c>
      <c r="H273" s="406">
        <f>SUM(H266:H272)</f>
        <v>0</v>
      </c>
      <c r="I273" s="96">
        <f>SUM(I266:I272)</f>
        <v>0</v>
      </c>
      <c r="J273" s="97">
        <f>SUM(J266:J272)</f>
        <v>0</v>
      </c>
      <c r="K273" s="395"/>
      <c r="L273" s="101"/>
      <c r="M273" s="367"/>
      <c r="N273" s="103"/>
      <c r="O273" s="100"/>
      <c r="P273" s="104"/>
      <c r="Q273" s="100"/>
      <c r="R273" s="100"/>
      <c r="S273" s="100"/>
      <c r="T273" s="101"/>
      <c r="U273" s="101"/>
      <c r="V273" s="102"/>
      <c r="W273" s="103"/>
      <c r="X273" s="100"/>
      <c r="Y273" s="104"/>
      <c r="Z273" s="100"/>
      <c r="AA273" s="100"/>
      <c r="AB273" s="100"/>
      <c r="AC273" s="101"/>
      <c r="AD273" s="101"/>
      <c r="AE273" s="102"/>
      <c r="AF273" s="103"/>
      <c r="AG273" s="100"/>
      <c r="AH273" s="104"/>
      <c r="AI273" s="100"/>
      <c r="AJ273" s="100"/>
      <c r="AK273" s="100"/>
      <c r="AL273" s="101"/>
      <c r="AM273" s="101"/>
      <c r="AN273" s="102"/>
      <c r="AO273" s="103"/>
      <c r="AP273" s="100"/>
      <c r="AQ273" s="104"/>
      <c r="AR273" s="100"/>
      <c r="AS273" s="100"/>
      <c r="AT273" s="100"/>
      <c r="AU273" s="101"/>
      <c r="AV273" s="101"/>
      <c r="AW273" s="102"/>
      <c r="AX273" s="103"/>
      <c r="AY273" s="100"/>
      <c r="AZ273" s="104"/>
      <c r="BA273" s="100"/>
      <c r="BB273" s="100"/>
      <c r="BC273" s="100"/>
      <c r="BD273" s="101"/>
      <c r="BE273" s="101"/>
      <c r="BF273" s="102"/>
      <c r="BG273" s="103"/>
      <c r="BH273" s="100"/>
      <c r="BI273" s="104"/>
      <c r="BJ273" s="100"/>
      <c r="BK273" s="100"/>
      <c r="BL273" s="100"/>
      <c r="BM273" s="101"/>
      <c r="BN273" s="101"/>
      <c r="BO273" s="102"/>
      <c r="BP273" s="103"/>
      <c r="BQ273" s="100"/>
      <c r="BR273" s="104"/>
      <c r="BS273" s="100"/>
      <c r="BT273" s="100"/>
      <c r="BU273" s="100"/>
      <c r="BV273" s="101"/>
      <c r="BW273" s="101"/>
      <c r="BX273" s="102"/>
      <c r="BY273" s="103"/>
      <c r="BZ273" s="100"/>
      <c r="CA273" s="104"/>
      <c r="CB273" s="100"/>
      <c r="CC273" s="100"/>
      <c r="CD273" s="100"/>
      <c r="CE273" s="101"/>
      <c r="CF273" s="101"/>
      <c r="CG273" s="102"/>
      <c r="CH273" s="103"/>
      <c r="CI273" s="100"/>
      <c r="CJ273" s="104"/>
      <c r="CK273" s="100"/>
      <c r="CL273" s="100"/>
      <c r="CM273" s="100"/>
      <c r="CN273" s="101"/>
      <c r="CO273" s="101"/>
      <c r="CP273" s="102"/>
      <c r="CQ273" s="103"/>
      <c r="CR273" s="100"/>
      <c r="CS273" s="104"/>
      <c r="CT273" s="100"/>
      <c r="CU273" s="100"/>
      <c r="CV273" s="100"/>
      <c r="CW273" s="101"/>
      <c r="CX273" s="101"/>
      <c r="CY273" s="102"/>
      <c r="CZ273" s="103"/>
      <c r="DA273" s="100"/>
      <c r="DB273" s="104"/>
      <c r="DC273" s="100"/>
      <c r="DD273" s="100"/>
      <c r="DE273" s="100"/>
      <c r="DF273" s="101"/>
      <c r="DG273" s="101"/>
      <c r="DH273" s="102"/>
      <c r="DI273" s="103"/>
      <c r="DJ273" s="100"/>
      <c r="DK273" s="104"/>
      <c r="DL273" s="100"/>
      <c r="DM273" s="100"/>
      <c r="DN273" s="100"/>
      <c r="DO273" s="101"/>
      <c r="DP273" s="101"/>
      <c r="DQ273" s="102"/>
      <c r="DR273" s="103"/>
      <c r="DS273" s="100"/>
      <c r="DT273" s="104"/>
      <c r="DU273" s="100"/>
      <c r="DV273" s="100"/>
      <c r="DW273" s="100"/>
      <c r="DX273" s="101"/>
      <c r="DY273" s="101"/>
      <c r="DZ273" s="102"/>
      <c r="EA273" s="103"/>
      <c r="EB273" s="100"/>
      <c r="EC273" s="104"/>
      <c r="ED273" s="100"/>
      <c r="EE273" s="100"/>
      <c r="EF273" s="100"/>
      <c r="EG273" s="101"/>
      <c r="EH273" s="101"/>
      <c r="EI273" s="102"/>
      <c r="EJ273" s="103"/>
      <c r="EK273" s="100"/>
      <c r="EL273" s="104"/>
      <c r="EM273" s="100"/>
      <c r="EN273" s="100"/>
      <c r="EO273" s="100"/>
      <c r="EP273" s="101"/>
      <c r="EQ273" s="101"/>
      <c r="ER273" s="102"/>
      <c r="ES273" s="103"/>
      <c r="ET273" s="100"/>
      <c r="EU273" s="104"/>
      <c r="EV273" s="100"/>
      <c r="EW273" s="100"/>
      <c r="EX273" s="100"/>
      <c r="EY273" s="101"/>
      <c r="EZ273" s="101"/>
      <c r="FA273" s="102"/>
      <c r="FB273" s="103"/>
      <c r="FC273" s="100"/>
      <c r="FD273" s="104"/>
      <c r="FE273" s="100"/>
      <c r="FF273" s="100"/>
      <c r="FG273" s="100"/>
      <c r="FH273" s="101"/>
      <c r="FI273" s="101"/>
      <c r="FJ273" s="102"/>
      <c r="FK273" s="103"/>
      <c r="FL273" s="100"/>
      <c r="FM273" s="104"/>
      <c r="FN273" s="100"/>
      <c r="FO273" s="100"/>
      <c r="FP273" s="100"/>
      <c r="FQ273" s="101"/>
      <c r="FR273" s="101"/>
      <c r="FS273" s="102"/>
      <c r="FT273" s="103"/>
      <c r="FU273" s="100"/>
      <c r="FV273" s="104"/>
      <c r="FW273" s="100"/>
      <c r="FX273" s="100"/>
      <c r="FY273" s="100"/>
      <c r="FZ273" s="101"/>
      <c r="GA273" s="101"/>
      <c r="GB273" s="102"/>
      <c r="GC273" s="103"/>
      <c r="GD273" s="100"/>
      <c r="GE273" s="104"/>
      <c r="GF273" s="100"/>
      <c r="GG273" s="100"/>
      <c r="GH273" s="100"/>
      <c r="GI273" s="101"/>
      <c r="GJ273" s="101"/>
      <c r="GK273" s="102"/>
      <c r="GL273" s="103"/>
      <c r="GM273" s="100"/>
      <c r="GN273" s="104"/>
      <c r="GO273" s="100"/>
      <c r="GP273" s="100"/>
      <c r="GQ273" s="100"/>
      <c r="GR273" s="101"/>
      <c r="GS273" s="101"/>
      <c r="GT273" s="102"/>
      <c r="GU273" s="103"/>
      <c r="GV273" s="100"/>
      <c r="GW273" s="104"/>
      <c r="GX273" s="100"/>
      <c r="GY273" s="100"/>
      <c r="GZ273" s="100"/>
      <c r="HA273" s="101"/>
      <c r="HB273" s="101"/>
      <c r="HC273" s="102"/>
      <c r="HD273" s="103"/>
      <c r="HE273" s="100"/>
      <c r="HF273" s="104"/>
      <c r="HG273" s="100"/>
      <c r="HH273" s="100"/>
      <c r="HI273" s="100"/>
      <c r="HJ273" s="101"/>
      <c r="HK273" s="101"/>
      <c r="HL273" s="102"/>
      <c r="HM273" s="103"/>
      <c r="HN273" s="100"/>
      <c r="HO273" s="104"/>
      <c r="HP273" s="100"/>
      <c r="HQ273" s="100"/>
      <c r="HR273" s="100"/>
      <c r="HS273" s="101"/>
      <c r="HT273" s="101"/>
      <c r="HU273" s="102"/>
      <c r="HV273" s="103"/>
      <c r="HW273" s="100"/>
      <c r="HX273" s="104"/>
      <c r="HY273" s="100"/>
      <c r="HZ273" s="100"/>
      <c r="IA273" s="100"/>
      <c r="IB273" s="101"/>
      <c r="IC273" s="101"/>
      <c r="ID273" s="102"/>
      <c r="IE273" s="103"/>
      <c r="IF273" s="100"/>
      <c r="IG273" s="104"/>
      <c r="IH273" s="100"/>
      <c r="II273" s="100"/>
      <c r="IJ273" s="100"/>
    </row>
    <row r="274" spans="1:244" outlineLevel="1" x14ac:dyDescent="0.2">
      <c r="K274" s="395"/>
      <c r="M274" s="380">
        <f>SUM(M267:M273)</f>
        <v>0</v>
      </c>
    </row>
    <row r="275" spans="1:244" s="109" customFormat="1" x14ac:dyDescent="0.2">
      <c r="A275" s="111" t="s">
        <v>377</v>
      </c>
      <c r="B275" s="111"/>
      <c r="C275" s="112"/>
      <c r="D275" s="112"/>
      <c r="E275" s="112"/>
      <c r="F275" s="113"/>
      <c r="G275" s="114">
        <f>SUM(G15,G24,G42,G51,G62,G71,G80,G89,G107,G125,G136,G154,G163,G172,G181,G190,G210,G228,G237,G246,G255,G264,G273,G145,G199,G219,G116,G98,G33)</f>
        <v>2841000</v>
      </c>
      <c r="H275" s="114">
        <f>SUM(H15,H24,H42,H51,H62,H71,H80,H89,H107,H125,H136,H154,H163,H172,H181,H190,H210,H228,H237,H246,H255,H264,H273,H145,H199,H219,H116,H98,H33)</f>
        <v>180955.41401273885</v>
      </c>
      <c r="I275" s="114">
        <f>SUM(I15,I24,I42,I51,I62,I71,I80,I89,I107,I125,I136,I154,I163,I172,I181,I190,I210,I228,I237,I246,I255,I264,I273,I145,I199,I219,I116,I98,I33)</f>
        <v>180955.41401273885</v>
      </c>
      <c r="J275" s="114">
        <f>SUM(J15,J24,J42,J51,J62,J71,J80,J89,J107,J125,J136,J154,J163,J172,J181,J190,J210,J228,J237,J246,J255,J264,J273,J145,J199,J219,J116,J98,J33)</f>
        <v>0</v>
      </c>
      <c r="K275" s="110"/>
      <c r="M275" s="114">
        <f>SUM(M15,M24,M42,M51,M62,M71,M80,M89,M107,M125,M136,M154,M163,M172,M181,M190,M210,M228,M237,M246,M255,M264,M273,M145,M199,M219,M116,M98,M33)</f>
        <v>164777.07006369426</v>
      </c>
    </row>
    <row r="276" spans="1:244" x14ac:dyDescent="0.2">
      <c r="M276" s="76"/>
    </row>
  </sheetData>
  <autoFilter ref="A3:IJ275" xr:uid="{211CDE80-C920-4C78-B59A-C0D63830BF21}"/>
  <mergeCells count="10">
    <mergeCell ref="G3:G4"/>
    <mergeCell ref="H3:H4"/>
    <mergeCell ref="I3:I4"/>
    <mergeCell ref="J3:J4"/>
    <mergeCell ref="A3:A4"/>
    <mergeCell ref="B3:B4"/>
    <mergeCell ref="C3:C4"/>
    <mergeCell ref="D3:D4"/>
    <mergeCell ref="E3:E4"/>
    <mergeCell ref="F3:F4"/>
  </mergeCells>
  <pageMargins left="0.7" right="0.7" top="0.75" bottom="0.75" header="0.3" footer="0.3"/>
  <pageSetup paperSize="9" scale="2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331E-FF52-4034-9F61-735AB951A9DE}">
  <dimension ref="A1:S29"/>
  <sheetViews>
    <sheetView topLeftCell="C1" zoomScale="70" zoomScaleNormal="70" workbookViewId="0">
      <selection activeCell="C21" sqref="C21"/>
    </sheetView>
  </sheetViews>
  <sheetFormatPr baseColWidth="10" defaultColWidth="9.1640625" defaultRowHeight="14" x14ac:dyDescent="0.2"/>
  <cols>
    <col min="1" max="1" width="5.83203125" style="117" customWidth="1"/>
    <col min="2" max="2" width="16" style="117" customWidth="1"/>
    <col min="3" max="3" width="36" style="117" customWidth="1"/>
    <col min="4" max="4" width="16.1640625" style="117" customWidth="1"/>
    <col min="5" max="5" width="14.83203125" style="117" customWidth="1"/>
    <col min="6" max="6" width="12.1640625" style="117" bestFit="1" customWidth="1"/>
    <col min="7" max="7" width="12.83203125" style="117" bestFit="1" customWidth="1"/>
    <col min="8" max="8" width="12.1640625" style="117" bestFit="1" customWidth="1"/>
    <col min="9" max="9" width="13.5" style="117" customWidth="1"/>
    <col min="10" max="10" width="13.83203125" style="117" bestFit="1" customWidth="1"/>
    <col min="11" max="11" width="15" style="117" customWidth="1"/>
    <col min="12" max="12" width="12.83203125" style="117" customWidth="1"/>
    <col min="13" max="13" width="17.1640625" style="117" customWidth="1"/>
    <col min="14" max="14" width="22.5" style="117" bestFit="1" customWidth="1"/>
    <col min="15" max="15" width="6.83203125" style="117" bestFit="1" customWidth="1"/>
    <col min="16" max="18" width="22.5" style="117" bestFit="1" customWidth="1"/>
    <col min="19" max="16384" width="9.1640625" style="117"/>
  </cols>
  <sheetData>
    <row r="1" spans="1:18" x14ac:dyDescent="0.2">
      <c r="H1" s="118">
        <v>0.1</v>
      </c>
      <c r="I1" s="118">
        <v>0.01</v>
      </c>
      <c r="K1" s="119">
        <v>9.4999999999999998E-3</v>
      </c>
      <c r="L1" s="119"/>
      <c r="P1" s="120">
        <v>0.86482000000000003</v>
      </c>
      <c r="Q1" s="120">
        <v>0.86482000000000003</v>
      </c>
    </row>
    <row r="2" spans="1:18" x14ac:dyDescent="0.2">
      <c r="P2" s="141">
        <v>14</v>
      </c>
      <c r="Q2" s="141">
        <v>14</v>
      </c>
    </row>
    <row r="4" spans="1:18" ht="15" thickBot="1" x14ac:dyDescent="0.25"/>
    <row r="5" spans="1:18" s="121" customFormat="1" ht="13" thickBot="1" x14ac:dyDescent="0.2">
      <c r="B5" s="122" t="s">
        <v>449</v>
      </c>
      <c r="C5" s="123"/>
      <c r="D5" s="123"/>
      <c r="E5" s="123"/>
      <c r="F5" s="123"/>
      <c r="G5" s="123"/>
      <c r="H5" s="123"/>
      <c r="I5" s="123"/>
      <c r="J5" s="123"/>
      <c r="K5" s="123"/>
      <c r="L5" s="123"/>
      <c r="M5" s="123"/>
      <c r="N5" s="123"/>
      <c r="O5" s="123"/>
      <c r="P5" s="123"/>
      <c r="Q5" s="123"/>
      <c r="R5" s="123"/>
    </row>
    <row r="6" spans="1:18" s="126" customFormat="1" ht="37.25" customHeight="1" x14ac:dyDescent="0.2">
      <c r="A6" s="124" t="s">
        <v>450</v>
      </c>
      <c r="B6" s="124" t="s">
        <v>451</v>
      </c>
      <c r="C6" s="190" t="s">
        <v>452</v>
      </c>
      <c r="D6" s="125" t="s">
        <v>453</v>
      </c>
      <c r="E6" s="125" t="s">
        <v>454</v>
      </c>
      <c r="F6" s="125" t="s">
        <v>455</v>
      </c>
      <c r="G6" s="125" t="s">
        <v>456</v>
      </c>
      <c r="H6" s="125" t="s">
        <v>457</v>
      </c>
      <c r="I6" s="125" t="s">
        <v>458</v>
      </c>
      <c r="J6" s="125" t="s">
        <v>459</v>
      </c>
      <c r="K6" s="125" t="s">
        <v>460</v>
      </c>
      <c r="L6" s="125" t="s">
        <v>461</v>
      </c>
      <c r="M6" s="125" t="s">
        <v>462</v>
      </c>
      <c r="N6" s="125" t="s">
        <v>463</v>
      </c>
      <c r="O6" s="125" t="s">
        <v>464</v>
      </c>
      <c r="P6" s="125" t="s">
        <v>465</v>
      </c>
      <c r="Q6" s="125" t="s">
        <v>466</v>
      </c>
      <c r="R6" s="125" t="s">
        <v>467</v>
      </c>
    </row>
    <row r="7" spans="1:18" s="143" customFormat="1" ht="12" x14ac:dyDescent="0.2">
      <c r="A7" s="127">
        <v>1</v>
      </c>
      <c r="B7" s="142" t="s">
        <v>468</v>
      </c>
      <c r="C7" s="191" t="s">
        <v>469</v>
      </c>
      <c r="D7" s="128">
        <f>16000000/1000</f>
        <v>16000</v>
      </c>
      <c r="E7" s="129">
        <f>833333.33/1000</f>
        <v>833.33332999999993</v>
      </c>
      <c r="F7" s="129">
        <f>1820000/12/1000</f>
        <v>151.66666666666666</v>
      </c>
      <c r="G7" s="129">
        <f t="shared" ref="G7:G13" si="0">+D7+E7+F7</f>
        <v>16984.999996666669</v>
      </c>
      <c r="H7" s="129">
        <f>+D7*$H$1</f>
        <v>1600</v>
      </c>
      <c r="I7" s="130">
        <f>D7*$I$1</f>
        <v>160</v>
      </c>
      <c r="J7" s="130">
        <f>7500000/12/1000</f>
        <v>625</v>
      </c>
      <c r="K7" s="130">
        <f>D7*$K$1</f>
        <v>152</v>
      </c>
      <c r="L7" s="130">
        <f>(D7*33*3/22)/36</f>
        <v>2000</v>
      </c>
      <c r="M7" s="130">
        <f>SUM(H7:K7)+G7</f>
        <v>19521.999996666669</v>
      </c>
      <c r="N7" s="130">
        <f>G7*13+SUM(H7:L7)*12</f>
        <v>275248.99995666672</v>
      </c>
      <c r="O7" s="131">
        <v>1</v>
      </c>
      <c r="P7" s="132">
        <f>N7/$P$2*O7</f>
        <v>19660.642854047623</v>
      </c>
      <c r="Q7" s="132">
        <f>N7/$P$2*O7</f>
        <v>19660.642854047623</v>
      </c>
      <c r="R7" s="132">
        <f>SUM(P7:Q7)</f>
        <v>39321.285708095245</v>
      </c>
    </row>
    <row r="8" spans="1:18" s="143" customFormat="1" ht="12" x14ac:dyDescent="0.2">
      <c r="A8" s="127">
        <f>A7+1</f>
        <v>2</v>
      </c>
      <c r="B8" s="142" t="s">
        <v>468</v>
      </c>
      <c r="C8" s="191" t="s">
        <v>470</v>
      </c>
      <c r="D8" s="128">
        <f>13000000/1000</f>
        <v>13000</v>
      </c>
      <c r="E8" s="129">
        <f t="shared" ref="E8:E13" si="1">833333.33/1000</f>
        <v>833.33332999999993</v>
      </c>
      <c r="F8" s="129">
        <f t="shared" ref="F8:F13" si="2">1820000/12/1000</f>
        <v>151.66666666666666</v>
      </c>
      <c r="G8" s="129">
        <f t="shared" si="0"/>
        <v>13984.999996666666</v>
      </c>
      <c r="H8" s="129">
        <f>+D8*$H$1</f>
        <v>1300</v>
      </c>
      <c r="I8" s="130">
        <f>D8*$I$1</f>
        <v>130</v>
      </c>
      <c r="J8" s="130">
        <f t="shared" ref="J8:J13" si="3">7500000/12/1000</f>
        <v>625</v>
      </c>
      <c r="K8" s="130">
        <f>D8*$K$1</f>
        <v>123.5</v>
      </c>
      <c r="L8" s="130">
        <f>(D8*33*3/22)/36</f>
        <v>1625</v>
      </c>
      <c r="M8" s="130">
        <f>SUM(H8:K8)+G8</f>
        <v>16163.499996666666</v>
      </c>
      <c r="N8" s="130">
        <f>G8*13+SUM(H8:L8)*12</f>
        <v>227446.99995666667</v>
      </c>
      <c r="O8" s="131">
        <v>1</v>
      </c>
      <c r="P8" s="132">
        <f>N8/$P$2*O8</f>
        <v>16246.214282619048</v>
      </c>
      <c r="Q8" s="132">
        <f t="shared" ref="Q8:Q10" si="4">N8/$P$2*O8</f>
        <v>16246.214282619048</v>
      </c>
      <c r="R8" s="132">
        <f t="shared" ref="R8:R13" si="5">SUM(P8:Q8)</f>
        <v>32492.428565238097</v>
      </c>
    </row>
    <row r="9" spans="1:18" s="143" customFormat="1" ht="12" x14ac:dyDescent="0.2">
      <c r="A9" s="127">
        <f t="shared" ref="A9:A13" si="6">A8+1</f>
        <v>3</v>
      </c>
      <c r="B9" s="142" t="s">
        <v>468</v>
      </c>
      <c r="C9" s="191" t="s">
        <v>471</v>
      </c>
      <c r="D9" s="128">
        <f>11277193/1000</f>
        <v>11277.192999999999</v>
      </c>
      <c r="E9" s="129">
        <f t="shared" si="1"/>
        <v>833.33332999999993</v>
      </c>
      <c r="F9" s="129">
        <f t="shared" si="2"/>
        <v>151.66666666666666</v>
      </c>
      <c r="G9" s="129">
        <f t="shared" si="0"/>
        <v>12262.192996666665</v>
      </c>
      <c r="H9" s="129">
        <f t="shared" ref="H9:H13" si="7">+D9*$H$1</f>
        <v>1127.7193</v>
      </c>
      <c r="I9" s="130">
        <f t="shared" ref="I9:I13" si="8">D9*$I$1</f>
        <v>112.77193</v>
      </c>
      <c r="J9" s="130">
        <f t="shared" si="3"/>
        <v>625</v>
      </c>
      <c r="K9" s="130">
        <f t="shared" ref="K9:K13" si="9">D9*$K$1</f>
        <v>107.13333349999999</v>
      </c>
      <c r="L9" s="130">
        <f t="shared" ref="L9:L13" si="10">(D9*33*3/22)/36</f>
        <v>1409.6491249999997</v>
      </c>
      <c r="M9" s="130">
        <f t="shared" ref="M9:M13" si="11">SUM(H9:K9)+G9</f>
        <v>14234.817560166664</v>
      </c>
      <c r="N9" s="130">
        <f t="shared" ref="N9:N13" si="12">G9*13+SUM(H9:L9)*12</f>
        <v>199995.79321866663</v>
      </c>
      <c r="O9" s="131">
        <v>1</v>
      </c>
      <c r="P9" s="132">
        <f t="shared" ref="P9:P13" si="13">N9/$P$2*O9</f>
        <v>14285.41380133333</v>
      </c>
      <c r="Q9" s="132">
        <f t="shared" si="4"/>
        <v>14285.41380133333</v>
      </c>
      <c r="R9" s="132">
        <f t="shared" si="5"/>
        <v>28570.827602666661</v>
      </c>
    </row>
    <row r="10" spans="1:18" s="143" customFormat="1" ht="12" x14ac:dyDescent="0.2">
      <c r="A10" s="127">
        <f t="shared" si="6"/>
        <v>4</v>
      </c>
      <c r="B10" s="142" t="s">
        <v>468</v>
      </c>
      <c r="C10" s="191" t="s">
        <v>472</v>
      </c>
      <c r="D10" s="128">
        <v>17521.379233874999</v>
      </c>
      <c r="E10" s="129">
        <f t="shared" si="1"/>
        <v>833.33332999999993</v>
      </c>
      <c r="F10" s="129">
        <f t="shared" si="2"/>
        <v>151.66666666666666</v>
      </c>
      <c r="G10" s="129">
        <f t="shared" si="0"/>
        <v>18506.379230541668</v>
      </c>
      <c r="H10" s="129">
        <f t="shared" si="7"/>
        <v>1752.1379233875</v>
      </c>
      <c r="I10" s="130">
        <f t="shared" si="8"/>
        <v>175.21379233874998</v>
      </c>
      <c r="J10" s="130">
        <f t="shared" si="3"/>
        <v>625</v>
      </c>
      <c r="K10" s="130">
        <f t="shared" si="9"/>
        <v>166.45310272181248</v>
      </c>
      <c r="L10" s="130">
        <f t="shared" si="10"/>
        <v>2190.1724042343749</v>
      </c>
      <c r="M10" s="130">
        <f t="shared" si="11"/>
        <v>21225.184048989729</v>
      </c>
      <c r="N10" s="130">
        <f t="shared" si="12"/>
        <v>299490.6566692309</v>
      </c>
      <c r="O10" s="131">
        <v>1</v>
      </c>
      <c r="P10" s="132">
        <f t="shared" si="13"/>
        <v>21392.189762087921</v>
      </c>
      <c r="Q10" s="132">
        <f t="shared" si="4"/>
        <v>21392.189762087921</v>
      </c>
      <c r="R10" s="132">
        <f t="shared" si="5"/>
        <v>42784.379524175842</v>
      </c>
    </row>
    <row r="11" spans="1:18" s="143" customFormat="1" ht="12" x14ac:dyDescent="0.2">
      <c r="A11" s="127">
        <f t="shared" si="6"/>
        <v>5</v>
      </c>
      <c r="B11" s="142" t="s">
        <v>468</v>
      </c>
      <c r="C11" s="191" t="s">
        <v>473</v>
      </c>
      <c r="D11" s="128">
        <f>22030699.5/1000</f>
        <v>22030.699499999999</v>
      </c>
      <c r="E11" s="129">
        <f t="shared" si="1"/>
        <v>833.33332999999993</v>
      </c>
      <c r="F11" s="129">
        <f t="shared" si="2"/>
        <v>151.66666666666666</v>
      </c>
      <c r="G11" s="129">
        <f t="shared" si="0"/>
        <v>23015.699496666668</v>
      </c>
      <c r="H11" s="129">
        <f t="shared" si="7"/>
        <v>2203.0699500000001</v>
      </c>
      <c r="I11" s="130">
        <f t="shared" si="8"/>
        <v>220.306995</v>
      </c>
      <c r="J11" s="130">
        <f t="shared" si="3"/>
        <v>625</v>
      </c>
      <c r="K11" s="130">
        <f t="shared" si="9"/>
        <v>209.29164524999999</v>
      </c>
      <c r="L11" s="130">
        <f t="shared" si="10"/>
        <v>2753.8374375000003</v>
      </c>
      <c r="M11" s="130">
        <f t="shared" si="11"/>
        <v>26273.368086916667</v>
      </c>
      <c r="N11" s="130">
        <f t="shared" si="12"/>
        <v>371342.1657896667</v>
      </c>
      <c r="O11" s="131">
        <v>1</v>
      </c>
      <c r="P11" s="132">
        <f t="shared" si="13"/>
        <v>26524.440413547622</v>
      </c>
      <c r="Q11" s="132">
        <f t="shared" ref="Q11:Q13" si="14">N11/$P$2*O11</f>
        <v>26524.440413547622</v>
      </c>
      <c r="R11" s="132">
        <f t="shared" si="5"/>
        <v>53048.880827095243</v>
      </c>
    </row>
    <row r="12" spans="1:18" s="143" customFormat="1" ht="12" x14ac:dyDescent="0.2">
      <c r="A12" s="127">
        <f t="shared" si="6"/>
        <v>6</v>
      </c>
      <c r="B12" s="142" t="s">
        <v>468</v>
      </c>
      <c r="C12" s="191" t="s">
        <v>474</v>
      </c>
      <c r="D12" s="128">
        <f>12000000/1000</f>
        <v>12000</v>
      </c>
      <c r="E12" s="129">
        <f t="shared" si="1"/>
        <v>833.33332999999993</v>
      </c>
      <c r="F12" s="129">
        <f t="shared" si="2"/>
        <v>151.66666666666666</v>
      </c>
      <c r="G12" s="129">
        <f t="shared" si="0"/>
        <v>12984.999996666666</v>
      </c>
      <c r="H12" s="129">
        <f t="shared" si="7"/>
        <v>1200</v>
      </c>
      <c r="I12" s="130">
        <f t="shared" si="8"/>
        <v>120</v>
      </c>
      <c r="J12" s="130">
        <f t="shared" si="3"/>
        <v>625</v>
      </c>
      <c r="K12" s="130">
        <f t="shared" si="9"/>
        <v>114</v>
      </c>
      <c r="L12" s="130">
        <f t="shared" si="10"/>
        <v>1500</v>
      </c>
      <c r="M12" s="130">
        <f t="shared" si="11"/>
        <v>15043.999996666666</v>
      </c>
      <c r="N12" s="130">
        <f t="shared" si="12"/>
        <v>211512.99995666667</v>
      </c>
      <c r="O12" s="131">
        <v>1</v>
      </c>
      <c r="P12" s="132">
        <f t="shared" si="13"/>
        <v>15108.07142547619</v>
      </c>
      <c r="Q12" s="132">
        <f t="shared" si="14"/>
        <v>15108.07142547619</v>
      </c>
      <c r="R12" s="132">
        <f t="shared" si="5"/>
        <v>30216.142850952379</v>
      </c>
    </row>
    <row r="13" spans="1:18" s="143" customFormat="1" ht="12" x14ac:dyDescent="0.2">
      <c r="A13" s="127">
        <f t="shared" si="6"/>
        <v>7</v>
      </c>
      <c r="B13" s="142" t="s">
        <v>468</v>
      </c>
      <c r="C13" s="191" t="s">
        <v>475</v>
      </c>
      <c r="D13" s="128">
        <f>8641822/1000</f>
        <v>8641.8220000000001</v>
      </c>
      <c r="E13" s="129">
        <f t="shared" si="1"/>
        <v>833.33332999999993</v>
      </c>
      <c r="F13" s="129">
        <f t="shared" si="2"/>
        <v>151.66666666666666</v>
      </c>
      <c r="G13" s="129">
        <f t="shared" si="0"/>
        <v>9626.8219966666657</v>
      </c>
      <c r="H13" s="129">
        <f t="shared" si="7"/>
        <v>864.18220000000008</v>
      </c>
      <c r="I13" s="130">
        <f t="shared" si="8"/>
        <v>86.418220000000005</v>
      </c>
      <c r="J13" s="130">
        <f t="shared" si="3"/>
        <v>625</v>
      </c>
      <c r="K13" s="130">
        <f t="shared" si="9"/>
        <v>82.097308999999996</v>
      </c>
      <c r="L13" s="130">
        <f t="shared" si="10"/>
        <v>1080.22775</v>
      </c>
      <c r="M13" s="130">
        <f t="shared" si="11"/>
        <v>11284.519725666665</v>
      </c>
      <c r="N13" s="130">
        <f t="shared" si="12"/>
        <v>158003.79170466666</v>
      </c>
      <c r="O13" s="131">
        <v>1</v>
      </c>
      <c r="P13" s="132">
        <f t="shared" si="13"/>
        <v>11285.985121761903</v>
      </c>
      <c r="Q13" s="132">
        <f t="shared" si="14"/>
        <v>11285.985121761903</v>
      </c>
      <c r="R13" s="132">
        <f t="shared" si="5"/>
        <v>22571.970243523807</v>
      </c>
    </row>
    <row r="14" spans="1:18" s="133" customFormat="1" ht="12" customHeight="1" thickBot="1" x14ac:dyDescent="0.2">
      <c r="B14" s="134" t="s">
        <v>288</v>
      </c>
      <c r="C14" s="134"/>
      <c r="D14" s="135">
        <f t="shared" ref="D14:N14" si="15">SUM(D7:D13)</f>
        <v>100471.09373387499</v>
      </c>
      <c r="E14" s="135">
        <f t="shared" si="15"/>
        <v>5833.3333099999982</v>
      </c>
      <c r="F14" s="135">
        <f t="shared" si="15"/>
        <v>1061.6666666666665</v>
      </c>
      <c r="G14" s="135">
        <f t="shared" si="15"/>
        <v>107366.09371054167</v>
      </c>
      <c r="H14" s="135">
        <f t="shared" si="15"/>
        <v>10047.109373387499</v>
      </c>
      <c r="I14" s="135">
        <f t="shared" si="15"/>
        <v>1004.71093733875</v>
      </c>
      <c r="J14" s="135">
        <f t="shared" si="15"/>
        <v>4375</v>
      </c>
      <c r="K14" s="135">
        <f t="shared" si="15"/>
        <v>954.47539047181249</v>
      </c>
      <c r="L14" s="135">
        <f t="shared" si="15"/>
        <v>12558.886716734376</v>
      </c>
      <c r="M14" s="135">
        <f t="shared" si="15"/>
        <v>123747.38941173974</v>
      </c>
      <c r="N14" s="135">
        <f t="shared" si="15"/>
        <v>1743041.4072522309</v>
      </c>
      <c r="O14" s="135"/>
      <c r="P14" s="136">
        <f>SUM(P7:P13)</f>
        <v>124502.95766087362</v>
      </c>
      <c r="Q14" s="136">
        <f>SUM(Q7:Q13)</f>
        <v>124502.95766087362</v>
      </c>
      <c r="R14" s="136">
        <f>SUM(R7:R13)</f>
        <v>249005.91532174725</v>
      </c>
    </row>
    <row r="16" spans="1:18" ht="15" thickBot="1" x14ac:dyDescent="0.25"/>
    <row r="17" spans="1:19" s="121" customFormat="1" ht="13" thickBot="1" x14ac:dyDescent="0.2">
      <c r="B17" s="122" t="s">
        <v>476</v>
      </c>
      <c r="C17" s="123"/>
      <c r="D17" s="123"/>
      <c r="E17" s="123"/>
      <c r="F17" s="123"/>
      <c r="G17" s="123"/>
      <c r="H17" s="123"/>
      <c r="I17" s="123"/>
      <c r="J17" s="123"/>
      <c r="K17" s="123"/>
      <c r="L17" s="123"/>
      <c r="M17" s="123"/>
      <c r="N17" s="123"/>
      <c r="O17" s="123"/>
      <c r="P17" s="123"/>
      <c r="Q17" s="123"/>
      <c r="R17" s="123"/>
    </row>
    <row r="18" spans="1:19" s="126" customFormat="1" ht="37.25" customHeight="1" x14ac:dyDescent="0.2">
      <c r="A18" s="124" t="s">
        <v>450</v>
      </c>
      <c r="B18" s="124" t="s">
        <v>477</v>
      </c>
      <c r="C18" s="190" t="s">
        <v>452</v>
      </c>
      <c r="D18" s="125" t="s">
        <v>453</v>
      </c>
      <c r="E18" s="125" t="s">
        <v>454</v>
      </c>
      <c r="F18" s="125" t="s">
        <v>455</v>
      </c>
      <c r="G18" s="125" t="s">
        <v>456</v>
      </c>
      <c r="H18" s="125" t="s">
        <v>457</v>
      </c>
      <c r="I18" s="125" t="s">
        <v>458</v>
      </c>
      <c r="J18" s="125" t="s">
        <v>459</v>
      </c>
      <c r="K18" s="125" t="s">
        <v>460</v>
      </c>
      <c r="L18" s="125" t="s">
        <v>461</v>
      </c>
      <c r="M18" s="125" t="s">
        <v>462</v>
      </c>
      <c r="N18" s="125" t="s">
        <v>463</v>
      </c>
      <c r="O18" s="125" t="s">
        <v>464</v>
      </c>
      <c r="P18" s="125" t="s">
        <v>465</v>
      </c>
      <c r="Q18" s="125" t="s">
        <v>466</v>
      </c>
      <c r="R18" s="125" t="s">
        <v>467</v>
      </c>
    </row>
    <row r="19" spans="1:19" s="126" customFormat="1" ht="12" x14ac:dyDescent="0.2">
      <c r="A19" s="150">
        <v>1</v>
      </c>
      <c r="B19" s="144" t="s">
        <v>468</v>
      </c>
      <c r="C19" s="192" t="s">
        <v>478</v>
      </c>
      <c r="D19" s="145">
        <v>4840</v>
      </c>
      <c r="E19" s="146">
        <v>837.5</v>
      </c>
      <c r="F19" s="146">
        <v>600</v>
      </c>
      <c r="G19" s="146">
        <f>+D19+E19+F19</f>
        <v>6277.5</v>
      </c>
      <c r="H19" s="146">
        <f>+D19*$H$1</f>
        <v>484</v>
      </c>
      <c r="I19" s="147">
        <f>D19*$I$1</f>
        <v>48.4</v>
      </c>
      <c r="J19" s="147">
        <v>0</v>
      </c>
      <c r="K19" s="147">
        <v>0</v>
      </c>
      <c r="L19" s="147">
        <f>(D19*33*3/22)/36</f>
        <v>605</v>
      </c>
      <c r="M19" s="147">
        <f>SUM(H19:K19)+G19</f>
        <v>6809.9</v>
      </c>
      <c r="N19" s="147">
        <f>G19*13+SUM(H19:L19)*12</f>
        <v>95256.3</v>
      </c>
      <c r="O19" s="148">
        <v>1</v>
      </c>
      <c r="P19" s="149">
        <f>N19/$P$2*O19</f>
        <v>6804.0214285714292</v>
      </c>
      <c r="Q19" s="149">
        <f>N19/$P$2*O19</f>
        <v>6804.0214285714292</v>
      </c>
      <c r="R19" s="149">
        <f>SUM(P19:Q19)</f>
        <v>13608.042857142858</v>
      </c>
      <c r="S19" s="151"/>
    </row>
    <row r="20" spans="1:19" s="126" customFormat="1" ht="12" x14ac:dyDescent="0.2">
      <c r="A20" s="150">
        <v>2</v>
      </c>
      <c r="B20" s="144" t="s">
        <v>468</v>
      </c>
      <c r="C20" s="192" t="s">
        <v>479</v>
      </c>
      <c r="D20" s="145">
        <v>4500</v>
      </c>
      <c r="E20" s="146">
        <v>600</v>
      </c>
      <c r="F20" s="146">
        <v>600</v>
      </c>
      <c r="G20" s="146">
        <f>+D20+E20+F20</f>
        <v>5700</v>
      </c>
      <c r="H20" s="146">
        <f>+D20*$H$1</f>
        <v>450</v>
      </c>
      <c r="I20" s="147">
        <f>D20*$I$1</f>
        <v>45</v>
      </c>
      <c r="J20" s="147">
        <v>0</v>
      </c>
      <c r="K20" s="147">
        <v>0</v>
      </c>
      <c r="L20" s="147">
        <f>(D20*33*3/22)/36</f>
        <v>562.5</v>
      </c>
      <c r="M20" s="147">
        <f>SUM(H20:K20)+G20</f>
        <v>6195</v>
      </c>
      <c r="N20" s="147">
        <f>G20*13+SUM(H20:L20)*12</f>
        <v>86790</v>
      </c>
      <c r="O20" s="148">
        <v>1</v>
      </c>
      <c r="P20" s="149">
        <f>N20/$P$2*O20</f>
        <v>6199.2857142857147</v>
      </c>
      <c r="Q20" s="149">
        <f t="shared" ref="Q20:Q23" si="16">N20/$P$2*O20</f>
        <v>6199.2857142857147</v>
      </c>
      <c r="R20" s="149">
        <f>SUM(P20:Q20)</f>
        <v>12398.571428571429</v>
      </c>
      <c r="S20" s="151"/>
    </row>
    <row r="21" spans="1:19" s="126" customFormat="1" ht="12" x14ac:dyDescent="0.2">
      <c r="A21" s="150">
        <v>3</v>
      </c>
      <c r="B21" s="144" t="s">
        <v>468</v>
      </c>
      <c r="C21" s="192" t="s">
        <v>480</v>
      </c>
      <c r="D21" s="145">
        <v>4500</v>
      </c>
      <c r="E21" s="146">
        <v>600</v>
      </c>
      <c r="F21" s="146">
        <v>600</v>
      </c>
      <c r="G21" s="146">
        <f t="shared" ref="G21:G23" si="17">+D21+E21+F21</f>
        <v>5700</v>
      </c>
      <c r="H21" s="146">
        <f t="shared" ref="H21:H25" si="18">+D21*$H$1</f>
        <v>450</v>
      </c>
      <c r="I21" s="147">
        <f t="shared" ref="I21:I24" si="19">D21*$I$1</f>
        <v>45</v>
      </c>
      <c r="J21" s="147">
        <v>0</v>
      </c>
      <c r="K21" s="147">
        <v>0</v>
      </c>
      <c r="L21" s="147">
        <f t="shared" ref="L21:L24" si="20">(D21*33*3/22)/36</f>
        <v>562.5</v>
      </c>
      <c r="M21" s="147">
        <f t="shared" ref="M21:M24" si="21">SUM(H21:K21)+G21</f>
        <v>6195</v>
      </c>
      <c r="N21" s="147">
        <f t="shared" ref="N21:N24" si="22">G21*13+SUM(H21:L21)*12</f>
        <v>86790</v>
      </c>
      <c r="O21" s="148">
        <v>1</v>
      </c>
      <c r="P21" s="149">
        <f t="shared" ref="P21:P24" si="23">N21/$P$2*O21</f>
        <v>6199.2857142857147</v>
      </c>
      <c r="Q21" s="149">
        <f t="shared" si="16"/>
        <v>6199.2857142857147</v>
      </c>
      <c r="R21" s="149">
        <f t="shared" ref="R21:R23" si="24">SUM(P21:Q21)</f>
        <v>12398.571428571429</v>
      </c>
      <c r="S21" s="151"/>
    </row>
    <row r="22" spans="1:19" s="126" customFormat="1" ht="12" x14ac:dyDescent="0.2">
      <c r="A22" s="150">
        <v>4</v>
      </c>
      <c r="B22" s="144" t="s">
        <v>468</v>
      </c>
      <c r="C22" s="192" t="s">
        <v>481</v>
      </c>
      <c r="D22" s="145">
        <v>4000</v>
      </c>
      <c r="E22" s="146">
        <v>600</v>
      </c>
      <c r="F22" s="146">
        <v>600</v>
      </c>
      <c r="G22" s="146">
        <f t="shared" si="17"/>
        <v>5200</v>
      </c>
      <c r="H22" s="146">
        <f t="shared" si="18"/>
        <v>400</v>
      </c>
      <c r="I22" s="147">
        <f t="shared" si="19"/>
        <v>40</v>
      </c>
      <c r="J22" s="147">
        <v>0</v>
      </c>
      <c r="K22" s="147">
        <v>0</v>
      </c>
      <c r="L22" s="147">
        <f t="shared" si="20"/>
        <v>500</v>
      </c>
      <c r="M22" s="147">
        <f t="shared" si="21"/>
        <v>5640</v>
      </c>
      <c r="N22" s="147">
        <f t="shared" si="22"/>
        <v>78880</v>
      </c>
      <c r="O22" s="148">
        <v>1</v>
      </c>
      <c r="P22" s="149">
        <f t="shared" si="23"/>
        <v>5634.2857142857147</v>
      </c>
      <c r="Q22" s="149">
        <f t="shared" si="16"/>
        <v>5634.2857142857147</v>
      </c>
      <c r="R22" s="149">
        <f t="shared" si="24"/>
        <v>11268.571428571429</v>
      </c>
      <c r="S22" s="151"/>
    </row>
    <row r="23" spans="1:19" s="126" customFormat="1" ht="12" x14ac:dyDescent="0.2">
      <c r="A23" s="150">
        <v>5</v>
      </c>
      <c r="B23" s="144" t="s">
        <v>468</v>
      </c>
      <c r="C23" s="192" t="s">
        <v>482</v>
      </c>
      <c r="D23" s="145">
        <v>5827.5</v>
      </c>
      <c r="E23" s="146">
        <v>1172.5</v>
      </c>
      <c r="F23" s="146">
        <v>600</v>
      </c>
      <c r="G23" s="146">
        <f t="shared" si="17"/>
        <v>7600</v>
      </c>
      <c r="H23" s="146">
        <f t="shared" si="18"/>
        <v>582.75</v>
      </c>
      <c r="I23" s="147">
        <f t="shared" si="19"/>
        <v>58.274999999999999</v>
      </c>
      <c r="J23" s="147">
        <v>0</v>
      </c>
      <c r="K23" s="147">
        <v>0</v>
      </c>
      <c r="L23" s="147">
        <f t="shared" si="20"/>
        <v>728.4375</v>
      </c>
      <c r="M23" s="147">
        <f t="shared" si="21"/>
        <v>8241.0249999999996</v>
      </c>
      <c r="N23" s="147">
        <f t="shared" si="22"/>
        <v>115233.55</v>
      </c>
      <c r="O23" s="148">
        <v>1</v>
      </c>
      <c r="P23" s="149">
        <f t="shared" si="23"/>
        <v>8230.9678571428576</v>
      </c>
      <c r="Q23" s="149">
        <f t="shared" si="16"/>
        <v>8230.9678571428576</v>
      </c>
      <c r="R23" s="149">
        <f t="shared" si="24"/>
        <v>16461.935714285715</v>
      </c>
      <c r="S23" s="151"/>
    </row>
    <row r="24" spans="1:19" s="126" customFormat="1" ht="12" x14ac:dyDescent="0.2">
      <c r="A24" s="150">
        <v>7</v>
      </c>
      <c r="B24" s="144" t="s">
        <v>468</v>
      </c>
      <c r="C24" s="192"/>
      <c r="D24" s="145"/>
      <c r="E24" s="146"/>
      <c r="F24" s="146"/>
      <c r="G24" s="146"/>
      <c r="H24" s="146">
        <f t="shared" si="18"/>
        <v>0</v>
      </c>
      <c r="I24" s="147">
        <f t="shared" si="19"/>
        <v>0</v>
      </c>
      <c r="J24" s="147">
        <v>0</v>
      </c>
      <c r="K24" s="147">
        <v>0</v>
      </c>
      <c r="L24" s="147">
        <f t="shared" si="20"/>
        <v>0</v>
      </c>
      <c r="M24" s="147">
        <f t="shared" si="21"/>
        <v>0</v>
      </c>
      <c r="N24" s="147">
        <f t="shared" si="22"/>
        <v>0</v>
      </c>
      <c r="O24" s="148"/>
      <c r="P24" s="149">
        <f t="shared" si="23"/>
        <v>0</v>
      </c>
      <c r="Q24" s="149">
        <f t="shared" ref="Q24" si="25">O24/$P$2*P24</f>
        <v>0</v>
      </c>
      <c r="R24" s="149"/>
      <c r="S24" s="151"/>
    </row>
    <row r="25" spans="1:19" s="126" customFormat="1" ht="12" x14ac:dyDescent="0.2">
      <c r="A25" s="150">
        <v>8</v>
      </c>
      <c r="B25" s="144" t="s">
        <v>468</v>
      </c>
      <c r="C25" s="192"/>
      <c r="D25" s="145"/>
      <c r="E25" s="146"/>
      <c r="F25" s="146"/>
      <c r="G25" s="146"/>
      <c r="H25" s="146">
        <f t="shared" si="18"/>
        <v>0</v>
      </c>
      <c r="I25" s="147"/>
      <c r="J25" s="147"/>
      <c r="K25" s="147"/>
      <c r="L25" s="147"/>
      <c r="M25" s="147"/>
      <c r="N25" s="147"/>
      <c r="O25" s="148"/>
      <c r="P25" s="149"/>
      <c r="Q25" s="149"/>
      <c r="R25" s="149"/>
      <c r="S25" s="151"/>
    </row>
    <row r="26" spans="1:19" s="126" customFormat="1" ht="12" x14ac:dyDescent="0.2">
      <c r="A26" s="150"/>
      <c r="B26" s="144" t="s">
        <v>468</v>
      </c>
      <c r="C26" s="192"/>
      <c r="D26" s="145"/>
      <c r="E26" s="146"/>
      <c r="F26" s="146"/>
      <c r="G26" s="146"/>
      <c r="H26" s="146"/>
      <c r="I26" s="147"/>
      <c r="J26" s="147"/>
      <c r="K26" s="147"/>
      <c r="L26" s="147"/>
      <c r="M26" s="147"/>
      <c r="N26" s="147"/>
      <c r="O26" s="148"/>
      <c r="P26" s="149"/>
      <c r="Q26" s="149"/>
      <c r="R26" s="149"/>
      <c r="S26" s="151"/>
    </row>
    <row r="27" spans="1:19" s="126" customFormat="1" ht="12" x14ac:dyDescent="0.2">
      <c r="A27" s="150"/>
      <c r="B27" s="144" t="s">
        <v>468</v>
      </c>
      <c r="C27" s="192"/>
      <c r="D27" s="145"/>
      <c r="E27" s="146"/>
      <c r="F27" s="146"/>
      <c r="G27" s="146"/>
      <c r="H27" s="146"/>
      <c r="I27" s="147"/>
      <c r="J27" s="147"/>
      <c r="K27" s="147"/>
      <c r="L27" s="147"/>
      <c r="M27" s="147"/>
      <c r="N27" s="147"/>
      <c r="O27" s="148"/>
      <c r="P27" s="149"/>
      <c r="Q27" s="149"/>
      <c r="R27" s="149"/>
      <c r="S27" s="151"/>
    </row>
    <row r="28" spans="1:19" s="126" customFormat="1" ht="12" x14ac:dyDescent="0.2">
      <c r="A28" s="150"/>
      <c r="B28" s="144"/>
      <c r="C28" s="192"/>
      <c r="D28" s="145"/>
      <c r="E28" s="146"/>
      <c r="F28" s="146"/>
      <c r="G28" s="146"/>
      <c r="H28" s="146"/>
      <c r="I28" s="147"/>
      <c r="J28" s="147"/>
      <c r="K28" s="147"/>
      <c r="L28" s="147"/>
      <c r="M28" s="147"/>
      <c r="N28" s="147"/>
      <c r="O28" s="148"/>
      <c r="P28" s="149"/>
      <c r="Q28" s="149"/>
      <c r="R28" s="149"/>
      <c r="S28" s="151"/>
    </row>
    <row r="29" spans="1:19" s="133" customFormat="1" ht="12" customHeight="1" thickBot="1" x14ac:dyDescent="0.2">
      <c r="B29" s="134" t="s">
        <v>483</v>
      </c>
      <c r="C29" s="134"/>
      <c r="D29" s="135">
        <f t="shared" ref="D29:R29" si="26">SUM(D19:D28)</f>
        <v>23667.5</v>
      </c>
      <c r="E29" s="135">
        <f t="shared" si="26"/>
        <v>3810</v>
      </c>
      <c r="F29" s="135">
        <f t="shared" si="26"/>
        <v>3000</v>
      </c>
      <c r="G29" s="135">
        <f t="shared" si="26"/>
        <v>30477.5</v>
      </c>
      <c r="H29" s="135">
        <f t="shared" si="26"/>
        <v>2366.75</v>
      </c>
      <c r="I29" s="135">
        <f t="shared" si="26"/>
        <v>236.67500000000001</v>
      </c>
      <c r="J29" s="135">
        <f t="shared" si="26"/>
        <v>0</v>
      </c>
      <c r="K29" s="135">
        <f t="shared" si="26"/>
        <v>0</v>
      </c>
      <c r="L29" s="135">
        <f t="shared" si="26"/>
        <v>2958.4375</v>
      </c>
      <c r="M29" s="135">
        <f t="shared" si="26"/>
        <v>33080.925000000003</v>
      </c>
      <c r="N29" s="135">
        <f t="shared" si="26"/>
        <v>462949.85</v>
      </c>
      <c r="O29" s="135">
        <f t="shared" si="26"/>
        <v>5</v>
      </c>
      <c r="P29" s="136">
        <f t="shared" si="26"/>
        <v>33067.846428571429</v>
      </c>
      <c r="Q29" s="136">
        <f t="shared" si="26"/>
        <v>33067.846428571429</v>
      </c>
      <c r="R29" s="136">
        <f t="shared" si="26"/>
        <v>66135.692857142858</v>
      </c>
    </row>
  </sheetData>
  <pageMargins left="0.7" right="0.7" top="0.75" bottom="0.75" header="0.3" footer="0.3"/>
  <pageSetup paperSize="9" scale="2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22AD-DC22-4627-B9EF-E1E83AA7E742}">
  <dimension ref="B1:AV30"/>
  <sheetViews>
    <sheetView workbookViewId="0"/>
  </sheetViews>
  <sheetFormatPr baseColWidth="10" defaultColWidth="9.1640625" defaultRowHeight="11" x14ac:dyDescent="0.15"/>
  <cols>
    <col min="1" max="1" width="9.1640625" style="159"/>
    <col min="2" max="2" width="28.83203125" style="159" customWidth="1"/>
    <col min="3" max="4" width="11" style="162" customWidth="1"/>
    <col min="5" max="5" width="13.1640625" style="162" customWidth="1"/>
    <col min="6" max="6" width="2" style="162" customWidth="1"/>
    <col min="7" max="8" width="13.1640625" style="162" customWidth="1"/>
    <col min="9" max="9" width="8.5" style="162" bestFit="1" customWidth="1"/>
    <col min="10" max="12" width="9.1640625" style="159"/>
    <col min="13" max="13" width="9.5" style="159" bestFit="1" customWidth="1"/>
    <col min="14" max="15" width="8.1640625" style="159" customWidth="1"/>
    <col min="16" max="17" width="9.1640625" style="159"/>
    <col min="18" max="18" width="22.1640625" style="159" bestFit="1" customWidth="1"/>
    <col min="19" max="21" width="9.1640625" style="159"/>
    <col min="22" max="22" width="3.1640625" style="159" customWidth="1"/>
    <col min="23" max="23" width="9.5" style="159" bestFit="1" customWidth="1"/>
    <col min="24" max="29" width="9.1640625" style="159"/>
    <col min="30" max="30" width="3.1640625" style="159" customWidth="1"/>
    <col min="31" max="32" width="9.1640625" style="159"/>
    <col min="33" max="33" width="22.1640625" style="159" bestFit="1" customWidth="1"/>
    <col min="34" max="34" width="9.5" style="159" bestFit="1" customWidth="1"/>
    <col min="35" max="36" width="9.1640625" style="159"/>
    <col min="37" max="37" width="3.5" style="159" customWidth="1"/>
    <col min="38" max="44" width="9.1640625" style="159"/>
    <col min="45" max="45" width="2" style="159" customWidth="1"/>
    <col min="46" max="16384" width="9.1640625" style="159"/>
  </cols>
  <sheetData>
    <row r="1" spans="2:48" x14ac:dyDescent="0.15">
      <c r="B1" s="153" t="s">
        <v>484</v>
      </c>
      <c r="C1" s="153" t="s">
        <v>485</v>
      </c>
      <c r="D1" s="154" t="s">
        <v>464</v>
      </c>
      <c r="E1" s="153" t="s">
        <v>486</v>
      </c>
      <c r="F1" s="155"/>
      <c r="G1" s="153" t="s">
        <v>487</v>
      </c>
      <c r="H1" s="154" t="s">
        <v>488</v>
      </c>
      <c r="I1" s="154" t="s">
        <v>489</v>
      </c>
      <c r="J1" s="154" t="s">
        <v>490</v>
      </c>
      <c r="K1" s="154" t="s">
        <v>491</v>
      </c>
      <c r="L1" s="156" t="s">
        <v>492</v>
      </c>
      <c r="M1" s="154" t="s">
        <v>486</v>
      </c>
      <c r="N1" s="157"/>
      <c r="O1" s="157"/>
      <c r="P1" s="158" t="s">
        <v>10</v>
      </c>
      <c r="R1" s="153" t="s">
        <v>493</v>
      </c>
      <c r="S1" s="153" t="s">
        <v>485</v>
      </c>
      <c r="T1" s="154" t="s">
        <v>464</v>
      </c>
      <c r="U1" s="153" t="s">
        <v>486</v>
      </c>
      <c r="V1" s="155"/>
      <c r="W1" s="153" t="s">
        <v>487</v>
      </c>
      <c r="X1" s="154" t="s">
        <v>488</v>
      </c>
      <c r="Y1" s="154" t="s">
        <v>489</v>
      </c>
      <c r="Z1" s="154" t="s">
        <v>490</v>
      </c>
      <c r="AA1" s="154" t="s">
        <v>491</v>
      </c>
      <c r="AB1" s="156" t="s">
        <v>492</v>
      </c>
      <c r="AC1" s="154" t="s">
        <v>486</v>
      </c>
      <c r="AD1" s="157"/>
      <c r="AE1" s="158" t="s">
        <v>10</v>
      </c>
      <c r="AG1" s="153" t="s">
        <v>494</v>
      </c>
      <c r="AH1" s="153" t="s">
        <v>485</v>
      </c>
      <c r="AI1" s="154" t="s">
        <v>464</v>
      </c>
      <c r="AJ1" s="153" t="s">
        <v>486</v>
      </c>
      <c r="AK1" s="155"/>
      <c r="AL1" s="153" t="s">
        <v>487</v>
      </c>
      <c r="AM1" s="154" t="s">
        <v>488</v>
      </c>
      <c r="AN1" s="154" t="s">
        <v>489</v>
      </c>
      <c r="AO1" s="154" t="s">
        <v>490</v>
      </c>
      <c r="AP1" s="154" t="s">
        <v>491</v>
      </c>
      <c r="AQ1" s="156" t="s">
        <v>492</v>
      </c>
      <c r="AR1" s="154" t="s">
        <v>486</v>
      </c>
      <c r="AS1" s="157"/>
      <c r="AT1" s="158" t="s">
        <v>10</v>
      </c>
      <c r="AU1" s="160">
        <v>1.03</v>
      </c>
      <c r="AV1" s="159" t="s">
        <v>495</v>
      </c>
    </row>
    <row r="2" spans="2:48" x14ac:dyDescent="0.15">
      <c r="C2" s="155"/>
      <c r="D2" s="157"/>
      <c r="E2" s="155"/>
      <c r="F2" s="155"/>
      <c r="G2" s="155"/>
      <c r="H2" s="157"/>
      <c r="I2" s="157"/>
      <c r="J2" s="157"/>
      <c r="K2" s="157"/>
      <c r="L2" s="161">
        <v>0.3</v>
      </c>
      <c r="M2" s="157"/>
      <c r="N2" s="157"/>
      <c r="O2" s="157"/>
      <c r="S2" s="155"/>
      <c r="T2" s="157"/>
      <c r="U2" s="155"/>
      <c r="V2" s="155"/>
      <c r="W2" s="155"/>
      <c r="X2" s="157"/>
      <c r="Y2" s="157"/>
      <c r="Z2" s="157"/>
      <c r="AA2" s="157"/>
      <c r="AB2" s="161">
        <v>0.3</v>
      </c>
      <c r="AC2" s="157"/>
      <c r="AD2" s="157"/>
      <c r="AH2" s="155"/>
      <c r="AI2" s="157"/>
      <c r="AJ2" s="155"/>
      <c r="AK2" s="155"/>
      <c r="AL2" s="155"/>
      <c r="AM2" s="157"/>
      <c r="AN2" s="157"/>
      <c r="AO2" s="157"/>
      <c r="AP2" s="157"/>
      <c r="AQ2" s="161">
        <v>0.3</v>
      </c>
      <c r="AR2" s="157"/>
      <c r="AS2" s="157"/>
    </row>
    <row r="3" spans="2:48" x14ac:dyDescent="0.15">
      <c r="B3" s="159" t="s">
        <v>496</v>
      </c>
      <c r="F3" s="157"/>
      <c r="J3" s="162"/>
      <c r="K3" s="162"/>
      <c r="L3" s="162"/>
      <c r="M3" s="162"/>
      <c r="N3" s="157"/>
      <c r="O3" s="157"/>
      <c r="R3" s="159" t="s">
        <v>496</v>
      </c>
      <c r="S3" s="162"/>
      <c r="T3" s="162"/>
      <c r="U3" s="162"/>
      <c r="V3" s="157"/>
      <c r="W3" s="162"/>
      <c r="X3" s="162"/>
      <c r="Y3" s="162"/>
      <c r="Z3" s="162"/>
      <c r="AA3" s="162"/>
      <c r="AB3" s="162"/>
      <c r="AC3" s="162"/>
      <c r="AD3" s="157"/>
      <c r="AG3" s="159" t="s">
        <v>496</v>
      </c>
      <c r="AH3" s="162"/>
      <c r="AI3" s="162"/>
      <c r="AJ3" s="162"/>
      <c r="AK3" s="157"/>
      <c r="AL3" s="162"/>
      <c r="AM3" s="162"/>
      <c r="AN3" s="162"/>
      <c r="AO3" s="162"/>
      <c r="AP3" s="162"/>
      <c r="AQ3" s="162"/>
      <c r="AR3" s="162"/>
      <c r="AS3" s="157"/>
    </row>
    <row r="4" spans="2:48" x14ac:dyDescent="0.15">
      <c r="B4" s="163" t="s">
        <v>497</v>
      </c>
      <c r="C4" s="164">
        <v>95000</v>
      </c>
      <c r="D4" s="161">
        <v>1</v>
      </c>
      <c r="E4" s="164">
        <f>C4*D4</f>
        <v>95000</v>
      </c>
      <c r="F4" s="165"/>
      <c r="G4" s="166">
        <v>10512</v>
      </c>
      <c r="H4" s="162">
        <f>30000*$D$4</f>
        <v>30000</v>
      </c>
      <c r="I4" s="162">
        <f>15000*$D$4</f>
        <v>15000</v>
      </c>
      <c r="J4" s="162">
        <f>7560*$D$4</f>
        <v>7560</v>
      </c>
      <c r="K4" s="162">
        <f>2500*$D$4</f>
        <v>2500</v>
      </c>
      <c r="L4" s="162">
        <f>$L$2*C4</f>
        <v>28500</v>
      </c>
      <c r="M4" s="162">
        <f>SUM(G4:L4)*D4</f>
        <v>94072</v>
      </c>
      <c r="N4" s="167"/>
      <c r="O4" s="168">
        <f>+N4/C4</f>
        <v>0</v>
      </c>
      <c r="P4" s="169">
        <f>M4+E4</f>
        <v>189072</v>
      </c>
      <c r="R4" s="170" t="s">
        <v>497</v>
      </c>
      <c r="S4" s="164">
        <f>C4*$AU$1</f>
        <v>97850</v>
      </c>
      <c r="T4" s="171">
        <v>0.2</v>
      </c>
      <c r="U4" s="164">
        <f>S4*T4</f>
        <v>19570</v>
      </c>
      <c r="V4" s="165"/>
      <c r="W4" s="164">
        <f t="shared" ref="W4:AA7" si="0">G4*$AU$1</f>
        <v>10827.36</v>
      </c>
      <c r="X4" s="164">
        <f t="shared" si="0"/>
        <v>30900</v>
      </c>
      <c r="Y4" s="164">
        <f t="shared" si="0"/>
        <v>15450</v>
      </c>
      <c r="Z4" s="164">
        <f t="shared" si="0"/>
        <v>7786.8</v>
      </c>
      <c r="AA4" s="164">
        <f t="shared" si="0"/>
        <v>2575</v>
      </c>
      <c r="AB4" s="162">
        <f>$L$2*S4</f>
        <v>29355</v>
      </c>
      <c r="AC4" s="162">
        <f>SUM(W4:AB4)*T4</f>
        <v>19378.832000000002</v>
      </c>
      <c r="AD4" s="168"/>
      <c r="AE4" s="169">
        <f>AC4+U4</f>
        <v>38948.832000000002</v>
      </c>
      <c r="AG4" s="170" t="s">
        <v>497</v>
      </c>
      <c r="AH4" s="164">
        <f>S4*$AU$1</f>
        <v>100785.5</v>
      </c>
      <c r="AI4" s="171">
        <v>0.2</v>
      </c>
      <c r="AJ4" s="164">
        <f>AH4*AI4</f>
        <v>20157.100000000002</v>
      </c>
      <c r="AK4" s="165"/>
      <c r="AL4" s="164">
        <f t="shared" ref="AL4:AP7" si="1">W4*$AU$1</f>
        <v>11152.1808</v>
      </c>
      <c r="AM4" s="164">
        <f t="shared" si="1"/>
        <v>31827</v>
      </c>
      <c r="AN4" s="164">
        <f t="shared" si="1"/>
        <v>15913.5</v>
      </c>
      <c r="AO4" s="164">
        <f t="shared" si="1"/>
        <v>8020.4040000000005</v>
      </c>
      <c r="AP4" s="164">
        <f t="shared" si="1"/>
        <v>2652.25</v>
      </c>
      <c r="AQ4" s="162">
        <f>$L$2*AH4</f>
        <v>30235.649999999998</v>
      </c>
      <c r="AR4" s="162">
        <f>SUM(AL4:AQ4)*AI4</f>
        <v>19960.196960000001</v>
      </c>
      <c r="AS4" s="168"/>
      <c r="AT4" s="169">
        <f>AR4+AJ4</f>
        <v>40117.296960000007</v>
      </c>
      <c r="AV4" s="169">
        <f>AT4+AE4+P4</f>
        <v>268138.12896</v>
      </c>
    </row>
    <row r="5" spans="2:48" x14ac:dyDescent="0.15">
      <c r="B5" s="170" t="s">
        <v>498</v>
      </c>
      <c r="C5" s="164">
        <v>105000</v>
      </c>
      <c r="D5" s="171">
        <v>0</v>
      </c>
      <c r="E5" s="164">
        <f>C5*D5</f>
        <v>0</v>
      </c>
      <c r="F5" s="165"/>
      <c r="G5" s="164">
        <v>10512</v>
      </c>
      <c r="H5" s="162">
        <f>'[19]Intl-Details'!G5</f>
        <v>0</v>
      </c>
      <c r="I5" s="162">
        <f>'[19]Intl-Details'!J5</f>
        <v>0</v>
      </c>
      <c r="J5" s="162">
        <f>'[19]Intl-Details'!L5</f>
        <v>0</v>
      </c>
      <c r="K5" s="162">
        <f>'[19]Intl-Details'!O5</f>
        <v>0</v>
      </c>
      <c r="L5" s="162"/>
      <c r="M5" s="162">
        <f t="shared" ref="M5:M7" si="2">SUM(G5:L5)*D5</f>
        <v>0</v>
      </c>
      <c r="N5" s="168"/>
      <c r="O5" s="168"/>
      <c r="P5" s="169">
        <f>M5+E5</f>
        <v>0</v>
      </c>
      <c r="R5" s="170" t="s">
        <v>498</v>
      </c>
      <c r="S5" s="164">
        <f>C5*$AU$1</f>
        <v>108150</v>
      </c>
      <c r="T5" s="171">
        <v>0</v>
      </c>
      <c r="U5" s="164">
        <f>S5*T5</f>
        <v>0</v>
      </c>
      <c r="V5" s="165"/>
      <c r="W5" s="164">
        <f t="shared" si="0"/>
        <v>10827.36</v>
      </c>
      <c r="X5" s="164">
        <f t="shared" si="0"/>
        <v>0</v>
      </c>
      <c r="Y5" s="164">
        <f t="shared" si="0"/>
        <v>0</v>
      </c>
      <c r="Z5" s="164">
        <f t="shared" si="0"/>
        <v>0</v>
      </c>
      <c r="AA5" s="164">
        <f t="shared" si="0"/>
        <v>0</v>
      </c>
      <c r="AB5" s="162"/>
      <c r="AC5" s="162">
        <f>SUM(W5:AA5)*T5</f>
        <v>0</v>
      </c>
      <c r="AD5" s="168"/>
      <c r="AE5" s="169">
        <f>AC5+U5</f>
        <v>0</v>
      </c>
      <c r="AG5" s="170" t="s">
        <v>498</v>
      </c>
      <c r="AH5" s="164">
        <f>S5*$AU$1</f>
        <v>111394.5</v>
      </c>
      <c r="AI5" s="171">
        <v>0</v>
      </c>
      <c r="AJ5" s="164">
        <f>AH5*AI5</f>
        <v>0</v>
      </c>
      <c r="AK5" s="165"/>
      <c r="AL5" s="164">
        <f t="shared" si="1"/>
        <v>11152.1808</v>
      </c>
      <c r="AM5" s="164">
        <f t="shared" si="1"/>
        <v>0</v>
      </c>
      <c r="AN5" s="164">
        <f t="shared" si="1"/>
        <v>0</v>
      </c>
      <c r="AO5" s="164">
        <f t="shared" si="1"/>
        <v>0</v>
      </c>
      <c r="AP5" s="164">
        <f t="shared" si="1"/>
        <v>0</v>
      </c>
      <c r="AQ5" s="162"/>
      <c r="AR5" s="162">
        <f>SUM(AL5:AP5)*AI5</f>
        <v>0</v>
      </c>
      <c r="AS5" s="168"/>
      <c r="AT5" s="169">
        <f>AR5+AJ5</f>
        <v>0</v>
      </c>
    </row>
    <row r="6" spans="2:48" x14ac:dyDescent="0.15">
      <c r="B6" s="170" t="s">
        <v>499</v>
      </c>
      <c r="C6" s="165">
        <v>105000</v>
      </c>
      <c r="D6" s="171">
        <v>0</v>
      </c>
      <c r="E6" s="164">
        <f>C6*D6</f>
        <v>0</v>
      </c>
      <c r="F6" s="165"/>
      <c r="G6" s="164">
        <v>10512</v>
      </c>
      <c r="H6" s="162">
        <f>'[19]Intl-Details'!G6</f>
        <v>0</v>
      </c>
      <c r="I6" s="162">
        <f>'[19]Intl-Details'!J6</f>
        <v>0</v>
      </c>
      <c r="J6" s="162">
        <f>'[19]Intl-Details'!L6</f>
        <v>0</v>
      </c>
      <c r="K6" s="162">
        <f>'[19]Intl-Details'!O6</f>
        <v>0</v>
      </c>
      <c r="L6" s="162"/>
      <c r="M6" s="162">
        <f t="shared" si="2"/>
        <v>0</v>
      </c>
      <c r="N6" s="168"/>
      <c r="O6" s="168"/>
      <c r="P6" s="169">
        <f>M6+E6</f>
        <v>0</v>
      </c>
      <c r="R6" s="170" t="s">
        <v>499</v>
      </c>
      <c r="S6" s="164">
        <f>C6*$AU$1</f>
        <v>108150</v>
      </c>
      <c r="T6" s="171">
        <v>0</v>
      </c>
      <c r="U6" s="164">
        <f>S6*T6</f>
        <v>0</v>
      </c>
      <c r="V6" s="165"/>
      <c r="W6" s="164">
        <f t="shared" si="0"/>
        <v>10827.36</v>
      </c>
      <c r="X6" s="164">
        <f t="shared" si="0"/>
        <v>0</v>
      </c>
      <c r="Y6" s="164">
        <f t="shared" si="0"/>
        <v>0</v>
      </c>
      <c r="Z6" s="164">
        <f t="shared" si="0"/>
        <v>0</v>
      </c>
      <c r="AA6" s="164">
        <f t="shared" si="0"/>
        <v>0</v>
      </c>
      <c r="AB6" s="162"/>
      <c r="AC6" s="162">
        <f>SUM(W6:AA6)*T6</f>
        <v>0</v>
      </c>
      <c r="AD6" s="168"/>
      <c r="AE6" s="169">
        <f>AC6+U6</f>
        <v>0</v>
      </c>
      <c r="AG6" s="170" t="s">
        <v>499</v>
      </c>
      <c r="AH6" s="164">
        <f>S6*$AU$1</f>
        <v>111394.5</v>
      </c>
      <c r="AI6" s="171">
        <v>0</v>
      </c>
      <c r="AJ6" s="164">
        <f>AH6*AI6</f>
        <v>0</v>
      </c>
      <c r="AK6" s="165"/>
      <c r="AL6" s="164">
        <f t="shared" si="1"/>
        <v>11152.1808</v>
      </c>
      <c r="AM6" s="164">
        <f t="shared" si="1"/>
        <v>0</v>
      </c>
      <c r="AN6" s="164">
        <f t="shared" si="1"/>
        <v>0</v>
      </c>
      <c r="AO6" s="164">
        <f t="shared" si="1"/>
        <v>0</v>
      </c>
      <c r="AP6" s="164">
        <f t="shared" si="1"/>
        <v>0</v>
      </c>
      <c r="AQ6" s="162"/>
      <c r="AR6" s="162">
        <f>SUM(AL6:AP6)*AI6</f>
        <v>0</v>
      </c>
      <c r="AS6" s="168"/>
      <c r="AT6" s="169">
        <f>AR6+AJ6</f>
        <v>0</v>
      </c>
    </row>
    <row r="7" spans="2:48" x14ac:dyDescent="0.15">
      <c r="B7" s="170" t="s">
        <v>500</v>
      </c>
      <c r="C7" s="165">
        <v>105000</v>
      </c>
      <c r="D7" s="171">
        <v>0.05</v>
      </c>
      <c r="E7" s="164">
        <f>C7*D7</f>
        <v>5250</v>
      </c>
      <c r="F7" s="165"/>
      <c r="G7" s="166">
        <v>13181</v>
      </c>
      <c r="H7" s="162">
        <v>30000</v>
      </c>
      <c r="I7" s="162">
        <v>15000</v>
      </c>
      <c r="J7" s="172">
        <v>7560</v>
      </c>
      <c r="K7" s="172">
        <v>2500</v>
      </c>
      <c r="L7" s="162">
        <f>$L$2*C7</f>
        <v>31500</v>
      </c>
      <c r="M7" s="162">
        <f t="shared" si="2"/>
        <v>4987.05</v>
      </c>
      <c r="N7" s="168"/>
      <c r="O7" s="168"/>
      <c r="P7" s="169">
        <f>M7+E7</f>
        <v>10237.049999999999</v>
      </c>
      <c r="R7" s="170" t="s">
        <v>500</v>
      </c>
      <c r="S7" s="164">
        <f>C7*$AU$1</f>
        <v>108150</v>
      </c>
      <c r="T7" s="171">
        <v>0.05</v>
      </c>
      <c r="U7" s="164">
        <f>S7*T7</f>
        <v>5407.5</v>
      </c>
      <c r="V7" s="165"/>
      <c r="W7" s="164">
        <f t="shared" si="0"/>
        <v>13576.43</v>
      </c>
      <c r="X7" s="164">
        <f t="shared" si="0"/>
        <v>30900</v>
      </c>
      <c r="Y7" s="164">
        <f t="shared" si="0"/>
        <v>15450</v>
      </c>
      <c r="Z7" s="164">
        <f t="shared" si="0"/>
        <v>7786.8</v>
      </c>
      <c r="AA7" s="164">
        <f t="shared" si="0"/>
        <v>2575</v>
      </c>
      <c r="AB7" s="162">
        <f>$L$2*S7</f>
        <v>32445</v>
      </c>
      <c r="AC7" s="162">
        <f>SUM(W7:AA7)*T7</f>
        <v>3514.4115000000002</v>
      </c>
      <c r="AD7" s="168"/>
      <c r="AE7" s="169">
        <f>AC7+U7</f>
        <v>8921.9115000000002</v>
      </c>
      <c r="AG7" s="170" t="s">
        <v>500</v>
      </c>
      <c r="AH7" s="164">
        <f>S7*$AU$1</f>
        <v>111394.5</v>
      </c>
      <c r="AI7" s="171">
        <v>0.05</v>
      </c>
      <c r="AJ7" s="164">
        <f>AH7*AI7</f>
        <v>5569.7250000000004</v>
      </c>
      <c r="AK7" s="165"/>
      <c r="AL7" s="164">
        <f t="shared" si="1"/>
        <v>13983.722900000001</v>
      </c>
      <c r="AM7" s="164">
        <f t="shared" si="1"/>
        <v>31827</v>
      </c>
      <c r="AN7" s="164">
        <f t="shared" si="1"/>
        <v>15913.5</v>
      </c>
      <c r="AO7" s="164">
        <f t="shared" si="1"/>
        <v>8020.4040000000005</v>
      </c>
      <c r="AP7" s="164">
        <f t="shared" si="1"/>
        <v>2652.25</v>
      </c>
      <c r="AQ7" s="162">
        <f>$L$2*AH7</f>
        <v>33418.35</v>
      </c>
      <c r="AR7" s="162">
        <f>SUM(AL7:AP7)*AI7</f>
        <v>3619.8438450000003</v>
      </c>
      <c r="AS7" s="168"/>
      <c r="AT7" s="169">
        <f>AR7+AJ7</f>
        <v>9189.5688450000016</v>
      </c>
    </row>
    <row r="8" spans="2:48" ht="12" thickBot="1" x14ac:dyDescent="0.2">
      <c r="B8" s="173"/>
      <c r="C8" s="174">
        <f>SUM(C4:C7)</f>
        <v>410000</v>
      </c>
      <c r="D8" s="174"/>
      <c r="E8" s="174">
        <f>SUM(E4:E7)</f>
        <v>100250</v>
      </c>
      <c r="F8" s="174"/>
      <c r="G8" s="174">
        <f t="shared" ref="G8:M8" si="3">SUM(G4:G7)</f>
        <v>44717</v>
      </c>
      <c r="H8" s="174">
        <f t="shared" si="3"/>
        <v>60000</v>
      </c>
      <c r="I8" s="174">
        <f t="shared" si="3"/>
        <v>30000</v>
      </c>
      <c r="J8" s="174">
        <f t="shared" si="3"/>
        <v>15120</v>
      </c>
      <c r="K8" s="174">
        <f t="shared" si="3"/>
        <v>5000</v>
      </c>
      <c r="L8" s="174"/>
      <c r="M8" s="174">
        <f t="shared" si="3"/>
        <v>99059.05</v>
      </c>
      <c r="N8" s="174"/>
      <c r="O8" s="174"/>
      <c r="P8" s="174">
        <f>SUM(P4:P7)</f>
        <v>199309.05</v>
      </c>
      <c r="R8" s="173"/>
      <c r="S8" s="174">
        <f>SUM(S4:S7)</f>
        <v>422300</v>
      </c>
      <c r="T8" s="174"/>
      <c r="U8" s="174">
        <f>SUM(U4:U7)</f>
        <v>24977.5</v>
      </c>
      <c r="V8" s="174"/>
      <c r="W8" s="174">
        <f t="shared" ref="W8:AC8" si="4">SUM(W4:W7)</f>
        <v>46058.51</v>
      </c>
      <c r="X8" s="174">
        <f t="shared" si="4"/>
        <v>61800</v>
      </c>
      <c r="Y8" s="174">
        <f t="shared" si="4"/>
        <v>30900</v>
      </c>
      <c r="Z8" s="174">
        <f t="shared" si="4"/>
        <v>15573.6</v>
      </c>
      <c r="AA8" s="174">
        <f t="shared" si="4"/>
        <v>5150</v>
      </c>
      <c r="AB8" s="174">
        <f t="shared" si="4"/>
        <v>61800</v>
      </c>
      <c r="AC8" s="174">
        <f t="shared" si="4"/>
        <v>22893.243500000004</v>
      </c>
      <c r="AD8" s="174"/>
      <c r="AE8" s="174">
        <f>SUM(AE4:AE7)</f>
        <v>47870.743500000004</v>
      </c>
      <c r="AG8" s="173"/>
      <c r="AH8" s="174">
        <f>SUM(AH4:AH7)</f>
        <v>434969</v>
      </c>
      <c r="AI8" s="174"/>
      <c r="AJ8" s="174">
        <f>SUM(AJ4:AJ7)</f>
        <v>25726.825000000004</v>
      </c>
      <c r="AK8" s="174"/>
      <c r="AL8" s="174">
        <f>SUM(AL4:AL7)</f>
        <v>47440.265299999999</v>
      </c>
      <c r="AM8" s="174">
        <f t="shared" ref="AM8:AT8" si="5">SUM(AM4:AM7)</f>
        <v>63654</v>
      </c>
      <c r="AN8" s="174">
        <f t="shared" si="5"/>
        <v>31827</v>
      </c>
      <c r="AO8" s="174">
        <f t="shared" si="5"/>
        <v>16040.808000000001</v>
      </c>
      <c r="AP8" s="174">
        <f t="shared" si="5"/>
        <v>5304.5</v>
      </c>
      <c r="AQ8" s="174">
        <f t="shared" si="5"/>
        <v>63654</v>
      </c>
      <c r="AR8" s="174">
        <f t="shared" si="5"/>
        <v>23580.040805000001</v>
      </c>
      <c r="AS8" s="174"/>
      <c r="AT8" s="174">
        <f t="shared" si="5"/>
        <v>49306.865805000009</v>
      </c>
    </row>
    <row r="9" spans="2:48" ht="13" thickTop="1" thickBot="1" x14ac:dyDescent="0.2">
      <c r="B9" s="170"/>
      <c r="C9" s="165"/>
      <c r="D9" s="157"/>
      <c r="E9" s="165"/>
      <c r="F9" s="165"/>
      <c r="G9" s="165"/>
      <c r="H9" s="157"/>
      <c r="I9" s="157"/>
      <c r="J9" s="157"/>
      <c r="K9" s="157"/>
      <c r="L9" s="157"/>
      <c r="M9" s="157"/>
      <c r="N9" s="157"/>
      <c r="O9" s="157"/>
      <c r="R9" s="170"/>
      <c r="S9" s="165"/>
      <c r="T9" s="157"/>
      <c r="U9" s="165"/>
      <c r="V9" s="165"/>
      <c r="W9" s="165"/>
      <c r="X9" s="157"/>
      <c r="Y9" s="157"/>
      <c r="Z9" s="157"/>
      <c r="AA9" s="157"/>
      <c r="AB9" s="157"/>
      <c r="AC9" s="157"/>
      <c r="AD9" s="157"/>
      <c r="AG9" s="170"/>
      <c r="AH9" s="165"/>
      <c r="AI9" s="157"/>
      <c r="AJ9" s="165"/>
      <c r="AK9" s="165"/>
      <c r="AL9" s="165"/>
      <c r="AM9" s="157"/>
      <c r="AN9" s="157"/>
      <c r="AO9" s="157"/>
      <c r="AP9" s="157"/>
      <c r="AQ9" s="157"/>
      <c r="AR9" s="157"/>
      <c r="AS9" s="157"/>
    </row>
    <row r="10" spans="2:48" x14ac:dyDescent="0.15">
      <c r="B10" s="175"/>
      <c r="C10" s="176"/>
      <c r="D10" s="176"/>
      <c r="E10" s="176"/>
      <c r="F10" s="176"/>
      <c r="G10" s="177"/>
      <c r="H10" s="178"/>
      <c r="J10" s="162"/>
    </row>
    <row r="11" spans="2:48" x14ac:dyDescent="0.15">
      <c r="B11" s="179" t="s">
        <v>501</v>
      </c>
      <c r="C11" s="180" t="s">
        <v>484</v>
      </c>
      <c r="D11" s="180" t="s">
        <v>502</v>
      </c>
      <c r="E11" s="180" t="s">
        <v>503</v>
      </c>
      <c r="F11" s="180"/>
      <c r="G11" s="181" t="s">
        <v>238</v>
      </c>
      <c r="H11" s="178"/>
      <c r="I11" s="162" t="s">
        <v>504</v>
      </c>
      <c r="J11" s="162" t="s">
        <v>505</v>
      </c>
      <c r="K11" s="159" t="s">
        <v>464</v>
      </c>
    </row>
    <row r="12" spans="2:48" x14ac:dyDescent="0.15">
      <c r="B12" s="182"/>
      <c r="C12" s="183"/>
      <c r="D12" s="183"/>
      <c r="E12" s="183"/>
      <c r="F12" s="183"/>
      <c r="G12" s="184"/>
      <c r="H12" s="178"/>
      <c r="I12" s="164">
        <v>95000</v>
      </c>
      <c r="J12" s="162">
        <f>30%*I12</f>
        <v>28500</v>
      </c>
      <c r="K12" s="160">
        <v>0.3</v>
      </c>
      <c r="L12" s="160"/>
      <c r="M12" s="169">
        <f>(I12+J12)*K12</f>
        <v>37050</v>
      </c>
      <c r="N12" s="169">
        <f>+P4-M12</f>
        <v>152022</v>
      </c>
      <c r="AB12" s="160"/>
      <c r="AQ12" s="160"/>
    </row>
    <row r="13" spans="2:48" x14ac:dyDescent="0.15">
      <c r="B13" s="182" t="s">
        <v>506</v>
      </c>
      <c r="C13" s="183"/>
      <c r="D13" s="183"/>
      <c r="E13" s="183"/>
      <c r="F13" s="183"/>
      <c r="G13" s="184"/>
      <c r="H13" s="178"/>
      <c r="J13" s="162"/>
    </row>
    <row r="14" spans="2:48" x14ac:dyDescent="0.15">
      <c r="B14" s="182" t="s">
        <v>507</v>
      </c>
      <c r="C14" s="185">
        <f>E4</f>
        <v>95000</v>
      </c>
      <c r="D14" s="185">
        <f>U4</f>
        <v>19570</v>
      </c>
      <c r="E14" s="185">
        <f>AJ4</f>
        <v>20157.100000000002</v>
      </c>
      <c r="F14" s="185"/>
      <c r="G14" s="184">
        <f>SUM(C14:E14)</f>
        <v>134727.1</v>
      </c>
      <c r="H14" s="178"/>
      <c r="J14" s="162"/>
    </row>
    <row r="15" spans="2:48" x14ac:dyDescent="0.15">
      <c r="B15" s="182" t="s">
        <v>508</v>
      </c>
      <c r="C15" s="185">
        <f>M4</f>
        <v>94072</v>
      </c>
      <c r="D15" s="185">
        <f>AC4</f>
        <v>19378.832000000002</v>
      </c>
      <c r="E15" s="185">
        <f>AR4</f>
        <v>19960.196960000001</v>
      </c>
      <c r="F15" s="185"/>
      <c r="G15" s="184">
        <f>SUM(C15:E15)</f>
        <v>133411.02896</v>
      </c>
      <c r="H15" s="178"/>
      <c r="J15" s="162"/>
    </row>
    <row r="16" spans="2:48" x14ac:dyDescent="0.15">
      <c r="B16" s="182" t="s">
        <v>507</v>
      </c>
      <c r="C16" s="185">
        <f>E10</f>
        <v>0</v>
      </c>
      <c r="D16" s="185">
        <f>U10</f>
        <v>0</v>
      </c>
      <c r="E16" s="185">
        <f>AJ10</f>
        <v>0</v>
      </c>
      <c r="F16" s="185"/>
      <c r="G16" s="184">
        <f>SUM(C16:E16)</f>
        <v>0</v>
      </c>
      <c r="H16" s="178"/>
      <c r="J16" s="162"/>
    </row>
    <row r="17" spans="2:11" x14ac:dyDescent="0.15">
      <c r="B17" s="182" t="s">
        <v>508</v>
      </c>
      <c r="C17" s="185">
        <f>M10</f>
        <v>0</v>
      </c>
      <c r="D17" s="185">
        <f>AC10</f>
        <v>0</v>
      </c>
      <c r="E17" s="185">
        <f>AR10</f>
        <v>0</v>
      </c>
      <c r="F17" s="185"/>
      <c r="G17" s="184">
        <f>SUM(C17:E17)</f>
        <v>0</v>
      </c>
      <c r="H17" s="178"/>
      <c r="J17" s="162"/>
    </row>
    <row r="18" spans="2:11" ht="12" thickBot="1" x14ac:dyDescent="0.2">
      <c r="B18" s="186" t="s">
        <v>10</v>
      </c>
      <c r="C18" s="187">
        <f>SUM(C14:C15)</f>
        <v>189072</v>
      </c>
      <c r="D18" s="187">
        <f>SUM(D14:D15)</f>
        <v>38948.832000000002</v>
      </c>
      <c r="E18" s="187">
        <f>SUM(E14:E15)</f>
        <v>40117.296960000007</v>
      </c>
      <c r="F18" s="187"/>
      <c r="G18" s="188">
        <f>SUM(G14:G15)</f>
        <v>268138.12896</v>
      </c>
      <c r="H18" s="178"/>
      <c r="J18" s="162"/>
    </row>
    <row r="19" spans="2:11" ht="13" thickTop="1" thickBot="1" x14ac:dyDescent="0.2">
      <c r="I19" s="162">
        <f>C4/12</f>
        <v>7916.666666666667</v>
      </c>
      <c r="K19" s="189">
        <f>M4/12</f>
        <v>7839.333333333333</v>
      </c>
    </row>
    <row r="20" spans="2:11" x14ac:dyDescent="0.15">
      <c r="B20" s="175"/>
      <c r="C20" s="176"/>
      <c r="D20" s="176"/>
      <c r="E20" s="176"/>
      <c r="F20" s="176"/>
      <c r="G20" s="177"/>
    </row>
    <row r="21" spans="2:11" x14ac:dyDescent="0.15">
      <c r="B21" s="179" t="s">
        <v>509</v>
      </c>
      <c r="C21" s="180" t="s">
        <v>484</v>
      </c>
      <c r="D21" s="180" t="s">
        <v>502</v>
      </c>
      <c r="E21" s="180" t="s">
        <v>503</v>
      </c>
      <c r="F21" s="180"/>
      <c r="G21" s="181" t="s">
        <v>238</v>
      </c>
    </row>
    <row r="22" spans="2:11" x14ac:dyDescent="0.15">
      <c r="B22" s="182"/>
      <c r="C22" s="183"/>
      <c r="D22" s="183"/>
      <c r="E22" s="183"/>
      <c r="F22" s="183"/>
      <c r="G22" s="184"/>
    </row>
    <row r="23" spans="2:11" x14ac:dyDescent="0.15">
      <c r="B23" s="182" t="s">
        <v>506</v>
      </c>
      <c r="C23" s="183"/>
      <c r="D23" s="183"/>
      <c r="E23" s="183"/>
      <c r="F23" s="183"/>
      <c r="G23" s="184"/>
    </row>
    <row r="24" spans="2:11" x14ac:dyDescent="0.15">
      <c r="B24" s="182" t="s">
        <v>507</v>
      </c>
      <c r="C24" s="185">
        <f>E7</f>
        <v>5250</v>
      </c>
      <c r="D24" s="185">
        <f>U7</f>
        <v>5407.5</v>
      </c>
      <c r="E24" s="185">
        <f>AJ7</f>
        <v>5569.7250000000004</v>
      </c>
      <c r="F24" s="185"/>
      <c r="G24" s="184">
        <f>SUM(C24:E24)</f>
        <v>16227.225</v>
      </c>
    </row>
    <row r="25" spans="2:11" x14ac:dyDescent="0.15">
      <c r="B25" s="182" t="s">
        <v>508</v>
      </c>
      <c r="C25" s="185">
        <f>M7</f>
        <v>4987.05</v>
      </c>
      <c r="D25" s="185">
        <f>AC7</f>
        <v>3514.4115000000002</v>
      </c>
      <c r="E25" s="185">
        <f>AR7</f>
        <v>3619.8438450000003</v>
      </c>
      <c r="F25" s="185"/>
      <c r="G25" s="184">
        <f>SUM(C25:E25)</f>
        <v>12121.305345000001</v>
      </c>
    </row>
    <row r="26" spans="2:11" x14ac:dyDescent="0.15">
      <c r="B26" s="182" t="s">
        <v>507</v>
      </c>
      <c r="C26" s="185">
        <f>E20</f>
        <v>0</v>
      </c>
      <c r="D26" s="185">
        <f>U20</f>
        <v>0</v>
      </c>
      <c r="E26" s="185">
        <f>AJ20</f>
        <v>0</v>
      </c>
      <c r="F26" s="185"/>
      <c r="G26" s="184">
        <f>SUM(C26:E26)</f>
        <v>0</v>
      </c>
    </row>
    <row r="27" spans="2:11" x14ac:dyDescent="0.15">
      <c r="B27" s="182" t="s">
        <v>508</v>
      </c>
      <c r="C27" s="185">
        <f>M20</f>
        <v>0</v>
      </c>
      <c r="D27" s="185">
        <f>AC20</f>
        <v>0</v>
      </c>
      <c r="E27" s="185">
        <f>AR20</f>
        <v>0</v>
      </c>
      <c r="F27" s="185"/>
      <c r="G27" s="184">
        <f>SUM(C27:E27)</f>
        <v>0</v>
      </c>
    </row>
    <row r="28" spans="2:11" ht="12" thickBot="1" x14ac:dyDescent="0.2">
      <c r="B28" s="186" t="s">
        <v>10</v>
      </c>
      <c r="C28" s="187">
        <f>SUM(C24:C25)</f>
        <v>10237.049999999999</v>
      </c>
      <c r="D28" s="187">
        <f>SUM(D24:D25)</f>
        <v>8921.9115000000002</v>
      </c>
      <c r="E28" s="187">
        <f>SUM(E24:E25)</f>
        <v>9189.5688450000016</v>
      </c>
      <c r="F28" s="187"/>
      <c r="G28" s="188">
        <f>SUM(G24:G25)</f>
        <v>28348.530344999999</v>
      </c>
    </row>
    <row r="29" spans="2:11" ht="12" thickTop="1" x14ac:dyDescent="0.15"/>
    <row r="30" spans="2:11" x14ac:dyDescent="0.15">
      <c r="K30" s="189">
        <f>E4/12</f>
        <v>7916.666666666667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4906D-011F-41C6-B7FF-C95B3D022311}">
  <dimension ref="A1:E18"/>
  <sheetViews>
    <sheetView workbookViewId="0"/>
  </sheetViews>
  <sheetFormatPr baseColWidth="10" defaultColWidth="8.83203125" defaultRowHeight="15" x14ac:dyDescent="0.2"/>
  <cols>
    <col min="1" max="1" width="69.1640625" bestFit="1" customWidth="1"/>
    <col min="4" max="4" width="42.83203125" customWidth="1"/>
  </cols>
  <sheetData>
    <row r="1" spans="1:5" s="140" customFormat="1" x14ac:dyDescent="0.2">
      <c r="A1" s="140" t="s">
        <v>510</v>
      </c>
      <c r="B1" s="140" t="s">
        <v>511</v>
      </c>
      <c r="C1" s="140" t="s">
        <v>512</v>
      </c>
      <c r="D1" s="140" t="s">
        <v>513</v>
      </c>
      <c r="E1" s="140" t="s">
        <v>514</v>
      </c>
    </row>
    <row r="2" spans="1:5" x14ac:dyDescent="0.2">
      <c r="A2" t="s">
        <v>515</v>
      </c>
      <c r="B2" t="s">
        <v>516</v>
      </c>
      <c r="C2" t="s">
        <v>517</v>
      </c>
      <c r="D2" t="s">
        <v>518</v>
      </c>
      <c r="E2" t="s">
        <v>519</v>
      </c>
    </row>
    <row r="3" spans="1:5" x14ac:dyDescent="0.2">
      <c r="A3" t="s">
        <v>520</v>
      </c>
      <c r="B3" t="s">
        <v>516</v>
      </c>
      <c r="C3" t="s">
        <v>517</v>
      </c>
      <c r="D3" t="s">
        <v>521</v>
      </c>
      <c r="E3" t="s">
        <v>519</v>
      </c>
    </row>
    <row r="4" spans="1:5" x14ac:dyDescent="0.2">
      <c r="A4" t="s">
        <v>522</v>
      </c>
      <c r="B4" t="s">
        <v>516</v>
      </c>
      <c r="C4" t="s">
        <v>523</v>
      </c>
      <c r="D4" t="s">
        <v>524</v>
      </c>
      <c r="E4" t="s">
        <v>519</v>
      </c>
    </row>
    <row r="5" spans="1:5" x14ac:dyDescent="0.2">
      <c r="A5" t="s">
        <v>525</v>
      </c>
      <c r="B5" t="s">
        <v>516</v>
      </c>
      <c r="C5" t="s">
        <v>517</v>
      </c>
      <c r="D5" t="s">
        <v>526</v>
      </c>
      <c r="E5" t="s">
        <v>527</v>
      </c>
    </row>
    <row r="6" spans="1:5" x14ac:dyDescent="0.2">
      <c r="A6" t="s">
        <v>528</v>
      </c>
      <c r="B6" t="s">
        <v>516</v>
      </c>
      <c r="C6" t="s">
        <v>517</v>
      </c>
      <c r="E6" t="s">
        <v>519</v>
      </c>
    </row>
    <row r="7" spans="1:5" x14ac:dyDescent="0.2">
      <c r="A7" t="s">
        <v>529</v>
      </c>
      <c r="E7" t="s">
        <v>519</v>
      </c>
    </row>
    <row r="8" spans="1:5" x14ac:dyDescent="0.2">
      <c r="A8" t="s">
        <v>530</v>
      </c>
      <c r="B8" t="s">
        <v>531</v>
      </c>
      <c r="C8" t="s">
        <v>517</v>
      </c>
      <c r="D8" t="s">
        <v>532</v>
      </c>
      <c r="E8" t="s">
        <v>519</v>
      </c>
    </row>
    <row r="9" spans="1:5" x14ac:dyDescent="0.2">
      <c r="A9" t="s">
        <v>533</v>
      </c>
      <c r="B9" t="s">
        <v>531</v>
      </c>
      <c r="C9" t="s">
        <v>517</v>
      </c>
      <c r="D9" t="s">
        <v>534</v>
      </c>
      <c r="E9" t="s">
        <v>519</v>
      </c>
    </row>
    <row r="10" spans="1:5" x14ac:dyDescent="0.2">
      <c r="A10" t="s">
        <v>535</v>
      </c>
      <c r="B10" t="s">
        <v>531</v>
      </c>
      <c r="C10" t="s">
        <v>517</v>
      </c>
      <c r="D10" t="s">
        <v>536</v>
      </c>
      <c r="E10" t="s">
        <v>519</v>
      </c>
    </row>
    <row r="11" spans="1:5" x14ac:dyDescent="0.2">
      <c r="A11" t="s">
        <v>472</v>
      </c>
      <c r="B11" t="s">
        <v>537</v>
      </c>
      <c r="C11" t="s">
        <v>517</v>
      </c>
      <c r="D11" t="s">
        <v>538</v>
      </c>
      <c r="E11" t="s">
        <v>519</v>
      </c>
    </row>
    <row r="12" spans="1:5" x14ac:dyDescent="0.2">
      <c r="A12" t="s">
        <v>539</v>
      </c>
      <c r="B12" t="s">
        <v>537</v>
      </c>
      <c r="C12" t="s">
        <v>517</v>
      </c>
      <c r="D12" t="s">
        <v>540</v>
      </c>
      <c r="E12" t="s">
        <v>519</v>
      </c>
    </row>
    <row r="13" spans="1:5" x14ac:dyDescent="0.2">
      <c r="A13" t="s">
        <v>541</v>
      </c>
      <c r="B13" t="s">
        <v>537</v>
      </c>
      <c r="C13" t="s">
        <v>517</v>
      </c>
      <c r="D13" t="s">
        <v>542</v>
      </c>
      <c r="E13" t="s">
        <v>519</v>
      </c>
    </row>
    <row r="14" spans="1:5" x14ac:dyDescent="0.2">
      <c r="A14" s="152" t="s">
        <v>543</v>
      </c>
      <c r="E14" t="s">
        <v>527</v>
      </c>
    </row>
    <row r="15" spans="1:5" x14ac:dyDescent="0.2">
      <c r="A15" s="152" t="s">
        <v>544</v>
      </c>
      <c r="E15" t="s">
        <v>527</v>
      </c>
    </row>
    <row r="16" spans="1:5" x14ac:dyDescent="0.2">
      <c r="A16" s="152" t="s">
        <v>545</v>
      </c>
      <c r="E16" t="s">
        <v>527</v>
      </c>
    </row>
    <row r="17" spans="1:5" x14ac:dyDescent="0.2">
      <c r="A17" s="152" t="s">
        <v>546</v>
      </c>
      <c r="E17" t="s">
        <v>527</v>
      </c>
    </row>
    <row r="18" spans="1:5" x14ac:dyDescent="0.2">
      <c r="A18" t="s">
        <v>547</v>
      </c>
      <c r="B18" t="s">
        <v>531</v>
      </c>
      <c r="C18" t="s">
        <v>517</v>
      </c>
      <c r="D18" t="s">
        <v>548</v>
      </c>
      <c r="E18" t="s">
        <v>519</v>
      </c>
    </row>
  </sheetData>
  <autoFilter ref="A1:E18" xr:uid="{C2D4906D-011F-41C6-B7FF-C95B3D02231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392F-C3B9-4CD6-AAA8-F0A6AA1213DB}">
  <sheetPr>
    <tabColor rgb="FF00B050"/>
  </sheetPr>
  <dimension ref="A1:M36"/>
  <sheetViews>
    <sheetView zoomScale="70" zoomScaleNormal="70" workbookViewId="0">
      <selection activeCell="B9" sqref="B9"/>
    </sheetView>
  </sheetViews>
  <sheetFormatPr baseColWidth="10" defaultColWidth="10.1640625" defaultRowHeight="16" x14ac:dyDescent="0.2"/>
  <cols>
    <col min="1" max="1" width="71.1640625" style="478" customWidth="1"/>
    <col min="2" max="2" width="32" style="478" bestFit="1" customWidth="1"/>
    <col min="3" max="3" width="12.5" style="478" customWidth="1"/>
    <col min="4" max="4" width="14.83203125" style="478" customWidth="1"/>
    <col min="5" max="5" width="18.1640625" style="478" customWidth="1"/>
    <col min="6" max="6" width="20.83203125" style="478" customWidth="1"/>
    <col min="7" max="7" width="16.5" style="457" customWidth="1"/>
    <col min="8" max="8" width="20.83203125" style="478" bestFit="1" customWidth="1"/>
    <col min="9" max="9" width="20.1640625" style="478" bestFit="1" customWidth="1"/>
    <col min="10" max="10" width="20.1640625" style="478" customWidth="1"/>
    <col min="11" max="11" width="15.1640625" style="478" bestFit="1" customWidth="1"/>
    <col min="12" max="13" width="20.83203125" style="478" bestFit="1" customWidth="1"/>
    <col min="14" max="115" width="10.1640625" style="478"/>
    <col min="116" max="116" width="69.1640625" style="478" bestFit="1" customWidth="1"/>
    <col min="117" max="117" width="15.5" style="478" customWidth="1"/>
    <col min="118" max="119" width="18.1640625" style="478" customWidth="1"/>
    <col min="120" max="120" width="16.5" style="478" bestFit="1" customWidth="1"/>
    <col min="121" max="121" width="17.5" style="478" bestFit="1" customWidth="1"/>
    <col min="122" max="122" width="13.83203125" style="478" bestFit="1" customWidth="1"/>
    <col min="123" max="123" width="17.5" style="478" bestFit="1" customWidth="1"/>
    <col min="124" max="124" width="13.83203125" style="478" bestFit="1" customWidth="1"/>
    <col min="125" max="125" width="17.5" style="478" bestFit="1" customWidth="1"/>
    <col min="126" max="126" width="14.1640625" style="478" bestFit="1" customWidth="1"/>
    <col min="127" max="247" width="10.1640625" style="478"/>
    <col min="248" max="248" width="71.1640625" style="478" customWidth="1"/>
    <col min="249" max="254" width="5.1640625" style="478" customWidth="1"/>
    <col min="255" max="255" width="32" style="478" bestFit="1" customWidth="1"/>
    <col min="256" max="256" width="12.5" style="478" customWidth="1"/>
    <col min="257" max="257" width="14.83203125" style="478" customWidth="1"/>
    <col min="258" max="258" width="18.1640625" style="478" customWidth="1"/>
    <col min="259" max="259" width="20.83203125" style="478" customWidth="1"/>
    <col min="260" max="260" width="16.5" style="478" customWidth="1"/>
    <col min="261" max="261" width="17" style="478" customWidth="1"/>
    <col min="262" max="262" width="15" style="478" customWidth="1"/>
    <col min="263" max="263" width="15.1640625" style="478" bestFit="1" customWidth="1"/>
    <col min="264" max="267" width="16.5" style="478" customWidth="1"/>
    <col min="268" max="269" width="20.83203125" style="478" bestFit="1" customWidth="1"/>
    <col min="270" max="371" width="10.1640625" style="478"/>
    <col min="372" max="372" width="69.1640625" style="478" bestFit="1" customWidth="1"/>
    <col min="373" max="373" width="15.5" style="478" customWidth="1"/>
    <col min="374" max="375" width="18.1640625" style="478" customWidth="1"/>
    <col min="376" max="376" width="16.5" style="478" bestFit="1" customWidth="1"/>
    <col min="377" max="377" width="17.5" style="478" bestFit="1" customWidth="1"/>
    <col min="378" max="378" width="13.83203125" style="478" bestFit="1" customWidth="1"/>
    <col min="379" max="379" width="17.5" style="478" bestFit="1" customWidth="1"/>
    <col min="380" max="380" width="13.83203125" style="478" bestFit="1" customWidth="1"/>
    <col min="381" max="381" width="17.5" style="478" bestFit="1" customWidth="1"/>
    <col min="382" max="382" width="14.1640625" style="478" bestFit="1" customWidth="1"/>
    <col min="383" max="503" width="10.1640625" style="478"/>
    <col min="504" max="504" width="71.1640625" style="478" customWidth="1"/>
    <col min="505" max="510" width="5.1640625" style="478" customWidth="1"/>
    <col min="511" max="511" width="32" style="478" bestFit="1" customWidth="1"/>
    <col min="512" max="512" width="12.5" style="478" customWidth="1"/>
    <col min="513" max="513" width="14.83203125" style="478" customWidth="1"/>
    <col min="514" max="514" width="18.1640625" style="478" customWidth="1"/>
    <col min="515" max="515" width="20.83203125" style="478" customWidth="1"/>
    <col min="516" max="516" width="16.5" style="478" customWidth="1"/>
    <col min="517" max="517" width="17" style="478" customWidth="1"/>
    <col min="518" max="518" width="15" style="478" customWidth="1"/>
    <col min="519" max="519" width="15.1640625" style="478" bestFit="1" customWidth="1"/>
    <col min="520" max="523" width="16.5" style="478" customWidth="1"/>
    <col min="524" max="525" width="20.83203125" style="478" bestFit="1" customWidth="1"/>
    <col min="526" max="627" width="10.1640625" style="478"/>
    <col min="628" max="628" width="69.1640625" style="478" bestFit="1" customWidth="1"/>
    <col min="629" max="629" width="15.5" style="478" customWidth="1"/>
    <col min="630" max="631" width="18.1640625" style="478" customWidth="1"/>
    <col min="632" max="632" width="16.5" style="478" bestFit="1" customWidth="1"/>
    <col min="633" max="633" width="17.5" style="478" bestFit="1" customWidth="1"/>
    <col min="634" max="634" width="13.83203125" style="478" bestFit="1" customWidth="1"/>
    <col min="635" max="635" width="17.5" style="478" bestFit="1" customWidth="1"/>
    <col min="636" max="636" width="13.83203125" style="478" bestFit="1" customWidth="1"/>
    <col min="637" max="637" width="17.5" style="478" bestFit="1" customWidth="1"/>
    <col min="638" max="638" width="14.1640625" style="478" bestFit="1" customWidth="1"/>
    <col min="639" max="759" width="10.1640625" style="478"/>
    <col min="760" max="760" width="71.1640625" style="478" customWidth="1"/>
    <col min="761" max="766" width="5.1640625" style="478" customWidth="1"/>
    <col min="767" max="767" width="32" style="478" bestFit="1" customWidth="1"/>
    <col min="768" max="768" width="12.5" style="478" customWidth="1"/>
    <col min="769" max="769" width="14.83203125" style="478" customWidth="1"/>
    <col min="770" max="770" width="18.1640625" style="478" customWidth="1"/>
    <col min="771" max="771" width="20.83203125" style="478" customWidth="1"/>
    <col min="772" max="772" width="16.5" style="478" customWidth="1"/>
    <col min="773" max="773" width="17" style="478" customWidth="1"/>
    <col min="774" max="774" width="15" style="478" customWidth="1"/>
    <col min="775" max="775" width="15.1640625" style="478" bestFit="1" customWidth="1"/>
    <col min="776" max="779" width="16.5" style="478" customWidth="1"/>
    <col min="780" max="781" width="20.83203125" style="478" bestFit="1" customWidth="1"/>
    <col min="782" max="883" width="10.1640625" style="478"/>
    <col min="884" max="884" width="69.1640625" style="478" bestFit="1" customWidth="1"/>
    <col min="885" max="885" width="15.5" style="478" customWidth="1"/>
    <col min="886" max="887" width="18.1640625" style="478" customWidth="1"/>
    <col min="888" max="888" width="16.5" style="478" bestFit="1" customWidth="1"/>
    <col min="889" max="889" width="17.5" style="478" bestFit="1" customWidth="1"/>
    <col min="890" max="890" width="13.83203125" style="478" bestFit="1" customWidth="1"/>
    <col min="891" max="891" width="17.5" style="478" bestFit="1" customWidth="1"/>
    <col min="892" max="892" width="13.83203125" style="478" bestFit="1" customWidth="1"/>
    <col min="893" max="893" width="17.5" style="478" bestFit="1" customWidth="1"/>
    <col min="894" max="894" width="14.1640625" style="478" bestFit="1" customWidth="1"/>
    <col min="895" max="1015" width="10.1640625" style="478"/>
    <col min="1016" max="1016" width="71.1640625" style="478" customWidth="1"/>
    <col min="1017" max="1022" width="5.1640625" style="478" customWidth="1"/>
    <col min="1023" max="1023" width="32" style="478" bestFit="1" customWidth="1"/>
    <col min="1024" max="1024" width="12.5" style="478" customWidth="1"/>
    <col min="1025" max="1025" width="14.83203125" style="478" customWidth="1"/>
    <col min="1026" max="1026" width="18.1640625" style="478" customWidth="1"/>
    <col min="1027" max="1027" width="20.83203125" style="478" customWidth="1"/>
    <col min="1028" max="1028" width="16.5" style="478" customWidth="1"/>
    <col min="1029" max="1029" width="17" style="478" customWidth="1"/>
    <col min="1030" max="1030" width="15" style="478" customWidth="1"/>
    <col min="1031" max="1031" width="15.1640625" style="478" bestFit="1" customWidth="1"/>
    <col min="1032" max="1035" width="16.5" style="478" customWidth="1"/>
    <col min="1036" max="1037" width="20.83203125" style="478" bestFit="1" customWidth="1"/>
    <col min="1038" max="1139" width="10.1640625" style="478"/>
    <col min="1140" max="1140" width="69.1640625" style="478" bestFit="1" customWidth="1"/>
    <col min="1141" max="1141" width="15.5" style="478" customWidth="1"/>
    <col min="1142" max="1143" width="18.1640625" style="478" customWidth="1"/>
    <col min="1144" max="1144" width="16.5" style="478" bestFit="1" customWidth="1"/>
    <col min="1145" max="1145" width="17.5" style="478" bestFit="1" customWidth="1"/>
    <col min="1146" max="1146" width="13.83203125" style="478" bestFit="1" customWidth="1"/>
    <col min="1147" max="1147" width="17.5" style="478" bestFit="1" customWidth="1"/>
    <col min="1148" max="1148" width="13.83203125" style="478" bestFit="1" customWidth="1"/>
    <col min="1149" max="1149" width="17.5" style="478" bestFit="1" customWidth="1"/>
    <col min="1150" max="1150" width="14.1640625" style="478" bestFit="1" customWidth="1"/>
    <col min="1151" max="1271" width="10.1640625" style="478"/>
    <col min="1272" max="1272" width="71.1640625" style="478" customWidth="1"/>
    <col min="1273" max="1278" width="5.1640625" style="478" customWidth="1"/>
    <col min="1279" max="1279" width="32" style="478" bestFit="1" customWidth="1"/>
    <col min="1280" max="1280" width="12.5" style="478" customWidth="1"/>
    <col min="1281" max="1281" width="14.83203125" style="478" customWidth="1"/>
    <col min="1282" max="1282" width="18.1640625" style="478" customWidth="1"/>
    <col min="1283" max="1283" width="20.83203125" style="478" customWidth="1"/>
    <col min="1284" max="1284" width="16.5" style="478" customWidth="1"/>
    <col min="1285" max="1285" width="17" style="478" customWidth="1"/>
    <col min="1286" max="1286" width="15" style="478" customWidth="1"/>
    <col min="1287" max="1287" width="15.1640625" style="478" bestFit="1" customWidth="1"/>
    <col min="1288" max="1291" width="16.5" style="478" customWidth="1"/>
    <col min="1292" max="1293" width="20.83203125" style="478" bestFit="1" customWidth="1"/>
    <col min="1294" max="1395" width="10.1640625" style="478"/>
    <col min="1396" max="1396" width="69.1640625" style="478" bestFit="1" customWidth="1"/>
    <col min="1397" max="1397" width="15.5" style="478" customWidth="1"/>
    <col min="1398" max="1399" width="18.1640625" style="478" customWidth="1"/>
    <col min="1400" max="1400" width="16.5" style="478" bestFit="1" customWidth="1"/>
    <col min="1401" max="1401" width="17.5" style="478" bestFit="1" customWidth="1"/>
    <col min="1402" max="1402" width="13.83203125" style="478" bestFit="1" customWidth="1"/>
    <col min="1403" max="1403" width="17.5" style="478" bestFit="1" customWidth="1"/>
    <col min="1404" max="1404" width="13.83203125" style="478" bestFit="1" customWidth="1"/>
    <col min="1405" max="1405" width="17.5" style="478" bestFit="1" customWidth="1"/>
    <col min="1406" max="1406" width="14.1640625" style="478" bestFit="1" customWidth="1"/>
    <col min="1407" max="1527" width="10.1640625" style="478"/>
    <col min="1528" max="1528" width="71.1640625" style="478" customWidth="1"/>
    <col min="1529" max="1534" width="5.1640625" style="478" customWidth="1"/>
    <col min="1535" max="1535" width="32" style="478" bestFit="1" customWidth="1"/>
    <col min="1536" max="1536" width="12.5" style="478" customWidth="1"/>
    <col min="1537" max="1537" width="14.83203125" style="478" customWidth="1"/>
    <col min="1538" max="1538" width="18.1640625" style="478" customWidth="1"/>
    <col min="1539" max="1539" width="20.83203125" style="478" customWidth="1"/>
    <col min="1540" max="1540" width="16.5" style="478" customWidth="1"/>
    <col min="1541" max="1541" width="17" style="478" customWidth="1"/>
    <col min="1542" max="1542" width="15" style="478" customWidth="1"/>
    <col min="1543" max="1543" width="15.1640625" style="478" bestFit="1" customWidth="1"/>
    <col min="1544" max="1547" width="16.5" style="478" customWidth="1"/>
    <col min="1548" max="1549" width="20.83203125" style="478" bestFit="1" customWidth="1"/>
    <col min="1550" max="1651" width="10.1640625" style="478"/>
    <col min="1652" max="1652" width="69.1640625" style="478" bestFit="1" customWidth="1"/>
    <col min="1653" max="1653" width="15.5" style="478" customWidth="1"/>
    <col min="1654" max="1655" width="18.1640625" style="478" customWidth="1"/>
    <col min="1656" max="1656" width="16.5" style="478" bestFit="1" customWidth="1"/>
    <col min="1657" max="1657" width="17.5" style="478" bestFit="1" customWidth="1"/>
    <col min="1658" max="1658" width="13.83203125" style="478" bestFit="1" customWidth="1"/>
    <col min="1659" max="1659" width="17.5" style="478" bestFit="1" customWidth="1"/>
    <col min="1660" max="1660" width="13.83203125" style="478" bestFit="1" customWidth="1"/>
    <col min="1661" max="1661" width="17.5" style="478" bestFit="1" customWidth="1"/>
    <col min="1662" max="1662" width="14.1640625" style="478" bestFit="1" customWidth="1"/>
    <col min="1663" max="1783" width="10.1640625" style="478"/>
    <col min="1784" max="1784" width="71.1640625" style="478" customWidth="1"/>
    <col min="1785" max="1790" width="5.1640625" style="478" customWidth="1"/>
    <col min="1791" max="1791" width="32" style="478" bestFit="1" customWidth="1"/>
    <col min="1792" max="1792" width="12.5" style="478" customWidth="1"/>
    <col min="1793" max="1793" width="14.83203125" style="478" customWidth="1"/>
    <col min="1794" max="1794" width="18.1640625" style="478" customWidth="1"/>
    <col min="1795" max="1795" width="20.83203125" style="478" customWidth="1"/>
    <col min="1796" max="1796" width="16.5" style="478" customWidth="1"/>
    <col min="1797" max="1797" width="17" style="478" customWidth="1"/>
    <col min="1798" max="1798" width="15" style="478" customWidth="1"/>
    <col min="1799" max="1799" width="15.1640625" style="478" bestFit="1" customWidth="1"/>
    <col min="1800" max="1803" width="16.5" style="478" customWidth="1"/>
    <col min="1804" max="1805" width="20.83203125" style="478" bestFit="1" customWidth="1"/>
    <col min="1806" max="1907" width="10.1640625" style="478"/>
    <col min="1908" max="1908" width="69.1640625" style="478" bestFit="1" customWidth="1"/>
    <col min="1909" max="1909" width="15.5" style="478" customWidth="1"/>
    <col min="1910" max="1911" width="18.1640625" style="478" customWidth="1"/>
    <col min="1912" max="1912" width="16.5" style="478" bestFit="1" customWidth="1"/>
    <col min="1913" max="1913" width="17.5" style="478" bestFit="1" customWidth="1"/>
    <col min="1914" max="1914" width="13.83203125" style="478" bestFit="1" customWidth="1"/>
    <col min="1915" max="1915" width="17.5" style="478" bestFit="1" customWidth="1"/>
    <col min="1916" max="1916" width="13.83203125" style="478" bestFit="1" customWidth="1"/>
    <col min="1917" max="1917" width="17.5" style="478" bestFit="1" customWidth="1"/>
    <col min="1918" max="1918" width="14.1640625" style="478" bestFit="1" customWidth="1"/>
    <col min="1919" max="2039" width="10.1640625" style="478"/>
    <col min="2040" max="2040" width="71.1640625" style="478" customWidth="1"/>
    <col min="2041" max="2046" width="5.1640625" style="478" customWidth="1"/>
    <col min="2047" max="2047" width="32" style="478" bestFit="1" customWidth="1"/>
    <col min="2048" max="2048" width="12.5" style="478" customWidth="1"/>
    <col min="2049" max="2049" width="14.83203125" style="478" customWidth="1"/>
    <col min="2050" max="2050" width="18.1640625" style="478" customWidth="1"/>
    <col min="2051" max="2051" width="20.83203125" style="478" customWidth="1"/>
    <col min="2052" max="2052" width="16.5" style="478" customWidth="1"/>
    <col min="2053" max="2053" width="17" style="478" customWidth="1"/>
    <col min="2054" max="2054" width="15" style="478" customWidth="1"/>
    <col min="2055" max="2055" width="15.1640625" style="478" bestFit="1" customWidth="1"/>
    <col min="2056" max="2059" width="16.5" style="478" customWidth="1"/>
    <col min="2060" max="2061" width="20.83203125" style="478" bestFit="1" customWidth="1"/>
    <col min="2062" max="2163" width="10.1640625" style="478"/>
    <col min="2164" max="2164" width="69.1640625" style="478" bestFit="1" customWidth="1"/>
    <col min="2165" max="2165" width="15.5" style="478" customWidth="1"/>
    <col min="2166" max="2167" width="18.1640625" style="478" customWidth="1"/>
    <col min="2168" max="2168" width="16.5" style="478" bestFit="1" customWidth="1"/>
    <col min="2169" max="2169" width="17.5" style="478" bestFit="1" customWidth="1"/>
    <col min="2170" max="2170" width="13.83203125" style="478" bestFit="1" customWidth="1"/>
    <col min="2171" max="2171" width="17.5" style="478" bestFit="1" customWidth="1"/>
    <col min="2172" max="2172" width="13.83203125" style="478" bestFit="1" customWidth="1"/>
    <col min="2173" max="2173" width="17.5" style="478" bestFit="1" customWidth="1"/>
    <col min="2174" max="2174" width="14.1640625" style="478" bestFit="1" customWidth="1"/>
    <col min="2175" max="2295" width="10.1640625" style="478"/>
    <col min="2296" max="2296" width="71.1640625" style="478" customWidth="1"/>
    <col min="2297" max="2302" width="5.1640625" style="478" customWidth="1"/>
    <col min="2303" max="2303" width="32" style="478" bestFit="1" customWidth="1"/>
    <col min="2304" max="2304" width="12.5" style="478" customWidth="1"/>
    <col min="2305" max="2305" width="14.83203125" style="478" customWidth="1"/>
    <col min="2306" max="2306" width="18.1640625" style="478" customWidth="1"/>
    <col min="2307" max="2307" width="20.83203125" style="478" customWidth="1"/>
    <col min="2308" max="2308" width="16.5" style="478" customWidth="1"/>
    <col min="2309" max="2309" width="17" style="478" customWidth="1"/>
    <col min="2310" max="2310" width="15" style="478" customWidth="1"/>
    <col min="2311" max="2311" width="15.1640625" style="478" bestFit="1" customWidth="1"/>
    <col min="2312" max="2315" width="16.5" style="478" customWidth="1"/>
    <col min="2316" max="2317" width="20.83203125" style="478" bestFit="1" customWidth="1"/>
    <col min="2318" max="2419" width="10.1640625" style="478"/>
    <col min="2420" max="2420" width="69.1640625" style="478" bestFit="1" customWidth="1"/>
    <col min="2421" max="2421" width="15.5" style="478" customWidth="1"/>
    <col min="2422" max="2423" width="18.1640625" style="478" customWidth="1"/>
    <col min="2424" max="2424" width="16.5" style="478" bestFit="1" customWidth="1"/>
    <col min="2425" max="2425" width="17.5" style="478" bestFit="1" customWidth="1"/>
    <col min="2426" max="2426" width="13.83203125" style="478" bestFit="1" customWidth="1"/>
    <col min="2427" max="2427" width="17.5" style="478" bestFit="1" customWidth="1"/>
    <col min="2428" max="2428" width="13.83203125" style="478" bestFit="1" customWidth="1"/>
    <col min="2429" max="2429" width="17.5" style="478" bestFit="1" customWidth="1"/>
    <col min="2430" max="2430" width="14.1640625" style="478" bestFit="1" customWidth="1"/>
    <col min="2431" max="2551" width="10.1640625" style="478"/>
    <col min="2552" max="2552" width="71.1640625" style="478" customWidth="1"/>
    <col min="2553" max="2558" width="5.1640625" style="478" customWidth="1"/>
    <col min="2559" max="2559" width="32" style="478" bestFit="1" customWidth="1"/>
    <col min="2560" max="2560" width="12.5" style="478" customWidth="1"/>
    <col min="2561" max="2561" width="14.83203125" style="478" customWidth="1"/>
    <col min="2562" max="2562" width="18.1640625" style="478" customWidth="1"/>
    <col min="2563" max="2563" width="20.83203125" style="478" customWidth="1"/>
    <col min="2564" max="2564" width="16.5" style="478" customWidth="1"/>
    <col min="2565" max="2565" width="17" style="478" customWidth="1"/>
    <col min="2566" max="2566" width="15" style="478" customWidth="1"/>
    <col min="2567" max="2567" width="15.1640625" style="478" bestFit="1" customWidth="1"/>
    <col min="2568" max="2571" width="16.5" style="478" customWidth="1"/>
    <col min="2572" max="2573" width="20.83203125" style="478" bestFit="1" customWidth="1"/>
    <col min="2574" max="2675" width="10.1640625" style="478"/>
    <col min="2676" max="2676" width="69.1640625" style="478" bestFit="1" customWidth="1"/>
    <col min="2677" max="2677" width="15.5" style="478" customWidth="1"/>
    <col min="2678" max="2679" width="18.1640625" style="478" customWidth="1"/>
    <col min="2680" max="2680" width="16.5" style="478" bestFit="1" customWidth="1"/>
    <col min="2681" max="2681" width="17.5" style="478" bestFit="1" customWidth="1"/>
    <col min="2682" max="2682" width="13.83203125" style="478" bestFit="1" customWidth="1"/>
    <col min="2683" max="2683" width="17.5" style="478" bestFit="1" customWidth="1"/>
    <col min="2684" max="2684" width="13.83203125" style="478" bestFit="1" customWidth="1"/>
    <col min="2685" max="2685" width="17.5" style="478" bestFit="1" customWidth="1"/>
    <col min="2686" max="2686" width="14.1640625" style="478" bestFit="1" customWidth="1"/>
    <col min="2687" max="2807" width="10.1640625" style="478"/>
    <col min="2808" max="2808" width="71.1640625" style="478" customWidth="1"/>
    <col min="2809" max="2814" width="5.1640625" style="478" customWidth="1"/>
    <col min="2815" max="2815" width="32" style="478" bestFit="1" customWidth="1"/>
    <col min="2816" max="2816" width="12.5" style="478" customWidth="1"/>
    <col min="2817" max="2817" width="14.83203125" style="478" customWidth="1"/>
    <col min="2818" max="2818" width="18.1640625" style="478" customWidth="1"/>
    <col min="2819" max="2819" width="20.83203125" style="478" customWidth="1"/>
    <col min="2820" max="2820" width="16.5" style="478" customWidth="1"/>
    <col min="2821" max="2821" width="17" style="478" customWidth="1"/>
    <col min="2822" max="2822" width="15" style="478" customWidth="1"/>
    <col min="2823" max="2823" width="15.1640625" style="478" bestFit="1" customWidth="1"/>
    <col min="2824" max="2827" width="16.5" style="478" customWidth="1"/>
    <col min="2828" max="2829" width="20.83203125" style="478" bestFit="1" customWidth="1"/>
    <col min="2830" max="2931" width="10.1640625" style="478"/>
    <col min="2932" max="2932" width="69.1640625" style="478" bestFit="1" customWidth="1"/>
    <col min="2933" max="2933" width="15.5" style="478" customWidth="1"/>
    <col min="2934" max="2935" width="18.1640625" style="478" customWidth="1"/>
    <col min="2936" max="2936" width="16.5" style="478" bestFit="1" customWidth="1"/>
    <col min="2937" max="2937" width="17.5" style="478" bestFit="1" customWidth="1"/>
    <col min="2938" max="2938" width="13.83203125" style="478" bestFit="1" customWidth="1"/>
    <col min="2939" max="2939" width="17.5" style="478" bestFit="1" customWidth="1"/>
    <col min="2940" max="2940" width="13.83203125" style="478" bestFit="1" customWidth="1"/>
    <col min="2941" max="2941" width="17.5" style="478" bestFit="1" customWidth="1"/>
    <col min="2942" max="2942" width="14.1640625" style="478" bestFit="1" customWidth="1"/>
    <col min="2943" max="3063" width="10.1640625" style="478"/>
    <col min="3064" max="3064" width="71.1640625" style="478" customWidth="1"/>
    <col min="3065" max="3070" width="5.1640625" style="478" customWidth="1"/>
    <col min="3071" max="3071" width="32" style="478" bestFit="1" customWidth="1"/>
    <col min="3072" max="3072" width="12.5" style="478" customWidth="1"/>
    <col min="3073" max="3073" width="14.83203125" style="478" customWidth="1"/>
    <col min="3074" max="3074" width="18.1640625" style="478" customWidth="1"/>
    <col min="3075" max="3075" width="20.83203125" style="478" customWidth="1"/>
    <col min="3076" max="3076" width="16.5" style="478" customWidth="1"/>
    <col min="3077" max="3077" width="17" style="478" customWidth="1"/>
    <col min="3078" max="3078" width="15" style="478" customWidth="1"/>
    <col min="3079" max="3079" width="15.1640625" style="478" bestFit="1" customWidth="1"/>
    <col min="3080" max="3083" width="16.5" style="478" customWidth="1"/>
    <col min="3084" max="3085" width="20.83203125" style="478" bestFit="1" customWidth="1"/>
    <col min="3086" max="3187" width="10.1640625" style="478"/>
    <col min="3188" max="3188" width="69.1640625" style="478" bestFit="1" customWidth="1"/>
    <col min="3189" max="3189" width="15.5" style="478" customWidth="1"/>
    <col min="3190" max="3191" width="18.1640625" style="478" customWidth="1"/>
    <col min="3192" max="3192" width="16.5" style="478" bestFit="1" customWidth="1"/>
    <col min="3193" max="3193" width="17.5" style="478" bestFit="1" customWidth="1"/>
    <col min="3194" max="3194" width="13.83203125" style="478" bestFit="1" customWidth="1"/>
    <col min="3195" max="3195" width="17.5" style="478" bestFit="1" customWidth="1"/>
    <col min="3196" max="3196" width="13.83203125" style="478" bestFit="1" customWidth="1"/>
    <col min="3197" max="3197" width="17.5" style="478" bestFit="1" customWidth="1"/>
    <col min="3198" max="3198" width="14.1640625" style="478" bestFit="1" customWidth="1"/>
    <col min="3199" max="3319" width="10.1640625" style="478"/>
    <col min="3320" max="3320" width="71.1640625" style="478" customWidth="1"/>
    <col min="3321" max="3326" width="5.1640625" style="478" customWidth="1"/>
    <col min="3327" max="3327" width="32" style="478" bestFit="1" customWidth="1"/>
    <col min="3328" max="3328" width="12.5" style="478" customWidth="1"/>
    <col min="3329" max="3329" width="14.83203125" style="478" customWidth="1"/>
    <col min="3330" max="3330" width="18.1640625" style="478" customWidth="1"/>
    <col min="3331" max="3331" width="20.83203125" style="478" customWidth="1"/>
    <col min="3332" max="3332" width="16.5" style="478" customWidth="1"/>
    <col min="3333" max="3333" width="17" style="478" customWidth="1"/>
    <col min="3334" max="3334" width="15" style="478" customWidth="1"/>
    <col min="3335" max="3335" width="15.1640625" style="478" bestFit="1" customWidth="1"/>
    <col min="3336" max="3339" width="16.5" style="478" customWidth="1"/>
    <col min="3340" max="3341" width="20.83203125" style="478" bestFit="1" customWidth="1"/>
    <col min="3342" max="3443" width="10.1640625" style="478"/>
    <col min="3444" max="3444" width="69.1640625" style="478" bestFit="1" customWidth="1"/>
    <col min="3445" max="3445" width="15.5" style="478" customWidth="1"/>
    <col min="3446" max="3447" width="18.1640625" style="478" customWidth="1"/>
    <col min="3448" max="3448" width="16.5" style="478" bestFit="1" customWidth="1"/>
    <col min="3449" max="3449" width="17.5" style="478" bestFit="1" customWidth="1"/>
    <col min="3450" max="3450" width="13.83203125" style="478" bestFit="1" customWidth="1"/>
    <col min="3451" max="3451" width="17.5" style="478" bestFit="1" customWidth="1"/>
    <col min="3452" max="3452" width="13.83203125" style="478" bestFit="1" customWidth="1"/>
    <col min="3453" max="3453" width="17.5" style="478" bestFit="1" customWidth="1"/>
    <col min="3454" max="3454" width="14.1640625" style="478" bestFit="1" customWidth="1"/>
    <col min="3455" max="3575" width="10.1640625" style="478"/>
    <col min="3576" max="3576" width="71.1640625" style="478" customWidth="1"/>
    <col min="3577" max="3582" width="5.1640625" style="478" customWidth="1"/>
    <col min="3583" max="3583" width="32" style="478" bestFit="1" customWidth="1"/>
    <col min="3584" max="3584" width="12.5" style="478" customWidth="1"/>
    <col min="3585" max="3585" width="14.83203125" style="478" customWidth="1"/>
    <col min="3586" max="3586" width="18.1640625" style="478" customWidth="1"/>
    <col min="3587" max="3587" width="20.83203125" style="478" customWidth="1"/>
    <col min="3588" max="3588" width="16.5" style="478" customWidth="1"/>
    <col min="3589" max="3589" width="17" style="478" customWidth="1"/>
    <col min="3590" max="3590" width="15" style="478" customWidth="1"/>
    <col min="3591" max="3591" width="15.1640625" style="478" bestFit="1" customWidth="1"/>
    <col min="3592" max="3595" width="16.5" style="478" customWidth="1"/>
    <col min="3596" max="3597" width="20.83203125" style="478" bestFit="1" customWidth="1"/>
    <col min="3598" max="3699" width="10.1640625" style="478"/>
    <col min="3700" max="3700" width="69.1640625" style="478" bestFit="1" customWidth="1"/>
    <col min="3701" max="3701" width="15.5" style="478" customWidth="1"/>
    <col min="3702" max="3703" width="18.1640625" style="478" customWidth="1"/>
    <col min="3704" max="3704" width="16.5" style="478" bestFit="1" customWidth="1"/>
    <col min="3705" max="3705" width="17.5" style="478" bestFit="1" customWidth="1"/>
    <col min="3706" max="3706" width="13.83203125" style="478" bestFit="1" customWidth="1"/>
    <col min="3707" max="3707" width="17.5" style="478" bestFit="1" customWidth="1"/>
    <col min="3708" max="3708" width="13.83203125" style="478" bestFit="1" customWidth="1"/>
    <col min="3709" max="3709" width="17.5" style="478" bestFit="1" customWidth="1"/>
    <col min="3710" max="3710" width="14.1640625" style="478" bestFit="1" customWidth="1"/>
    <col min="3711" max="3831" width="10.1640625" style="478"/>
    <col min="3832" max="3832" width="71.1640625" style="478" customWidth="1"/>
    <col min="3833" max="3838" width="5.1640625" style="478" customWidth="1"/>
    <col min="3839" max="3839" width="32" style="478" bestFit="1" customWidth="1"/>
    <col min="3840" max="3840" width="12.5" style="478" customWidth="1"/>
    <col min="3841" max="3841" width="14.83203125" style="478" customWidth="1"/>
    <col min="3842" max="3842" width="18.1640625" style="478" customWidth="1"/>
    <col min="3843" max="3843" width="20.83203125" style="478" customWidth="1"/>
    <col min="3844" max="3844" width="16.5" style="478" customWidth="1"/>
    <col min="3845" max="3845" width="17" style="478" customWidth="1"/>
    <col min="3846" max="3846" width="15" style="478" customWidth="1"/>
    <col min="3847" max="3847" width="15.1640625" style="478" bestFit="1" customWidth="1"/>
    <col min="3848" max="3851" width="16.5" style="478" customWidth="1"/>
    <col min="3852" max="3853" width="20.83203125" style="478" bestFit="1" customWidth="1"/>
    <col min="3854" max="3955" width="10.1640625" style="478"/>
    <col min="3956" max="3956" width="69.1640625" style="478" bestFit="1" customWidth="1"/>
    <col min="3957" max="3957" width="15.5" style="478" customWidth="1"/>
    <col min="3958" max="3959" width="18.1640625" style="478" customWidth="1"/>
    <col min="3960" max="3960" width="16.5" style="478" bestFit="1" customWidth="1"/>
    <col min="3961" max="3961" width="17.5" style="478" bestFit="1" customWidth="1"/>
    <col min="3962" max="3962" width="13.83203125" style="478" bestFit="1" customWidth="1"/>
    <col min="3963" max="3963" width="17.5" style="478" bestFit="1" customWidth="1"/>
    <col min="3964" max="3964" width="13.83203125" style="478" bestFit="1" customWidth="1"/>
    <col min="3965" max="3965" width="17.5" style="478" bestFit="1" customWidth="1"/>
    <col min="3966" max="3966" width="14.1640625" style="478" bestFit="1" customWidth="1"/>
    <col min="3967" max="4087" width="10.1640625" style="478"/>
    <col min="4088" max="4088" width="71.1640625" style="478" customWidth="1"/>
    <col min="4089" max="4094" width="5.1640625" style="478" customWidth="1"/>
    <col min="4095" max="4095" width="32" style="478" bestFit="1" customWidth="1"/>
    <col min="4096" max="4096" width="12.5" style="478" customWidth="1"/>
    <col min="4097" max="4097" width="14.83203125" style="478" customWidth="1"/>
    <col min="4098" max="4098" width="18.1640625" style="478" customWidth="1"/>
    <col min="4099" max="4099" width="20.83203125" style="478" customWidth="1"/>
    <col min="4100" max="4100" width="16.5" style="478" customWidth="1"/>
    <col min="4101" max="4101" width="17" style="478" customWidth="1"/>
    <col min="4102" max="4102" width="15" style="478" customWidth="1"/>
    <col min="4103" max="4103" width="15.1640625" style="478" bestFit="1" customWidth="1"/>
    <col min="4104" max="4107" width="16.5" style="478" customWidth="1"/>
    <col min="4108" max="4109" width="20.83203125" style="478" bestFit="1" customWidth="1"/>
    <col min="4110" max="4211" width="10.1640625" style="478"/>
    <col min="4212" max="4212" width="69.1640625" style="478" bestFit="1" customWidth="1"/>
    <col min="4213" max="4213" width="15.5" style="478" customWidth="1"/>
    <col min="4214" max="4215" width="18.1640625" style="478" customWidth="1"/>
    <col min="4216" max="4216" width="16.5" style="478" bestFit="1" customWidth="1"/>
    <col min="4217" max="4217" width="17.5" style="478" bestFit="1" customWidth="1"/>
    <col min="4218" max="4218" width="13.83203125" style="478" bestFit="1" customWidth="1"/>
    <col min="4219" max="4219" width="17.5" style="478" bestFit="1" customWidth="1"/>
    <col min="4220" max="4220" width="13.83203125" style="478" bestFit="1" customWidth="1"/>
    <col min="4221" max="4221" width="17.5" style="478" bestFit="1" customWidth="1"/>
    <col min="4222" max="4222" width="14.1640625" style="478" bestFit="1" customWidth="1"/>
    <col min="4223" max="4343" width="10.1640625" style="478"/>
    <col min="4344" max="4344" width="71.1640625" style="478" customWidth="1"/>
    <col min="4345" max="4350" width="5.1640625" style="478" customWidth="1"/>
    <col min="4351" max="4351" width="32" style="478" bestFit="1" customWidth="1"/>
    <col min="4352" max="4352" width="12.5" style="478" customWidth="1"/>
    <col min="4353" max="4353" width="14.83203125" style="478" customWidth="1"/>
    <col min="4354" max="4354" width="18.1640625" style="478" customWidth="1"/>
    <col min="4355" max="4355" width="20.83203125" style="478" customWidth="1"/>
    <col min="4356" max="4356" width="16.5" style="478" customWidth="1"/>
    <col min="4357" max="4357" width="17" style="478" customWidth="1"/>
    <col min="4358" max="4358" width="15" style="478" customWidth="1"/>
    <col min="4359" max="4359" width="15.1640625" style="478" bestFit="1" customWidth="1"/>
    <col min="4360" max="4363" width="16.5" style="478" customWidth="1"/>
    <col min="4364" max="4365" width="20.83203125" style="478" bestFit="1" customWidth="1"/>
    <col min="4366" max="4467" width="10.1640625" style="478"/>
    <col min="4468" max="4468" width="69.1640625" style="478" bestFit="1" customWidth="1"/>
    <col min="4469" max="4469" width="15.5" style="478" customWidth="1"/>
    <col min="4470" max="4471" width="18.1640625" style="478" customWidth="1"/>
    <col min="4472" max="4472" width="16.5" style="478" bestFit="1" customWidth="1"/>
    <col min="4473" max="4473" width="17.5" style="478" bestFit="1" customWidth="1"/>
    <col min="4474" max="4474" width="13.83203125" style="478" bestFit="1" customWidth="1"/>
    <col min="4475" max="4475" width="17.5" style="478" bestFit="1" customWidth="1"/>
    <col min="4476" max="4476" width="13.83203125" style="478" bestFit="1" customWidth="1"/>
    <col min="4477" max="4477" width="17.5" style="478" bestFit="1" customWidth="1"/>
    <col min="4478" max="4478" width="14.1640625" style="478" bestFit="1" customWidth="1"/>
    <col min="4479" max="4599" width="10.1640625" style="478"/>
    <col min="4600" max="4600" width="71.1640625" style="478" customWidth="1"/>
    <col min="4601" max="4606" width="5.1640625" style="478" customWidth="1"/>
    <col min="4607" max="4607" width="32" style="478" bestFit="1" customWidth="1"/>
    <col min="4608" max="4608" width="12.5" style="478" customWidth="1"/>
    <col min="4609" max="4609" width="14.83203125" style="478" customWidth="1"/>
    <col min="4610" max="4610" width="18.1640625" style="478" customWidth="1"/>
    <col min="4611" max="4611" width="20.83203125" style="478" customWidth="1"/>
    <col min="4612" max="4612" width="16.5" style="478" customWidth="1"/>
    <col min="4613" max="4613" width="17" style="478" customWidth="1"/>
    <col min="4614" max="4614" width="15" style="478" customWidth="1"/>
    <col min="4615" max="4615" width="15.1640625" style="478" bestFit="1" customWidth="1"/>
    <col min="4616" max="4619" width="16.5" style="478" customWidth="1"/>
    <col min="4620" max="4621" width="20.83203125" style="478" bestFit="1" customWidth="1"/>
    <col min="4622" max="4723" width="10.1640625" style="478"/>
    <col min="4724" max="4724" width="69.1640625" style="478" bestFit="1" customWidth="1"/>
    <col min="4725" max="4725" width="15.5" style="478" customWidth="1"/>
    <col min="4726" max="4727" width="18.1640625" style="478" customWidth="1"/>
    <col min="4728" max="4728" width="16.5" style="478" bestFit="1" customWidth="1"/>
    <col min="4729" max="4729" width="17.5" style="478" bestFit="1" customWidth="1"/>
    <col min="4730" max="4730" width="13.83203125" style="478" bestFit="1" customWidth="1"/>
    <col min="4731" max="4731" width="17.5" style="478" bestFit="1" customWidth="1"/>
    <col min="4732" max="4732" width="13.83203125" style="478" bestFit="1" customWidth="1"/>
    <col min="4733" max="4733" width="17.5" style="478" bestFit="1" customWidth="1"/>
    <col min="4734" max="4734" width="14.1640625" style="478" bestFit="1" customWidth="1"/>
    <col min="4735" max="4855" width="10.1640625" style="478"/>
    <col min="4856" max="4856" width="71.1640625" style="478" customWidth="1"/>
    <col min="4857" max="4862" width="5.1640625" style="478" customWidth="1"/>
    <col min="4863" max="4863" width="32" style="478" bestFit="1" customWidth="1"/>
    <col min="4864" max="4864" width="12.5" style="478" customWidth="1"/>
    <col min="4865" max="4865" width="14.83203125" style="478" customWidth="1"/>
    <col min="4866" max="4866" width="18.1640625" style="478" customWidth="1"/>
    <col min="4867" max="4867" width="20.83203125" style="478" customWidth="1"/>
    <col min="4868" max="4868" width="16.5" style="478" customWidth="1"/>
    <col min="4869" max="4869" width="17" style="478" customWidth="1"/>
    <col min="4870" max="4870" width="15" style="478" customWidth="1"/>
    <col min="4871" max="4871" width="15.1640625" style="478" bestFit="1" customWidth="1"/>
    <col min="4872" max="4875" width="16.5" style="478" customWidth="1"/>
    <col min="4876" max="4877" width="20.83203125" style="478" bestFit="1" customWidth="1"/>
    <col min="4878" max="4979" width="10.1640625" style="478"/>
    <col min="4980" max="4980" width="69.1640625" style="478" bestFit="1" customWidth="1"/>
    <col min="4981" max="4981" width="15.5" style="478" customWidth="1"/>
    <col min="4982" max="4983" width="18.1640625" style="478" customWidth="1"/>
    <col min="4984" max="4984" width="16.5" style="478" bestFit="1" customWidth="1"/>
    <col min="4985" max="4985" width="17.5" style="478" bestFit="1" customWidth="1"/>
    <col min="4986" max="4986" width="13.83203125" style="478" bestFit="1" customWidth="1"/>
    <col min="4987" max="4987" width="17.5" style="478" bestFit="1" customWidth="1"/>
    <col min="4988" max="4988" width="13.83203125" style="478" bestFit="1" customWidth="1"/>
    <col min="4989" max="4989" width="17.5" style="478" bestFit="1" customWidth="1"/>
    <col min="4990" max="4990" width="14.1640625" style="478" bestFit="1" customWidth="1"/>
    <col min="4991" max="5111" width="10.1640625" style="478"/>
    <col min="5112" max="5112" width="71.1640625" style="478" customWidth="1"/>
    <col min="5113" max="5118" width="5.1640625" style="478" customWidth="1"/>
    <col min="5119" max="5119" width="32" style="478" bestFit="1" customWidth="1"/>
    <col min="5120" max="5120" width="12.5" style="478" customWidth="1"/>
    <col min="5121" max="5121" width="14.83203125" style="478" customWidth="1"/>
    <col min="5122" max="5122" width="18.1640625" style="478" customWidth="1"/>
    <col min="5123" max="5123" width="20.83203125" style="478" customWidth="1"/>
    <col min="5124" max="5124" width="16.5" style="478" customWidth="1"/>
    <col min="5125" max="5125" width="17" style="478" customWidth="1"/>
    <col min="5126" max="5126" width="15" style="478" customWidth="1"/>
    <col min="5127" max="5127" width="15.1640625" style="478" bestFit="1" customWidth="1"/>
    <col min="5128" max="5131" width="16.5" style="478" customWidth="1"/>
    <col min="5132" max="5133" width="20.83203125" style="478" bestFit="1" customWidth="1"/>
    <col min="5134" max="5235" width="10.1640625" style="478"/>
    <col min="5236" max="5236" width="69.1640625" style="478" bestFit="1" customWidth="1"/>
    <col min="5237" max="5237" width="15.5" style="478" customWidth="1"/>
    <col min="5238" max="5239" width="18.1640625" style="478" customWidth="1"/>
    <col min="5240" max="5240" width="16.5" style="478" bestFit="1" customWidth="1"/>
    <col min="5241" max="5241" width="17.5" style="478" bestFit="1" customWidth="1"/>
    <col min="5242" max="5242" width="13.83203125" style="478" bestFit="1" customWidth="1"/>
    <col min="5243" max="5243" width="17.5" style="478" bestFit="1" customWidth="1"/>
    <col min="5244" max="5244" width="13.83203125" style="478" bestFit="1" customWidth="1"/>
    <col min="5245" max="5245" width="17.5" style="478" bestFit="1" customWidth="1"/>
    <col min="5246" max="5246" width="14.1640625" style="478" bestFit="1" customWidth="1"/>
    <col min="5247" max="5367" width="10.1640625" style="478"/>
    <col min="5368" max="5368" width="71.1640625" style="478" customWidth="1"/>
    <col min="5369" max="5374" width="5.1640625" style="478" customWidth="1"/>
    <col min="5375" max="5375" width="32" style="478" bestFit="1" customWidth="1"/>
    <col min="5376" max="5376" width="12.5" style="478" customWidth="1"/>
    <col min="5377" max="5377" width="14.83203125" style="478" customWidth="1"/>
    <col min="5378" max="5378" width="18.1640625" style="478" customWidth="1"/>
    <col min="5379" max="5379" width="20.83203125" style="478" customWidth="1"/>
    <col min="5380" max="5380" width="16.5" style="478" customWidth="1"/>
    <col min="5381" max="5381" width="17" style="478" customWidth="1"/>
    <col min="5382" max="5382" width="15" style="478" customWidth="1"/>
    <col min="5383" max="5383" width="15.1640625" style="478" bestFit="1" customWidth="1"/>
    <col min="5384" max="5387" width="16.5" style="478" customWidth="1"/>
    <col min="5388" max="5389" width="20.83203125" style="478" bestFit="1" customWidth="1"/>
    <col min="5390" max="5491" width="10.1640625" style="478"/>
    <col min="5492" max="5492" width="69.1640625" style="478" bestFit="1" customWidth="1"/>
    <col min="5493" max="5493" width="15.5" style="478" customWidth="1"/>
    <col min="5494" max="5495" width="18.1640625" style="478" customWidth="1"/>
    <col min="5496" max="5496" width="16.5" style="478" bestFit="1" customWidth="1"/>
    <col min="5497" max="5497" width="17.5" style="478" bestFit="1" customWidth="1"/>
    <col min="5498" max="5498" width="13.83203125" style="478" bestFit="1" customWidth="1"/>
    <col min="5499" max="5499" width="17.5" style="478" bestFit="1" customWidth="1"/>
    <col min="5500" max="5500" width="13.83203125" style="478" bestFit="1" customWidth="1"/>
    <col min="5501" max="5501" width="17.5" style="478" bestFit="1" customWidth="1"/>
    <col min="5502" max="5502" width="14.1640625" style="478" bestFit="1" customWidth="1"/>
    <col min="5503" max="5623" width="10.1640625" style="478"/>
    <col min="5624" max="5624" width="71.1640625" style="478" customWidth="1"/>
    <col min="5625" max="5630" width="5.1640625" style="478" customWidth="1"/>
    <col min="5631" max="5631" width="32" style="478" bestFit="1" customWidth="1"/>
    <col min="5632" max="5632" width="12.5" style="478" customWidth="1"/>
    <col min="5633" max="5633" width="14.83203125" style="478" customWidth="1"/>
    <col min="5634" max="5634" width="18.1640625" style="478" customWidth="1"/>
    <col min="5635" max="5635" width="20.83203125" style="478" customWidth="1"/>
    <col min="5636" max="5636" width="16.5" style="478" customWidth="1"/>
    <col min="5637" max="5637" width="17" style="478" customWidth="1"/>
    <col min="5638" max="5638" width="15" style="478" customWidth="1"/>
    <col min="5639" max="5639" width="15.1640625" style="478" bestFit="1" customWidth="1"/>
    <col min="5640" max="5643" width="16.5" style="478" customWidth="1"/>
    <col min="5644" max="5645" width="20.83203125" style="478" bestFit="1" customWidth="1"/>
    <col min="5646" max="5747" width="10.1640625" style="478"/>
    <col min="5748" max="5748" width="69.1640625" style="478" bestFit="1" customWidth="1"/>
    <col min="5749" max="5749" width="15.5" style="478" customWidth="1"/>
    <col min="5750" max="5751" width="18.1640625" style="478" customWidth="1"/>
    <col min="5752" max="5752" width="16.5" style="478" bestFit="1" customWidth="1"/>
    <col min="5753" max="5753" width="17.5" style="478" bestFit="1" customWidth="1"/>
    <col min="5754" max="5754" width="13.83203125" style="478" bestFit="1" customWidth="1"/>
    <col min="5755" max="5755" width="17.5" style="478" bestFit="1" customWidth="1"/>
    <col min="5756" max="5756" width="13.83203125" style="478" bestFit="1" customWidth="1"/>
    <col min="5757" max="5757" width="17.5" style="478" bestFit="1" customWidth="1"/>
    <col min="5758" max="5758" width="14.1640625" style="478" bestFit="1" customWidth="1"/>
    <col min="5759" max="5879" width="10.1640625" style="478"/>
    <col min="5880" max="5880" width="71.1640625" style="478" customWidth="1"/>
    <col min="5881" max="5886" width="5.1640625" style="478" customWidth="1"/>
    <col min="5887" max="5887" width="32" style="478" bestFit="1" customWidth="1"/>
    <col min="5888" max="5888" width="12.5" style="478" customWidth="1"/>
    <col min="5889" max="5889" width="14.83203125" style="478" customWidth="1"/>
    <col min="5890" max="5890" width="18.1640625" style="478" customWidth="1"/>
    <col min="5891" max="5891" width="20.83203125" style="478" customWidth="1"/>
    <col min="5892" max="5892" width="16.5" style="478" customWidth="1"/>
    <col min="5893" max="5893" width="17" style="478" customWidth="1"/>
    <col min="5894" max="5894" width="15" style="478" customWidth="1"/>
    <col min="5895" max="5895" width="15.1640625" style="478" bestFit="1" customWidth="1"/>
    <col min="5896" max="5899" width="16.5" style="478" customWidth="1"/>
    <col min="5900" max="5901" width="20.83203125" style="478" bestFit="1" customWidth="1"/>
    <col min="5902" max="6003" width="10.1640625" style="478"/>
    <col min="6004" max="6004" width="69.1640625" style="478" bestFit="1" customWidth="1"/>
    <col min="6005" max="6005" width="15.5" style="478" customWidth="1"/>
    <col min="6006" max="6007" width="18.1640625" style="478" customWidth="1"/>
    <col min="6008" max="6008" width="16.5" style="478" bestFit="1" customWidth="1"/>
    <col min="6009" max="6009" width="17.5" style="478" bestFit="1" customWidth="1"/>
    <col min="6010" max="6010" width="13.83203125" style="478" bestFit="1" customWidth="1"/>
    <col min="6011" max="6011" width="17.5" style="478" bestFit="1" customWidth="1"/>
    <col min="6012" max="6012" width="13.83203125" style="478" bestFit="1" customWidth="1"/>
    <col min="6013" max="6013" width="17.5" style="478" bestFit="1" customWidth="1"/>
    <col min="6014" max="6014" width="14.1640625" style="478" bestFit="1" customWidth="1"/>
    <col min="6015" max="6135" width="10.1640625" style="478"/>
    <col min="6136" max="6136" width="71.1640625" style="478" customWidth="1"/>
    <col min="6137" max="6142" width="5.1640625" style="478" customWidth="1"/>
    <col min="6143" max="6143" width="32" style="478" bestFit="1" customWidth="1"/>
    <col min="6144" max="6144" width="12.5" style="478" customWidth="1"/>
    <col min="6145" max="6145" width="14.83203125" style="478" customWidth="1"/>
    <col min="6146" max="6146" width="18.1640625" style="478" customWidth="1"/>
    <col min="6147" max="6147" width="20.83203125" style="478" customWidth="1"/>
    <col min="6148" max="6148" width="16.5" style="478" customWidth="1"/>
    <col min="6149" max="6149" width="17" style="478" customWidth="1"/>
    <col min="6150" max="6150" width="15" style="478" customWidth="1"/>
    <col min="6151" max="6151" width="15.1640625" style="478" bestFit="1" customWidth="1"/>
    <col min="6152" max="6155" width="16.5" style="478" customWidth="1"/>
    <col min="6156" max="6157" width="20.83203125" style="478" bestFit="1" customWidth="1"/>
    <col min="6158" max="6259" width="10.1640625" style="478"/>
    <col min="6260" max="6260" width="69.1640625" style="478" bestFit="1" customWidth="1"/>
    <col min="6261" max="6261" width="15.5" style="478" customWidth="1"/>
    <col min="6262" max="6263" width="18.1640625" style="478" customWidth="1"/>
    <col min="6264" max="6264" width="16.5" style="478" bestFit="1" customWidth="1"/>
    <col min="6265" max="6265" width="17.5" style="478" bestFit="1" customWidth="1"/>
    <col min="6266" max="6266" width="13.83203125" style="478" bestFit="1" customWidth="1"/>
    <col min="6267" max="6267" width="17.5" style="478" bestFit="1" customWidth="1"/>
    <col min="6268" max="6268" width="13.83203125" style="478" bestFit="1" customWidth="1"/>
    <col min="6269" max="6269" width="17.5" style="478" bestFit="1" customWidth="1"/>
    <col min="6270" max="6270" width="14.1640625" style="478" bestFit="1" customWidth="1"/>
    <col min="6271" max="6391" width="10.1640625" style="478"/>
    <col min="6392" max="6392" width="71.1640625" style="478" customWidth="1"/>
    <col min="6393" max="6398" width="5.1640625" style="478" customWidth="1"/>
    <col min="6399" max="6399" width="32" style="478" bestFit="1" customWidth="1"/>
    <col min="6400" max="6400" width="12.5" style="478" customWidth="1"/>
    <col min="6401" max="6401" width="14.83203125" style="478" customWidth="1"/>
    <col min="6402" max="6402" width="18.1640625" style="478" customWidth="1"/>
    <col min="6403" max="6403" width="20.83203125" style="478" customWidth="1"/>
    <col min="6404" max="6404" width="16.5" style="478" customWidth="1"/>
    <col min="6405" max="6405" width="17" style="478" customWidth="1"/>
    <col min="6406" max="6406" width="15" style="478" customWidth="1"/>
    <col min="6407" max="6407" width="15.1640625" style="478" bestFit="1" customWidth="1"/>
    <col min="6408" max="6411" width="16.5" style="478" customWidth="1"/>
    <col min="6412" max="6413" width="20.83203125" style="478" bestFit="1" customWidth="1"/>
    <col min="6414" max="6515" width="10.1640625" style="478"/>
    <col min="6516" max="6516" width="69.1640625" style="478" bestFit="1" customWidth="1"/>
    <col min="6517" max="6517" width="15.5" style="478" customWidth="1"/>
    <col min="6518" max="6519" width="18.1640625" style="478" customWidth="1"/>
    <col min="6520" max="6520" width="16.5" style="478" bestFit="1" customWidth="1"/>
    <col min="6521" max="6521" width="17.5" style="478" bestFit="1" customWidth="1"/>
    <col min="6522" max="6522" width="13.83203125" style="478" bestFit="1" customWidth="1"/>
    <col min="6523" max="6523" width="17.5" style="478" bestFit="1" customWidth="1"/>
    <col min="6524" max="6524" width="13.83203125" style="478" bestFit="1" customWidth="1"/>
    <col min="6525" max="6525" width="17.5" style="478" bestFit="1" customWidth="1"/>
    <col min="6526" max="6526" width="14.1640625" style="478" bestFit="1" customWidth="1"/>
    <col min="6527" max="6647" width="10.1640625" style="478"/>
    <col min="6648" max="6648" width="71.1640625" style="478" customWidth="1"/>
    <col min="6649" max="6654" width="5.1640625" style="478" customWidth="1"/>
    <col min="6655" max="6655" width="32" style="478" bestFit="1" customWidth="1"/>
    <col min="6656" max="6656" width="12.5" style="478" customWidth="1"/>
    <col min="6657" max="6657" width="14.83203125" style="478" customWidth="1"/>
    <col min="6658" max="6658" width="18.1640625" style="478" customWidth="1"/>
    <col min="6659" max="6659" width="20.83203125" style="478" customWidth="1"/>
    <col min="6660" max="6660" width="16.5" style="478" customWidth="1"/>
    <col min="6661" max="6661" width="17" style="478" customWidth="1"/>
    <col min="6662" max="6662" width="15" style="478" customWidth="1"/>
    <col min="6663" max="6663" width="15.1640625" style="478" bestFit="1" customWidth="1"/>
    <col min="6664" max="6667" width="16.5" style="478" customWidth="1"/>
    <col min="6668" max="6669" width="20.83203125" style="478" bestFit="1" customWidth="1"/>
    <col min="6670" max="6771" width="10.1640625" style="478"/>
    <col min="6772" max="6772" width="69.1640625" style="478" bestFit="1" customWidth="1"/>
    <col min="6773" max="6773" width="15.5" style="478" customWidth="1"/>
    <col min="6774" max="6775" width="18.1640625" style="478" customWidth="1"/>
    <col min="6776" max="6776" width="16.5" style="478" bestFit="1" customWidth="1"/>
    <col min="6777" max="6777" width="17.5" style="478" bestFit="1" customWidth="1"/>
    <col min="6778" max="6778" width="13.83203125" style="478" bestFit="1" customWidth="1"/>
    <col min="6779" max="6779" width="17.5" style="478" bestFit="1" customWidth="1"/>
    <col min="6780" max="6780" width="13.83203125" style="478" bestFit="1" customWidth="1"/>
    <col min="6781" max="6781" width="17.5" style="478" bestFit="1" customWidth="1"/>
    <col min="6782" max="6782" width="14.1640625" style="478" bestFit="1" customWidth="1"/>
    <col min="6783" max="6903" width="10.1640625" style="478"/>
    <col min="6904" max="6904" width="71.1640625" style="478" customWidth="1"/>
    <col min="6905" max="6910" width="5.1640625" style="478" customWidth="1"/>
    <col min="6911" max="6911" width="32" style="478" bestFit="1" customWidth="1"/>
    <col min="6912" max="6912" width="12.5" style="478" customWidth="1"/>
    <col min="6913" max="6913" width="14.83203125" style="478" customWidth="1"/>
    <col min="6914" max="6914" width="18.1640625" style="478" customWidth="1"/>
    <col min="6915" max="6915" width="20.83203125" style="478" customWidth="1"/>
    <col min="6916" max="6916" width="16.5" style="478" customWidth="1"/>
    <col min="6917" max="6917" width="17" style="478" customWidth="1"/>
    <col min="6918" max="6918" width="15" style="478" customWidth="1"/>
    <col min="6919" max="6919" width="15.1640625" style="478" bestFit="1" customWidth="1"/>
    <col min="6920" max="6923" width="16.5" style="478" customWidth="1"/>
    <col min="6924" max="6925" width="20.83203125" style="478" bestFit="1" customWidth="1"/>
    <col min="6926" max="7027" width="10.1640625" style="478"/>
    <col min="7028" max="7028" width="69.1640625" style="478" bestFit="1" customWidth="1"/>
    <col min="7029" max="7029" width="15.5" style="478" customWidth="1"/>
    <col min="7030" max="7031" width="18.1640625" style="478" customWidth="1"/>
    <col min="7032" max="7032" width="16.5" style="478" bestFit="1" customWidth="1"/>
    <col min="7033" max="7033" width="17.5" style="478" bestFit="1" customWidth="1"/>
    <col min="7034" max="7034" width="13.83203125" style="478" bestFit="1" customWidth="1"/>
    <col min="7035" max="7035" width="17.5" style="478" bestFit="1" customWidth="1"/>
    <col min="7036" max="7036" width="13.83203125" style="478" bestFit="1" customWidth="1"/>
    <col min="7037" max="7037" width="17.5" style="478" bestFit="1" customWidth="1"/>
    <col min="7038" max="7038" width="14.1640625" style="478" bestFit="1" customWidth="1"/>
    <col min="7039" max="7159" width="10.1640625" style="478"/>
    <col min="7160" max="7160" width="71.1640625" style="478" customWidth="1"/>
    <col min="7161" max="7166" width="5.1640625" style="478" customWidth="1"/>
    <col min="7167" max="7167" width="32" style="478" bestFit="1" customWidth="1"/>
    <col min="7168" max="7168" width="12.5" style="478" customWidth="1"/>
    <col min="7169" max="7169" width="14.83203125" style="478" customWidth="1"/>
    <col min="7170" max="7170" width="18.1640625" style="478" customWidth="1"/>
    <col min="7171" max="7171" width="20.83203125" style="478" customWidth="1"/>
    <col min="7172" max="7172" width="16.5" style="478" customWidth="1"/>
    <col min="7173" max="7173" width="17" style="478" customWidth="1"/>
    <col min="7174" max="7174" width="15" style="478" customWidth="1"/>
    <col min="7175" max="7175" width="15.1640625" style="478" bestFit="1" customWidth="1"/>
    <col min="7176" max="7179" width="16.5" style="478" customWidth="1"/>
    <col min="7180" max="7181" width="20.83203125" style="478" bestFit="1" customWidth="1"/>
    <col min="7182" max="7283" width="10.1640625" style="478"/>
    <col min="7284" max="7284" width="69.1640625" style="478" bestFit="1" customWidth="1"/>
    <col min="7285" max="7285" width="15.5" style="478" customWidth="1"/>
    <col min="7286" max="7287" width="18.1640625" style="478" customWidth="1"/>
    <col min="7288" max="7288" width="16.5" style="478" bestFit="1" customWidth="1"/>
    <col min="7289" max="7289" width="17.5" style="478" bestFit="1" customWidth="1"/>
    <col min="7290" max="7290" width="13.83203125" style="478" bestFit="1" customWidth="1"/>
    <col min="7291" max="7291" width="17.5" style="478" bestFit="1" customWidth="1"/>
    <col min="7292" max="7292" width="13.83203125" style="478" bestFit="1" customWidth="1"/>
    <col min="7293" max="7293" width="17.5" style="478" bestFit="1" customWidth="1"/>
    <col min="7294" max="7294" width="14.1640625" style="478" bestFit="1" customWidth="1"/>
    <col min="7295" max="7415" width="10.1640625" style="478"/>
    <col min="7416" max="7416" width="71.1640625" style="478" customWidth="1"/>
    <col min="7417" max="7422" width="5.1640625" style="478" customWidth="1"/>
    <col min="7423" max="7423" width="32" style="478" bestFit="1" customWidth="1"/>
    <col min="7424" max="7424" width="12.5" style="478" customWidth="1"/>
    <col min="7425" max="7425" width="14.83203125" style="478" customWidth="1"/>
    <col min="7426" max="7426" width="18.1640625" style="478" customWidth="1"/>
    <col min="7427" max="7427" width="20.83203125" style="478" customWidth="1"/>
    <col min="7428" max="7428" width="16.5" style="478" customWidth="1"/>
    <col min="7429" max="7429" width="17" style="478" customWidth="1"/>
    <col min="7430" max="7430" width="15" style="478" customWidth="1"/>
    <col min="7431" max="7431" width="15.1640625" style="478" bestFit="1" customWidth="1"/>
    <col min="7432" max="7435" width="16.5" style="478" customWidth="1"/>
    <col min="7436" max="7437" width="20.83203125" style="478" bestFit="1" customWidth="1"/>
    <col min="7438" max="7539" width="10.1640625" style="478"/>
    <col min="7540" max="7540" width="69.1640625" style="478" bestFit="1" customWidth="1"/>
    <col min="7541" max="7541" width="15.5" style="478" customWidth="1"/>
    <col min="7542" max="7543" width="18.1640625" style="478" customWidth="1"/>
    <col min="7544" max="7544" width="16.5" style="478" bestFit="1" customWidth="1"/>
    <col min="7545" max="7545" width="17.5" style="478" bestFit="1" customWidth="1"/>
    <col min="7546" max="7546" width="13.83203125" style="478" bestFit="1" customWidth="1"/>
    <col min="7547" max="7547" width="17.5" style="478" bestFit="1" customWidth="1"/>
    <col min="7548" max="7548" width="13.83203125" style="478" bestFit="1" customWidth="1"/>
    <col min="7549" max="7549" width="17.5" style="478" bestFit="1" customWidth="1"/>
    <col min="7550" max="7550" width="14.1640625" style="478" bestFit="1" customWidth="1"/>
    <col min="7551" max="7671" width="10.1640625" style="478"/>
    <col min="7672" max="7672" width="71.1640625" style="478" customWidth="1"/>
    <col min="7673" max="7678" width="5.1640625" style="478" customWidth="1"/>
    <col min="7679" max="7679" width="32" style="478" bestFit="1" customWidth="1"/>
    <col min="7680" max="7680" width="12.5" style="478" customWidth="1"/>
    <col min="7681" max="7681" width="14.83203125" style="478" customWidth="1"/>
    <col min="7682" max="7682" width="18.1640625" style="478" customWidth="1"/>
    <col min="7683" max="7683" width="20.83203125" style="478" customWidth="1"/>
    <col min="7684" max="7684" width="16.5" style="478" customWidth="1"/>
    <col min="7685" max="7685" width="17" style="478" customWidth="1"/>
    <col min="7686" max="7686" width="15" style="478" customWidth="1"/>
    <col min="7687" max="7687" width="15.1640625" style="478" bestFit="1" customWidth="1"/>
    <col min="7688" max="7691" width="16.5" style="478" customWidth="1"/>
    <col min="7692" max="7693" width="20.83203125" style="478" bestFit="1" customWidth="1"/>
    <col min="7694" max="7795" width="10.1640625" style="478"/>
    <col min="7796" max="7796" width="69.1640625" style="478" bestFit="1" customWidth="1"/>
    <col min="7797" max="7797" width="15.5" style="478" customWidth="1"/>
    <col min="7798" max="7799" width="18.1640625" style="478" customWidth="1"/>
    <col min="7800" max="7800" width="16.5" style="478" bestFit="1" customWidth="1"/>
    <col min="7801" max="7801" width="17.5" style="478" bestFit="1" customWidth="1"/>
    <col min="7802" max="7802" width="13.83203125" style="478" bestFit="1" customWidth="1"/>
    <col min="7803" max="7803" width="17.5" style="478" bestFit="1" customWidth="1"/>
    <col min="7804" max="7804" width="13.83203125" style="478" bestFit="1" customWidth="1"/>
    <col min="7805" max="7805" width="17.5" style="478" bestFit="1" customWidth="1"/>
    <col min="7806" max="7806" width="14.1640625" style="478" bestFit="1" customWidth="1"/>
    <col min="7807" max="7927" width="10.1640625" style="478"/>
    <col min="7928" max="7928" width="71.1640625" style="478" customWidth="1"/>
    <col min="7929" max="7934" width="5.1640625" style="478" customWidth="1"/>
    <col min="7935" max="7935" width="32" style="478" bestFit="1" customWidth="1"/>
    <col min="7936" max="7936" width="12.5" style="478" customWidth="1"/>
    <col min="7937" max="7937" width="14.83203125" style="478" customWidth="1"/>
    <col min="7938" max="7938" width="18.1640625" style="478" customWidth="1"/>
    <col min="7939" max="7939" width="20.83203125" style="478" customWidth="1"/>
    <col min="7940" max="7940" width="16.5" style="478" customWidth="1"/>
    <col min="7941" max="7941" width="17" style="478" customWidth="1"/>
    <col min="7942" max="7942" width="15" style="478" customWidth="1"/>
    <col min="7943" max="7943" width="15.1640625" style="478" bestFit="1" customWidth="1"/>
    <col min="7944" max="7947" width="16.5" style="478" customWidth="1"/>
    <col min="7948" max="7949" width="20.83203125" style="478" bestFit="1" customWidth="1"/>
    <col min="7950" max="8051" width="10.1640625" style="478"/>
    <col min="8052" max="8052" width="69.1640625" style="478" bestFit="1" customWidth="1"/>
    <col min="8053" max="8053" width="15.5" style="478" customWidth="1"/>
    <col min="8054" max="8055" width="18.1640625" style="478" customWidth="1"/>
    <col min="8056" max="8056" width="16.5" style="478" bestFit="1" customWidth="1"/>
    <col min="8057" max="8057" width="17.5" style="478" bestFit="1" customWidth="1"/>
    <col min="8058" max="8058" width="13.83203125" style="478" bestFit="1" customWidth="1"/>
    <col min="8059" max="8059" width="17.5" style="478" bestFit="1" customWidth="1"/>
    <col min="8060" max="8060" width="13.83203125" style="478" bestFit="1" customWidth="1"/>
    <col min="8061" max="8061" width="17.5" style="478" bestFit="1" customWidth="1"/>
    <col min="8062" max="8062" width="14.1640625" style="478" bestFit="1" customWidth="1"/>
    <col min="8063" max="8183" width="10.1640625" style="478"/>
    <col min="8184" max="8184" width="71.1640625" style="478" customWidth="1"/>
    <col min="8185" max="8190" width="5.1640625" style="478" customWidth="1"/>
    <col min="8191" max="8191" width="32" style="478" bestFit="1" customWidth="1"/>
    <col min="8192" max="8192" width="12.5" style="478" customWidth="1"/>
    <col min="8193" max="8193" width="14.83203125" style="478" customWidth="1"/>
    <col min="8194" max="8194" width="18.1640625" style="478" customWidth="1"/>
    <col min="8195" max="8195" width="20.83203125" style="478" customWidth="1"/>
    <col min="8196" max="8196" width="16.5" style="478" customWidth="1"/>
    <col min="8197" max="8197" width="17" style="478" customWidth="1"/>
    <col min="8198" max="8198" width="15" style="478" customWidth="1"/>
    <col min="8199" max="8199" width="15.1640625" style="478" bestFit="1" customWidth="1"/>
    <col min="8200" max="8203" width="16.5" style="478" customWidth="1"/>
    <col min="8204" max="8205" width="20.83203125" style="478" bestFit="1" customWidth="1"/>
    <col min="8206" max="8307" width="10.1640625" style="478"/>
    <col min="8308" max="8308" width="69.1640625" style="478" bestFit="1" customWidth="1"/>
    <col min="8309" max="8309" width="15.5" style="478" customWidth="1"/>
    <col min="8310" max="8311" width="18.1640625" style="478" customWidth="1"/>
    <col min="8312" max="8312" width="16.5" style="478" bestFit="1" customWidth="1"/>
    <col min="8313" max="8313" width="17.5" style="478" bestFit="1" customWidth="1"/>
    <col min="8314" max="8314" width="13.83203125" style="478" bestFit="1" customWidth="1"/>
    <col min="8315" max="8315" width="17.5" style="478" bestFit="1" customWidth="1"/>
    <col min="8316" max="8316" width="13.83203125" style="478" bestFit="1" customWidth="1"/>
    <col min="8317" max="8317" width="17.5" style="478" bestFit="1" customWidth="1"/>
    <col min="8318" max="8318" width="14.1640625" style="478" bestFit="1" customWidth="1"/>
    <col min="8319" max="8439" width="10.1640625" style="478"/>
    <col min="8440" max="8440" width="71.1640625" style="478" customWidth="1"/>
    <col min="8441" max="8446" width="5.1640625" style="478" customWidth="1"/>
    <col min="8447" max="8447" width="32" style="478" bestFit="1" customWidth="1"/>
    <col min="8448" max="8448" width="12.5" style="478" customWidth="1"/>
    <col min="8449" max="8449" width="14.83203125" style="478" customWidth="1"/>
    <col min="8450" max="8450" width="18.1640625" style="478" customWidth="1"/>
    <col min="8451" max="8451" width="20.83203125" style="478" customWidth="1"/>
    <col min="8452" max="8452" width="16.5" style="478" customWidth="1"/>
    <col min="8453" max="8453" width="17" style="478" customWidth="1"/>
    <col min="8454" max="8454" width="15" style="478" customWidth="1"/>
    <col min="8455" max="8455" width="15.1640625" style="478" bestFit="1" customWidth="1"/>
    <col min="8456" max="8459" width="16.5" style="478" customWidth="1"/>
    <col min="8460" max="8461" width="20.83203125" style="478" bestFit="1" customWidth="1"/>
    <col min="8462" max="8563" width="10.1640625" style="478"/>
    <col min="8564" max="8564" width="69.1640625" style="478" bestFit="1" customWidth="1"/>
    <col min="8565" max="8565" width="15.5" style="478" customWidth="1"/>
    <col min="8566" max="8567" width="18.1640625" style="478" customWidth="1"/>
    <col min="8568" max="8568" width="16.5" style="478" bestFit="1" customWidth="1"/>
    <col min="8569" max="8569" width="17.5" style="478" bestFit="1" customWidth="1"/>
    <col min="8570" max="8570" width="13.83203125" style="478" bestFit="1" customWidth="1"/>
    <col min="8571" max="8571" width="17.5" style="478" bestFit="1" customWidth="1"/>
    <col min="8572" max="8572" width="13.83203125" style="478" bestFit="1" customWidth="1"/>
    <col min="8573" max="8573" width="17.5" style="478" bestFit="1" customWidth="1"/>
    <col min="8574" max="8574" width="14.1640625" style="478" bestFit="1" customWidth="1"/>
    <col min="8575" max="8695" width="10.1640625" style="478"/>
    <col min="8696" max="8696" width="71.1640625" style="478" customWidth="1"/>
    <col min="8697" max="8702" width="5.1640625" style="478" customWidth="1"/>
    <col min="8703" max="8703" width="32" style="478" bestFit="1" customWidth="1"/>
    <col min="8704" max="8704" width="12.5" style="478" customWidth="1"/>
    <col min="8705" max="8705" width="14.83203125" style="478" customWidth="1"/>
    <col min="8706" max="8706" width="18.1640625" style="478" customWidth="1"/>
    <col min="8707" max="8707" width="20.83203125" style="478" customWidth="1"/>
    <col min="8708" max="8708" width="16.5" style="478" customWidth="1"/>
    <col min="8709" max="8709" width="17" style="478" customWidth="1"/>
    <col min="8710" max="8710" width="15" style="478" customWidth="1"/>
    <col min="8711" max="8711" width="15.1640625" style="478" bestFit="1" customWidth="1"/>
    <col min="8712" max="8715" width="16.5" style="478" customWidth="1"/>
    <col min="8716" max="8717" width="20.83203125" style="478" bestFit="1" customWidth="1"/>
    <col min="8718" max="8819" width="10.1640625" style="478"/>
    <col min="8820" max="8820" width="69.1640625" style="478" bestFit="1" customWidth="1"/>
    <col min="8821" max="8821" width="15.5" style="478" customWidth="1"/>
    <col min="8822" max="8823" width="18.1640625" style="478" customWidth="1"/>
    <col min="8824" max="8824" width="16.5" style="478" bestFit="1" customWidth="1"/>
    <col min="8825" max="8825" width="17.5" style="478" bestFit="1" customWidth="1"/>
    <col min="8826" max="8826" width="13.83203125" style="478" bestFit="1" customWidth="1"/>
    <col min="8827" max="8827" width="17.5" style="478" bestFit="1" customWidth="1"/>
    <col min="8828" max="8828" width="13.83203125" style="478" bestFit="1" customWidth="1"/>
    <col min="8829" max="8829" width="17.5" style="478" bestFit="1" customWidth="1"/>
    <col min="8830" max="8830" width="14.1640625" style="478" bestFit="1" customWidth="1"/>
    <col min="8831" max="8951" width="10.1640625" style="478"/>
    <col min="8952" max="8952" width="71.1640625" style="478" customWidth="1"/>
    <col min="8953" max="8958" width="5.1640625" style="478" customWidth="1"/>
    <col min="8959" max="8959" width="32" style="478" bestFit="1" customWidth="1"/>
    <col min="8960" max="8960" width="12.5" style="478" customWidth="1"/>
    <col min="8961" max="8961" width="14.83203125" style="478" customWidth="1"/>
    <col min="8962" max="8962" width="18.1640625" style="478" customWidth="1"/>
    <col min="8963" max="8963" width="20.83203125" style="478" customWidth="1"/>
    <col min="8964" max="8964" width="16.5" style="478" customWidth="1"/>
    <col min="8965" max="8965" width="17" style="478" customWidth="1"/>
    <col min="8966" max="8966" width="15" style="478" customWidth="1"/>
    <col min="8967" max="8967" width="15.1640625" style="478" bestFit="1" customWidth="1"/>
    <col min="8968" max="8971" width="16.5" style="478" customWidth="1"/>
    <col min="8972" max="8973" width="20.83203125" style="478" bestFit="1" customWidth="1"/>
    <col min="8974" max="9075" width="10.1640625" style="478"/>
    <col min="9076" max="9076" width="69.1640625" style="478" bestFit="1" customWidth="1"/>
    <col min="9077" max="9077" width="15.5" style="478" customWidth="1"/>
    <col min="9078" max="9079" width="18.1640625" style="478" customWidth="1"/>
    <col min="9080" max="9080" width="16.5" style="478" bestFit="1" customWidth="1"/>
    <col min="9081" max="9081" width="17.5" style="478" bestFit="1" customWidth="1"/>
    <col min="9082" max="9082" width="13.83203125" style="478" bestFit="1" customWidth="1"/>
    <col min="9083" max="9083" width="17.5" style="478" bestFit="1" customWidth="1"/>
    <col min="9084" max="9084" width="13.83203125" style="478" bestFit="1" customWidth="1"/>
    <col min="9085" max="9085" width="17.5" style="478" bestFit="1" customWidth="1"/>
    <col min="9086" max="9086" width="14.1640625" style="478" bestFit="1" customWidth="1"/>
    <col min="9087" max="9207" width="10.1640625" style="478"/>
    <col min="9208" max="9208" width="71.1640625" style="478" customWidth="1"/>
    <col min="9209" max="9214" width="5.1640625" style="478" customWidth="1"/>
    <col min="9215" max="9215" width="32" style="478" bestFit="1" customWidth="1"/>
    <col min="9216" max="9216" width="12.5" style="478" customWidth="1"/>
    <col min="9217" max="9217" width="14.83203125" style="478" customWidth="1"/>
    <col min="9218" max="9218" width="18.1640625" style="478" customWidth="1"/>
    <col min="9219" max="9219" width="20.83203125" style="478" customWidth="1"/>
    <col min="9220" max="9220" width="16.5" style="478" customWidth="1"/>
    <col min="9221" max="9221" width="17" style="478" customWidth="1"/>
    <col min="9222" max="9222" width="15" style="478" customWidth="1"/>
    <col min="9223" max="9223" width="15.1640625" style="478" bestFit="1" customWidth="1"/>
    <col min="9224" max="9227" width="16.5" style="478" customWidth="1"/>
    <col min="9228" max="9229" width="20.83203125" style="478" bestFit="1" customWidth="1"/>
    <col min="9230" max="9331" width="10.1640625" style="478"/>
    <col min="9332" max="9332" width="69.1640625" style="478" bestFit="1" customWidth="1"/>
    <col min="9333" max="9333" width="15.5" style="478" customWidth="1"/>
    <col min="9334" max="9335" width="18.1640625" style="478" customWidth="1"/>
    <col min="9336" max="9336" width="16.5" style="478" bestFit="1" customWidth="1"/>
    <col min="9337" max="9337" width="17.5" style="478" bestFit="1" customWidth="1"/>
    <col min="9338" max="9338" width="13.83203125" style="478" bestFit="1" customWidth="1"/>
    <col min="9339" max="9339" width="17.5" style="478" bestFit="1" customWidth="1"/>
    <col min="9340" max="9340" width="13.83203125" style="478" bestFit="1" customWidth="1"/>
    <col min="9341" max="9341" width="17.5" style="478" bestFit="1" customWidth="1"/>
    <col min="9342" max="9342" width="14.1640625" style="478" bestFit="1" customWidth="1"/>
    <col min="9343" max="9463" width="10.1640625" style="478"/>
    <col min="9464" max="9464" width="71.1640625" style="478" customWidth="1"/>
    <col min="9465" max="9470" width="5.1640625" style="478" customWidth="1"/>
    <col min="9471" max="9471" width="32" style="478" bestFit="1" customWidth="1"/>
    <col min="9472" max="9472" width="12.5" style="478" customWidth="1"/>
    <col min="9473" max="9473" width="14.83203125" style="478" customWidth="1"/>
    <col min="9474" max="9474" width="18.1640625" style="478" customWidth="1"/>
    <col min="9475" max="9475" width="20.83203125" style="478" customWidth="1"/>
    <col min="9476" max="9476" width="16.5" style="478" customWidth="1"/>
    <col min="9477" max="9477" width="17" style="478" customWidth="1"/>
    <col min="9478" max="9478" width="15" style="478" customWidth="1"/>
    <col min="9479" max="9479" width="15.1640625" style="478" bestFit="1" customWidth="1"/>
    <col min="9480" max="9483" width="16.5" style="478" customWidth="1"/>
    <col min="9484" max="9485" width="20.83203125" style="478" bestFit="1" customWidth="1"/>
    <col min="9486" max="9587" width="10.1640625" style="478"/>
    <col min="9588" max="9588" width="69.1640625" style="478" bestFit="1" customWidth="1"/>
    <col min="9589" max="9589" width="15.5" style="478" customWidth="1"/>
    <col min="9590" max="9591" width="18.1640625" style="478" customWidth="1"/>
    <col min="9592" max="9592" width="16.5" style="478" bestFit="1" customWidth="1"/>
    <col min="9593" max="9593" width="17.5" style="478" bestFit="1" customWidth="1"/>
    <col min="9594" max="9594" width="13.83203125" style="478" bestFit="1" customWidth="1"/>
    <col min="9595" max="9595" width="17.5" style="478" bestFit="1" customWidth="1"/>
    <col min="9596" max="9596" width="13.83203125" style="478" bestFit="1" customWidth="1"/>
    <col min="9597" max="9597" width="17.5" style="478" bestFit="1" customWidth="1"/>
    <col min="9598" max="9598" width="14.1640625" style="478" bestFit="1" customWidth="1"/>
    <col min="9599" max="9719" width="10.1640625" style="478"/>
    <col min="9720" max="9720" width="71.1640625" style="478" customWidth="1"/>
    <col min="9721" max="9726" width="5.1640625" style="478" customWidth="1"/>
    <col min="9727" max="9727" width="32" style="478" bestFit="1" customWidth="1"/>
    <col min="9728" max="9728" width="12.5" style="478" customWidth="1"/>
    <col min="9729" max="9729" width="14.83203125" style="478" customWidth="1"/>
    <col min="9730" max="9730" width="18.1640625" style="478" customWidth="1"/>
    <col min="9731" max="9731" width="20.83203125" style="478" customWidth="1"/>
    <col min="9732" max="9732" width="16.5" style="478" customWidth="1"/>
    <col min="9733" max="9733" width="17" style="478" customWidth="1"/>
    <col min="9734" max="9734" width="15" style="478" customWidth="1"/>
    <col min="9735" max="9735" width="15.1640625" style="478" bestFit="1" customWidth="1"/>
    <col min="9736" max="9739" width="16.5" style="478" customWidth="1"/>
    <col min="9740" max="9741" width="20.83203125" style="478" bestFit="1" customWidth="1"/>
    <col min="9742" max="9843" width="10.1640625" style="478"/>
    <col min="9844" max="9844" width="69.1640625" style="478" bestFit="1" customWidth="1"/>
    <col min="9845" max="9845" width="15.5" style="478" customWidth="1"/>
    <col min="9846" max="9847" width="18.1640625" style="478" customWidth="1"/>
    <col min="9848" max="9848" width="16.5" style="478" bestFit="1" customWidth="1"/>
    <col min="9849" max="9849" width="17.5" style="478" bestFit="1" customWidth="1"/>
    <col min="9850" max="9850" width="13.83203125" style="478" bestFit="1" customWidth="1"/>
    <col min="9851" max="9851" width="17.5" style="478" bestFit="1" customWidth="1"/>
    <col min="9852" max="9852" width="13.83203125" style="478" bestFit="1" customWidth="1"/>
    <col min="9853" max="9853" width="17.5" style="478" bestFit="1" customWidth="1"/>
    <col min="9854" max="9854" width="14.1640625" style="478" bestFit="1" customWidth="1"/>
    <col min="9855" max="9975" width="10.1640625" style="478"/>
    <col min="9976" max="9976" width="71.1640625" style="478" customWidth="1"/>
    <col min="9977" max="9982" width="5.1640625" style="478" customWidth="1"/>
    <col min="9983" max="9983" width="32" style="478" bestFit="1" customWidth="1"/>
    <col min="9984" max="9984" width="12.5" style="478" customWidth="1"/>
    <col min="9985" max="9985" width="14.83203125" style="478" customWidth="1"/>
    <col min="9986" max="9986" width="18.1640625" style="478" customWidth="1"/>
    <col min="9987" max="9987" width="20.83203125" style="478" customWidth="1"/>
    <col min="9988" max="9988" width="16.5" style="478" customWidth="1"/>
    <col min="9989" max="9989" width="17" style="478" customWidth="1"/>
    <col min="9990" max="9990" width="15" style="478" customWidth="1"/>
    <col min="9991" max="9991" width="15.1640625" style="478" bestFit="1" customWidth="1"/>
    <col min="9992" max="9995" width="16.5" style="478" customWidth="1"/>
    <col min="9996" max="9997" width="20.83203125" style="478" bestFit="1" customWidth="1"/>
    <col min="9998" max="10099" width="10.1640625" style="478"/>
    <col min="10100" max="10100" width="69.1640625" style="478" bestFit="1" customWidth="1"/>
    <col min="10101" max="10101" width="15.5" style="478" customWidth="1"/>
    <col min="10102" max="10103" width="18.1640625" style="478" customWidth="1"/>
    <col min="10104" max="10104" width="16.5" style="478" bestFit="1" customWidth="1"/>
    <col min="10105" max="10105" width="17.5" style="478" bestFit="1" customWidth="1"/>
    <col min="10106" max="10106" width="13.83203125" style="478" bestFit="1" customWidth="1"/>
    <col min="10107" max="10107" width="17.5" style="478" bestFit="1" customWidth="1"/>
    <col min="10108" max="10108" width="13.83203125" style="478" bestFit="1" customWidth="1"/>
    <col min="10109" max="10109" width="17.5" style="478" bestFit="1" customWidth="1"/>
    <col min="10110" max="10110" width="14.1640625" style="478" bestFit="1" customWidth="1"/>
    <col min="10111" max="10231" width="10.1640625" style="478"/>
    <col min="10232" max="10232" width="71.1640625" style="478" customWidth="1"/>
    <col min="10233" max="10238" width="5.1640625" style="478" customWidth="1"/>
    <col min="10239" max="10239" width="32" style="478" bestFit="1" customWidth="1"/>
    <col min="10240" max="10240" width="12.5" style="478" customWidth="1"/>
    <col min="10241" max="10241" width="14.83203125" style="478" customWidth="1"/>
    <col min="10242" max="10242" width="18.1640625" style="478" customWidth="1"/>
    <col min="10243" max="10243" width="20.83203125" style="478" customWidth="1"/>
    <col min="10244" max="10244" width="16.5" style="478" customWidth="1"/>
    <col min="10245" max="10245" width="17" style="478" customWidth="1"/>
    <col min="10246" max="10246" width="15" style="478" customWidth="1"/>
    <col min="10247" max="10247" width="15.1640625" style="478" bestFit="1" customWidth="1"/>
    <col min="10248" max="10251" width="16.5" style="478" customWidth="1"/>
    <col min="10252" max="10253" width="20.83203125" style="478" bestFit="1" customWidth="1"/>
    <col min="10254" max="10355" width="10.1640625" style="478"/>
    <col min="10356" max="10356" width="69.1640625" style="478" bestFit="1" customWidth="1"/>
    <col min="10357" max="10357" width="15.5" style="478" customWidth="1"/>
    <col min="10358" max="10359" width="18.1640625" style="478" customWidth="1"/>
    <col min="10360" max="10360" width="16.5" style="478" bestFit="1" customWidth="1"/>
    <col min="10361" max="10361" width="17.5" style="478" bestFit="1" customWidth="1"/>
    <col min="10362" max="10362" width="13.83203125" style="478" bestFit="1" customWidth="1"/>
    <col min="10363" max="10363" width="17.5" style="478" bestFit="1" customWidth="1"/>
    <col min="10364" max="10364" width="13.83203125" style="478" bestFit="1" customWidth="1"/>
    <col min="10365" max="10365" width="17.5" style="478" bestFit="1" customWidth="1"/>
    <col min="10366" max="10366" width="14.1640625" style="478" bestFit="1" customWidth="1"/>
    <col min="10367" max="10487" width="10.1640625" style="478"/>
    <col min="10488" max="10488" width="71.1640625" style="478" customWidth="1"/>
    <col min="10489" max="10494" width="5.1640625" style="478" customWidth="1"/>
    <col min="10495" max="10495" width="32" style="478" bestFit="1" customWidth="1"/>
    <col min="10496" max="10496" width="12.5" style="478" customWidth="1"/>
    <col min="10497" max="10497" width="14.83203125" style="478" customWidth="1"/>
    <col min="10498" max="10498" width="18.1640625" style="478" customWidth="1"/>
    <col min="10499" max="10499" width="20.83203125" style="478" customWidth="1"/>
    <col min="10500" max="10500" width="16.5" style="478" customWidth="1"/>
    <col min="10501" max="10501" width="17" style="478" customWidth="1"/>
    <col min="10502" max="10502" width="15" style="478" customWidth="1"/>
    <col min="10503" max="10503" width="15.1640625" style="478" bestFit="1" customWidth="1"/>
    <col min="10504" max="10507" width="16.5" style="478" customWidth="1"/>
    <col min="10508" max="10509" width="20.83203125" style="478" bestFit="1" customWidth="1"/>
    <col min="10510" max="10611" width="10.1640625" style="478"/>
    <col min="10612" max="10612" width="69.1640625" style="478" bestFit="1" customWidth="1"/>
    <col min="10613" max="10613" width="15.5" style="478" customWidth="1"/>
    <col min="10614" max="10615" width="18.1640625" style="478" customWidth="1"/>
    <col min="10616" max="10616" width="16.5" style="478" bestFit="1" customWidth="1"/>
    <col min="10617" max="10617" width="17.5" style="478" bestFit="1" customWidth="1"/>
    <col min="10618" max="10618" width="13.83203125" style="478" bestFit="1" customWidth="1"/>
    <col min="10619" max="10619" width="17.5" style="478" bestFit="1" customWidth="1"/>
    <col min="10620" max="10620" width="13.83203125" style="478" bestFit="1" customWidth="1"/>
    <col min="10621" max="10621" width="17.5" style="478" bestFit="1" customWidth="1"/>
    <col min="10622" max="10622" width="14.1640625" style="478" bestFit="1" customWidth="1"/>
    <col min="10623" max="10743" width="10.1640625" style="478"/>
    <col min="10744" max="10744" width="71.1640625" style="478" customWidth="1"/>
    <col min="10745" max="10750" width="5.1640625" style="478" customWidth="1"/>
    <col min="10751" max="10751" width="32" style="478" bestFit="1" customWidth="1"/>
    <col min="10752" max="10752" width="12.5" style="478" customWidth="1"/>
    <col min="10753" max="10753" width="14.83203125" style="478" customWidth="1"/>
    <col min="10754" max="10754" width="18.1640625" style="478" customWidth="1"/>
    <col min="10755" max="10755" width="20.83203125" style="478" customWidth="1"/>
    <col min="10756" max="10756" width="16.5" style="478" customWidth="1"/>
    <col min="10757" max="10757" width="17" style="478" customWidth="1"/>
    <col min="10758" max="10758" width="15" style="478" customWidth="1"/>
    <col min="10759" max="10759" width="15.1640625" style="478" bestFit="1" customWidth="1"/>
    <col min="10760" max="10763" width="16.5" style="478" customWidth="1"/>
    <col min="10764" max="10765" width="20.83203125" style="478" bestFit="1" customWidth="1"/>
    <col min="10766" max="10867" width="10.1640625" style="478"/>
    <col min="10868" max="10868" width="69.1640625" style="478" bestFit="1" customWidth="1"/>
    <col min="10869" max="10869" width="15.5" style="478" customWidth="1"/>
    <col min="10870" max="10871" width="18.1640625" style="478" customWidth="1"/>
    <col min="10872" max="10872" width="16.5" style="478" bestFit="1" customWidth="1"/>
    <col min="10873" max="10873" width="17.5" style="478" bestFit="1" customWidth="1"/>
    <col min="10874" max="10874" width="13.83203125" style="478" bestFit="1" customWidth="1"/>
    <col min="10875" max="10875" width="17.5" style="478" bestFit="1" customWidth="1"/>
    <col min="10876" max="10876" width="13.83203125" style="478" bestFit="1" customWidth="1"/>
    <col min="10877" max="10877" width="17.5" style="478" bestFit="1" customWidth="1"/>
    <col min="10878" max="10878" width="14.1640625" style="478" bestFit="1" customWidth="1"/>
    <col min="10879" max="10999" width="10.1640625" style="478"/>
    <col min="11000" max="11000" width="71.1640625" style="478" customWidth="1"/>
    <col min="11001" max="11006" width="5.1640625" style="478" customWidth="1"/>
    <col min="11007" max="11007" width="32" style="478" bestFit="1" customWidth="1"/>
    <col min="11008" max="11008" width="12.5" style="478" customWidth="1"/>
    <col min="11009" max="11009" width="14.83203125" style="478" customWidth="1"/>
    <col min="11010" max="11010" width="18.1640625" style="478" customWidth="1"/>
    <col min="11011" max="11011" width="20.83203125" style="478" customWidth="1"/>
    <col min="11012" max="11012" width="16.5" style="478" customWidth="1"/>
    <col min="11013" max="11013" width="17" style="478" customWidth="1"/>
    <col min="11014" max="11014" width="15" style="478" customWidth="1"/>
    <col min="11015" max="11015" width="15.1640625" style="478" bestFit="1" customWidth="1"/>
    <col min="11016" max="11019" width="16.5" style="478" customWidth="1"/>
    <col min="11020" max="11021" width="20.83203125" style="478" bestFit="1" customWidth="1"/>
    <col min="11022" max="11123" width="10.1640625" style="478"/>
    <col min="11124" max="11124" width="69.1640625" style="478" bestFit="1" customWidth="1"/>
    <col min="11125" max="11125" width="15.5" style="478" customWidth="1"/>
    <col min="11126" max="11127" width="18.1640625" style="478" customWidth="1"/>
    <col min="11128" max="11128" width="16.5" style="478" bestFit="1" customWidth="1"/>
    <col min="11129" max="11129" width="17.5" style="478" bestFit="1" customWidth="1"/>
    <col min="11130" max="11130" width="13.83203125" style="478" bestFit="1" customWidth="1"/>
    <col min="11131" max="11131" width="17.5" style="478" bestFit="1" customWidth="1"/>
    <col min="11132" max="11132" width="13.83203125" style="478" bestFit="1" customWidth="1"/>
    <col min="11133" max="11133" width="17.5" style="478" bestFit="1" customWidth="1"/>
    <col min="11134" max="11134" width="14.1640625" style="478" bestFit="1" customWidth="1"/>
    <col min="11135" max="11255" width="10.1640625" style="478"/>
    <col min="11256" max="11256" width="71.1640625" style="478" customWidth="1"/>
    <col min="11257" max="11262" width="5.1640625" style="478" customWidth="1"/>
    <col min="11263" max="11263" width="32" style="478" bestFit="1" customWidth="1"/>
    <col min="11264" max="11264" width="12.5" style="478" customWidth="1"/>
    <col min="11265" max="11265" width="14.83203125" style="478" customWidth="1"/>
    <col min="11266" max="11266" width="18.1640625" style="478" customWidth="1"/>
    <col min="11267" max="11267" width="20.83203125" style="478" customWidth="1"/>
    <col min="11268" max="11268" width="16.5" style="478" customWidth="1"/>
    <col min="11269" max="11269" width="17" style="478" customWidth="1"/>
    <col min="11270" max="11270" width="15" style="478" customWidth="1"/>
    <col min="11271" max="11271" width="15.1640625" style="478" bestFit="1" customWidth="1"/>
    <col min="11272" max="11275" width="16.5" style="478" customWidth="1"/>
    <col min="11276" max="11277" width="20.83203125" style="478" bestFit="1" customWidth="1"/>
    <col min="11278" max="11379" width="10.1640625" style="478"/>
    <col min="11380" max="11380" width="69.1640625" style="478" bestFit="1" customWidth="1"/>
    <col min="11381" max="11381" width="15.5" style="478" customWidth="1"/>
    <col min="11382" max="11383" width="18.1640625" style="478" customWidth="1"/>
    <col min="11384" max="11384" width="16.5" style="478" bestFit="1" customWidth="1"/>
    <col min="11385" max="11385" width="17.5" style="478" bestFit="1" customWidth="1"/>
    <col min="11386" max="11386" width="13.83203125" style="478" bestFit="1" customWidth="1"/>
    <col min="11387" max="11387" width="17.5" style="478" bestFit="1" customWidth="1"/>
    <col min="11388" max="11388" width="13.83203125" style="478" bestFit="1" customWidth="1"/>
    <col min="11389" max="11389" width="17.5" style="478" bestFit="1" customWidth="1"/>
    <col min="11390" max="11390" width="14.1640625" style="478" bestFit="1" customWidth="1"/>
    <col min="11391" max="11511" width="10.1640625" style="478"/>
    <col min="11512" max="11512" width="71.1640625" style="478" customWidth="1"/>
    <col min="11513" max="11518" width="5.1640625" style="478" customWidth="1"/>
    <col min="11519" max="11519" width="32" style="478" bestFit="1" customWidth="1"/>
    <col min="11520" max="11520" width="12.5" style="478" customWidth="1"/>
    <col min="11521" max="11521" width="14.83203125" style="478" customWidth="1"/>
    <col min="11522" max="11522" width="18.1640625" style="478" customWidth="1"/>
    <col min="11523" max="11523" width="20.83203125" style="478" customWidth="1"/>
    <col min="11524" max="11524" width="16.5" style="478" customWidth="1"/>
    <col min="11525" max="11525" width="17" style="478" customWidth="1"/>
    <col min="11526" max="11526" width="15" style="478" customWidth="1"/>
    <col min="11527" max="11527" width="15.1640625" style="478" bestFit="1" customWidth="1"/>
    <col min="11528" max="11531" width="16.5" style="478" customWidth="1"/>
    <col min="11532" max="11533" width="20.83203125" style="478" bestFit="1" customWidth="1"/>
    <col min="11534" max="11635" width="10.1640625" style="478"/>
    <col min="11636" max="11636" width="69.1640625" style="478" bestFit="1" customWidth="1"/>
    <col min="11637" max="11637" width="15.5" style="478" customWidth="1"/>
    <col min="11638" max="11639" width="18.1640625" style="478" customWidth="1"/>
    <col min="11640" max="11640" width="16.5" style="478" bestFit="1" customWidth="1"/>
    <col min="11641" max="11641" width="17.5" style="478" bestFit="1" customWidth="1"/>
    <col min="11642" max="11642" width="13.83203125" style="478" bestFit="1" customWidth="1"/>
    <col min="11643" max="11643" width="17.5" style="478" bestFit="1" customWidth="1"/>
    <col min="11644" max="11644" width="13.83203125" style="478" bestFit="1" customWidth="1"/>
    <col min="11645" max="11645" width="17.5" style="478" bestFit="1" customWidth="1"/>
    <col min="11646" max="11646" width="14.1640625" style="478" bestFit="1" customWidth="1"/>
    <col min="11647" max="11767" width="10.1640625" style="478"/>
    <col min="11768" max="11768" width="71.1640625" style="478" customWidth="1"/>
    <col min="11769" max="11774" width="5.1640625" style="478" customWidth="1"/>
    <col min="11775" max="11775" width="32" style="478" bestFit="1" customWidth="1"/>
    <col min="11776" max="11776" width="12.5" style="478" customWidth="1"/>
    <col min="11777" max="11777" width="14.83203125" style="478" customWidth="1"/>
    <col min="11778" max="11778" width="18.1640625" style="478" customWidth="1"/>
    <col min="11779" max="11779" width="20.83203125" style="478" customWidth="1"/>
    <col min="11780" max="11780" width="16.5" style="478" customWidth="1"/>
    <col min="11781" max="11781" width="17" style="478" customWidth="1"/>
    <col min="11782" max="11782" width="15" style="478" customWidth="1"/>
    <col min="11783" max="11783" width="15.1640625" style="478" bestFit="1" customWidth="1"/>
    <col min="11784" max="11787" width="16.5" style="478" customWidth="1"/>
    <col min="11788" max="11789" width="20.83203125" style="478" bestFit="1" customWidth="1"/>
    <col min="11790" max="11891" width="10.1640625" style="478"/>
    <col min="11892" max="11892" width="69.1640625" style="478" bestFit="1" customWidth="1"/>
    <col min="11893" max="11893" width="15.5" style="478" customWidth="1"/>
    <col min="11894" max="11895" width="18.1640625" style="478" customWidth="1"/>
    <col min="11896" max="11896" width="16.5" style="478" bestFit="1" customWidth="1"/>
    <col min="11897" max="11897" width="17.5" style="478" bestFit="1" customWidth="1"/>
    <col min="11898" max="11898" width="13.83203125" style="478" bestFit="1" customWidth="1"/>
    <col min="11899" max="11899" width="17.5" style="478" bestFit="1" customWidth="1"/>
    <col min="11900" max="11900" width="13.83203125" style="478" bestFit="1" customWidth="1"/>
    <col min="11901" max="11901" width="17.5" style="478" bestFit="1" customWidth="1"/>
    <col min="11902" max="11902" width="14.1640625" style="478" bestFit="1" customWidth="1"/>
    <col min="11903" max="12023" width="10.1640625" style="478"/>
    <col min="12024" max="12024" width="71.1640625" style="478" customWidth="1"/>
    <col min="12025" max="12030" width="5.1640625" style="478" customWidth="1"/>
    <col min="12031" max="12031" width="32" style="478" bestFit="1" customWidth="1"/>
    <col min="12032" max="12032" width="12.5" style="478" customWidth="1"/>
    <col min="12033" max="12033" width="14.83203125" style="478" customWidth="1"/>
    <col min="12034" max="12034" width="18.1640625" style="478" customWidth="1"/>
    <col min="12035" max="12035" width="20.83203125" style="478" customWidth="1"/>
    <col min="12036" max="12036" width="16.5" style="478" customWidth="1"/>
    <col min="12037" max="12037" width="17" style="478" customWidth="1"/>
    <col min="12038" max="12038" width="15" style="478" customWidth="1"/>
    <col min="12039" max="12039" width="15.1640625" style="478" bestFit="1" customWidth="1"/>
    <col min="12040" max="12043" width="16.5" style="478" customWidth="1"/>
    <col min="12044" max="12045" width="20.83203125" style="478" bestFit="1" customWidth="1"/>
    <col min="12046" max="12147" width="10.1640625" style="478"/>
    <col min="12148" max="12148" width="69.1640625" style="478" bestFit="1" customWidth="1"/>
    <col min="12149" max="12149" width="15.5" style="478" customWidth="1"/>
    <col min="12150" max="12151" width="18.1640625" style="478" customWidth="1"/>
    <col min="12152" max="12152" width="16.5" style="478" bestFit="1" customWidth="1"/>
    <col min="12153" max="12153" width="17.5" style="478" bestFit="1" customWidth="1"/>
    <col min="12154" max="12154" width="13.83203125" style="478" bestFit="1" customWidth="1"/>
    <col min="12155" max="12155" width="17.5" style="478" bestFit="1" customWidth="1"/>
    <col min="12156" max="12156" width="13.83203125" style="478" bestFit="1" customWidth="1"/>
    <col min="12157" max="12157" width="17.5" style="478" bestFit="1" customWidth="1"/>
    <col min="12158" max="12158" width="14.1640625" style="478" bestFit="1" customWidth="1"/>
    <col min="12159" max="12279" width="10.1640625" style="478"/>
    <col min="12280" max="12280" width="71.1640625" style="478" customWidth="1"/>
    <col min="12281" max="12286" width="5.1640625" style="478" customWidth="1"/>
    <col min="12287" max="12287" width="32" style="478" bestFit="1" customWidth="1"/>
    <col min="12288" max="12288" width="12.5" style="478" customWidth="1"/>
    <col min="12289" max="12289" width="14.83203125" style="478" customWidth="1"/>
    <col min="12290" max="12290" width="18.1640625" style="478" customWidth="1"/>
    <col min="12291" max="12291" width="20.83203125" style="478" customWidth="1"/>
    <col min="12292" max="12292" width="16.5" style="478" customWidth="1"/>
    <col min="12293" max="12293" width="17" style="478" customWidth="1"/>
    <col min="12294" max="12294" width="15" style="478" customWidth="1"/>
    <col min="12295" max="12295" width="15.1640625" style="478" bestFit="1" customWidth="1"/>
    <col min="12296" max="12299" width="16.5" style="478" customWidth="1"/>
    <col min="12300" max="12301" width="20.83203125" style="478" bestFit="1" customWidth="1"/>
    <col min="12302" max="12403" width="10.1640625" style="478"/>
    <col min="12404" max="12404" width="69.1640625" style="478" bestFit="1" customWidth="1"/>
    <col min="12405" max="12405" width="15.5" style="478" customWidth="1"/>
    <col min="12406" max="12407" width="18.1640625" style="478" customWidth="1"/>
    <col min="12408" max="12408" width="16.5" style="478" bestFit="1" customWidth="1"/>
    <col min="12409" max="12409" width="17.5" style="478" bestFit="1" customWidth="1"/>
    <col min="12410" max="12410" width="13.83203125" style="478" bestFit="1" customWidth="1"/>
    <col min="12411" max="12411" width="17.5" style="478" bestFit="1" customWidth="1"/>
    <col min="12412" max="12412" width="13.83203125" style="478" bestFit="1" customWidth="1"/>
    <col min="12413" max="12413" width="17.5" style="478" bestFit="1" customWidth="1"/>
    <col min="12414" max="12414" width="14.1640625" style="478" bestFit="1" customWidth="1"/>
    <col min="12415" max="12535" width="10.1640625" style="478"/>
    <col min="12536" max="12536" width="71.1640625" style="478" customWidth="1"/>
    <col min="12537" max="12542" width="5.1640625" style="478" customWidth="1"/>
    <col min="12543" max="12543" width="32" style="478" bestFit="1" customWidth="1"/>
    <col min="12544" max="12544" width="12.5" style="478" customWidth="1"/>
    <col min="12545" max="12545" width="14.83203125" style="478" customWidth="1"/>
    <col min="12546" max="12546" width="18.1640625" style="478" customWidth="1"/>
    <col min="12547" max="12547" width="20.83203125" style="478" customWidth="1"/>
    <col min="12548" max="12548" width="16.5" style="478" customWidth="1"/>
    <col min="12549" max="12549" width="17" style="478" customWidth="1"/>
    <col min="12550" max="12550" width="15" style="478" customWidth="1"/>
    <col min="12551" max="12551" width="15.1640625" style="478" bestFit="1" customWidth="1"/>
    <col min="12552" max="12555" width="16.5" style="478" customWidth="1"/>
    <col min="12556" max="12557" width="20.83203125" style="478" bestFit="1" customWidth="1"/>
    <col min="12558" max="12659" width="10.1640625" style="478"/>
    <col min="12660" max="12660" width="69.1640625" style="478" bestFit="1" customWidth="1"/>
    <col min="12661" max="12661" width="15.5" style="478" customWidth="1"/>
    <col min="12662" max="12663" width="18.1640625" style="478" customWidth="1"/>
    <col min="12664" max="12664" width="16.5" style="478" bestFit="1" customWidth="1"/>
    <col min="12665" max="12665" width="17.5" style="478" bestFit="1" customWidth="1"/>
    <col min="12666" max="12666" width="13.83203125" style="478" bestFit="1" customWidth="1"/>
    <col min="12667" max="12667" width="17.5" style="478" bestFit="1" customWidth="1"/>
    <col min="12668" max="12668" width="13.83203125" style="478" bestFit="1" customWidth="1"/>
    <col min="12669" max="12669" width="17.5" style="478" bestFit="1" customWidth="1"/>
    <col min="12670" max="12670" width="14.1640625" style="478" bestFit="1" customWidth="1"/>
    <col min="12671" max="12791" width="10.1640625" style="478"/>
    <col min="12792" max="12792" width="71.1640625" style="478" customWidth="1"/>
    <col min="12793" max="12798" width="5.1640625" style="478" customWidth="1"/>
    <col min="12799" max="12799" width="32" style="478" bestFit="1" customWidth="1"/>
    <col min="12800" max="12800" width="12.5" style="478" customWidth="1"/>
    <col min="12801" max="12801" width="14.83203125" style="478" customWidth="1"/>
    <col min="12802" max="12802" width="18.1640625" style="478" customWidth="1"/>
    <col min="12803" max="12803" width="20.83203125" style="478" customWidth="1"/>
    <col min="12804" max="12804" width="16.5" style="478" customWidth="1"/>
    <col min="12805" max="12805" width="17" style="478" customWidth="1"/>
    <col min="12806" max="12806" width="15" style="478" customWidth="1"/>
    <col min="12807" max="12807" width="15.1640625" style="478" bestFit="1" customWidth="1"/>
    <col min="12808" max="12811" width="16.5" style="478" customWidth="1"/>
    <col min="12812" max="12813" width="20.83203125" style="478" bestFit="1" customWidth="1"/>
    <col min="12814" max="12915" width="10.1640625" style="478"/>
    <col min="12916" max="12916" width="69.1640625" style="478" bestFit="1" customWidth="1"/>
    <col min="12917" max="12917" width="15.5" style="478" customWidth="1"/>
    <col min="12918" max="12919" width="18.1640625" style="478" customWidth="1"/>
    <col min="12920" max="12920" width="16.5" style="478" bestFit="1" customWidth="1"/>
    <col min="12921" max="12921" width="17.5" style="478" bestFit="1" customWidth="1"/>
    <col min="12922" max="12922" width="13.83203125" style="478" bestFit="1" customWidth="1"/>
    <col min="12923" max="12923" width="17.5" style="478" bestFit="1" customWidth="1"/>
    <col min="12924" max="12924" width="13.83203125" style="478" bestFit="1" customWidth="1"/>
    <col min="12925" max="12925" width="17.5" style="478" bestFit="1" customWidth="1"/>
    <col min="12926" max="12926" width="14.1640625" style="478" bestFit="1" customWidth="1"/>
    <col min="12927" max="13047" width="10.1640625" style="478"/>
    <col min="13048" max="13048" width="71.1640625" style="478" customWidth="1"/>
    <col min="13049" max="13054" width="5.1640625" style="478" customWidth="1"/>
    <col min="13055" max="13055" width="32" style="478" bestFit="1" customWidth="1"/>
    <col min="13056" max="13056" width="12.5" style="478" customWidth="1"/>
    <col min="13057" max="13057" width="14.83203125" style="478" customWidth="1"/>
    <col min="13058" max="13058" width="18.1640625" style="478" customWidth="1"/>
    <col min="13059" max="13059" width="20.83203125" style="478" customWidth="1"/>
    <col min="13060" max="13060" width="16.5" style="478" customWidth="1"/>
    <col min="13061" max="13061" width="17" style="478" customWidth="1"/>
    <col min="13062" max="13062" width="15" style="478" customWidth="1"/>
    <col min="13063" max="13063" width="15.1640625" style="478" bestFit="1" customWidth="1"/>
    <col min="13064" max="13067" width="16.5" style="478" customWidth="1"/>
    <col min="13068" max="13069" width="20.83203125" style="478" bestFit="1" customWidth="1"/>
    <col min="13070" max="13171" width="10.1640625" style="478"/>
    <col min="13172" max="13172" width="69.1640625" style="478" bestFit="1" customWidth="1"/>
    <col min="13173" max="13173" width="15.5" style="478" customWidth="1"/>
    <col min="13174" max="13175" width="18.1640625" style="478" customWidth="1"/>
    <col min="13176" max="13176" width="16.5" style="478" bestFit="1" customWidth="1"/>
    <col min="13177" max="13177" width="17.5" style="478" bestFit="1" customWidth="1"/>
    <col min="13178" max="13178" width="13.83203125" style="478" bestFit="1" customWidth="1"/>
    <col min="13179" max="13179" width="17.5" style="478" bestFit="1" customWidth="1"/>
    <col min="13180" max="13180" width="13.83203125" style="478" bestFit="1" customWidth="1"/>
    <col min="13181" max="13181" width="17.5" style="478" bestFit="1" customWidth="1"/>
    <col min="13182" max="13182" width="14.1640625" style="478" bestFit="1" customWidth="1"/>
    <col min="13183" max="13303" width="10.1640625" style="478"/>
    <col min="13304" max="13304" width="71.1640625" style="478" customWidth="1"/>
    <col min="13305" max="13310" width="5.1640625" style="478" customWidth="1"/>
    <col min="13311" max="13311" width="32" style="478" bestFit="1" customWidth="1"/>
    <col min="13312" max="13312" width="12.5" style="478" customWidth="1"/>
    <col min="13313" max="13313" width="14.83203125" style="478" customWidth="1"/>
    <col min="13314" max="13314" width="18.1640625" style="478" customWidth="1"/>
    <col min="13315" max="13315" width="20.83203125" style="478" customWidth="1"/>
    <col min="13316" max="13316" width="16.5" style="478" customWidth="1"/>
    <col min="13317" max="13317" width="17" style="478" customWidth="1"/>
    <col min="13318" max="13318" width="15" style="478" customWidth="1"/>
    <col min="13319" max="13319" width="15.1640625" style="478" bestFit="1" customWidth="1"/>
    <col min="13320" max="13323" width="16.5" style="478" customWidth="1"/>
    <col min="13324" max="13325" width="20.83203125" style="478" bestFit="1" customWidth="1"/>
    <col min="13326" max="13427" width="10.1640625" style="478"/>
    <col min="13428" max="13428" width="69.1640625" style="478" bestFit="1" customWidth="1"/>
    <col min="13429" max="13429" width="15.5" style="478" customWidth="1"/>
    <col min="13430" max="13431" width="18.1640625" style="478" customWidth="1"/>
    <col min="13432" max="13432" width="16.5" style="478" bestFit="1" customWidth="1"/>
    <col min="13433" max="13433" width="17.5" style="478" bestFit="1" customWidth="1"/>
    <col min="13434" max="13434" width="13.83203125" style="478" bestFit="1" customWidth="1"/>
    <col min="13435" max="13435" width="17.5" style="478" bestFit="1" customWidth="1"/>
    <col min="13436" max="13436" width="13.83203125" style="478" bestFit="1" customWidth="1"/>
    <col min="13437" max="13437" width="17.5" style="478" bestFit="1" customWidth="1"/>
    <col min="13438" max="13438" width="14.1640625" style="478" bestFit="1" customWidth="1"/>
    <col min="13439" max="13559" width="10.1640625" style="478"/>
    <col min="13560" max="13560" width="71.1640625" style="478" customWidth="1"/>
    <col min="13561" max="13566" width="5.1640625" style="478" customWidth="1"/>
    <col min="13567" max="13567" width="32" style="478" bestFit="1" customWidth="1"/>
    <col min="13568" max="13568" width="12.5" style="478" customWidth="1"/>
    <col min="13569" max="13569" width="14.83203125" style="478" customWidth="1"/>
    <col min="13570" max="13570" width="18.1640625" style="478" customWidth="1"/>
    <col min="13571" max="13571" width="20.83203125" style="478" customWidth="1"/>
    <col min="13572" max="13572" width="16.5" style="478" customWidth="1"/>
    <col min="13573" max="13573" width="17" style="478" customWidth="1"/>
    <col min="13574" max="13574" width="15" style="478" customWidth="1"/>
    <col min="13575" max="13575" width="15.1640625" style="478" bestFit="1" customWidth="1"/>
    <col min="13576" max="13579" width="16.5" style="478" customWidth="1"/>
    <col min="13580" max="13581" width="20.83203125" style="478" bestFit="1" customWidth="1"/>
    <col min="13582" max="13683" width="10.1640625" style="478"/>
    <col min="13684" max="13684" width="69.1640625" style="478" bestFit="1" customWidth="1"/>
    <col min="13685" max="13685" width="15.5" style="478" customWidth="1"/>
    <col min="13686" max="13687" width="18.1640625" style="478" customWidth="1"/>
    <col min="13688" max="13688" width="16.5" style="478" bestFit="1" customWidth="1"/>
    <col min="13689" max="13689" width="17.5" style="478" bestFit="1" customWidth="1"/>
    <col min="13690" max="13690" width="13.83203125" style="478" bestFit="1" customWidth="1"/>
    <col min="13691" max="13691" width="17.5" style="478" bestFit="1" customWidth="1"/>
    <col min="13692" max="13692" width="13.83203125" style="478" bestFit="1" customWidth="1"/>
    <col min="13693" max="13693" width="17.5" style="478" bestFit="1" customWidth="1"/>
    <col min="13694" max="13694" width="14.1640625" style="478" bestFit="1" customWidth="1"/>
    <col min="13695" max="13815" width="10.1640625" style="478"/>
    <col min="13816" max="13816" width="71.1640625" style="478" customWidth="1"/>
    <col min="13817" max="13822" width="5.1640625" style="478" customWidth="1"/>
    <col min="13823" max="13823" width="32" style="478" bestFit="1" customWidth="1"/>
    <col min="13824" max="13824" width="12.5" style="478" customWidth="1"/>
    <col min="13825" max="13825" width="14.83203125" style="478" customWidth="1"/>
    <col min="13826" max="13826" width="18.1640625" style="478" customWidth="1"/>
    <col min="13827" max="13827" width="20.83203125" style="478" customWidth="1"/>
    <col min="13828" max="13828" width="16.5" style="478" customWidth="1"/>
    <col min="13829" max="13829" width="17" style="478" customWidth="1"/>
    <col min="13830" max="13830" width="15" style="478" customWidth="1"/>
    <col min="13831" max="13831" width="15.1640625" style="478" bestFit="1" customWidth="1"/>
    <col min="13832" max="13835" width="16.5" style="478" customWidth="1"/>
    <col min="13836" max="13837" width="20.83203125" style="478" bestFit="1" customWidth="1"/>
    <col min="13838" max="13939" width="10.1640625" style="478"/>
    <col min="13940" max="13940" width="69.1640625" style="478" bestFit="1" customWidth="1"/>
    <col min="13941" max="13941" width="15.5" style="478" customWidth="1"/>
    <col min="13942" max="13943" width="18.1640625" style="478" customWidth="1"/>
    <col min="13944" max="13944" width="16.5" style="478" bestFit="1" customWidth="1"/>
    <col min="13945" max="13945" width="17.5" style="478" bestFit="1" customWidth="1"/>
    <col min="13946" max="13946" width="13.83203125" style="478" bestFit="1" customWidth="1"/>
    <col min="13947" max="13947" width="17.5" style="478" bestFit="1" customWidth="1"/>
    <col min="13948" max="13948" width="13.83203125" style="478" bestFit="1" customWidth="1"/>
    <col min="13949" max="13949" width="17.5" style="478" bestFit="1" customWidth="1"/>
    <col min="13950" max="13950" width="14.1640625" style="478" bestFit="1" customWidth="1"/>
    <col min="13951" max="14071" width="10.1640625" style="478"/>
    <col min="14072" max="14072" width="71.1640625" style="478" customWidth="1"/>
    <col min="14073" max="14078" width="5.1640625" style="478" customWidth="1"/>
    <col min="14079" max="14079" width="32" style="478" bestFit="1" customWidth="1"/>
    <col min="14080" max="14080" width="12.5" style="478" customWidth="1"/>
    <col min="14081" max="14081" width="14.83203125" style="478" customWidth="1"/>
    <col min="14082" max="14082" width="18.1640625" style="478" customWidth="1"/>
    <col min="14083" max="14083" width="20.83203125" style="478" customWidth="1"/>
    <col min="14084" max="14084" width="16.5" style="478" customWidth="1"/>
    <col min="14085" max="14085" width="17" style="478" customWidth="1"/>
    <col min="14086" max="14086" width="15" style="478" customWidth="1"/>
    <col min="14087" max="14087" width="15.1640625" style="478" bestFit="1" customWidth="1"/>
    <col min="14088" max="14091" width="16.5" style="478" customWidth="1"/>
    <col min="14092" max="14093" width="20.83203125" style="478" bestFit="1" customWidth="1"/>
    <col min="14094" max="14195" width="10.1640625" style="478"/>
    <col min="14196" max="14196" width="69.1640625" style="478" bestFit="1" customWidth="1"/>
    <col min="14197" max="14197" width="15.5" style="478" customWidth="1"/>
    <col min="14198" max="14199" width="18.1640625" style="478" customWidth="1"/>
    <col min="14200" max="14200" width="16.5" style="478" bestFit="1" customWidth="1"/>
    <col min="14201" max="14201" width="17.5" style="478" bestFit="1" customWidth="1"/>
    <col min="14202" max="14202" width="13.83203125" style="478" bestFit="1" customWidth="1"/>
    <col min="14203" max="14203" width="17.5" style="478" bestFit="1" customWidth="1"/>
    <col min="14204" max="14204" width="13.83203125" style="478" bestFit="1" customWidth="1"/>
    <col min="14205" max="14205" width="17.5" style="478" bestFit="1" customWidth="1"/>
    <col min="14206" max="14206" width="14.1640625" style="478" bestFit="1" customWidth="1"/>
    <col min="14207" max="14327" width="10.1640625" style="478"/>
    <col min="14328" max="14328" width="71.1640625" style="478" customWidth="1"/>
    <col min="14329" max="14334" width="5.1640625" style="478" customWidth="1"/>
    <col min="14335" max="14335" width="32" style="478" bestFit="1" customWidth="1"/>
    <col min="14336" max="14336" width="12.5" style="478" customWidth="1"/>
    <col min="14337" max="14337" width="14.83203125" style="478" customWidth="1"/>
    <col min="14338" max="14338" width="18.1640625" style="478" customWidth="1"/>
    <col min="14339" max="14339" width="20.83203125" style="478" customWidth="1"/>
    <col min="14340" max="14340" width="16.5" style="478" customWidth="1"/>
    <col min="14341" max="14341" width="17" style="478" customWidth="1"/>
    <col min="14342" max="14342" width="15" style="478" customWidth="1"/>
    <col min="14343" max="14343" width="15.1640625" style="478" bestFit="1" customWidth="1"/>
    <col min="14344" max="14347" width="16.5" style="478" customWidth="1"/>
    <col min="14348" max="14349" width="20.83203125" style="478" bestFit="1" customWidth="1"/>
    <col min="14350" max="14451" width="10.1640625" style="478"/>
    <col min="14452" max="14452" width="69.1640625" style="478" bestFit="1" customWidth="1"/>
    <col min="14453" max="14453" width="15.5" style="478" customWidth="1"/>
    <col min="14454" max="14455" width="18.1640625" style="478" customWidth="1"/>
    <col min="14456" max="14456" width="16.5" style="478" bestFit="1" customWidth="1"/>
    <col min="14457" max="14457" width="17.5" style="478" bestFit="1" customWidth="1"/>
    <col min="14458" max="14458" width="13.83203125" style="478" bestFit="1" customWidth="1"/>
    <col min="14459" max="14459" width="17.5" style="478" bestFit="1" customWidth="1"/>
    <col min="14460" max="14460" width="13.83203125" style="478" bestFit="1" customWidth="1"/>
    <col min="14461" max="14461" width="17.5" style="478" bestFit="1" customWidth="1"/>
    <col min="14462" max="14462" width="14.1640625" style="478" bestFit="1" customWidth="1"/>
    <col min="14463" max="14583" width="10.1640625" style="478"/>
    <col min="14584" max="14584" width="71.1640625" style="478" customWidth="1"/>
    <col min="14585" max="14590" width="5.1640625" style="478" customWidth="1"/>
    <col min="14591" max="14591" width="32" style="478" bestFit="1" customWidth="1"/>
    <col min="14592" max="14592" width="12.5" style="478" customWidth="1"/>
    <col min="14593" max="14593" width="14.83203125" style="478" customWidth="1"/>
    <col min="14594" max="14594" width="18.1640625" style="478" customWidth="1"/>
    <col min="14595" max="14595" width="20.83203125" style="478" customWidth="1"/>
    <col min="14596" max="14596" width="16.5" style="478" customWidth="1"/>
    <col min="14597" max="14597" width="17" style="478" customWidth="1"/>
    <col min="14598" max="14598" width="15" style="478" customWidth="1"/>
    <col min="14599" max="14599" width="15.1640625" style="478" bestFit="1" customWidth="1"/>
    <col min="14600" max="14603" width="16.5" style="478" customWidth="1"/>
    <col min="14604" max="14605" width="20.83203125" style="478" bestFit="1" customWidth="1"/>
    <col min="14606" max="14707" width="10.1640625" style="478"/>
    <col min="14708" max="14708" width="69.1640625" style="478" bestFit="1" customWidth="1"/>
    <col min="14709" max="14709" width="15.5" style="478" customWidth="1"/>
    <col min="14710" max="14711" width="18.1640625" style="478" customWidth="1"/>
    <col min="14712" max="14712" width="16.5" style="478" bestFit="1" customWidth="1"/>
    <col min="14713" max="14713" width="17.5" style="478" bestFit="1" customWidth="1"/>
    <col min="14714" max="14714" width="13.83203125" style="478" bestFit="1" customWidth="1"/>
    <col min="14715" max="14715" width="17.5" style="478" bestFit="1" customWidth="1"/>
    <col min="14716" max="14716" width="13.83203125" style="478" bestFit="1" customWidth="1"/>
    <col min="14717" max="14717" width="17.5" style="478" bestFit="1" customWidth="1"/>
    <col min="14718" max="14718" width="14.1640625" style="478" bestFit="1" customWidth="1"/>
    <col min="14719" max="14839" width="10.1640625" style="478"/>
    <col min="14840" max="14840" width="71.1640625" style="478" customWidth="1"/>
    <col min="14841" max="14846" width="5.1640625" style="478" customWidth="1"/>
    <col min="14847" max="14847" width="32" style="478" bestFit="1" customWidth="1"/>
    <col min="14848" max="14848" width="12.5" style="478" customWidth="1"/>
    <col min="14849" max="14849" width="14.83203125" style="478" customWidth="1"/>
    <col min="14850" max="14850" width="18.1640625" style="478" customWidth="1"/>
    <col min="14851" max="14851" width="20.83203125" style="478" customWidth="1"/>
    <col min="14852" max="14852" width="16.5" style="478" customWidth="1"/>
    <col min="14853" max="14853" width="17" style="478" customWidth="1"/>
    <col min="14854" max="14854" width="15" style="478" customWidth="1"/>
    <col min="14855" max="14855" width="15.1640625" style="478" bestFit="1" customWidth="1"/>
    <col min="14856" max="14859" width="16.5" style="478" customWidth="1"/>
    <col min="14860" max="14861" width="20.83203125" style="478" bestFit="1" customWidth="1"/>
    <col min="14862" max="14963" width="10.1640625" style="478"/>
    <col min="14964" max="14964" width="69.1640625" style="478" bestFit="1" customWidth="1"/>
    <col min="14965" max="14965" width="15.5" style="478" customWidth="1"/>
    <col min="14966" max="14967" width="18.1640625" style="478" customWidth="1"/>
    <col min="14968" max="14968" width="16.5" style="478" bestFit="1" customWidth="1"/>
    <col min="14969" max="14969" width="17.5" style="478" bestFit="1" customWidth="1"/>
    <col min="14970" max="14970" width="13.83203125" style="478" bestFit="1" customWidth="1"/>
    <col min="14971" max="14971" width="17.5" style="478" bestFit="1" customWidth="1"/>
    <col min="14972" max="14972" width="13.83203125" style="478" bestFit="1" customWidth="1"/>
    <col min="14973" max="14973" width="17.5" style="478" bestFit="1" customWidth="1"/>
    <col min="14974" max="14974" width="14.1640625" style="478" bestFit="1" customWidth="1"/>
    <col min="14975" max="15095" width="10.1640625" style="478"/>
    <col min="15096" max="15096" width="71.1640625" style="478" customWidth="1"/>
    <col min="15097" max="15102" width="5.1640625" style="478" customWidth="1"/>
    <col min="15103" max="15103" width="32" style="478" bestFit="1" customWidth="1"/>
    <col min="15104" max="15104" width="12.5" style="478" customWidth="1"/>
    <col min="15105" max="15105" width="14.83203125" style="478" customWidth="1"/>
    <col min="15106" max="15106" width="18.1640625" style="478" customWidth="1"/>
    <col min="15107" max="15107" width="20.83203125" style="478" customWidth="1"/>
    <col min="15108" max="15108" width="16.5" style="478" customWidth="1"/>
    <col min="15109" max="15109" width="17" style="478" customWidth="1"/>
    <col min="15110" max="15110" width="15" style="478" customWidth="1"/>
    <col min="15111" max="15111" width="15.1640625" style="478" bestFit="1" customWidth="1"/>
    <col min="15112" max="15115" width="16.5" style="478" customWidth="1"/>
    <col min="15116" max="15117" width="20.83203125" style="478" bestFit="1" customWidth="1"/>
    <col min="15118" max="15219" width="10.1640625" style="478"/>
    <col min="15220" max="15220" width="69.1640625" style="478" bestFit="1" customWidth="1"/>
    <col min="15221" max="15221" width="15.5" style="478" customWidth="1"/>
    <col min="15222" max="15223" width="18.1640625" style="478" customWidth="1"/>
    <col min="15224" max="15224" width="16.5" style="478" bestFit="1" customWidth="1"/>
    <col min="15225" max="15225" width="17.5" style="478" bestFit="1" customWidth="1"/>
    <col min="15226" max="15226" width="13.83203125" style="478" bestFit="1" customWidth="1"/>
    <col min="15227" max="15227" width="17.5" style="478" bestFit="1" customWidth="1"/>
    <col min="15228" max="15228" width="13.83203125" style="478" bestFit="1" customWidth="1"/>
    <col min="15229" max="15229" width="17.5" style="478" bestFit="1" customWidth="1"/>
    <col min="15230" max="15230" width="14.1640625" style="478" bestFit="1" customWidth="1"/>
    <col min="15231" max="15351" width="10.1640625" style="478"/>
    <col min="15352" max="15352" width="71.1640625" style="478" customWidth="1"/>
    <col min="15353" max="15358" width="5.1640625" style="478" customWidth="1"/>
    <col min="15359" max="15359" width="32" style="478" bestFit="1" customWidth="1"/>
    <col min="15360" max="15360" width="12.5" style="478" customWidth="1"/>
    <col min="15361" max="15361" width="14.83203125" style="478" customWidth="1"/>
    <col min="15362" max="15362" width="18.1640625" style="478" customWidth="1"/>
    <col min="15363" max="15363" width="20.83203125" style="478" customWidth="1"/>
    <col min="15364" max="15364" width="16.5" style="478" customWidth="1"/>
    <col min="15365" max="15365" width="17" style="478" customWidth="1"/>
    <col min="15366" max="15366" width="15" style="478" customWidth="1"/>
    <col min="15367" max="15367" width="15.1640625" style="478" bestFit="1" customWidth="1"/>
    <col min="15368" max="15371" width="16.5" style="478" customWidth="1"/>
    <col min="15372" max="15373" width="20.83203125" style="478" bestFit="1" customWidth="1"/>
    <col min="15374" max="15475" width="10.1640625" style="478"/>
    <col min="15476" max="15476" width="69.1640625" style="478" bestFit="1" customWidth="1"/>
    <col min="15477" max="15477" width="15.5" style="478" customWidth="1"/>
    <col min="15478" max="15479" width="18.1640625" style="478" customWidth="1"/>
    <col min="15480" max="15480" width="16.5" style="478" bestFit="1" customWidth="1"/>
    <col min="15481" max="15481" width="17.5" style="478" bestFit="1" customWidth="1"/>
    <col min="15482" max="15482" width="13.83203125" style="478" bestFit="1" customWidth="1"/>
    <col min="15483" max="15483" width="17.5" style="478" bestFit="1" customWidth="1"/>
    <col min="15484" max="15484" width="13.83203125" style="478" bestFit="1" customWidth="1"/>
    <col min="15485" max="15485" width="17.5" style="478" bestFit="1" customWidth="1"/>
    <col min="15486" max="15486" width="14.1640625" style="478" bestFit="1" customWidth="1"/>
    <col min="15487" max="15607" width="10.1640625" style="478"/>
    <col min="15608" max="15608" width="71.1640625" style="478" customWidth="1"/>
    <col min="15609" max="15614" width="5.1640625" style="478" customWidth="1"/>
    <col min="15615" max="15615" width="32" style="478" bestFit="1" customWidth="1"/>
    <col min="15616" max="15616" width="12.5" style="478" customWidth="1"/>
    <col min="15617" max="15617" width="14.83203125" style="478" customWidth="1"/>
    <col min="15618" max="15618" width="18.1640625" style="478" customWidth="1"/>
    <col min="15619" max="15619" width="20.83203125" style="478" customWidth="1"/>
    <col min="15620" max="15620" width="16.5" style="478" customWidth="1"/>
    <col min="15621" max="15621" width="17" style="478" customWidth="1"/>
    <col min="15622" max="15622" width="15" style="478" customWidth="1"/>
    <col min="15623" max="15623" width="15.1640625" style="478" bestFit="1" customWidth="1"/>
    <col min="15624" max="15627" width="16.5" style="478" customWidth="1"/>
    <col min="15628" max="15629" width="20.83203125" style="478" bestFit="1" customWidth="1"/>
    <col min="15630" max="15731" width="10.1640625" style="478"/>
    <col min="15732" max="15732" width="69.1640625" style="478" bestFit="1" customWidth="1"/>
    <col min="15733" max="15733" width="15.5" style="478" customWidth="1"/>
    <col min="15734" max="15735" width="18.1640625" style="478" customWidth="1"/>
    <col min="15736" max="15736" width="16.5" style="478" bestFit="1" customWidth="1"/>
    <col min="15737" max="15737" width="17.5" style="478" bestFit="1" customWidth="1"/>
    <col min="15738" max="15738" width="13.83203125" style="478" bestFit="1" customWidth="1"/>
    <col min="15739" max="15739" width="17.5" style="478" bestFit="1" customWidth="1"/>
    <col min="15740" max="15740" width="13.83203125" style="478" bestFit="1" customWidth="1"/>
    <col min="15741" max="15741" width="17.5" style="478" bestFit="1" customWidth="1"/>
    <col min="15742" max="15742" width="14.1640625" style="478" bestFit="1" customWidth="1"/>
    <col min="15743" max="15863" width="10.1640625" style="478"/>
    <col min="15864" max="15864" width="71.1640625" style="478" customWidth="1"/>
    <col min="15865" max="15870" width="5.1640625" style="478" customWidth="1"/>
    <col min="15871" max="15871" width="32" style="478" bestFit="1" customWidth="1"/>
    <col min="15872" max="15872" width="12.5" style="478" customWidth="1"/>
    <col min="15873" max="15873" width="14.83203125" style="478" customWidth="1"/>
    <col min="15874" max="15874" width="18.1640625" style="478" customWidth="1"/>
    <col min="15875" max="15875" width="20.83203125" style="478" customWidth="1"/>
    <col min="15876" max="15876" width="16.5" style="478" customWidth="1"/>
    <col min="15877" max="15877" width="17" style="478" customWidth="1"/>
    <col min="15878" max="15878" width="15" style="478" customWidth="1"/>
    <col min="15879" max="15879" width="15.1640625" style="478" bestFit="1" customWidth="1"/>
    <col min="15880" max="15883" width="16.5" style="478" customWidth="1"/>
    <col min="15884" max="15885" width="20.83203125" style="478" bestFit="1" customWidth="1"/>
    <col min="15886" max="15987" width="10.1640625" style="478"/>
    <col min="15988" max="15988" width="69.1640625" style="478" bestFit="1" customWidth="1"/>
    <col min="15989" max="15989" width="15.5" style="478" customWidth="1"/>
    <col min="15990" max="15991" width="18.1640625" style="478" customWidth="1"/>
    <col min="15992" max="15992" width="16.5" style="478" bestFit="1" customWidth="1"/>
    <col min="15993" max="15993" width="17.5" style="478" bestFit="1" customWidth="1"/>
    <col min="15994" max="15994" width="13.83203125" style="478" bestFit="1" customWidth="1"/>
    <col min="15995" max="15995" width="17.5" style="478" bestFit="1" customWidth="1"/>
    <col min="15996" max="15996" width="13.83203125" style="478" bestFit="1" customWidth="1"/>
    <col min="15997" max="15997" width="17.5" style="478" bestFit="1" customWidth="1"/>
    <col min="15998" max="15998" width="14.1640625" style="478" bestFit="1" customWidth="1"/>
    <col min="15999" max="16119" width="10.1640625" style="478"/>
    <col min="16120" max="16120" width="71.1640625" style="478" customWidth="1"/>
    <col min="16121" max="16126" width="5.1640625" style="478" customWidth="1"/>
    <col min="16127" max="16127" width="32" style="478" bestFit="1" customWidth="1"/>
    <col min="16128" max="16128" width="12.5" style="478" customWidth="1"/>
    <col min="16129" max="16129" width="14.83203125" style="478" customWidth="1"/>
    <col min="16130" max="16130" width="18.1640625" style="478" customWidth="1"/>
    <col min="16131" max="16131" width="20.83203125" style="478" customWidth="1"/>
    <col min="16132" max="16132" width="16.5" style="478" customWidth="1"/>
    <col min="16133" max="16133" width="17" style="478" customWidth="1"/>
    <col min="16134" max="16134" width="15" style="478" customWidth="1"/>
    <col min="16135" max="16135" width="15.1640625" style="478" bestFit="1" customWidth="1"/>
    <col min="16136" max="16139" width="16.5" style="478" customWidth="1"/>
    <col min="16140" max="16141" width="20.83203125" style="478" bestFit="1" customWidth="1"/>
    <col min="16142" max="16243" width="10.1640625" style="478"/>
    <col min="16244" max="16244" width="69.1640625" style="478" bestFit="1" customWidth="1"/>
    <col min="16245" max="16245" width="15.5" style="478" customWidth="1"/>
    <col min="16246" max="16247" width="18.1640625" style="478" customWidth="1"/>
    <col min="16248" max="16248" width="16.5" style="478" bestFit="1" customWidth="1"/>
    <col min="16249" max="16249" width="17.5" style="478" bestFit="1" customWidth="1"/>
    <col min="16250" max="16250" width="13.83203125" style="478" bestFit="1" customWidth="1"/>
    <col min="16251" max="16251" width="17.5" style="478" bestFit="1" customWidth="1"/>
    <col min="16252" max="16252" width="13.83203125" style="478" bestFit="1" customWidth="1"/>
    <col min="16253" max="16253" width="17.5" style="478" bestFit="1" customWidth="1"/>
    <col min="16254" max="16254" width="14.1640625" style="478" bestFit="1" customWidth="1"/>
    <col min="16255" max="16384" width="10.1640625" style="478"/>
  </cols>
  <sheetData>
    <row r="1" spans="1:13" ht="31.5" customHeight="1" x14ac:dyDescent="0.2">
      <c r="A1" s="336" t="s">
        <v>549</v>
      </c>
      <c r="B1" s="336"/>
      <c r="C1" s="336"/>
      <c r="D1" s="336"/>
      <c r="E1" s="336"/>
      <c r="F1" s="336"/>
      <c r="G1" s="336"/>
      <c r="H1" s="336"/>
      <c r="I1" s="336"/>
      <c r="J1" s="336"/>
      <c r="K1" s="412"/>
    </row>
    <row r="2" spans="1:13" ht="6" customHeight="1" x14ac:dyDescent="0.2">
      <c r="A2" s="413"/>
      <c r="G2" s="445"/>
    </row>
    <row r="3" spans="1:13" ht="21" customHeight="1" x14ac:dyDescent="0.2">
      <c r="A3" s="793" t="s">
        <v>264</v>
      </c>
      <c r="B3" s="791" t="s">
        <v>266</v>
      </c>
      <c r="C3" s="791" t="s">
        <v>267</v>
      </c>
      <c r="D3" s="791" t="s">
        <v>268</v>
      </c>
      <c r="E3" s="791" t="s">
        <v>269</v>
      </c>
      <c r="F3" s="791" t="s">
        <v>270</v>
      </c>
      <c r="G3" s="792" t="s">
        <v>271</v>
      </c>
      <c r="H3" s="479" t="s">
        <v>380</v>
      </c>
      <c r="I3" s="480" t="s">
        <v>502</v>
      </c>
      <c r="J3" s="480" t="s">
        <v>225</v>
      </c>
      <c r="K3" s="555">
        <v>15.7</v>
      </c>
    </row>
    <row r="4" spans="1:13" ht="21" customHeight="1" x14ac:dyDescent="0.2">
      <c r="A4" s="793"/>
      <c r="B4" s="791"/>
      <c r="C4" s="791"/>
      <c r="D4" s="791"/>
      <c r="E4" s="791"/>
      <c r="F4" s="791"/>
      <c r="G4" s="792"/>
      <c r="H4" s="481"/>
      <c r="I4" s="482"/>
      <c r="J4" s="482"/>
      <c r="K4" s="483"/>
    </row>
    <row r="5" spans="1:13" s="490" customFormat="1" x14ac:dyDescent="0.2">
      <c r="A5" s="338"/>
      <c r="B5" s="484"/>
      <c r="C5" s="485"/>
      <c r="D5" s="485"/>
      <c r="E5" s="449"/>
      <c r="F5" s="449"/>
      <c r="G5" s="486"/>
      <c r="H5" s="452"/>
      <c r="I5" s="487"/>
      <c r="J5" s="487"/>
      <c r="K5" s="488"/>
      <c r="L5" s="489"/>
      <c r="M5" s="489"/>
    </row>
    <row r="6" spans="1:13" ht="17" x14ac:dyDescent="0.2">
      <c r="A6" s="12" t="s">
        <v>550</v>
      </c>
      <c r="B6" s="339" t="s">
        <v>551</v>
      </c>
      <c r="C6" s="339">
        <v>4</v>
      </c>
      <c r="D6" s="339">
        <f>5*20</f>
        <v>100</v>
      </c>
      <c r="E6" s="491">
        <v>1500</v>
      </c>
      <c r="F6" s="492">
        <f>C6*D6*E6</f>
        <v>600000</v>
      </c>
      <c r="G6" s="493">
        <f>F6/$K$3</f>
        <v>38216.56050955414</v>
      </c>
      <c r="H6" s="494">
        <f>G6</f>
        <v>38216.56050955414</v>
      </c>
      <c r="I6" s="494">
        <f>H6*1.05</f>
        <v>40127.388535031845</v>
      </c>
      <c r="J6" s="494">
        <f>H6+I6</f>
        <v>78343.949044585985</v>
      </c>
      <c r="K6" s="483"/>
    </row>
    <row r="7" spans="1:13" ht="17" x14ac:dyDescent="0.2">
      <c r="A7" s="339" t="s">
        <v>552</v>
      </c>
      <c r="B7" s="339" t="s">
        <v>553</v>
      </c>
      <c r="C7" s="339">
        <f>75*4</f>
        <v>300</v>
      </c>
      <c r="D7" s="339">
        <v>20</v>
      </c>
      <c r="E7" s="491">
        <f>18*1.05</f>
        <v>18.900000000000002</v>
      </c>
      <c r="F7" s="492">
        <f>C7*D7*E7</f>
        <v>113400.00000000001</v>
      </c>
      <c r="G7" s="493">
        <f>F7/$K$3</f>
        <v>7222.9299363057335</v>
      </c>
      <c r="H7" s="494">
        <f t="shared" ref="H7:H9" si="0">G7</f>
        <v>7222.9299363057335</v>
      </c>
      <c r="I7" s="494">
        <f t="shared" ref="I7:I9" si="1">H7*1.05</f>
        <v>7584.0764331210203</v>
      </c>
      <c r="J7" s="494">
        <f t="shared" ref="J7:J9" si="2">H7+I7</f>
        <v>14807.006369426754</v>
      </c>
      <c r="K7" s="483"/>
    </row>
    <row r="8" spans="1:13" ht="17" x14ac:dyDescent="0.2">
      <c r="A8" s="339" t="s">
        <v>554</v>
      </c>
      <c r="B8" s="339" t="s">
        <v>555</v>
      </c>
      <c r="C8" s="339">
        <f>2*4</f>
        <v>8</v>
      </c>
      <c r="D8" s="339">
        <v>20</v>
      </c>
      <c r="E8" s="491">
        <v>150</v>
      </c>
      <c r="F8" s="492">
        <f>C8*D8*E8</f>
        <v>24000</v>
      </c>
      <c r="G8" s="493">
        <f>F8/$K$3</f>
        <v>1528.6624203821657</v>
      </c>
      <c r="H8" s="494">
        <f t="shared" si="0"/>
        <v>1528.6624203821657</v>
      </c>
      <c r="I8" s="494">
        <f t="shared" si="1"/>
        <v>1605.095541401274</v>
      </c>
      <c r="J8" s="494">
        <f t="shared" si="2"/>
        <v>3133.7579617834399</v>
      </c>
      <c r="K8" s="483"/>
    </row>
    <row r="9" spans="1:13" s="490" customFormat="1" ht="17" x14ac:dyDescent="0.2">
      <c r="A9" s="340" t="s">
        <v>556</v>
      </c>
      <c r="B9" s="484" t="s">
        <v>557</v>
      </c>
      <c r="C9" s="485">
        <f>7*2</f>
        <v>14</v>
      </c>
      <c r="D9" s="485">
        <v>20</v>
      </c>
      <c r="E9" s="450">
        <v>350</v>
      </c>
      <c r="F9" s="450">
        <f>C9*D9*E9</f>
        <v>98000</v>
      </c>
      <c r="G9" s="495">
        <f>F9/$K$3</f>
        <v>6242.0382165605097</v>
      </c>
      <c r="H9" s="494">
        <f t="shared" si="0"/>
        <v>6242.0382165605097</v>
      </c>
      <c r="I9" s="494">
        <f t="shared" si="1"/>
        <v>6554.1401273885358</v>
      </c>
      <c r="J9" s="494">
        <f t="shared" si="2"/>
        <v>12796.178343949046</v>
      </c>
      <c r="K9" s="488"/>
      <c r="L9" s="489"/>
      <c r="M9" s="489"/>
    </row>
    <row r="10" spans="1:13" s="502" customFormat="1" ht="17" x14ac:dyDescent="0.2">
      <c r="A10" s="341" t="s">
        <v>288</v>
      </c>
      <c r="B10" s="496"/>
      <c r="C10" s="341"/>
      <c r="D10" s="341"/>
      <c r="E10" s="497"/>
      <c r="F10" s="497">
        <f>SUM(F6:F9)</f>
        <v>835400</v>
      </c>
      <c r="G10" s="498">
        <f>SUM(G6:G9)</f>
        <v>53210.19108280255</v>
      </c>
      <c r="H10" s="498">
        <f>SUM(H6:H9)</f>
        <v>53210.19108280255</v>
      </c>
      <c r="I10" s="499">
        <f>SUM(I6:I9)</f>
        <v>55870.700636942674</v>
      </c>
      <c r="J10" s="499">
        <f>SUM(J6:J9)</f>
        <v>109080.89171974524</v>
      </c>
      <c r="K10" s="500"/>
      <c r="L10" s="501"/>
      <c r="M10" s="501"/>
    </row>
    <row r="11" spans="1:13" s="490" customFormat="1" x14ac:dyDescent="0.2">
      <c r="A11" s="339"/>
      <c r="B11" s="339"/>
      <c r="C11" s="339"/>
      <c r="D11" s="339"/>
      <c r="E11" s="492"/>
      <c r="F11" s="492"/>
      <c r="G11" s="493"/>
      <c r="H11" s="503"/>
      <c r="I11" s="487"/>
      <c r="J11" s="487"/>
      <c r="K11" s="488"/>
      <c r="L11" s="489"/>
      <c r="M11" s="489"/>
    </row>
    <row r="12" spans="1:13" s="502" customFormat="1" ht="17" x14ac:dyDescent="0.2">
      <c r="A12" s="341" t="s">
        <v>288</v>
      </c>
      <c r="B12" s="496"/>
      <c r="C12" s="341"/>
      <c r="D12" s="341"/>
      <c r="E12" s="497"/>
      <c r="F12" s="497">
        <f>SUM(F11:F11)</f>
        <v>0</v>
      </c>
      <c r="G12" s="498">
        <f>SUM(G11:G11)</f>
        <v>0</v>
      </c>
      <c r="H12" s="498">
        <f>SUM(H11:H11)</f>
        <v>0</v>
      </c>
      <c r="I12" s="499">
        <f>SUM(I11:I11)</f>
        <v>0</v>
      </c>
      <c r="J12" s="499"/>
      <c r="K12" s="500"/>
      <c r="L12" s="501"/>
      <c r="M12" s="501"/>
    </row>
    <row r="13" spans="1:13" s="490" customFormat="1" ht="17" x14ac:dyDescent="0.2">
      <c r="A13" s="342" t="s">
        <v>238</v>
      </c>
      <c r="B13" s="504"/>
      <c r="C13" s="504"/>
      <c r="D13" s="504"/>
      <c r="E13" s="505"/>
      <c r="F13" s="506">
        <f>SUM(F10,F12)</f>
        <v>835400</v>
      </c>
      <c r="G13" s="507">
        <f>SUM(G10,G12)</f>
        <v>53210.19108280255</v>
      </c>
      <c r="H13" s="507">
        <f>SUM(H10,H12)</f>
        <v>53210.19108280255</v>
      </c>
      <c r="I13" s="508">
        <f>SUM(I10,I12)</f>
        <v>55870.700636942674</v>
      </c>
      <c r="J13" s="508">
        <f>SUM(J10,J12)</f>
        <v>109080.89171974524</v>
      </c>
      <c r="K13" s="488"/>
    </row>
    <row r="17" spans="1:13" ht="31.5" customHeight="1" x14ac:dyDescent="0.2">
      <c r="A17" s="794" t="s">
        <v>558</v>
      </c>
      <c r="B17" s="795"/>
      <c r="C17" s="795"/>
      <c r="D17" s="795"/>
      <c r="E17" s="795"/>
      <c r="F17" s="795"/>
      <c r="G17" s="795"/>
      <c r="H17" s="795"/>
      <c r="I17" s="795"/>
      <c r="J17" s="795"/>
      <c r="K17" s="413"/>
    </row>
    <row r="18" spans="1:13" ht="6" customHeight="1" x14ac:dyDescent="0.2">
      <c r="A18" s="413"/>
      <c r="G18" s="445"/>
    </row>
    <row r="19" spans="1:13" ht="21" customHeight="1" x14ac:dyDescent="0.2">
      <c r="A19" s="793" t="s">
        <v>264</v>
      </c>
      <c r="B19" s="791" t="s">
        <v>266</v>
      </c>
      <c r="C19" s="791" t="s">
        <v>267</v>
      </c>
      <c r="D19" s="791" t="s">
        <v>268</v>
      </c>
      <c r="E19" s="791" t="s">
        <v>269</v>
      </c>
      <c r="F19" s="791" t="s">
        <v>270</v>
      </c>
      <c r="G19" s="792" t="s">
        <v>271</v>
      </c>
      <c r="H19" s="479" t="s">
        <v>380</v>
      </c>
      <c r="I19" s="480" t="s">
        <v>502</v>
      </c>
      <c r="J19" s="480" t="s">
        <v>225</v>
      </c>
      <c r="K19" s="555">
        <v>15.7</v>
      </c>
    </row>
    <row r="20" spans="1:13" ht="21" customHeight="1" x14ac:dyDescent="0.2">
      <c r="A20" s="793"/>
      <c r="B20" s="791"/>
      <c r="C20" s="791"/>
      <c r="D20" s="791"/>
      <c r="E20" s="791"/>
      <c r="F20" s="791"/>
      <c r="G20" s="792"/>
      <c r="H20" s="481"/>
      <c r="I20" s="482"/>
      <c r="J20" s="482"/>
      <c r="K20" s="483"/>
    </row>
    <row r="21" spans="1:13" s="490" customFormat="1" x14ac:dyDescent="0.2">
      <c r="A21" s="340"/>
      <c r="B21" s="339"/>
      <c r="C21" s="485"/>
      <c r="D21" s="485"/>
      <c r="E21" s="449"/>
      <c r="F21" s="492"/>
      <c r="G21" s="493"/>
      <c r="H21" s="503"/>
      <c r="I21" s="509"/>
      <c r="J21" s="509"/>
      <c r="K21" s="488"/>
      <c r="L21" s="489"/>
      <c r="M21" s="489"/>
    </row>
    <row r="22" spans="1:13" s="490" customFormat="1" ht="17" x14ac:dyDescent="0.2">
      <c r="A22" s="338" t="s">
        <v>559</v>
      </c>
      <c r="B22" s="339"/>
      <c r="C22" s="485"/>
      <c r="D22" s="485"/>
      <c r="E22" s="449"/>
      <c r="F22" s="492"/>
      <c r="G22" s="493"/>
      <c r="H22" s="503"/>
      <c r="I22" s="487"/>
      <c r="J22" s="487"/>
      <c r="K22" s="488"/>
      <c r="L22" s="489"/>
      <c r="M22" s="489"/>
    </row>
    <row r="23" spans="1:13" s="490" customFormat="1" ht="17" x14ac:dyDescent="0.2">
      <c r="A23" s="339" t="s">
        <v>560</v>
      </c>
      <c r="B23" s="339" t="s">
        <v>555</v>
      </c>
      <c r="C23" s="485">
        <v>4</v>
      </c>
      <c r="D23" s="485">
        <v>8</v>
      </c>
      <c r="E23" s="491">
        <v>150</v>
      </c>
      <c r="F23" s="492">
        <f>C23*D23*E23</f>
        <v>4800</v>
      </c>
      <c r="G23" s="510">
        <f>F23/$K$3</f>
        <v>305.73248407643314</v>
      </c>
      <c r="H23" s="494">
        <f>G23</f>
        <v>305.73248407643314</v>
      </c>
      <c r="I23" s="494">
        <f>H23*1.05</f>
        <v>321.01910828025478</v>
      </c>
      <c r="J23" s="494">
        <f>H23+I23</f>
        <v>626.75159235668798</v>
      </c>
      <c r="K23" s="488"/>
      <c r="L23" s="489"/>
      <c r="M23" s="489"/>
    </row>
    <row r="24" spans="1:13" s="490" customFormat="1" ht="17" x14ac:dyDescent="0.2">
      <c r="A24" s="340" t="s">
        <v>406</v>
      </c>
      <c r="B24" s="484" t="s">
        <v>557</v>
      </c>
      <c r="C24" s="485">
        <f>4*2</f>
        <v>8</v>
      </c>
      <c r="D24" s="485">
        <v>8</v>
      </c>
      <c r="E24" s="450">
        <v>350</v>
      </c>
      <c r="F24" s="492">
        <f>C24*D24*E24</f>
        <v>22400</v>
      </c>
      <c r="G24" s="510">
        <f>F24/$K$3</f>
        <v>1426.751592356688</v>
      </c>
      <c r="H24" s="494">
        <f>G24</f>
        <v>1426.751592356688</v>
      </c>
      <c r="I24" s="494">
        <f>H24*1.05</f>
        <v>1498.0891719745225</v>
      </c>
      <c r="J24" s="494">
        <f>H24+I24</f>
        <v>2924.8407643312103</v>
      </c>
      <c r="K24" s="488"/>
      <c r="L24" s="489"/>
      <c r="M24" s="489"/>
    </row>
    <row r="25" spans="1:13" s="490" customFormat="1" x14ac:dyDescent="0.2">
      <c r="A25" s="340"/>
      <c r="B25" s="339"/>
      <c r="C25" s="485"/>
      <c r="D25" s="485"/>
      <c r="E25" s="449"/>
      <c r="F25" s="492"/>
      <c r="G25" s="510"/>
      <c r="H25" s="511"/>
      <c r="I25" s="494"/>
      <c r="J25" s="494"/>
      <c r="K25" s="488"/>
      <c r="L25" s="489"/>
      <c r="M25" s="489"/>
    </row>
    <row r="26" spans="1:13" s="490" customFormat="1" x14ac:dyDescent="0.2">
      <c r="A26" s="340"/>
      <c r="B26" s="339"/>
      <c r="C26" s="485"/>
      <c r="D26" s="485"/>
      <c r="E26" s="449"/>
      <c r="F26" s="492"/>
      <c r="G26" s="510"/>
      <c r="H26" s="511"/>
      <c r="I26" s="494"/>
      <c r="J26" s="494"/>
      <c r="K26" s="488"/>
      <c r="L26" s="489"/>
      <c r="M26" s="489"/>
    </row>
    <row r="27" spans="1:13" s="502" customFormat="1" ht="17" x14ac:dyDescent="0.2">
      <c r="A27" s="341" t="s">
        <v>288</v>
      </c>
      <c r="B27" s="512"/>
      <c r="C27" s="343"/>
      <c r="D27" s="343"/>
      <c r="E27" s="456"/>
      <c r="F27" s="456">
        <f>SUM(F23:F25)</f>
        <v>27200</v>
      </c>
      <c r="G27" s="455">
        <f>SUM(G23:G25)</f>
        <v>1732.4840764331211</v>
      </c>
      <c r="H27" s="513">
        <f>SUM(H23:H25)</f>
        <v>1732.4840764331211</v>
      </c>
      <c r="I27" s="513">
        <f>SUM(I23:I25)</f>
        <v>1819.1082802547774</v>
      </c>
      <c r="J27" s="513">
        <f>SUM(J23:J25)</f>
        <v>3551.5923566878982</v>
      </c>
      <c r="K27" s="500"/>
      <c r="L27" s="501"/>
      <c r="M27" s="501"/>
    </row>
    <row r="28" spans="1:13" s="490" customFormat="1" x14ac:dyDescent="0.2">
      <c r="A28" s="340"/>
      <c r="B28" s="339"/>
      <c r="C28" s="485"/>
      <c r="D28" s="485"/>
      <c r="E28" s="449"/>
      <c r="F28" s="492"/>
      <c r="G28" s="493"/>
      <c r="H28" s="503"/>
      <c r="I28" s="487"/>
      <c r="J28" s="487"/>
      <c r="K28" s="488"/>
      <c r="L28" s="489"/>
      <c r="M28" s="489"/>
    </row>
    <row r="29" spans="1:13" s="490" customFormat="1" ht="17" x14ac:dyDescent="0.2">
      <c r="A29" s="338" t="s">
        <v>561</v>
      </c>
      <c r="B29" s="339"/>
      <c r="C29" s="485"/>
      <c r="D29" s="485"/>
      <c r="E29" s="449"/>
      <c r="F29" s="492"/>
      <c r="G29" s="493"/>
      <c r="H29" s="503"/>
      <c r="I29" s="487"/>
      <c r="J29" s="487"/>
      <c r="K29" s="488"/>
      <c r="L29" s="489"/>
      <c r="M29" s="489"/>
    </row>
    <row r="30" spans="1:13" s="490" customFormat="1" x14ac:dyDescent="0.2">
      <c r="A30" s="338"/>
      <c r="B30" s="339"/>
      <c r="C30" s="485"/>
      <c r="D30" s="485"/>
      <c r="E30" s="449"/>
      <c r="F30" s="492"/>
      <c r="G30" s="493"/>
      <c r="H30" s="503"/>
      <c r="I30" s="487"/>
      <c r="J30" s="487"/>
      <c r="K30" s="488"/>
      <c r="L30" s="489"/>
      <c r="M30" s="489"/>
    </row>
    <row r="31" spans="1:13" s="490" customFormat="1" ht="17" x14ac:dyDescent="0.2">
      <c r="A31" s="339" t="s">
        <v>560</v>
      </c>
      <c r="B31" s="339" t="s">
        <v>555</v>
      </c>
      <c r="C31" s="485">
        <f>4*2</f>
        <v>8</v>
      </c>
      <c r="D31" s="485">
        <v>20</v>
      </c>
      <c r="E31" s="449">
        <v>150</v>
      </c>
      <c r="F31" s="492">
        <f>C31*D31*E31</f>
        <v>24000</v>
      </c>
      <c r="G31" s="510">
        <f>F31/$K$3</f>
        <v>1528.6624203821657</v>
      </c>
      <c r="H31" s="486">
        <f>G31</f>
        <v>1528.6624203821657</v>
      </c>
      <c r="I31" s="494">
        <f>H31*1.05</f>
        <v>1605.095541401274</v>
      </c>
      <c r="J31" s="494">
        <f>H31+I31</f>
        <v>3133.7579617834399</v>
      </c>
      <c r="K31" s="488"/>
      <c r="L31" s="489"/>
      <c r="M31" s="489"/>
    </row>
    <row r="32" spans="1:13" s="490" customFormat="1" ht="17" x14ac:dyDescent="0.2">
      <c r="A32" s="340" t="s">
        <v>406</v>
      </c>
      <c r="B32" s="484" t="s">
        <v>557</v>
      </c>
      <c r="C32" s="485">
        <f>4*2</f>
        <v>8</v>
      </c>
      <c r="D32" s="485">
        <v>20</v>
      </c>
      <c r="E32" s="449">
        <v>350</v>
      </c>
      <c r="F32" s="492">
        <f>C32*D32*E32</f>
        <v>56000</v>
      </c>
      <c r="G32" s="510">
        <f>F32/$K$3</f>
        <v>3566.8789808917199</v>
      </c>
      <c r="H32" s="486">
        <f>G32</f>
        <v>3566.8789808917199</v>
      </c>
      <c r="I32" s="494">
        <f>H32*1.05</f>
        <v>3745.2229299363062</v>
      </c>
      <c r="J32" s="494">
        <f>H32+I32</f>
        <v>7312.1019108280261</v>
      </c>
      <c r="K32" s="488"/>
      <c r="L32" s="489"/>
      <c r="M32" s="489"/>
    </row>
    <row r="33" spans="1:13" s="490" customFormat="1" ht="17" x14ac:dyDescent="0.2">
      <c r="A33" s="341" t="s">
        <v>288</v>
      </c>
      <c r="B33" s="512"/>
      <c r="C33" s="343"/>
      <c r="D33" s="343"/>
      <c r="E33" s="456"/>
      <c r="F33" s="456">
        <f>SUM(F31:F32)</f>
        <v>80000</v>
      </c>
      <c r="G33" s="513">
        <f>SUM(G31:G32)</f>
        <v>5095.5414012738856</v>
      </c>
      <c r="H33" s="514">
        <f>SUM(H31:H32)</f>
        <v>5095.5414012738856</v>
      </c>
      <c r="I33" s="515">
        <f>SUM(I31:I32)</f>
        <v>5350.3184713375804</v>
      </c>
      <c r="J33" s="515">
        <f>SUM(J31:J32)</f>
        <v>10445.859872611465</v>
      </c>
      <c r="K33" s="488"/>
      <c r="L33" s="489"/>
      <c r="M33" s="489"/>
    </row>
    <row r="34" spans="1:13" s="502" customFormat="1" x14ac:dyDescent="0.2">
      <c r="A34" s="343"/>
      <c r="B34" s="512"/>
      <c r="C34" s="343"/>
      <c r="D34" s="343"/>
      <c r="E34" s="456"/>
      <c r="F34" s="456"/>
      <c r="G34" s="513"/>
      <c r="H34" s="513"/>
      <c r="I34" s="516"/>
      <c r="J34" s="516"/>
      <c r="K34" s="500"/>
      <c r="L34" s="501"/>
      <c r="M34" s="501"/>
    </row>
    <row r="35" spans="1:13" s="502" customFormat="1" x14ac:dyDescent="0.2">
      <c r="A35" s="341"/>
      <c r="B35" s="496"/>
      <c r="C35" s="341"/>
      <c r="D35" s="341"/>
      <c r="E35" s="497"/>
      <c r="F35" s="497"/>
      <c r="G35" s="498"/>
      <c r="H35" s="498"/>
      <c r="I35" s="499"/>
      <c r="J35" s="499"/>
      <c r="K35" s="500"/>
      <c r="L35" s="501"/>
      <c r="M35" s="501"/>
    </row>
    <row r="36" spans="1:13" s="490" customFormat="1" ht="17" x14ac:dyDescent="0.2">
      <c r="A36" s="342" t="s">
        <v>238</v>
      </c>
      <c r="B36" s="504"/>
      <c r="C36" s="504"/>
      <c r="D36" s="504"/>
      <c r="E36" s="505"/>
      <c r="F36" s="506">
        <f>SUM(F27,F33)</f>
        <v>107200</v>
      </c>
      <c r="G36" s="506">
        <f>SUM(G27,G33)</f>
        <v>6828.0254777070068</v>
      </c>
      <c r="H36" s="506">
        <f>SUM(H27,H33)</f>
        <v>6828.0254777070068</v>
      </c>
      <c r="I36" s="506">
        <f>SUM(I27,I33)</f>
        <v>7169.4267515923575</v>
      </c>
      <c r="J36" s="506">
        <f>SUM(J27,J33)</f>
        <v>13997.452229299364</v>
      </c>
      <c r="K36" s="488"/>
    </row>
  </sheetData>
  <mergeCells count="15">
    <mergeCell ref="F3:F4"/>
    <mergeCell ref="G3:G4"/>
    <mergeCell ref="F19:F20"/>
    <mergeCell ref="G19:G20"/>
    <mergeCell ref="A19:A20"/>
    <mergeCell ref="B19:B20"/>
    <mergeCell ref="C19:C20"/>
    <mergeCell ref="D19:D20"/>
    <mergeCell ref="E19:E20"/>
    <mergeCell ref="A3:A4"/>
    <mergeCell ref="B3:B4"/>
    <mergeCell ref="C3:C4"/>
    <mergeCell ref="D3:D4"/>
    <mergeCell ref="E3:E4"/>
    <mergeCell ref="A17:J17"/>
  </mergeCells>
  <pageMargins left="0.7" right="0.7" top="0.75" bottom="0.75" header="0.3" footer="0.3"/>
  <pageSetup paperSize="9" scale="3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BEC8-A096-4F0B-8D09-4E3734709FF3}">
  <sheetPr>
    <tabColor rgb="FF00B050"/>
    <pageSetUpPr fitToPage="1"/>
  </sheetPr>
  <dimension ref="A1:K30"/>
  <sheetViews>
    <sheetView zoomScale="70" zoomScaleNormal="70" workbookViewId="0">
      <selection activeCell="B9" sqref="B9"/>
    </sheetView>
  </sheetViews>
  <sheetFormatPr baseColWidth="10" defaultColWidth="10.1640625" defaultRowHeight="16" x14ac:dyDescent="0.2"/>
  <cols>
    <col min="1" max="1" width="71.1640625" style="194" customWidth="1"/>
    <col min="2" max="2" width="32" style="194" bestFit="1" customWidth="1"/>
    <col min="3" max="3" width="12.5" style="194" customWidth="1"/>
    <col min="4" max="4" width="14.83203125" style="194" customWidth="1"/>
    <col min="5" max="5" width="18.1640625" style="194" customWidth="1"/>
    <col min="6" max="6" width="20.83203125" style="194" customWidth="1"/>
    <col min="7" max="7" width="16.5" style="108" customWidth="1"/>
    <col min="8" max="8" width="18" style="194" bestFit="1" customWidth="1"/>
    <col min="9" max="9" width="16.5" style="194" bestFit="1" customWidth="1"/>
    <col min="10" max="10" width="4.1640625" style="194" bestFit="1" customWidth="1"/>
    <col min="11" max="11" width="16.5" style="194" bestFit="1" customWidth="1"/>
    <col min="12" max="111" width="10.1640625" style="194"/>
    <col min="112" max="112" width="69.1640625" style="194" bestFit="1" customWidth="1"/>
    <col min="113" max="113" width="15.5" style="194" customWidth="1"/>
    <col min="114" max="115" width="18.1640625" style="194" customWidth="1"/>
    <col min="116" max="116" width="16.5" style="194" bestFit="1" customWidth="1"/>
    <col min="117" max="117" width="17.5" style="194" bestFit="1" customWidth="1"/>
    <col min="118" max="118" width="13.83203125" style="194" bestFit="1" customWidth="1"/>
    <col min="119" max="119" width="17.5" style="194" bestFit="1" customWidth="1"/>
    <col min="120" max="120" width="13.83203125" style="194" bestFit="1" customWidth="1"/>
    <col min="121" max="121" width="17.5" style="194" bestFit="1" customWidth="1"/>
    <col min="122" max="122" width="14.1640625" style="194" bestFit="1" customWidth="1"/>
    <col min="123" max="245" width="10.1640625" style="194"/>
    <col min="246" max="246" width="71.1640625" style="194" customWidth="1"/>
    <col min="247" max="251" width="5.1640625" style="194" customWidth="1"/>
    <col min="252" max="252" width="6.1640625" style="194" customWidth="1"/>
    <col min="253" max="253" width="32" style="194" bestFit="1" customWidth="1"/>
    <col min="254" max="254" width="12.5" style="194" customWidth="1"/>
    <col min="255" max="255" width="14.83203125" style="194" customWidth="1"/>
    <col min="256" max="256" width="18.1640625" style="194" customWidth="1"/>
    <col min="257" max="257" width="20.83203125" style="194" customWidth="1"/>
    <col min="258" max="258" width="16.5" style="194" customWidth="1"/>
    <col min="259" max="259" width="18" style="194" bestFit="1" customWidth="1"/>
    <col min="260" max="260" width="16.5" style="194" bestFit="1" customWidth="1"/>
    <col min="261" max="261" width="15.1640625" style="194" bestFit="1" customWidth="1"/>
    <col min="262" max="263" width="16.5" style="194" customWidth="1"/>
    <col min="264" max="265" width="20.83203125" style="194" bestFit="1" customWidth="1"/>
    <col min="266" max="367" width="10.1640625" style="194"/>
    <col min="368" max="368" width="69.1640625" style="194" bestFit="1" customWidth="1"/>
    <col min="369" max="369" width="15.5" style="194" customWidth="1"/>
    <col min="370" max="371" width="18.1640625" style="194" customWidth="1"/>
    <col min="372" max="372" width="16.5" style="194" bestFit="1" customWidth="1"/>
    <col min="373" max="373" width="17.5" style="194" bestFit="1" customWidth="1"/>
    <col min="374" max="374" width="13.83203125" style="194" bestFit="1" customWidth="1"/>
    <col min="375" max="375" width="17.5" style="194" bestFit="1" customWidth="1"/>
    <col min="376" max="376" width="13.83203125" style="194" bestFit="1" customWidth="1"/>
    <col min="377" max="377" width="17.5" style="194" bestFit="1" customWidth="1"/>
    <col min="378" max="378" width="14.1640625" style="194" bestFit="1" customWidth="1"/>
    <col min="379" max="501" width="10.1640625" style="194"/>
    <col min="502" max="502" width="71.1640625" style="194" customWidth="1"/>
    <col min="503" max="507" width="5.1640625" style="194" customWidth="1"/>
    <col min="508" max="508" width="6.1640625" style="194" customWidth="1"/>
    <col min="509" max="509" width="32" style="194" bestFit="1" customWidth="1"/>
    <col min="510" max="510" width="12.5" style="194" customWidth="1"/>
    <col min="511" max="511" width="14.83203125" style="194" customWidth="1"/>
    <col min="512" max="512" width="18.1640625" style="194" customWidth="1"/>
    <col min="513" max="513" width="20.83203125" style="194" customWidth="1"/>
    <col min="514" max="514" width="16.5" style="194" customWidth="1"/>
    <col min="515" max="515" width="18" style="194" bestFit="1" customWidth="1"/>
    <col min="516" max="516" width="16.5" style="194" bestFit="1" customWidth="1"/>
    <col min="517" max="517" width="15.1640625" style="194" bestFit="1" customWidth="1"/>
    <col min="518" max="519" width="16.5" style="194" customWidth="1"/>
    <col min="520" max="521" width="20.83203125" style="194" bestFit="1" customWidth="1"/>
    <col min="522" max="623" width="10.1640625" style="194"/>
    <col min="624" max="624" width="69.1640625" style="194" bestFit="1" customWidth="1"/>
    <col min="625" max="625" width="15.5" style="194" customWidth="1"/>
    <col min="626" max="627" width="18.1640625" style="194" customWidth="1"/>
    <col min="628" max="628" width="16.5" style="194" bestFit="1" customWidth="1"/>
    <col min="629" max="629" width="17.5" style="194" bestFit="1" customWidth="1"/>
    <col min="630" max="630" width="13.83203125" style="194" bestFit="1" customWidth="1"/>
    <col min="631" max="631" width="17.5" style="194" bestFit="1" customWidth="1"/>
    <col min="632" max="632" width="13.83203125" style="194" bestFit="1" customWidth="1"/>
    <col min="633" max="633" width="17.5" style="194" bestFit="1" customWidth="1"/>
    <col min="634" max="634" width="14.1640625" style="194" bestFit="1" customWidth="1"/>
    <col min="635" max="757" width="10.1640625" style="194"/>
    <col min="758" max="758" width="71.1640625" style="194" customWidth="1"/>
    <col min="759" max="763" width="5.1640625" style="194" customWidth="1"/>
    <col min="764" max="764" width="6.1640625" style="194" customWidth="1"/>
    <col min="765" max="765" width="32" style="194" bestFit="1" customWidth="1"/>
    <col min="766" max="766" width="12.5" style="194" customWidth="1"/>
    <col min="767" max="767" width="14.83203125" style="194" customWidth="1"/>
    <col min="768" max="768" width="18.1640625" style="194" customWidth="1"/>
    <col min="769" max="769" width="20.83203125" style="194" customWidth="1"/>
    <col min="770" max="770" width="16.5" style="194" customWidth="1"/>
    <col min="771" max="771" width="18" style="194" bestFit="1" customWidth="1"/>
    <col min="772" max="772" width="16.5" style="194" bestFit="1" customWidth="1"/>
    <col min="773" max="773" width="15.1640625" style="194" bestFit="1" customWidth="1"/>
    <col min="774" max="775" width="16.5" style="194" customWidth="1"/>
    <col min="776" max="777" width="20.83203125" style="194" bestFit="1" customWidth="1"/>
    <col min="778" max="879" width="10.1640625" style="194"/>
    <col min="880" max="880" width="69.1640625" style="194" bestFit="1" customWidth="1"/>
    <col min="881" max="881" width="15.5" style="194" customWidth="1"/>
    <col min="882" max="883" width="18.1640625" style="194" customWidth="1"/>
    <col min="884" max="884" width="16.5" style="194" bestFit="1" customWidth="1"/>
    <col min="885" max="885" width="17.5" style="194" bestFit="1" customWidth="1"/>
    <col min="886" max="886" width="13.83203125" style="194" bestFit="1" customWidth="1"/>
    <col min="887" max="887" width="17.5" style="194" bestFit="1" customWidth="1"/>
    <col min="888" max="888" width="13.83203125" style="194" bestFit="1" customWidth="1"/>
    <col min="889" max="889" width="17.5" style="194" bestFit="1" customWidth="1"/>
    <col min="890" max="890" width="14.1640625" style="194" bestFit="1" customWidth="1"/>
    <col min="891" max="1013" width="10.1640625" style="194"/>
    <col min="1014" max="1014" width="71.1640625" style="194" customWidth="1"/>
    <col min="1015" max="1019" width="5.1640625" style="194" customWidth="1"/>
    <col min="1020" max="1020" width="6.1640625" style="194" customWidth="1"/>
    <col min="1021" max="1021" width="32" style="194" bestFit="1" customWidth="1"/>
    <col min="1022" max="1022" width="12.5" style="194" customWidth="1"/>
    <col min="1023" max="1023" width="14.83203125" style="194" customWidth="1"/>
    <col min="1024" max="1024" width="18.1640625" style="194" customWidth="1"/>
    <col min="1025" max="1025" width="20.83203125" style="194" customWidth="1"/>
    <col min="1026" max="1026" width="16.5" style="194" customWidth="1"/>
    <col min="1027" max="1027" width="18" style="194" bestFit="1" customWidth="1"/>
    <col min="1028" max="1028" width="16.5" style="194" bestFit="1" customWidth="1"/>
    <col min="1029" max="1029" width="15.1640625" style="194" bestFit="1" customWidth="1"/>
    <col min="1030" max="1031" width="16.5" style="194" customWidth="1"/>
    <col min="1032" max="1033" width="20.83203125" style="194" bestFit="1" customWidth="1"/>
    <col min="1034" max="1135" width="10.1640625" style="194"/>
    <col min="1136" max="1136" width="69.1640625" style="194" bestFit="1" customWidth="1"/>
    <col min="1137" max="1137" width="15.5" style="194" customWidth="1"/>
    <col min="1138" max="1139" width="18.1640625" style="194" customWidth="1"/>
    <col min="1140" max="1140" width="16.5" style="194" bestFit="1" customWidth="1"/>
    <col min="1141" max="1141" width="17.5" style="194" bestFit="1" customWidth="1"/>
    <col min="1142" max="1142" width="13.83203125" style="194" bestFit="1" customWidth="1"/>
    <col min="1143" max="1143" width="17.5" style="194" bestFit="1" customWidth="1"/>
    <col min="1144" max="1144" width="13.83203125" style="194" bestFit="1" customWidth="1"/>
    <col min="1145" max="1145" width="17.5" style="194" bestFit="1" customWidth="1"/>
    <col min="1146" max="1146" width="14.1640625" style="194" bestFit="1" customWidth="1"/>
    <col min="1147" max="1269" width="10.1640625" style="194"/>
    <col min="1270" max="1270" width="71.1640625" style="194" customWidth="1"/>
    <col min="1271" max="1275" width="5.1640625" style="194" customWidth="1"/>
    <col min="1276" max="1276" width="6.1640625" style="194" customWidth="1"/>
    <col min="1277" max="1277" width="32" style="194" bestFit="1" customWidth="1"/>
    <col min="1278" max="1278" width="12.5" style="194" customWidth="1"/>
    <col min="1279" max="1279" width="14.83203125" style="194" customWidth="1"/>
    <col min="1280" max="1280" width="18.1640625" style="194" customWidth="1"/>
    <col min="1281" max="1281" width="20.83203125" style="194" customWidth="1"/>
    <col min="1282" max="1282" width="16.5" style="194" customWidth="1"/>
    <col min="1283" max="1283" width="18" style="194" bestFit="1" customWidth="1"/>
    <col min="1284" max="1284" width="16.5" style="194" bestFit="1" customWidth="1"/>
    <col min="1285" max="1285" width="15.1640625" style="194" bestFit="1" customWidth="1"/>
    <col min="1286" max="1287" width="16.5" style="194" customWidth="1"/>
    <col min="1288" max="1289" width="20.83203125" style="194" bestFit="1" customWidth="1"/>
    <col min="1290" max="1391" width="10.1640625" style="194"/>
    <col min="1392" max="1392" width="69.1640625" style="194" bestFit="1" customWidth="1"/>
    <col min="1393" max="1393" width="15.5" style="194" customWidth="1"/>
    <col min="1394" max="1395" width="18.1640625" style="194" customWidth="1"/>
    <col min="1396" max="1396" width="16.5" style="194" bestFit="1" customWidth="1"/>
    <col min="1397" max="1397" width="17.5" style="194" bestFit="1" customWidth="1"/>
    <col min="1398" max="1398" width="13.83203125" style="194" bestFit="1" customWidth="1"/>
    <col min="1399" max="1399" width="17.5" style="194" bestFit="1" customWidth="1"/>
    <col min="1400" max="1400" width="13.83203125" style="194" bestFit="1" customWidth="1"/>
    <col min="1401" max="1401" width="17.5" style="194" bestFit="1" customWidth="1"/>
    <col min="1402" max="1402" width="14.1640625" style="194" bestFit="1" customWidth="1"/>
    <col min="1403" max="1525" width="10.1640625" style="194"/>
    <col min="1526" max="1526" width="71.1640625" style="194" customWidth="1"/>
    <col min="1527" max="1531" width="5.1640625" style="194" customWidth="1"/>
    <col min="1532" max="1532" width="6.1640625" style="194" customWidth="1"/>
    <col min="1533" max="1533" width="32" style="194" bestFit="1" customWidth="1"/>
    <col min="1534" max="1534" width="12.5" style="194" customWidth="1"/>
    <col min="1535" max="1535" width="14.83203125" style="194" customWidth="1"/>
    <col min="1536" max="1536" width="18.1640625" style="194" customWidth="1"/>
    <col min="1537" max="1537" width="20.83203125" style="194" customWidth="1"/>
    <col min="1538" max="1538" width="16.5" style="194" customWidth="1"/>
    <col min="1539" max="1539" width="18" style="194" bestFit="1" customWidth="1"/>
    <col min="1540" max="1540" width="16.5" style="194" bestFit="1" customWidth="1"/>
    <col min="1541" max="1541" width="15.1640625" style="194" bestFit="1" customWidth="1"/>
    <col min="1542" max="1543" width="16.5" style="194" customWidth="1"/>
    <col min="1544" max="1545" width="20.83203125" style="194" bestFit="1" customWidth="1"/>
    <col min="1546" max="1647" width="10.1640625" style="194"/>
    <col min="1648" max="1648" width="69.1640625" style="194" bestFit="1" customWidth="1"/>
    <col min="1649" max="1649" width="15.5" style="194" customWidth="1"/>
    <col min="1650" max="1651" width="18.1640625" style="194" customWidth="1"/>
    <col min="1652" max="1652" width="16.5" style="194" bestFit="1" customWidth="1"/>
    <col min="1653" max="1653" width="17.5" style="194" bestFit="1" customWidth="1"/>
    <col min="1654" max="1654" width="13.83203125" style="194" bestFit="1" customWidth="1"/>
    <col min="1655" max="1655" width="17.5" style="194" bestFit="1" customWidth="1"/>
    <col min="1656" max="1656" width="13.83203125" style="194" bestFit="1" customWidth="1"/>
    <col min="1657" max="1657" width="17.5" style="194" bestFit="1" customWidth="1"/>
    <col min="1658" max="1658" width="14.1640625" style="194" bestFit="1" customWidth="1"/>
    <col min="1659" max="1781" width="10.1640625" style="194"/>
    <col min="1782" max="1782" width="71.1640625" style="194" customWidth="1"/>
    <col min="1783" max="1787" width="5.1640625" style="194" customWidth="1"/>
    <col min="1788" max="1788" width="6.1640625" style="194" customWidth="1"/>
    <col min="1789" max="1789" width="32" style="194" bestFit="1" customWidth="1"/>
    <col min="1790" max="1790" width="12.5" style="194" customWidth="1"/>
    <col min="1791" max="1791" width="14.83203125" style="194" customWidth="1"/>
    <col min="1792" max="1792" width="18.1640625" style="194" customWidth="1"/>
    <col min="1793" max="1793" width="20.83203125" style="194" customWidth="1"/>
    <col min="1794" max="1794" width="16.5" style="194" customWidth="1"/>
    <col min="1795" max="1795" width="18" style="194" bestFit="1" customWidth="1"/>
    <col min="1796" max="1796" width="16.5" style="194" bestFit="1" customWidth="1"/>
    <col min="1797" max="1797" width="15.1640625" style="194" bestFit="1" customWidth="1"/>
    <col min="1798" max="1799" width="16.5" style="194" customWidth="1"/>
    <col min="1800" max="1801" width="20.83203125" style="194" bestFit="1" customWidth="1"/>
    <col min="1802" max="1903" width="10.1640625" style="194"/>
    <col min="1904" max="1904" width="69.1640625" style="194" bestFit="1" customWidth="1"/>
    <col min="1905" max="1905" width="15.5" style="194" customWidth="1"/>
    <col min="1906" max="1907" width="18.1640625" style="194" customWidth="1"/>
    <col min="1908" max="1908" width="16.5" style="194" bestFit="1" customWidth="1"/>
    <col min="1909" max="1909" width="17.5" style="194" bestFit="1" customWidth="1"/>
    <col min="1910" max="1910" width="13.83203125" style="194" bestFit="1" customWidth="1"/>
    <col min="1911" max="1911" width="17.5" style="194" bestFit="1" customWidth="1"/>
    <col min="1912" max="1912" width="13.83203125" style="194" bestFit="1" customWidth="1"/>
    <col min="1913" max="1913" width="17.5" style="194" bestFit="1" customWidth="1"/>
    <col min="1914" max="1914" width="14.1640625" style="194" bestFit="1" customWidth="1"/>
    <col min="1915" max="2037" width="10.1640625" style="194"/>
    <col min="2038" max="2038" width="71.1640625" style="194" customWidth="1"/>
    <col min="2039" max="2043" width="5.1640625" style="194" customWidth="1"/>
    <col min="2044" max="2044" width="6.1640625" style="194" customWidth="1"/>
    <col min="2045" max="2045" width="32" style="194" bestFit="1" customWidth="1"/>
    <col min="2046" max="2046" width="12.5" style="194" customWidth="1"/>
    <col min="2047" max="2047" width="14.83203125" style="194" customWidth="1"/>
    <col min="2048" max="2048" width="18.1640625" style="194" customWidth="1"/>
    <col min="2049" max="2049" width="20.83203125" style="194" customWidth="1"/>
    <col min="2050" max="2050" width="16.5" style="194" customWidth="1"/>
    <col min="2051" max="2051" width="18" style="194" bestFit="1" customWidth="1"/>
    <col min="2052" max="2052" width="16.5" style="194" bestFit="1" customWidth="1"/>
    <col min="2053" max="2053" width="15.1640625" style="194" bestFit="1" customWidth="1"/>
    <col min="2054" max="2055" width="16.5" style="194" customWidth="1"/>
    <col min="2056" max="2057" width="20.83203125" style="194" bestFit="1" customWidth="1"/>
    <col min="2058" max="2159" width="10.1640625" style="194"/>
    <col min="2160" max="2160" width="69.1640625" style="194" bestFit="1" customWidth="1"/>
    <col min="2161" max="2161" width="15.5" style="194" customWidth="1"/>
    <col min="2162" max="2163" width="18.1640625" style="194" customWidth="1"/>
    <col min="2164" max="2164" width="16.5" style="194" bestFit="1" customWidth="1"/>
    <col min="2165" max="2165" width="17.5" style="194" bestFit="1" customWidth="1"/>
    <col min="2166" max="2166" width="13.83203125" style="194" bestFit="1" customWidth="1"/>
    <col min="2167" max="2167" width="17.5" style="194" bestFit="1" customWidth="1"/>
    <col min="2168" max="2168" width="13.83203125" style="194" bestFit="1" customWidth="1"/>
    <col min="2169" max="2169" width="17.5" style="194" bestFit="1" customWidth="1"/>
    <col min="2170" max="2170" width="14.1640625" style="194" bestFit="1" customWidth="1"/>
    <col min="2171" max="2293" width="10.1640625" style="194"/>
    <col min="2294" max="2294" width="71.1640625" style="194" customWidth="1"/>
    <col min="2295" max="2299" width="5.1640625" style="194" customWidth="1"/>
    <col min="2300" max="2300" width="6.1640625" style="194" customWidth="1"/>
    <col min="2301" max="2301" width="32" style="194" bestFit="1" customWidth="1"/>
    <col min="2302" max="2302" width="12.5" style="194" customWidth="1"/>
    <col min="2303" max="2303" width="14.83203125" style="194" customWidth="1"/>
    <col min="2304" max="2304" width="18.1640625" style="194" customWidth="1"/>
    <col min="2305" max="2305" width="20.83203125" style="194" customWidth="1"/>
    <col min="2306" max="2306" width="16.5" style="194" customWidth="1"/>
    <col min="2307" max="2307" width="18" style="194" bestFit="1" customWidth="1"/>
    <col min="2308" max="2308" width="16.5" style="194" bestFit="1" customWidth="1"/>
    <col min="2309" max="2309" width="15.1640625" style="194" bestFit="1" customWidth="1"/>
    <col min="2310" max="2311" width="16.5" style="194" customWidth="1"/>
    <col min="2312" max="2313" width="20.83203125" style="194" bestFit="1" customWidth="1"/>
    <col min="2314" max="2415" width="10.1640625" style="194"/>
    <col min="2416" max="2416" width="69.1640625" style="194" bestFit="1" customWidth="1"/>
    <col min="2417" max="2417" width="15.5" style="194" customWidth="1"/>
    <col min="2418" max="2419" width="18.1640625" style="194" customWidth="1"/>
    <col min="2420" max="2420" width="16.5" style="194" bestFit="1" customWidth="1"/>
    <col min="2421" max="2421" width="17.5" style="194" bestFit="1" customWidth="1"/>
    <col min="2422" max="2422" width="13.83203125" style="194" bestFit="1" customWidth="1"/>
    <col min="2423" max="2423" width="17.5" style="194" bestFit="1" customWidth="1"/>
    <col min="2424" max="2424" width="13.83203125" style="194" bestFit="1" customWidth="1"/>
    <col min="2425" max="2425" width="17.5" style="194" bestFit="1" customWidth="1"/>
    <col min="2426" max="2426" width="14.1640625" style="194" bestFit="1" customWidth="1"/>
    <col min="2427" max="2549" width="10.1640625" style="194"/>
    <col min="2550" max="2550" width="71.1640625" style="194" customWidth="1"/>
    <col min="2551" max="2555" width="5.1640625" style="194" customWidth="1"/>
    <col min="2556" max="2556" width="6.1640625" style="194" customWidth="1"/>
    <col min="2557" max="2557" width="32" style="194" bestFit="1" customWidth="1"/>
    <col min="2558" max="2558" width="12.5" style="194" customWidth="1"/>
    <col min="2559" max="2559" width="14.83203125" style="194" customWidth="1"/>
    <col min="2560" max="2560" width="18.1640625" style="194" customWidth="1"/>
    <col min="2561" max="2561" width="20.83203125" style="194" customWidth="1"/>
    <col min="2562" max="2562" width="16.5" style="194" customWidth="1"/>
    <col min="2563" max="2563" width="18" style="194" bestFit="1" customWidth="1"/>
    <col min="2564" max="2564" width="16.5" style="194" bestFit="1" customWidth="1"/>
    <col min="2565" max="2565" width="15.1640625" style="194" bestFit="1" customWidth="1"/>
    <col min="2566" max="2567" width="16.5" style="194" customWidth="1"/>
    <col min="2568" max="2569" width="20.83203125" style="194" bestFit="1" customWidth="1"/>
    <col min="2570" max="2671" width="10.1640625" style="194"/>
    <col min="2672" max="2672" width="69.1640625" style="194" bestFit="1" customWidth="1"/>
    <col min="2673" max="2673" width="15.5" style="194" customWidth="1"/>
    <col min="2674" max="2675" width="18.1640625" style="194" customWidth="1"/>
    <col min="2676" max="2676" width="16.5" style="194" bestFit="1" customWidth="1"/>
    <col min="2677" max="2677" width="17.5" style="194" bestFit="1" customWidth="1"/>
    <col min="2678" max="2678" width="13.83203125" style="194" bestFit="1" customWidth="1"/>
    <col min="2679" max="2679" width="17.5" style="194" bestFit="1" customWidth="1"/>
    <col min="2680" max="2680" width="13.83203125" style="194" bestFit="1" customWidth="1"/>
    <col min="2681" max="2681" width="17.5" style="194" bestFit="1" customWidth="1"/>
    <col min="2682" max="2682" width="14.1640625" style="194" bestFit="1" customWidth="1"/>
    <col min="2683" max="2805" width="10.1640625" style="194"/>
    <col min="2806" max="2806" width="71.1640625" style="194" customWidth="1"/>
    <col min="2807" max="2811" width="5.1640625" style="194" customWidth="1"/>
    <col min="2812" max="2812" width="6.1640625" style="194" customWidth="1"/>
    <col min="2813" max="2813" width="32" style="194" bestFit="1" customWidth="1"/>
    <col min="2814" max="2814" width="12.5" style="194" customWidth="1"/>
    <col min="2815" max="2815" width="14.83203125" style="194" customWidth="1"/>
    <col min="2816" max="2816" width="18.1640625" style="194" customWidth="1"/>
    <col min="2817" max="2817" width="20.83203125" style="194" customWidth="1"/>
    <col min="2818" max="2818" width="16.5" style="194" customWidth="1"/>
    <col min="2819" max="2819" width="18" style="194" bestFit="1" customWidth="1"/>
    <col min="2820" max="2820" width="16.5" style="194" bestFit="1" customWidth="1"/>
    <col min="2821" max="2821" width="15.1640625" style="194" bestFit="1" customWidth="1"/>
    <col min="2822" max="2823" width="16.5" style="194" customWidth="1"/>
    <col min="2824" max="2825" width="20.83203125" style="194" bestFit="1" customWidth="1"/>
    <col min="2826" max="2927" width="10.1640625" style="194"/>
    <col min="2928" max="2928" width="69.1640625" style="194" bestFit="1" customWidth="1"/>
    <col min="2929" max="2929" width="15.5" style="194" customWidth="1"/>
    <col min="2930" max="2931" width="18.1640625" style="194" customWidth="1"/>
    <col min="2932" max="2932" width="16.5" style="194" bestFit="1" customWidth="1"/>
    <col min="2933" max="2933" width="17.5" style="194" bestFit="1" customWidth="1"/>
    <col min="2934" max="2934" width="13.83203125" style="194" bestFit="1" customWidth="1"/>
    <col min="2935" max="2935" width="17.5" style="194" bestFit="1" customWidth="1"/>
    <col min="2936" max="2936" width="13.83203125" style="194" bestFit="1" customWidth="1"/>
    <col min="2937" max="2937" width="17.5" style="194" bestFit="1" customWidth="1"/>
    <col min="2938" max="2938" width="14.1640625" style="194" bestFit="1" customWidth="1"/>
    <col min="2939" max="3061" width="10.1640625" style="194"/>
    <col min="3062" max="3062" width="71.1640625" style="194" customWidth="1"/>
    <col min="3063" max="3067" width="5.1640625" style="194" customWidth="1"/>
    <col min="3068" max="3068" width="6.1640625" style="194" customWidth="1"/>
    <col min="3069" max="3069" width="32" style="194" bestFit="1" customWidth="1"/>
    <col min="3070" max="3070" width="12.5" style="194" customWidth="1"/>
    <col min="3071" max="3071" width="14.83203125" style="194" customWidth="1"/>
    <col min="3072" max="3072" width="18.1640625" style="194" customWidth="1"/>
    <col min="3073" max="3073" width="20.83203125" style="194" customWidth="1"/>
    <col min="3074" max="3074" width="16.5" style="194" customWidth="1"/>
    <col min="3075" max="3075" width="18" style="194" bestFit="1" customWidth="1"/>
    <col min="3076" max="3076" width="16.5" style="194" bestFit="1" customWidth="1"/>
    <col min="3077" max="3077" width="15.1640625" style="194" bestFit="1" customWidth="1"/>
    <col min="3078" max="3079" width="16.5" style="194" customWidth="1"/>
    <col min="3080" max="3081" width="20.83203125" style="194" bestFit="1" customWidth="1"/>
    <col min="3082" max="3183" width="10.1640625" style="194"/>
    <col min="3184" max="3184" width="69.1640625" style="194" bestFit="1" customWidth="1"/>
    <col min="3185" max="3185" width="15.5" style="194" customWidth="1"/>
    <col min="3186" max="3187" width="18.1640625" style="194" customWidth="1"/>
    <col min="3188" max="3188" width="16.5" style="194" bestFit="1" customWidth="1"/>
    <col min="3189" max="3189" width="17.5" style="194" bestFit="1" customWidth="1"/>
    <col min="3190" max="3190" width="13.83203125" style="194" bestFit="1" customWidth="1"/>
    <col min="3191" max="3191" width="17.5" style="194" bestFit="1" customWidth="1"/>
    <col min="3192" max="3192" width="13.83203125" style="194" bestFit="1" customWidth="1"/>
    <col min="3193" max="3193" width="17.5" style="194" bestFit="1" customWidth="1"/>
    <col min="3194" max="3194" width="14.1640625" style="194" bestFit="1" customWidth="1"/>
    <col min="3195" max="3317" width="10.1640625" style="194"/>
    <col min="3318" max="3318" width="71.1640625" style="194" customWidth="1"/>
    <col min="3319" max="3323" width="5.1640625" style="194" customWidth="1"/>
    <col min="3324" max="3324" width="6.1640625" style="194" customWidth="1"/>
    <col min="3325" max="3325" width="32" style="194" bestFit="1" customWidth="1"/>
    <col min="3326" max="3326" width="12.5" style="194" customWidth="1"/>
    <col min="3327" max="3327" width="14.83203125" style="194" customWidth="1"/>
    <col min="3328" max="3328" width="18.1640625" style="194" customWidth="1"/>
    <col min="3329" max="3329" width="20.83203125" style="194" customWidth="1"/>
    <col min="3330" max="3330" width="16.5" style="194" customWidth="1"/>
    <col min="3331" max="3331" width="18" style="194" bestFit="1" customWidth="1"/>
    <col min="3332" max="3332" width="16.5" style="194" bestFit="1" customWidth="1"/>
    <col min="3333" max="3333" width="15.1640625" style="194" bestFit="1" customWidth="1"/>
    <col min="3334" max="3335" width="16.5" style="194" customWidth="1"/>
    <col min="3336" max="3337" width="20.83203125" style="194" bestFit="1" customWidth="1"/>
    <col min="3338" max="3439" width="10.1640625" style="194"/>
    <col min="3440" max="3440" width="69.1640625" style="194" bestFit="1" customWidth="1"/>
    <col min="3441" max="3441" width="15.5" style="194" customWidth="1"/>
    <col min="3442" max="3443" width="18.1640625" style="194" customWidth="1"/>
    <col min="3444" max="3444" width="16.5" style="194" bestFit="1" customWidth="1"/>
    <col min="3445" max="3445" width="17.5" style="194" bestFit="1" customWidth="1"/>
    <col min="3446" max="3446" width="13.83203125" style="194" bestFit="1" customWidth="1"/>
    <col min="3447" max="3447" width="17.5" style="194" bestFit="1" customWidth="1"/>
    <col min="3448" max="3448" width="13.83203125" style="194" bestFit="1" customWidth="1"/>
    <col min="3449" max="3449" width="17.5" style="194" bestFit="1" customWidth="1"/>
    <col min="3450" max="3450" width="14.1640625" style="194" bestFit="1" customWidth="1"/>
    <col min="3451" max="3573" width="10.1640625" style="194"/>
    <col min="3574" max="3574" width="71.1640625" style="194" customWidth="1"/>
    <col min="3575" max="3579" width="5.1640625" style="194" customWidth="1"/>
    <col min="3580" max="3580" width="6.1640625" style="194" customWidth="1"/>
    <col min="3581" max="3581" width="32" style="194" bestFit="1" customWidth="1"/>
    <col min="3582" max="3582" width="12.5" style="194" customWidth="1"/>
    <col min="3583" max="3583" width="14.83203125" style="194" customWidth="1"/>
    <col min="3584" max="3584" width="18.1640625" style="194" customWidth="1"/>
    <col min="3585" max="3585" width="20.83203125" style="194" customWidth="1"/>
    <col min="3586" max="3586" width="16.5" style="194" customWidth="1"/>
    <col min="3587" max="3587" width="18" style="194" bestFit="1" customWidth="1"/>
    <col min="3588" max="3588" width="16.5" style="194" bestFit="1" customWidth="1"/>
    <col min="3589" max="3589" width="15.1640625" style="194" bestFit="1" customWidth="1"/>
    <col min="3590" max="3591" width="16.5" style="194" customWidth="1"/>
    <col min="3592" max="3593" width="20.83203125" style="194" bestFit="1" customWidth="1"/>
    <col min="3594" max="3695" width="10.1640625" style="194"/>
    <col min="3696" max="3696" width="69.1640625" style="194" bestFit="1" customWidth="1"/>
    <col min="3697" max="3697" width="15.5" style="194" customWidth="1"/>
    <col min="3698" max="3699" width="18.1640625" style="194" customWidth="1"/>
    <col min="3700" max="3700" width="16.5" style="194" bestFit="1" customWidth="1"/>
    <col min="3701" max="3701" width="17.5" style="194" bestFit="1" customWidth="1"/>
    <col min="3702" max="3702" width="13.83203125" style="194" bestFit="1" customWidth="1"/>
    <col min="3703" max="3703" width="17.5" style="194" bestFit="1" customWidth="1"/>
    <col min="3704" max="3704" width="13.83203125" style="194" bestFit="1" customWidth="1"/>
    <col min="3705" max="3705" width="17.5" style="194" bestFit="1" customWidth="1"/>
    <col min="3706" max="3706" width="14.1640625" style="194" bestFit="1" customWidth="1"/>
    <col min="3707" max="3829" width="10.1640625" style="194"/>
    <col min="3830" max="3830" width="71.1640625" style="194" customWidth="1"/>
    <col min="3831" max="3835" width="5.1640625" style="194" customWidth="1"/>
    <col min="3836" max="3836" width="6.1640625" style="194" customWidth="1"/>
    <col min="3837" max="3837" width="32" style="194" bestFit="1" customWidth="1"/>
    <col min="3838" max="3838" width="12.5" style="194" customWidth="1"/>
    <col min="3839" max="3839" width="14.83203125" style="194" customWidth="1"/>
    <col min="3840" max="3840" width="18.1640625" style="194" customWidth="1"/>
    <col min="3841" max="3841" width="20.83203125" style="194" customWidth="1"/>
    <col min="3842" max="3842" width="16.5" style="194" customWidth="1"/>
    <col min="3843" max="3843" width="18" style="194" bestFit="1" customWidth="1"/>
    <col min="3844" max="3844" width="16.5" style="194" bestFit="1" customWidth="1"/>
    <col min="3845" max="3845" width="15.1640625" style="194" bestFit="1" customWidth="1"/>
    <col min="3846" max="3847" width="16.5" style="194" customWidth="1"/>
    <col min="3848" max="3849" width="20.83203125" style="194" bestFit="1" customWidth="1"/>
    <col min="3850" max="3951" width="10.1640625" style="194"/>
    <col min="3952" max="3952" width="69.1640625" style="194" bestFit="1" customWidth="1"/>
    <col min="3953" max="3953" width="15.5" style="194" customWidth="1"/>
    <col min="3954" max="3955" width="18.1640625" style="194" customWidth="1"/>
    <col min="3956" max="3956" width="16.5" style="194" bestFit="1" customWidth="1"/>
    <col min="3957" max="3957" width="17.5" style="194" bestFit="1" customWidth="1"/>
    <col min="3958" max="3958" width="13.83203125" style="194" bestFit="1" customWidth="1"/>
    <col min="3959" max="3959" width="17.5" style="194" bestFit="1" customWidth="1"/>
    <col min="3960" max="3960" width="13.83203125" style="194" bestFit="1" customWidth="1"/>
    <col min="3961" max="3961" width="17.5" style="194" bestFit="1" customWidth="1"/>
    <col min="3962" max="3962" width="14.1640625" style="194" bestFit="1" customWidth="1"/>
    <col min="3963" max="4085" width="10.1640625" style="194"/>
    <col min="4086" max="4086" width="71.1640625" style="194" customWidth="1"/>
    <col min="4087" max="4091" width="5.1640625" style="194" customWidth="1"/>
    <col min="4092" max="4092" width="6.1640625" style="194" customWidth="1"/>
    <col min="4093" max="4093" width="32" style="194" bestFit="1" customWidth="1"/>
    <col min="4094" max="4094" width="12.5" style="194" customWidth="1"/>
    <col min="4095" max="4095" width="14.83203125" style="194" customWidth="1"/>
    <col min="4096" max="4096" width="18.1640625" style="194" customWidth="1"/>
    <col min="4097" max="4097" width="20.83203125" style="194" customWidth="1"/>
    <col min="4098" max="4098" width="16.5" style="194" customWidth="1"/>
    <col min="4099" max="4099" width="18" style="194" bestFit="1" customWidth="1"/>
    <col min="4100" max="4100" width="16.5" style="194" bestFit="1" customWidth="1"/>
    <col min="4101" max="4101" width="15.1640625" style="194" bestFit="1" customWidth="1"/>
    <col min="4102" max="4103" width="16.5" style="194" customWidth="1"/>
    <col min="4104" max="4105" width="20.83203125" style="194" bestFit="1" customWidth="1"/>
    <col min="4106" max="4207" width="10.1640625" style="194"/>
    <col min="4208" max="4208" width="69.1640625" style="194" bestFit="1" customWidth="1"/>
    <col min="4209" max="4209" width="15.5" style="194" customWidth="1"/>
    <col min="4210" max="4211" width="18.1640625" style="194" customWidth="1"/>
    <col min="4212" max="4212" width="16.5" style="194" bestFit="1" customWidth="1"/>
    <col min="4213" max="4213" width="17.5" style="194" bestFit="1" customWidth="1"/>
    <col min="4214" max="4214" width="13.83203125" style="194" bestFit="1" customWidth="1"/>
    <col min="4215" max="4215" width="17.5" style="194" bestFit="1" customWidth="1"/>
    <col min="4216" max="4216" width="13.83203125" style="194" bestFit="1" customWidth="1"/>
    <col min="4217" max="4217" width="17.5" style="194" bestFit="1" customWidth="1"/>
    <col min="4218" max="4218" width="14.1640625" style="194" bestFit="1" customWidth="1"/>
    <col min="4219" max="4341" width="10.1640625" style="194"/>
    <col min="4342" max="4342" width="71.1640625" style="194" customWidth="1"/>
    <col min="4343" max="4347" width="5.1640625" style="194" customWidth="1"/>
    <col min="4348" max="4348" width="6.1640625" style="194" customWidth="1"/>
    <col min="4349" max="4349" width="32" style="194" bestFit="1" customWidth="1"/>
    <col min="4350" max="4350" width="12.5" style="194" customWidth="1"/>
    <col min="4351" max="4351" width="14.83203125" style="194" customWidth="1"/>
    <col min="4352" max="4352" width="18.1640625" style="194" customWidth="1"/>
    <col min="4353" max="4353" width="20.83203125" style="194" customWidth="1"/>
    <col min="4354" max="4354" width="16.5" style="194" customWidth="1"/>
    <col min="4355" max="4355" width="18" style="194" bestFit="1" customWidth="1"/>
    <col min="4356" max="4356" width="16.5" style="194" bestFit="1" customWidth="1"/>
    <col min="4357" max="4357" width="15.1640625" style="194" bestFit="1" customWidth="1"/>
    <col min="4358" max="4359" width="16.5" style="194" customWidth="1"/>
    <col min="4360" max="4361" width="20.83203125" style="194" bestFit="1" customWidth="1"/>
    <col min="4362" max="4463" width="10.1640625" style="194"/>
    <col min="4464" max="4464" width="69.1640625" style="194" bestFit="1" customWidth="1"/>
    <col min="4465" max="4465" width="15.5" style="194" customWidth="1"/>
    <col min="4466" max="4467" width="18.1640625" style="194" customWidth="1"/>
    <col min="4468" max="4468" width="16.5" style="194" bestFit="1" customWidth="1"/>
    <col min="4469" max="4469" width="17.5" style="194" bestFit="1" customWidth="1"/>
    <col min="4470" max="4470" width="13.83203125" style="194" bestFit="1" customWidth="1"/>
    <col min="4471" max="4471" width="17.5" style="194" bestFit="1" customWidth="1"/>
    <col min="4472" max="4472" width="13.83203125" style="194" bestFit="1" customWidth="1"/>
    <col min="4473" max="4473" width="17.5" style="194" bestFit="1" customWidth="1"/>
    <col min="4474" max="4474" width="14.1640625" style="194" bestFit="1" customWidth="1"/>
    <col min="4475" max="4597" width="10.1640625" style="194"/>
    <col min="4598" max="4598" width="71.1640625" style="194" customWidth="1"/>
    <col min="4599" max="4603" width="5.1640625" style="194" customWidth="1"/>
    <col min="4604" max="4604" width="6.1640625" style="194" customWidth="1"/>
    <col min="4605" max="4605" width="32" style="194" bestFit="1" customWidth="1"/>
    <col min="4606" max="4606" width="12.5" style="194" customWidth="1"/>
    <col min="4607" max="4607" width="14.83203125" style="194" customWidth="1"/>
    <col min="4608" max="4608" width="18.1640625" style="194" customWidth="1"/>
    <col min="4609" max="4609" width="20.83203125" style="194" customWidth="1"/>
    <col min="4610" max="4610" width="16.5" style="194" customWidth="1"/>
    <col min="4611" max="4611" width="18" style="194" bestFit="1" customWidth="1"/>
    <col min="4612" max="4612" width="16.5" style="194" bestFit="1" customWidth="1"/>
    <col min="4613" max="4613" width="15.1640625" style="194" bestFit="1" customWidth="1"/>
    <col min="4614" max="4615" width="16.5" style="194" customWidth="1"/>
    <col min="4616" max="4617" width="20.83203125" style="194" bestFit="1" customWidth="1"/>
    <col min="4618" max="4719" width="10.1640625" style="194"/>
    <col min="4720" max="4720" width="69.1640625" style="194" bestFit="1" customWidth="1"/>
    <col min="4721" max="4721" width="15.5" style="194" customWidth="1"/>
    <col min="4722" max="4723" width="18.1640625" style="194" customWidth="1"/>
    <col min="4724" max="4724" width="16.5" style="194" bestFit="1" customWidth="1"/>
    <col min="4725" max="4725" width="17.5" style="194" bestFit="1" customWidth="1"/>
    <col min="4726" max="4726" width="13.83203125" style="194" bestFit="1" customWidth="1"/>
    <col min="4727" max="4727" width="17.5" style="194" bestFit="1" customWidth="1"/>
    <col min="4728" max="4728" width="13.83203125" style="194" bestFit="1" customWidth="1"/>
    <col min="4729" max="4729" width="17.5" style="194" bestFit="1" customWidth="1"/>
    <col min="4730" max="4730" width="14.1640625" style="194" bestFit="1" customWidth="1"/>
    <col min="4731" max="4853" width="10.1640625" style="194"/>
    <col min="4854" max="4854" width="71.1640625" style="194" customWidth="1"/>
    <col min="4855" max="4859" width="5.1640625" style="194" customWidth="1"/>
    <col min="4860" max="4860" width="6.1640625" style="194" customWidth="1"/>
    <col min="4861" max="4861" width="32" style="194" bestFit="1" customWidth="1"/>
    <col min="4862" max="4862" width="12.5" style="194" customWidth="1"/>
    <col min="4863" max="4863" width="14.83203125" style="194" customWidth="1"/>
    <col min="4864" max="4864" width="18.1640625" style="194" customWidth="1"/>
    <col min="4865" max="4865" width="20.83203125" style="194" customWidth="1"/>
    <col min="4866" max="4866" width="16.5" style="194" customWidth="1"/>
    <col min="4867" max="4867" width="18" style="194" bestFit="1" customWidth="1"/>
    <col min="4868" max="4868" width="16.5" style="194" bestFit="1" customWidth="1"/>
    <col min="4869" max="4869" width="15.1640625" style="194" bestFit="1" customWidth="1"/>
    <col min="4870" max="4871" width="16.5" style="194" customWidth="1"/>
    <col min="4872" max="4873" width="20.83203125" style="194" bestFit="1" customWidth="1"/>
    <col min="4874" max="4975" width="10.1640625" style="194"/>
    <col min="4976" max="4976" width="69.1640625" style="194" bestFit="1" customWidth="1"/>
    <col min="4977" max="4977" width="15.5" style="194" customWidth="1"/>
    <col min="4978" max="4979" width="18.1640625" style="194" customWidth="1"/>
    <col min="4980" max="4980" width="16.5" style="194" bestFit="1" customWidth="1"/>
    <col min="4981" max="4981" width="17.5" style="194" bestFit="1" customWidth="1"/>
    <col min="4982" max="4982" width="13.83203125" style="194" bestFit="1" customWidth="1"/>
    <col min="4983" max="4983" width="17.5" style="194" bestFit="1" customWidth="1"/>
    <col min="4984" max="4984" width="13.83203125" style="194" bestFit="1" customWidth="1"/>
    <col min="4985" max="4985" width="17.5" style="194" bestFit="1" customWidth="1"/>
    <col min="4986" max="4986" width="14.1640625" style="194" bestFit="1" customWidth="1"/>
    <col min="4987" max="5109" width="10.1640625" style="194"/>
    <col min="5110" max="5110" width="71.1640625" style="194" customWidth="1"/>
    <col min="5111" max="5115" width="5.1640625" style="194" customWidth="1"/>
    <col min="5116" max="5116" width="6.1640625" style="194" customWidth="1"/>
    <col min="5117" max="5117" width="32" style="194" bestFit="1" customWidth="1"/>
    <col min="5118" max="5118" width="12.5" style="194" customWidth="1"/>
    <col min="5119" max="5119" width="14.83203125" style="194" customWidth="1"/>
    <col min="5120" max="5120" width="18.1640625" style="194" customWidth="1"/>
    <col min="5121" max="5121" width="20.83203125" style="194" customWidth="1"/>
    <col min="5122" max="5122" width="16.5" style="194" customWidth="1"/>
    <col min="5123" max="5123" width="18" style="194" bestFit="1" customWidth="1"/>
    <col min="5124" max="5124" width="16.5" style="194" bestFit="1" customWidth="1"/>
    <col min="5125" max="5125" width="15.1640625" style="194" bestFit="1" customWidth="1"/>
    <col min="5126" max="5127" width="16.5" style="194" customWidth="1"/>
    <col min="5128" max="5129" width="20.83203125" style="194" bestFit="1" customWidth="1"/>
    <col min="5130" max="5231" width="10.1640625" style="194"/>
    <col min="5232" max="5232" width="69.1640625" style="194" bestFit="1" customWidth="1"/>
    <col min="5233" max="5233" width="15.5" style="194" customWidth="1"/>
    <col min="5234" max="5235" width="18.1640625" style="194" customWidth="1"/>
    <col min="5236" max="5236" width="16.5" style="194" bestFit="1" customWidth="1"/>
    <col min="5237" max="5237" width="17.5" style="194" bestFit="1" customWidth="1"/>
    <col min="5238" max="5238" width="13.83203125" style="194" bestFit="1" customWidth="1"/>
    <col min="5239" max="5239" width="17.5" style="194" bestFit="1" customWidth="1"/>
    <col min="5240" max="5240" width="13.83203125" style="194" bestFit="1" customWidth="1"/>
    <col min="5241" max="5241" width="17.5" style="194" bestFit="1" customWidth="1"/>
    <col min="5242" max="5242" width="14.1640625" style="194" bestFit="1" customWidth="1"/>
    <col min="5243" max="5365" width="10.1640625" style="194"/>
    <col min="5366" max="5366" width="71.1640625" style="194" customWidth="1"/>
    <col min="5367" max="5371" width="5.1640625" style="194" customWidth="1"/>
    <col min="5372" max="5372" width="6.1640625" style="194" customWidth="1"/>
    <col min="5373" max="5373" width="32" style="194" bestFit="1" customWidth="1"/>
    <col min="5374" max="5374" width="12.5" style="194" customWidth="1"/>
    <col min="5375" max="5375" width="14.83203125" style="194" customWidth="1"/>
    <col min="5376" max="5376" width="18.1640625" style="194" customWidth="1"/>
    <col min="5377" max="5377" width="20.83203125" style="194" customWidth="1"/>
    <col min="5378" max="5378" width="16.5" style="194" customWidth="1"/>
    <col min="5379" max="5379" width="18" style="194" bestFit="1" customWidth="1"/>
    <col min="5380" max="5380" width="16.5" style="194" bestFit="1" customWidth="1"/>
    <col min="5381" max="5381" width="15.1640625" style="194" bestFit="1" customWidth="1"/>
    <col min="5382" max="5383" width="16.5" style="194" customWidth="1"/>
    <col min="5384" max="5385" width="20.83203125" style="194" bestFit="1" customWidth="1"/>
    <col min="5386" max="5487" width="10.1640625" style="194"/>
    <col min="5488" max="5488" width="69.1640625" style="194" bestFit="1" customWidth="1"/>
    <col min="5489" max="5489" width="15.5" style="194" customWidth="1"/>
    <col min="5490" max="5491" width="18.1640625" style="194" customWidth="1"/>
    <col min="5492" max="5492" width="16.5" style="194" bestFit="1" customWidth="1"/>
    <col min="5493" max="5493" width="17.5" style="194" bestFit="1" customWidth="1"/>
    <col min="5494" max="5494" width="13.83203125" style="194" bestFit="1" customWidth="1"/>
    <col min="5495" max="5495" width="17.5" style="194" bestFit="1" customWidth="1"/>
    <col min="5496" max="5496" width="13.83203125" style="194" bestFit="1" customWidth="1"/>
    <col min="5497" max="5497" width="17.5" style="194" bestFit="1" customWidth="1"/>
    <col min="5498" max="5498" width="14.1640625" style="194" bestFit="1" customWidth="1"/>
    <col min="5499" max="5621" width="10.1640625" style="194"/>
    <col min="5622" max="5622" width="71.1640625" style="194" customWidth="1"/>
    <col min="5623" max="5627" width="5.1640625" style="194" customWidth="1"/>
    <col min="5628" max="5628" width="6.1640625" style="194" customWidth="1"/>
    <col min="5629" max="5629" width="32" style="194" bestFit="1" customWidth="1"/>
    <col min="5630" max="5630" width="12.5" style="194" customWidth="1"/>
    <col min="5631" max="5631" width="14.83203125" style="194" customWidth="1"/>
    <col min="5632" max="5632" width="18.1640625" style="194" customWidth="1"/>
    <col min="5633" max="5633" width="20.83203125" style="194" customWidth="1"/>
    <col min="5634" max="5634" width="16.5" style="194" customWidth="1"/>
    <col min="5635" max="5635" width="18" style="194" bestFit="1" customWidth="1"/>
    <col min="5636" max="5636" width="16.5" style="194" bestFit="1" customWidth="1"/>
    <col min="5637" max="5637" width="15.1640625" style="194" bestFit="1" customWidth="1"/>
    <col min="5638" max="5639" width="16.5" style="194" customWidth="1"/>
    <col min="5640" max="5641" width="20.83203125" style="194" bestFit="1" customWidth="1"/>
    <col min="5642" max="5743" width="10.1640625" style="194"/>
    <col min="5744" max="5744" width="69.1640625" style="194" bestFit="1" customWidth="1"/>
    <col min="5745" max="5745" width="15.5" style="194" customWidth="1"/>
    <col min="5746" max="5747" width="18.1640625" style="194" customWidth="1"/>
    <col min="5748" max="5748" width="16.5" style="194" bestFit="1" customWidth="1"/>
    <col min="5749" max="5749" width="17.5" style="194" bestFit="1" customWidth="1"/>
    <col min="5750" max="5750" width="13.83203125" style="194" bestFit="1" customWidth="1"/>
    <col min="5751" max="5751" width="17.5" style="194" bestFit="1" customWidth="1"/>
    <col min="5752" max="5752" width="13.83203125" style="194" bestFit="1" customWidth="1"/>
    <col min="5753" max="5753" width="17.5" style="194" bestFit="1" customWidth="1"/>
    <col min="5754" max="5754" width="14.1640625" style="194" bestFit="1" customWidth="1"/>
    <col min="5755" max="5877" width="10.1640625" style="194"/>
    <col min="5878" max="5878" width="71.1640625" style="194" customWidth="1"/>
    <col min="5879" max="5883" width="5.1640625" style="194" customWidth="1"/>
    <col min="5884" max="5884" width="6.1640625" style="194" customWidth="1"/>
    <col min="5885" max="5885" width="32" style="194" bestFit="1" customWidth="1"/>
    <col min="5886" max="5886" width="12.5" style="194" customWidth="1"/>
    <col min="5887" max="5887" width="14.83203125" style="194" customWidth="1"/>
    <col min="5888" max="5888" width="18.1640625" style="194" customWidth="1"/>
    <col min="5889" max="5889" width="20.83203125" style="194" customWidth="1"/>
    <col min="5890" max="5890" width="16.5" style="194" customWidth="1"/>
    <col min="5891" max="5891" width="18" style="194" bestFit="1" customWidth="1"/>
    <col min="5892" max="5892" width="16.5" style="194" bestFit="1" customWidth="1"/>
    <col min="5893" max="5893" width="15.1640625" style="194" bestFit="1" customWidth="1"/>
    <col min="5894" max="5895" width="16.5" style="194" customWidth="1"/>
    <col min="5896" max="5897" width="20.83203125" style="194" bestFit="1" customWidth="1"/>
    <col min="5898" max="5999" width="10.1640625" style="194"/>
    <col min="6000" max="6000" width="69.1640625" style="194" bestFit="1" customWidth="1"/>
    <col min="6001" max="6001" width="15.5" style="194" customWidth="1"/>
    <col min="6002" max="6003" width="18.1640625" style="194" customWidth="1"/>
    <col min="6004" max="6004" width="16.5" style="194" bestFit="1" customWidth="1"/>
    <col min="6005" max="6005" width="17.5" style="194" bestFit="1" customWidth="1"/>
    <col min="6006" max="6006" width="13.83203125" style="194" bestFit="1" customWidth="1"/>
    <col min="6007" max="6007" width="17.5" style="194" bestFit="1" customWidth="1"/>
    <col min="6008" max="6008" width="13.83203125" style="194" bestFit="1" customWidth="1"/>
    <col min="6009" max="6009" width="17.5" style="194" bestFit="1" customWidth="1"/>
    <col min="6010" max="6010" width="14.1640625" style="194" bestFit="1" customWidth="1"/>
    <col min="6011" max="6133" width="10.1640625" style="194"/>
    <col min="6134" max="6134" width="71.1640625" style="194" customWidth="1"/>
    <col min="6135" max="6139" width="5.1640625" style="194" customWidth="1"/>
    <col min="6140" max="6140" width="6.1640625" style="194" customWidth="1"/>
    <col min="6141" max="6141" width="32" style="194" bestFit="1" customWidth="1"/>
    <col min="6142" max="6142" width="12.5" style="194" customWidth="1"/>
    <col min="6143" max="6143" width="14.83203125" style="194" customWidth="1"/>
    <col min="6144" max="6144" width="18.1640625" style="194" customWidth="1"/>
    <col min="6145" max="6145" width="20.83203125" style="194" customWidth="1"/>
    <col min="6146" max="6146" width="16.5" style="194" customWidth="1"/>
    <col min="6147" max="6147" width="18" style="194" bestFit="1" customWidth="1"/>
    <col min="6148" max="6148" width="16.5" style="194" bestFit="1" customWidth="1"/>
    <col min="6149" max="6149" width="15.1640625" style="194" bestFit="1" customWidth="1"/>
    <col min="6150" max="6151" width="16.5" style="194" customWidth="1"/>
    <col min="6152" max="6153" width="20.83203125" style="194" bestFit="1" customWidth="1"/>
    <col min="6154" max="6255" width="10.1640625" style="194"/>
    <col min="6256" max="6256" width="69.1640625" style="194" bestFit="1" customWidth="1"/>
    <col min="6257" max="6257" width="15.5" style="194" customWidth="1"/>
    <col min="6258" max="6259" width="18.1640625" style="194" customWidth="1"/>
    <col min="6260" max="6260" width="16.5" style="194" bestFit="1" customWidth="1"/>
    <col min="6261" max="6261" width="17.5" style="194" bestFit="1" customWidth="1"/>
    <col min="6262" max="6262" width="13.83203125" style="194" bestFit="1" customWidth="1"/>
    <col min="6263" max="6263" width="17.5" style="194" bestFit="1" customWidth="1"/>
    <col min="6264" max="6264" width="13.83203125" style="194" bestFit="1" customWidth="1"/>
    <col min="6265" max="6265" width="17.5" style="194" bestFit="1" customWidth="1"/>
    <col min="6266" max="6266" width="14.1640625" style="194" bestFit="1" customWidth="1"/>
    <col min="6267" max="6389" width="10.1640625" style="194"/>
    <col min="6390" max="6390" width="71.1640625" style="194" customWidth="1"/>
    <col min="6391" max="6395" width="5.1640625" style="194" customWidth="1"/>
    <col min="6396" max="6396" width="6.1640625" style="194" customWidth="1"/>
    <col min="6397" max="6397" width="32" style="194" bestFit="1" customWidth="1"/>
    <col min="6398" max="6398" width="12.5" style="194" customWidth="1"/>
    <col min="6399" max="6399" width="14.83203125" style="194" customWidth="1"/>
    <col min="6400" max="6400" width="18.1640625" style="194" customWidth="1"/>
    <col min="6401" max="6401" width="20.83203125" style="194" customWidth="1"/>
    <col min="6402" max="6402" width="16.5" style="194" customWidth="1"/>
    <col min="6403" max="6403" width="18" style="194" bestFit="1" customWidth="1"/>
    <col min="6404" max="6404" width="16.5" style="194" bestFit="1" customWidth="1"/>
    <col min="6405" max="6405" width="15.1640625" style="194" bestFit="1" customWidth="1"/>
    <col min="6406" max="6407" width="16.5" style="194" customWidth="1"/>
    <col min="6408" max="6409" width="20.83203125" style="194" bestFit="1" customWidth="1"/>
    <col min="6410" max="6511" width="10.1640625" style="194"/>
    <col min="6512" max="6512" width="69.1640625" style="194" bestFit="1" customWidth="1"/>
    <col min="6513" max="6513" width="15.5" style="194" customWidth="1"/>
    <col min="6514" max="6515" width="18.1640625" style="194" customWidth="1"/>
    <col min="6516" max="6516" width="16.5" style="194" bestFit="1" customWidth="1"/>
    <col min="6517" max="6517" width="17.5" style="194" bestFit="1" customWidth="1"/>
    <col min="6518" max="6518" width="13.83203125" style="194" bestFit="1" customWidth="1"/>
    <col min="6519" max="6519" width="17.5" style="194" bestFit="1" customWidth="1"/>
    <col min="6520" max="6520" width="13.83203125" style="194" bestFit="1" customWidth="1"/>
    <col min="6521" max="6521" width="17.5" style="194" bestFit="1" customWidth="1"/>
    <col min="6522" max="6522" width="14.1640625" style="194" bestFit="1" customWidth="1"/>
    <col min="6523" max="6645" width="10.1640625" style="194"/>
    <col min="6646" max="6646" width="71.1640625" style="194" customWidth="1"/>
    <col min="6647" max="6651" width="5.1640625" style="194" customWidth="1"/>
    <col min="6652" max="6652" width="6.1640625" style="194" customWidth="1"/>
    <col min="6653" max="6653" width="32" style="194" bestFit="1" customWidth="1"/>
    <col min="6654" max="6654" width="12.5" style="194" customWidth="1"/>
    <col min="6655" max="6655" width="14.83203125" style="194" customWidth="1"/>
    <col min="6656" max="6656" width="18.1640625" style="194" customWidth="1"/>
    <col min="6657" max="6657" width="20.83203125" style="194" customWidth="1"/>
    <col min="6658" max="6658" width="16.5" style="194" customWidth="1"/>
    <col min="6659" max="6659" width="18" style="194" bestFit="1" customWidth="1"/>
    <col min="6660" max="6660" width="16.5" style="194" bestFit="1" customWidth="1"/>
    <col min="6661" max="6661" width="15.1640625" style="194" bestFit="1" customWidth="1"/>
    <col min="6662" max="6663" width="16.5" style="194" customWidth="1"/>
    <col min="6664" max="6665" width="20.83203125" style="194" bestFit="1" customWidth="1"/>
    <col min="6666" max="6767" width="10.1640625" style="194"/>
    <col min="6768" max="6768" width="69.1640625" style="194" bestFit="1" customWidth="1"/>
    <col min="6769" max="6769" width="15.5" style="194" customWidth="1"/>
    <col min="6770" max="6771" width="18.1640625" style="194" customWidth="1"/>
    <col min="6772" max="6772" width="16.5" style="194" bestFit="1" customWidth="1"/>
    <col min="6773" max="6773" width="17.5" style="194" bestFit="1" customWidth="1"/>
    <col min="6774" max="6774" width="13.83203125" style="194" bestFit="1" customWidth="1"/>
    <col min="6775" max="6775" width="17.5" style="194" bestFit="1" customWidth="1"/>
    <col min="6776" max="6776" width="13.83203125" style="194" bestFit="1" customWidth="1"/>
    <col min="6777" max="6777" width="17.5" style="194" bestFit="1" customWidth="1"/>
    <col min="6778" max="6778" width="14.1640625" style="194" bestFit="1" customWidth="1"/>
    <col min="6779" max="6901" width="10.1640625" style="194"/>
    <col min="6902" max="6902" width="71.1640625" style="194" customWidth="1"/>
    <col min="6903" max="6907" width="5.1640625" style="194" customWidth="1"/>
    <col min="6908" max="6908" width="6.1640625" style="194" customWidth="1"/>
    <col min="6909" max="6909" width="32" style="194" bestFit="1" customWidth="1"/>
    <col min="6910" max="6910" width="12.5" style="194" customWidth="1"/>
    <col min="6911" max="6911" width="14.83203125" style="194" customWidth="1"/>
    <col min="6912" max="6912" width="18.1640625" style="194" customWidth="1"/>
    <col min="6913" max="6913" width="20.83203125" style="194" customWidth="1"/>
    <col min="6914" max="6914" width="16.5" style="194" customWidth="1"/>
    <col min="6915" max="6915" width="18" style="194" bestFit="1" customWidth="1"/>
    <col min="6916" max="6916" width="16.5" style="194" bestFit="1" customWidth="1"/>
    <col min="6917" max="6917" width="15.1640625" style="194" bestFit="1" customWidth="1"/>
    <col min="6918" max="6919" width="16.5" style="194" customWidth="1"/>
    <col min="6920" max="6921" width="20.83203125" style="194" bestFit="1" customWidth="1"/>
    <col min="6922" max="7023" width="10.1640625" style="194"/>
    <col min="7024" max="7024" width="69.1640625" style="194" bestFit="1" customWidth="1"/>
    <col min="7025" max="7025" width="15.5" style="194" customWidth="1"/>
    <col min="7026" max="7027" width="18.1640625" style="194" customWidth="1"/>
    <col min="7028" max="7028" width="16.5" style="194" bestFit="1" customWidth="1"/>
    <col min="7029" max="7029" width="17.5" style="194" bestFit="1" customWidth="1"/>
    <col min="7030" max="7030" width="13.83203125" style="194" bestFit="1" customWidth="1"/>
    <col min="7031" max="7031" width="17.5" style="194" bestFit="1" customWidth="1"/>
    <col min="7032" max="7032" width="13.83203125" style="194" bestFit="1" customWidth="1"/>
    <col min="7033" max="7033" width="17.5" style="194" bestFit="1" customWidth="1"/>
    <col min="7034" max="7034" width="14.1640625" style="194" bestFit="1" customWidth="1"/>
    <col min="7035" max="7157" width="10.1640625" style="194"/>
    <col min="7158" max="7158" width="71.1640625" style="194" customWidth="1"/>
    <col min="7159" max="7163" width="5.1640625" style="194" customWidth="1"/>
    <col min="7164" max="7164" width="6.1640625" style="194" customWidth="1"/>
    <col min="7165" max="7165" width="32" style="194" bestFit="1" customWidth="1"/>
    <col min="7166" max="7166" width="12.5" style="194" customWidth="1"/>
    <col min="7167" max="7167" width="14.83203125" style="194" customWidth="1"/>
    <col min="7168" max="7168" width="18.1640625" style="194" customWidth="1"/>
    <col min="7169" max="7169" width="20.83203125" style="194" customWidth="1"/>
    <col min="7170" max="7170" width="16.5" style="194" customWidth="1"/>
    <col min="7171" max="7171" width="18" style="194" bestFit="1" customWidth="1"/>
    <col min="7172" max="7172" width="16.5" style="194" bestFit="1" customWidth="1"/>
    <col min="7173" max="7173" width="15.1640625" style="194" bestFit="1" customWidth="1"/>
    <col min="7174" max="7175" width="16.5" style="194" customWidth="1"/>
    <col min="7176" max="7177" width="20.83203125" style="194" bestFit="1" customWidth="1"/>
    <col min="7178" max="7279" width="10.1640625" style="194"/>
    <col min="7280" max="7280" width="69.1640625" style="194" bestFit="1" customWidth="1"/>
    <col min="7281" max="7281" width="15.5" style="194" customWidth="1"/>
    <col min="7282" max="7283" width="18.1640625" style="194" customWidth="1"/>
    <col min="7284" max="7284" width="16.5" style="194" bestFit="1" customWidth="1"/>
    <col min="7285" max="7285" width="17.5" style="194" bestFit="1" customWidth="1"/>
    <col min="7286" max="7286" width="13.83203125" style="194" bestFit="1" customWidth="1"/>
    <col min="7287" max="7287" width="17.5" style="194" bestFit="1" customWidth="1"/>
    <col min="7288" max="7288" width="13.83203125" style="194" bestFit="1" customWidth="1"/>
    <col min="7289" max="7289" width="17.5" style="194" bestFit="1" customWidth="1"/>
    <col min="7290" max="7290" width="14.1640625" style="194" bestFit="1" customWidth="1"/>
    <col min="7291" max="7413" width="10.1640625" style="194"/>
    <col min="7414" max="7414" width="71.1640625" style="194" customWidth="1"/>
    <col min="7415" max="7419" width="5.1640625" style="194" customWidth="1"/>
    <col min="7420" max="7420" width="6.1640625" style="194" customWidth="1"/>
    <col min="7421" max="7421" width="32" style="194" bestFit="1" customWidth="1"/>
    <col min="7422" max="7422" width="12.5" style="194" customWidth="1"/>
    <col min="7423" max="7423" width="14.83203125" style="194" customWidth="1"/>
    <col min="7424" max="7424" width="18.1640625" style="194" customWidth="1"/>
    <col min="7425" max="7425" width="20.83203125" style="194" customWidth="1"/>
    <col min="7426" max="7426" width="16.5" style="194" customWidth="1"/>
    <col min="7427" max="7427" width="18" style="194" bestFit="1" customWidth="1"/>
    <col min="7428" max="7428" width="16.5" style="194" bestFit="1" customWidth="1"/>
    <col min="7429" max="7429" width="15.1640625" style="194" bestFit="1" customWidth="1"/>
    <col min="7430" max="7431" width="16.5" style="194" customWidth="1"/>
    <col min="7432" max="7433" width="20.83203125" style="194" bestFit="1" customWidth="1"/>
    <col min="7434" max="7535" width="10.1640625" style="194"/>
    <col min="7536" max="7536" width="69.1640625" style="194" bestFit="1" customWidth="1"/>
    <col min="7537" max="7537" width="15.5" style="194" customWidth="1"/>
    <col min="7538" max="7539" width="18.1640625" style="194" customWidth="1"/>
    <col min="7540" max="7540" width="16.5" style="194" bestFit="1" customWidth="1"/>
    <col min="7541" max="7541" width="17.5" style="194" bestFit="1" customWidth="1"/>
    <col min="7542" max="7542" width="13.83203125" style="194" bestFit="1" customWidth="1"/>
    <col min="7543" max="7543" width="17.5" style="194" bestFit="1" customWidth="1"/>
    <col min="7544" max="7544" width="13.83203125" style="194" bestFit="1" customWidth="1"/>
    <col min="7545" max="7545" width="17.5" style="194" bestFit="1" customWidth="1"/>
    <col min="7546" max="7546" width="14.1640625" style="194" bestFit="1" customWidth="1"/>
    <col min="7547" max="7669" width="10.1640625" style="194"/>
    <col min="7670" max="7670" width="71.1640625" style="194" customWidth="1"/>
    <col min="7671" max="7675" width="5.1640625" style="194" customWidth="1"/>
    <col min="7676" max="7676" width="6.1640625" style="194" customWidth="1"/>
    <col min="7677" max="7677" width="32" style="194" bestFit="1" customWidth="1"/>
    <col min="7678" max="7678" width="12.5" style="194" customWidth="1"/>
    <col min="7679" max="7679" width="14.83203125" style="194" customWidth="1"/>
    <col min="7680" max="7680" width="18.1640625" style="194" customWidth="1"/>
    <col min="7681" max="7681" width="20.83203125" style="194" customWidth="1"/>
    <col min="7682" max="7682" width="16.5" style="194" customWidth="1"/>
    <col min="7683" max="7683" width="18" style="194" bestFit="1" customWidth="1"/>
    <col min="7684" max="7684" width="16.5" style="194" bestFit="1" customWidth="1"/>
    <col min="7685" max="7685" width="15.1640625" style="194" bestFit="1" customWidth="1"/>
    <col min="7686" max="7687" width="16.5" style="194" customWidth="1"/>
    <col min="7688" max="7689" width="20.83203125" style="194" bestFit="1" customWidth="1"/>
    <col min="7690" max="7791" width="10.1640625" style="194"/>
    <col min="7792" max="7792" width="69.1640625" style="194" bestFit="1" customWidth="1"/>
    <col min="7793" max="7793" width="15.5" style="194" customWidth="1"/>
    <col min="7794" max="7795" width="18.1640625" style="194" customWidth="1"/>
    <col min="7796" max="7796" width="16.5" style="194" bestFit="1" customWidth="1"/>
    <col min="7797" max="7797" width="17.5" style="194" bestFit="1" customWidth="1"/>
    <col min="7798" max="7798" width="13.83203125" style="194" bestFit="1" customWidth="1"/>
    <col min="7799" max="7799" width="17.5" style="194" bestFit="1" customWidth="1"/>
    <col min="7800" max="7800" width="13.83203125" style="194" bestFit="1" customWidth="1"/>
    <col min="7801" max="7801" width="17.5" style="194" bestFit="1" customWidth="1"/>
    <col min="7802" max="7802" width="14.1640625" style="194" bestFit="1" customWidth="1"/>
    <col min="7803" max="7925" width="10.1640625" style="194"/>
    <col min="7926" max="7926" width="71.1640625" style="194" customWidth="1"/>
    <col min="7927" max="7931" width="5.1640625" style="194" customWidth="1"/>
    <col min="7932" max="7932" width="6.1640625" style="194" customWidth="1"/>
    <col min="7933" max="7933" width="32" style="194" bestFit="1" customWidth="1"/>
    <col min="7934" max="7934" width="12.5" style="194" customWidth="1"/>
    <col min="7935" max="7935" width="14.83203125" style="194" customWidth="1"/>
    <col min="7936" max="7936" width="18.1640625" style="194" customWidth="1"/>
    <col min="7937" max="7937" width="20.83203125" style="194" customWidth="1"/>
    <col min="7938" max="7938" width="16.5" style="194" customWidth="1"/>
    <col min="7939" max="7939" width="18" style="194" bestFit="1" customWidth="1"/>
    <col min="7940" max="7940" width="16.5" style="194" bestFit="1" customWidth="1"/>
    <col min="7941" max="7941" width="15.1640625" style="194" bestFit="1" customWidth="1"/>
    <col min="7942" max="7943" width="16.5" style="194" customWidth="1"/>
    <col min="7944" max="7945" width="20.83203125" style="194" bestFit="1" customWidth="1"/>
    <col min="7946" max="8047" width="10.1640625" style="194"/>
    <col min="8048" max="8048" width="69.1640625" style="194" bestFit="1" customWidth="1"/>
    <col min="8049" max="8049" width="15.5" style="194" customWidth="1"/>
    <col min="8050" max="8051" width="18.1640625" style="194" customWidth="1"/>
    <col min="8052" max="8052" width="16.5" style="194" bestFit="1" customWidth="1"/>
    <col min="8053" max="8053" width="17.5" style="194" bestFit="1" customWidth="1"/>
    <col min="8054" max="8054" width="13.83203125" style="194" bestFit="1" customWidth="1"/>
    <col min="8055" max="8055" width="17.5" style="194" bestFit="1" customWidth="1"/>
    <col min="8056" max="8056" width="13.83203125" style="194" bestFit="1" customWidth="1"/>
    <col min="8057" max="8057" width="17.5" style="194" bestFit="1" customWidth="1"/>
    <col min="8058" max="8058" width="14.1640625" style="194" bestFit="1" customWidth="1"/>
    <col min="8059" max="8181" width="10.1640625" style="194"/>
    <col min="8182" max="8182" width="71.1640625" style="194" customWidth="1"/>
    <col min="8183" max="8187" width="5.1640625" style="194" customWidth="1"/>
    <col min="8188" max="8188" width="6.1640625" style="194" customWidth="1"/>
    <col min="8189" max="8189" width="32" style="194" bestFit="1" customWidth="1"/>
    <col min="8190" max="8190" width="12.5" style="194" customWidth="1"/>
    <col min="8191" max="8191" width="14.83203125" style="194" customWidth="1"/>
    <col min="8192" max="8192" width="18.1640625" style="194" customWidth="1"/>
    <col min="8193" max="8193" width="20.83203125" style="194" customWidth="1"/>
    <col min="8194" max="8194" width="16.5" style="194" customWidth="1"/>
    <col min="8195" max="8195" width="18" style="194" bestFit="1" customWidth="1"/>
    <col min="8196" max="8196" width="16.5" style="194" bestFit="1" customWidth="1"/>
    <col min="8197" max="8197" width="15.1640625" style="194" bestFit="1" customWidth="1"/>
    <col min="8198" max="8199" width="16.5" style="194" customWidth="1"/>
    <col min="8200" max="8201" width="20.83203125" style="194" bestFit="1" customWidth="1"/>
    <col min="8202" max="8303" width="10.1640625" style="194"/>
    <col min="8304" max="8304" width="69.1640625" style="194" bestFit="1" customWidth="1"/>
    <col min="8305" max="8305" width="15.5" style="194" customWidth="1"/>
    <col min="8306" max="8307" width="18.1640625" style="194" customWidth="1"/>
    <col min="8308" max="8308" width="16.5" style="194" bestFit="1" customWidth="1"/>
    <col min="8309" max="8309" width="17.5" style="194" bestFit="1" customWidth="1"/>
    <col min="8310" max="8310" width="13.83203125" style="194" bestFit="1" customWidth="1"/>
    <col min="8311" max="8311" width="17.5" style="194" bestFit="1" customWidth="1"/>
    <col min="8312" max="8312" width="13.83203125" style="194" bestFit="1" customWidth="1"/>
    <col min="8313" max="8313" width="17.5" style="194" bestFit="1" customWidth="1"/>
    <col min="8314" max="8314" width="14.1640625" style="194" bestFit="1" customWidth="1"/>
    <col min="8315" max="8437" width="10.1640625" style="194"/>
    <col min="8438" max="8438" width="71.1640625" style="194" customWidth="1"/>
    <col min="8439" max="8443" width="5.1640625" style="194" customWidth="1"/>
    <col min="8444" max="8444" width="6.1640625" style="194" customWidth="1"/>
    <col min="8445" max="8445" width="32" style="194" bestFit="1" customWidth="1"/>
    <col min="8446" max="8446" width="12.5" style="194" customWidth="1"/>
    <col min="8447" max="8447" width="14.83203125" style="194" customWidth="1"/>
    <col min="8448" max="8448" width="18.1640625" style="194" customWidth="1"/>
    <col min="8449" max="8449" width="20.83203125" style="194" customWidth="1"/>
    <col min="8450" max="8450" width="16.5" style="194" customWidth="1"/>
    <col min="8451" max="8451" width="18" style="194" bestFit="1" customWidth="1"/>
    <col min="8452" max="8452" width="16.5" style="194" bestFit="1" customWidth="1"/>
    <col min="8453" max="8453" width="15.1640625" style="194" bestFit="1" customWidth="1"/>
    <col min="8454" max="8455" width="16.5" style="194" customWidth="1"/>
    <col min="8456" max="8457" width="20.83203125" style="194" bestFit="1" customWidth="1"/>
    <col min="8458" max="8559" width="10.1640625" style="194"/>
    <col min="8560" max="8560" width="69.1640625" style="194" bestFit="1" customWidth="1"/>
    <col min="8561" max="8561" width="15.5" style="194" customWidth="1"/>
    <col min="8562" max="8563" width="18.1640625" style="194" customWidth="1"/>
    <col min="8564" max="8564" width="16.5" style="194" bestFit="1" customWidth="1"/>
    <col min="8565" max="8565" width="17.5" style="194" bestFit="1" customWidth="1"/>
    <col min="8566" max="8566" width="13.83203125" style="194" bestFit="1" customWidth="1"/>
    <col min="8567" max="8567" width="17.5" style="194" bestFit="1" customWidth="1"/>
    <col min="8568" max="8568" width="13.83203125" style="194" bestFit="1" customWidth="1"/>
    <col min="8569" max="8569" width="17.5" style="194" bestFit="1" customWidth="1"/>
    <col min="8570" max="8570" width="14.1640625" style="194" bestFit="1" customWidth="1"/>
    <col min="8571" max="8693" width="10.1640625" style="194"/>
    <col min="8694" max="8694" width="71.1640625" style="194" customWidth="1"/>
    <col min="8695" max="8699" width="5.1640625" style="194" customWidth="1"/>
    <col min="8700" max="8700" width="6.1640625" style="194" customWidth="1"/>
    <col min="8701" max="8701" width="32" style="194" bestFit="1" customWidth="1"/>
    <col min="8702" max="8702" width="12.5" style="194" customWidth="1"/>
    <col min="8703" max="8703" width="14.83203125" style="194" customWidth="1"/>
    <col min="8704" max="8704" width="18.1640625" style="194" customWidth="1"/>
    <col min="8705" max="8705" width="20.83203125" style="194" customWidth="1"/>
    <col min="8706" max="8706" width="16.5" style="194" customWidth="1"/>
    <col min="8707" max="8707" width="18" style="194" bestFit="1" customWidth="1"/>
    <col min="8708" max="8708" width="16.5" style="194" bestFit="1" customWidth="1"/>
    <col min="8709" max="8709" width="15.1640625" style="194" bestFit="1" customWidth="1"/>
    <col min="8710" max="8711" width="16.5" style="194" customWidth="1"/>
    <col min="8712" max="8713" width="20.83203125" style="194" bestFit="1" customWidth="1"/>
    <col min="8714" max="8815" width="10.1640625" style="194"/>
    <col min="8816" max="8816" width="69.1640625" style="194" bestFit="1" customWidth="1"/>
    <col min="8817" max="8817" width="15.5" style="194" customWidth="1"/>
    <col min="8818" max="8819" width="18.1640625" style="194" customWidth="1"/>
    <col min="8820" max="8820" width="16.5" style="194" bestFit="1" customWidth="1"/>
    <col min="8821" max="8821" width="17.5" style="194" bestFit="1" customWidth="1"/>
    <col min="8822" max="8822" width="13.83203125" style="194" bestFit="1" customWidth="1"/>
    <col min="8823" max="8823" width="17.5" style="194" bestFit="1" customWidth="1"/>
    <col min="8824" max="8824" width="13.83203125" style="194" bestFit="1" customWidth="1"/>
    <col min="8825" max="8825" width="17.5" style="194" bestFit="1" customWidth="1"/>
    <col min="8826" max="8826" width="14.1640625" style="194" bestFit="1" customWidth="1"/>
    <col min="8827" max="8949" width="10.1640625" style="194"/>
    <col min="8950" max="8950" width="71.1640625" style="194" customWidth="1"/>
    <col min="8951" max="8955" width="5.1640625" style="194" customWidth="1"/>
    <col min="8956" max="8956" width="6.1640625" style="194" customWidth="1"/>
    <col min="8957" max="8957" width="32" style="194" bestFit="1" customWidth="1"/>
    <col min="8958" max="8958" width="12.5" style="194" customWidth="1"/>
    <col min="8959" max="8959" width="14.83203125" style="194" customWidth="1"/>
    <col min="8960" max="8960" width="18.1640625" style="194" customWidth="1"/>
    <col min="8961" max="8961" width="20.83203125" style="194" customWidth="1"/>
    <col min="8962" max="8962" width="16.5" style="194" customWidth="1"/>
    <col min="8963" max="8963" width="18" style="194" bestFit="1" customWidth="1"/>
    <col min="8964" max="8964" width="16.5" style="194" bestFit="1" customWidth="1"/>
    <col min="8965" max="8965" width="15.1640625" style="194" bestFit="1" customWidth="1"/>
    <col min="8966" max="8967" width="16.5" style="194" customWidth="1"/>
    <col min="8968" max="8969" width="20.83203125" style="194" bestFit="1" customWidth="1"/>
    <col min="8970" max="9071" width="10.1640625" style="194"/>
    <col min="9072" max="9072" width="69.1640625" style="194" bestFit="1" customWidth="1"/>
    <col min="9073" max="9073" width="15.5" style="194" customWidth="1"/>
    <col min="9074" max="9075" width="18.1640625" style="194" customWidth="1"/>
    <col min="9076" max="9076" width="16.5" style="194" bestFit="1" customWidth="1"/>
    <col min="9077" max="9077" width="17.5" style="194" bestFit="1" customWidth="1"/>
    <col min="9078" max="9078" width="13.83203125" style="194" bestFit="1" customWidth="1"/>
    <col min="9079" max="9079" width="17.5" style="194" bestFit="1" customWidth="1"/>
    <col min="9080" max="9080" width="13.83203125" style="194" bestFit="1" customWidth="1"/>
    <col min="9081" max="9081" width="17.5" style="194" bestFit="1" customWidth="1"/>
    <col min="9082" max="9082" width="14.1640625" style="194" bestFit="1" customWidth="1"/>
    <col min="9083" max="9205" width="10.1640625" style="194"/>
    <col min="9206" max="9206" width="71.1640625" style="194" customWidth="1"/>
    <col min="9207" max="9211" width="5.1640625" style="194" customWidth="1"/>
    <col min="9212" max="9212" width="6.1640625" style="194" customWidth="1"/>
    <col min="9213" max="9213" width="32" style="194" bestFit="1" customWidth="1"/>
    <col min="9214" max="9214" width="12.5" style="194" customWidth="1"/>
    <col min="9215" max="9215" width="14.83203125" style="194" customWidth="1"/>
    <col min="9216" max="9216" width="18.1640625" style="194" customWidth="1"/>
    <col min="9217" max="9217" width="20.83203125" style="194" customWidth="1"/>
    <col min="9218" max="9218" width="16.5" style="194" customWidth="1"/>
    <col min="9219" max="9219" width="18" style="194" bestFit="1" customWidth="1"/>
    <col min="9220" max="9220" width="16.5" style="194" bestFit="1" customWidth="1"/>
    <col min="9221" max="9221" width="15.1640625" style="194" bestFit="1" customWidth="1"/>
    <col min="9222" max="9223" width="16.5" style="194" customWidth="1"/>
    <col min="9224" max="9225" width="20.83203125" style="194" bestFit="1" customWidth="1"/>
    <col min="9226" max="9327" width="10.1640625" style="194"/>
    <col min="9328" max="9328" width="69.1640625" style="194" bestFit="1" customWidth="1"/>
    <col min="9329" max="9329" width="15.5" style="194" customWidth="1"/>
    <col min="9330" max="9331" width="18.1640625" style="194" customWidth="1"/>
    <col min="9332" max="9332" width="16.5" style="194" bestFit="1" customWidth="1"/>
    <col min="9333" max="9333" width="17.5" style="194" bestFit="1" customWidth="1"/>
    <col min="9334" max="9334" width="13.83203125" style="194" bestFit="1" customWidth="1"/>
    <col min="9335" max="9335" width="17.5" style="194" bestFit="1" customWidth="1"/>
    <col min="9336" max="9336" width="13.83203125" style="194" bestFit="1" customWidth="1"/>
    <col min="9337" max="9337" width="17.5" style="194" bestFit="1" customWidth="1"/>
    <col min="9338" max="9338" width="14.1640625" style="194" bestFit="1" customWidth="1"/>
    <col min="9339" max="9461" width="10.1640625" style="194"/>
    <col min="9462" max="9462" width="71.1640625" style="194" customWidth="1"/>
    <col min="9463" max="9467" width="5.1640625" style="194" customWidth="1"/>
    <col min="9468" max="9468" width="6.1640625" style="194" customWidth="1"/>
    <col min="9469" max="9469" width="32" style="194" bestFit="1" customWidth="1"/>
    <col min="9470" max="9470" width="12.5" style="194" customWidth="1"/>
    <col min="9471" max="9471" width="14.83203125" style="194" customWidth="1"/>
    <col min="9472" max="9472" width="18.1640625" style="194" customWidth="1"/>
    <col min="9473" max="9473" width="20.83203125" style="194" customWidth="1"/>
    <col min="9474" max="9474" width="16.5" style="194" customWidth="1"/>
    <col min="9475" max="9475" width="18" style="194" bestFit="1" customWidth="1"/>
    <col min="9476" max="9476" width="16.5" style="194" bestFit="1" customWidth="1"/>
    <col min="9477" max="9477" width="15.1640625" style="194" bestFit="1" customWidth="1"/>
    <col min="9478" max="9479" width="16.5" style="194" customWidth="1"/>
    <col min="9480" max="9481" width="20.83203125" style="194" bestFit="1" customWidth="1"/>
    <col min="9482" max="9583" width="10.1640625" style="194"/>
    <col min="9584" max="9584" width="69.1640625" style="194" bestFit="1" customWidth="1"/>
    <col min="9585" max="9585" width="15.5" style="194" customWidth="1"/>
    <col min="9586" max="9587" width="18.1640625" style="194" customWidth="1"/>
    <col min="9588" max="9588" width="16.5" style="194" bestFit="1" customWidth="1"/>
    <col min="9589" max="9589" width="17.5" style="194" bestFit="1" customWidth="1"/>
    <col min="9590" max="9590" width="13.83203125" style="194" bestFit="1" customWidth="1"/>
    <col min="9591" max="9591" width="17.5" style="194" bestFit="1" customWidth="1"/>
    <col min="9592" max="9592" width="13.83203125" style="194" bestFit="1" customWidth="1"/>
    <col min="9593" max="9593" width="17.5" style="194" bestFit="1" customWidth="1"/>
    <col min="9594" max="9594" width="14.1640625" style="194" bestFit="1" customWidth="1"/>
    <col min="9595" max="9717" width="10.1640625" style="194"/>
    <col min="9718" max="9718" width="71.1640625" style="194" customWidth="1"/>
    <col min="9719" max="9723" width="5.1640625" style="194" customWidth="1"/>
    <col min="9724" max="9724" width="6.1640625" style="194" customWidth="1"/>
    <col min="9725" max="9725" width="32" style="194" bestFit="1" customWidth="1"/>
    <col min="9726" max="9726" width="12.5" style="194" customWidth="1"/>
    <col min="9727" max="9727" width="14.83203125" style="194" customWidth="1"/>
    <col min="9728" max="9728" width="18.1640625" style="194" customWidth="1"/>
    <col min="9729" max="9729" width="20.83203125" style="194" customWidth="1"/>
    <col min="9730" max="9730" width="16.5" style="194" customWidth="1"/>
    <col min="9731" max="9731" width="18" style="194" bestFit="1" customWidth="1"/>
    <col min="9732" max="9732" width="16.5" style="194" bestFit="1" customWidth="1"/>
    <col min="9733" max="9733" width="15.1640625" style="194" bestFit="1" customWidth="1"/>
    <col min="9734" max="9735" width="16.5" style="194" customWidth="1"/>
    <col min="9736" max="9737" width="20.83203125" style="194" bestFit="1" customWidth="1"/>
    <col min="9738" max="9839" width="10.1640625" style="194"/>
    <col min="9840" max="9840" width="69.1640625" style="194" bestFit="1" customWidth="1"/>
    <col min="9841" max="9841" width="15.5" style="194" customWidth="1"/>
    <col min="9842" max="9843" width="18.1640625" style="194" customWidth="1"/>
    <col min="9844" max="9844" width="16.5" style="194" bestFit="1" customWidth="1"/>
    <col min="9845" max="9845" width="17.5" style="194" bestFit="1" customWidth="1"/>
    <col min="9846" max="9846" width="13.83203125" style="194" bestFit="1" customWidth="1"/>
    <col min="9847" max="9847" width="17.5" style="194" bestFit="1" customWidth="1"/>
    <col min="9848" max="9848" width="13.83203125" style="194" bestFit="1" customWidth="1"/>
    <col min="9849" max="9849" width="17.5" style="194" bestFit="1" customWidth="1"/>
    <col min="9850" max="9850" width="14.1640625" style="194" bestFit="1" customWidth="1"/>
    <col min="9851" max="9973" width="10.1640625" style="194"/>
    <col min="9974" max="9974" width="71.1640625" style="194" customWidth="1"/>
    <col min="9975" max="9979" width="5.1640625" style="194" customWidth="1"/>
    <col min="9980" max="9980" width="6.1640625" style="194" customWidth="1"/>
    <col min="9981" max="9981" width="32" style="194" bestFit="1" customWidth="1"/>
    <col min="9982" max="9982" width="12.5" style="194" customWidth="1"/>
    <col min="9983" max="9983" width="14.83203125" style="194" customWidth="1"/>
    <col min="9984" max="9984" width="18.1640625" style="194" customWidth="1"/>
    <col min="9985" max="9985" width="20.83203125" style="194" customWidth="1"/>
    <col min="9986" max="9986" width="16.5" style="194" customWidth="1"/>
    <col min="9987" max="9987" width="18" style="194" bestFit="1" customWidth="1"/>
    <col min="9988" max="9988" width="16.5" style="194" bestFit="1" customWidth="1"/>
    <col min="9989" max="9989" width="15.1640625" style="194" bestFit="1" customWidth="1"/>
    <col min="9990" max="9991" width="16.5" style="194" customWidth="1"/>
    <col min="9992" max="9993" width="20.83203125" style="194" bestFit="1" customWidth="1"/>
    <col min="9994" max="10095" width="10.1640625" style="194"/>
    <col min="10096" max="10096" width="69.1640625" style="194" bestFit="1" customWidth="1"/>
    <col min="10097" max="10097" width="15.5" style="194" customWidth="1"/>
    <col min="10098" max="10099" width="18.1640625" style="194" customWidth="1"/>
    <col min="10100" max="10100" width="16.5" style="194" bestFit="1" customWidth="1"/>
    <col min="10101" max="10101" width="17.5" style="194" bestFit="1" customWidth="1"/>
    <col min="10102" max="10102" width="13.83203125" style="194" bestFit="1" customWidth="1"/>
    <col min="10103" max="10103" width="17.5" style="194" bestFit="1" customWidth="1"/>
    <col min="10104" max="10104" width="13.83203125" style="194" bestFit="1" customWidth="1"/>
    <col min="10105" max="10105" width="17.5" style="194" bestFit="1" customWidth="1"/>
    <col min="10106" max="10106" width="14.1640625" style="194" bestFit="1" customWidth="1"/>
    <col min="10107" max="10229" width="10.1640625" style="194"/>
    <col min="10230" max="10230" width="71.1640625" style="194" customWidth="1"/>
    <col min="10231" max="10235" width="5.1640625" style="194" customWidth="1"/>
    <col min="10236" max="10236" width="6.1640625" style="194" customWidth="1"/>
    <col min="10237" max="10237" width="32" style="194" bestFit="1" customWidth="1"/>
    <col min="10238" max="10238" width="12.5" style="194" customWidth="1"/>
    <col min="10239" max="10239" width="14.83203125" style="194" customWidth="1"/>
    <col min="10240" max="10240" width="18.1640625" style="194" customWidth="1"/>
    <col min="10241" max="10241" width="20.83203125" style="194" customWidth="1"/>
    <col min="10242" max="10242" width="16.5" style="194" customWidth="1"/>
    <col min="10243" max="10243" width="18" style="194" bestFit="1" customWidth="1"/>
    <col min="10244" max="10244" width="16.5" style="194" bestFit="1" customWidth="1"/>
    <col min="10245" max="10245" width="15.1640625" style="194" bestFit="1" customWidth="1"/>
    <col min="10246" max="10247" width="16.5" style="194" customWidth="1"/>
    <col min="10248" max="10249" width="20.83203125" style="194" bestFit="1" customWidth="1"/>
    <col min="10250" max="10351" width="10.1640625" style="194"/>
    <col min="10352" max="10352" width="69.1640625" style="194" bestFit="1" customWidth="1"/>
    <col min="10353" max="10353" width="15.5" style="194" customWidth="1"/>
    <col min="10354" max="10355" width="18.1640625" style="194" customWidth="1"/>
    <col min="10356" max="10356" width="16.5" style="194" bestFit="1" customWidth="1"/>
    <col min="10357" max="10357" width="17.5" style="194" bestFit="1" customWidth="1"/>
    <col min="10358" max="10358" width="13.83203125" style="194" bestFit="1" customWidth="1"/>
    <col min="10359" max="10359" width="17.5" style="194" bestFit="1" customWidth="1"/>
    <col min="10360" max="10360" width="13.83203125" style="194" bestFit="1" customWidth="1"/>
    <col min="10361" max="10361" width="17.5" style="194" bestFit="1" customWidth="1"/>
    <col min="10362" max="10362" width="14.1640625" style="194" bestFit="1" customWidth="1"/>
    <col min="10363" max="10485" width="10.1640625" style="194"/>
    <col min="10486" max="10486" width="71.1640625" style="194" customWidth="1"/>
    <col min="10487" max="10491" width="5.1640625" style="194" customWidth="1"/>
    <col min="10492" max="10492" width="6.1640625" style="194" customWidth="1"/>
    <col min="10493" max="10493" width="32" style="194" bestFit="1" customWidth="1"/>
    <col min="10494" max="10494" width="12.5" style="194" customWidth="1"/>
    <col min="10495" max="10495" width="14.83203125" style="194" customWidth="1"/>
    <col min="10496" max="10496" width="18.1640625" style="194" customWidth="1"/>
    <col min="10497" max="10497" width="20.83203125" style="194" customWidth="1"/>
    <col min="10498" max="10498" width="16.5" style="194" customWidth="1"/>
    <col min="10499" max="10499" width="18" style="194" bestFit="1" customWidth="1"/>
    <col min="10500" max="10500" width="16.5" style="194" bestFit="1" customWidth="1"/>
    <col min="10501" max="10501" width="15.1640625" style="194" bestFit="1" customWidth="1"/>
    <col min="10502" max="10503" width="16.5" style="194" customWidth="1"/>
    <col min="10504" max="10505" width="20.83203125" style="194" bestFit="1" customWidth="1"/>
    <col min="10506" max="10607" width="10.1640625" style="194"/>
    <col min="10608" max="10608" width="69.1640625" style="194" bestFit="1" customWidth="1"/>
    <col min="10609" max="10609" width="15.5" style="194" customWidth="1"/>
    <col min="10610" max="10611" width="18.1640625" style="194" customWidth="1"/>
    <col min="10612" max="10612" width="16.5" style="194" bestFit="1" customWidth="1"/>
    <col min="10613" max="10613" width="17.5" style="194" bestFit="1" customWidth="1"/>
    <col min="10614" max="10614" width="13.83203125" style="194" bestFit="1" customWidth="1"/>
    <col min="10615" max="10615" width="17.5" style="194" bestFit="1" customWidth="1"/>
    <col min="10616" max="10616" width="13.83203125" style="194" bestFit="1" customWidth="1"/>
    <col min="10617" max="10617" width="17.5" style="194" bestFit="1" customWidth="1"/>
    <col min="10618" max="10618" width="14.1640625" style="194" bestFit="1" customWidth="1"/>
    <col min="10619" max="10741" width="10.1640625" style="194"/>
    <col min="10742" max="10742" width="71.1640625" style="194" customWidth="1"/>
    <col min="10743" max="10747" width="5.1640625" style="194" customWidth="1"/>
    <col min="10748" max="10748" width="6.1640625" style="194" customWidth="1"/>
    <col min="10749" max="10749" width="32" style="194" bestFit="1" customWidth="1"/>
    <col min="10750" max="10750" width="12.5" style="194" customWidth="1"/>
    <col min="10751" max="10751" width="14.83203125" style="194" customWidth="1"/>
    <col min="10752" max="10752" width="18.1640625" style="194" customWidth="1"/>
    <col min="10753" max="10753" width="20.83203125" style="194" customWidth="1"/>
    <col min="10754" max="10754" width="16.5" style="194" customWidth="1"/>
    <col min="10755" max="10755" width="18" style="194" bestFit="1" customWidth="1"/>
    <col min="10756" max="10756" width="16.5" style="194" bestFit="1" customWidth="1"/>
    <col min="10757" max="10757" width="15.1640625" style="194" bestFit="1" customWidth="1"/>
    <col min="10758" max="10759" width="16.5" style="194" customWidth="1"/>
    <col min="10760" max="10761" width="20.83203125" style="194" bestFit="1" customWidth="1"/>
    <col min="10762" max="10863" width="10.1640625" style="194"/>
    <col min="10864" max="10864" width="69.1640625" style="194" bestFit="1" customWidth="1"/>
    <col min="10865" max="10865" width="15.5" style="194" customWidth="1"/>
    <col min="10866" max="10867" width="18.1640625" style="194" customWidth="1"/>
    <col min="10868" max="10868" width="16.5" style="194" bestFit="1" customWidth="1"/>
    <col min="10869" max="10869" width="17.5" style="194" bestFit="1" customWidth="1"/>
    <col min="10870" max="10870" width="13.83203125" style="194" bestFit="1" customWidth="1"/>
    <col min="10871" max="10871" width="17.5" style="194" bestFit="1" customWidth="1"/>
    <col min="10872" max="10872" width="13.83203125" style="194" bestFit="1" customWidth="1"/>
    <col min="10873" max="10873" width="17.5" style="194" bestFit="1" customWidth="1"/>
    <col min="10874" max="10874" width="14.1640625" style="194" bestFit="1" customWidth="1"/>
    <col min="10875" max="10997" width="10.1640625" style="194"/>
    <col min="10998" max="10998" width="71.1640625" style="194" customWidth="1"/>
    <col min="10999" max="11003" width="5.1640625" style="194" customWidth="1"/>
    <col min="11004" max="11004" width="6.1640625" style="194" customWidth="1"/>
    <col min="11005" max="11005" width="32" style="194" bestFit="1" customWidth="1"/>
    <col min="11006" max="11006" width="12.5" style="194" customWidth="1"/>
    <col min="11007" max="11007" width="14.83203125" style="194" customWidth="1"/>
    <col min="11008" max="11008" width="18.1640625" style="194" customWidth="1"/>
    <col min="11009" max="11009" width="20.83203125" style="194" customWidth="1"/>
    <col min="11010" max="11010" width="16.5" style="194" customWidth="1"/>
    <col min="11011" max="11011" width="18" style="194" bestFit="1" customWidth="1"/>
    <col min="11012" max="11012" width="16.5" style="194" bestFit="1" customWidth="1"/>
    <col min="11013" max="11013" width="15.1640625" style="194" bestFit="1" customWidth="1"/>
    <col min="11014" max="11015" width="16.5" style="194" customWidth="1"/>
    <col min="11016" max="11017" width="20.83203125" style="194" bestFit="1" customWidth="1"/>
    <col min="11018" max="11119" width="10.1640625" style="194"/>
    <col min="11120" max="11120" width="69.1640625" style="194" bestFit="1" customWidth="1"/>
    <col min="11121" max="11121" width="15.5" style="194" customWidth="1"/>
    <col min="11122" max="11123" width="18.1640625" style="194" customWidth="1"/>
    <col min="11124" max="11124" width="16.5" style="194" bestFit="1" customWidth="1"/>
    <col min="11125" max="11125" width="17.5" style="194" bestFit="1" customWidth="1"/>
    <col min="11126" max="11126" width="13.83203125" style="194" bestFit="1" customWidth="1"/>
    <col min="11127" max="11127" width="17.5" style="194" bestFit="1" customWidth="1"/>
    <col min="11128" max="11128" width="13.83203125" style="194" bestFit="1" customWidth="1"/>
    <col min="11129" max="11129" width="17.5" style="194" bestFit="1" customWidth="1"/>
    <col min="11130" max="11130" width="14.1640625" style="194" bestFit="1" customWidth="1"/>
    <col min="11131" max="11253" width="10.1640625" style="194"/>
    <col min="11254" max="11254" width="71.1640625" style="194" customWidth="1"/>
    <col min="11255" max="11259" width="5.1640625" style="194" customWidth="1"/>
    <col min="11260" max="11260" width="6.1640625" style="194" customWidth="1"/>
    <col min="11261" max="11261" width="32" style="194" bestFit="1" customWidth="1"/>
    <col min="11262" max="11262" width="12.5" style="194" customWidth="1"/>
    <col min="11263" max="11263" width="14.83203125" style="194" customWidth="1"/>
    <col min="11264" max="11264" width="18.1640625" style="194" customWidth="1"/>
    <col min="11265" max="11265" width="20.83203125" style="194" customWidth="1"/>
    <col min="11266" max="11266" width="16.5" style="194" customWidth="1"/>
    <col min="11267" max="11267" width="18" style="194" bestFit="1" customWidth="1"/>
    <col min="11268" max="11268" width="16.5" style="194" bestFit="1" customWidth="1"/>
    <col min="11269" max="11269" width="15.1640625" style="194" bestFit="1" customWidth="1"/>
    <col min="11270" max="11271" width="16.5" style="194" customWidth="1"/>
    <col min="11272" max="11273" width="20.83203125" style="194" bestFit="1" customWidth="1"/>
    <col min="11274" max="11375" width="10.1640625" style="194"/>
    <col min="11376" max="11376" width="69.1640625" style="194" bestFit="1" customWidth="1"/>
    <col min="11377" max="11377" width="15.5" style="194" customWidth="1"/>
    <col min="11378" max="11379" width="18.1640625" style="194" customWidth="1"/>
    <col min="11380" max="11380" width="16.5" style="194" bestFit="1" customWidth="1"/>
    <col min="11381" max="11381" width="17.5" style="194" bestFit="1" customWidth="1"/>
    <col min="11382" max="11382" width="13.83203125" style="194" bestFit="1" customWidth="1"/>
    <col min="11383" max="11383" width="17.5" style="194" bestFit="1" customWidth="1"/>
    <col min="11384" max="11384" width="13.83203125" style="194" bestFit="1" customWidth="1"/>
    <col min="11385" max="11385" width="17.5" style="194" bestFit="1" customWidth="1"/>
    <col min="11386" max="11386" width="14.1640625" style="194" bestFit="1" customWidth="1"/>
    <col min="11387" max="11509" width="10.1640625" style="194"/>
    <col min="11510" max="11510" width="71.1640625" style="194" customWidth="1"/>
    <col min="11511" max="11515" width="5.1640625" style="194" customWidth="1"/>
    <col min="11516" max="11516" width="6.1640625" style="194" customWidth="1"/>
    <col min="11517" max="11517" width="32" style="194" bestFit="1" customWidth="1"/>
    <col min="11518" max="11518" width="12.5" style="194" customWidth="1"/>
    <col min="11519" max="11519" width="14.83203125" style="194" customWidth="1"/>
    <col min="11520" max="11520" width="18.1640625" style="194" customWidth="1"/>
    <col min="11521" max="11521" width="20.83203125" style="194" customWidth="1"/>
    <col min="11522" max="11522" width="16.5" style="194" customWidth="1"/>
    <col min="11523" max="11523" width="18" style="194" bestFit="1" customWidth="1"/>
    <col min="11524" max="11524" width="16.5" style="194" bestFit="1" customWidth="1"/>
    <col min="11525" max="11525" width="15.1640625" style="194" bestFit="1" customWidth="1"/>
    <col min="11526" max="11527" width="16.5" style="194" customWidth="1"/>
    <col min="11528" max="11529" width="20.83203125" style="194" bestFit="1" customWidth="1"/>
    <col min="11530" max="11631" width="10.1640625" style="194"/>
    <col min="11632" max="11632" width="69.1640625" style="194" bestFit="1" customWidth="1"/>
    <col min="11633" max="11633" width="15.5" style="194" customWidth="1"/>
    <col min="11634" max="11635" width="18.1640625" style="194" customWidth="1"/>
    <col min="11636" max="11636" width="16.5" style="194" bestFit="1" customWidth="1"/>
    <col min="11637" max="11637" width="17.5" style="194" bestFit="1" customWidth="1"/>
    <col min="11638" max="11638" width="13.83203125" style="194" bestFit="1" customWidth="1"/>
    <col min="11639" max="11639" width="17.5" style="194" bestFit="1" customWidth="1"/>
    <col min="11640" max="11640" width="13.83203125" style="194" bestFit="1" customWidth="1"/>
    <col min="11641" max="11641" width="17.5" style="194" bestFit="1" customWidth="1"/>
    <col min="11642" max="11642" width="14.1640625" style="194" bestFit="1" customWidth="1"/>
    <col min="11643" max="11765" width="10.1640625" style="194"/>
    <col min="11766" max="11766" width="71.1640625" style="194" customWidth="1"/>
    <col min="11767" max="11771" width="5.1640625" style="194" customWidth="1"/>
    <col min="11772" max="11772" width="6.1640625" style="194" customWidth="1"/>
    <col min="11773" max="11773" width="32" style="194" bestFit="1" customWidth="1"/>
    <col min="11774" max="11774" width="12.5" style="194" customWidth="1"/>
    <col min="11775" max="11775" width="14.83203125" style="194" customWidth="1"/>
    <col min="11776" max="11776" width="18.1640625" style="194" customWidth="1"/>
    <col min="11777" max="11777" width="20.83203125" style="194" customWidth="1"/>
    <col min="11778" max="11778" width="16.5" style="194" customWidth="1"/>
    <col min="11779" max="11779" width="18" style="194" bestFit="1" customWidth="1"/>
    <col min="11780" max="11780" width="16.5" style="194" bestFit="1" customWidth="1"/>
    <col min="11781" max="11781" width="15.1640625" style="194" bestFit="1" customWidth="1"/>
    <col min="11782" max="11783" width="16.5" style="194" customWidth="1"/>
    <col min="11784" max="11785" width="20.83203125" style="194" bestFit="1" customWidth="1"/>
    <col min="11786" max="11887" width="10.1640625" style="194"/>
    <col min="11888" max="11888" width="69.1640625" style="194" bestFit="1" customWidth="1"/>
    <col min="11889" max="11889" width="15.5" style="194" customWidth="1"/>
    <col min="11890" max="11891" width="18.1640625" style="194" customWidth="1"/>
    <col min="11892" max="11892" width="16.5" style="194" bestFit="1" customWidth="1"/>
    <col min="11893" max="11893" width="17.5" style="194" bestFit="1" customWidth="1"/>
    <col min="11894" max="11894" width="13.83203125" style="194" bestFit="1" customWidth="1"/>
    <col min="11895" max="11895" width="17.5" style="194" bestFit="1" customWidth="1"/>
    <col min="11896" max="11896" width="13.83203125" style="194" bestFit="1" customWidth="1"/>
    <col min="11897" max="11897" width="17.5" style="194" bestFit="1" customWidth="1"/>
    <col min="11898" max="11898" width="14.1640625" style="194" bestFit="1" customWidth="1"/>
    <col min="11899" max="12021" width="10.1640625" style="194"/>
    <col min="12022" max="12022" width="71.1640625" style="194" customWidth="1"/>
    <col min="12023" max="12027" width="5.1640625" style="194" customWidth="1"/>
    <col min="12028" max="12028" width="6.1640625" style="194" customWidth="1"/>
    <col min="12029" max="12029" width="32" style="194" bestFit="1" customWidth="1"/>
    <col min="12030" max="12030" width="12.5" style="194" customWidth="1"/>
    <col min="12031" max="12031" width="14.83203125" style="194" customWidth="1"/>
    <col min="12032" max="12032" width="18.1640625" style="194" customWidth="1"/>
    <col min="12033" max="12033" width="20.83203125" style="194" customWidth="1"/>
    <col min="12034" max="12034" width="16.5" style="194" customWidth="1"/>
    <col min="12035" max="12035" width="18" style="194" bestFit="1" customWidth="1"/>
    <col min="12036" max="12036" width="16.5" style="194" bestFit="1" customWidth="1"/>
    <col min="12037" max="12037" width="15.1640625" style="194" bestFit="1" customWidth="1"/>
    <col min="12038" max="12039" width="16.5" style="194" customWidth="1"/>
    <col min="12040" max="12041" width="20.83203125" style="194" bestFit="1" customWidth="1"/>
    <col min="12042" max="12143" width="10.1640625" style="194"/>
    <col min="12144" max="12144" width="69.1640625" style="194" bestFit="1" customWidth="1"/>
    <col min="12145" max="12145" width="15.5" style="194" customWidth="1"/>
    <col min="12146" max="12147" width="18.1640625" style="194" customWidth="1"/>
    <col min="12148" max="12148" width="16.5" style="194" bestFit="1" customWidth="1"/>
    <col min="12149" max="12149" width="17.5" style="194" bestFit="1" customWidth="1"/>
    <col min="12150" max="12150" width="13.83203125" style="194" bestFit="1" customWidth="1"/>
    <col min="12151" max="12151" width="17.5" style="194" bestFit="1" customWidth="1"/>
    <col min="12152" max="12152" width="13.83203125" style="194" bestFit="1" customWidth="1"/>
    <col min="12153" max="12153" width="17.5" style="194" bestFit="1" customWidth="1"/>
    <col min="12154" max="12154" width="14.1640625" style="194" bestFit="1" customWidth="1"/>
    <col min="12155" max="12277" width="10.1640625" style="194"/>
    <col min="12278" max="12278" width="71.1640625" style="194" customWidth="1"/>
    <col min="12279" max="12283" width="5.1640625" style="194" customWidth="1"/>
    <col min="12284" max="12284" width="6.1640625" style="194" customWidth="1"/>
    <col min="12285" max="12285" width="32" style="194" bestFit="1" customWidth="1"/>
    <col min="12286" max="12286" width="12.5" style="194" customWidth="1"/>
    <col min="12287" max="12287" width="14.83203125" style="194" customWidth="1"/>
    <col min="12288" max="12288" width="18.1640625" style="194" customWidth="1"/>
    <col min="12289" max="12289" width="20.83203125" style="194" customWidth="1"/>
    <col min="12290" max="12290" width="16.5" style="194" customWidth="1"/>
    <col min="12291" max="12291" width="18" style="194" bestFit="1" customWidth="1"/>
    <col min="12292" max="12292" width="16.5" style="194" bestFit="1" customWidth="1"/>
    <col min="12293" max="12293" width="15.1640625" style="194" bestFit="1" customWidth="1"/>
    <col min="12294" max="12295" width="16.5" style="194" customWidth="1"/>
    <col min="12296" max="12297" width="20.83203125" style="194" bestFit="1" customWidth="1"/>
    <col min="12298" max="12399" width="10.1640625" style="194"/>
    <col min="12400" max="12400" width="69.1640625" style="194" bestFit="1" customWidth="1"/>
    <col min="12401" max="12401" width="15.5" style="194" customWidth="1"/>
    <col min="12402" max="12403" width="18.1640625" style="194" customWidth="1"/>
    <col min="12404" max="12404" width="16.5" style="194" bestFit="1" customWidth="1"/>
    <col min="12405" max="12405" width="17.5" style="194" bestFit="1" customWidth="1"/>
    <col min="12406" max="12406" width="13.83203125" style="194" bestFit="1" customWidth="1"/>
    <col min="12407" max="12407" width="17.5" style="194" bestFit="1" customWidth="1"/>
    <col min="12408" max="12408" width="13.83203125" style="194" bestFit="1" customWidth="1"/>
    <col min="12409" max="12409" width="17.5" style="194" bestFit="1" customWidth="1"/>
    <col min="12410" max="12410" width="14.1640625" style="194" bestFit="1" customWidth="1"/>
    <col min="12411" max="12533" width="10.1640625" style="194"/>
    <col min="12534" max="12534" width="71.1640625" style="194" customWidth="1"/>
    <col min="12535" max="12539" width="5.1640625" style="194" customWidth="1"/>
    <col min="12540" max="12540" width="6.1640625" style="194" customWidth="1"/>
    <col min="12541" max="12541" width="32" style="194" bestFit="1" customWidth="1"/>
    <col min="12542" max="12542" width="12.5" style="194" customWidth="1"/>
    <col min="12543" max="12543" width="14.83203125" style="194" customWidth="1"/>
    <col min="12544" max="12544" width="18.1640625" style="194" customWidth="1"/>
    <col min="12545" max="12545" width="20.83203125" style="194" customWidth="1"/>
    <col min="12546" max="12546" width="16.5" style="194" customWidth="1"/>
    <col min="12547" max="12547" width="18" style="194" bestFit="1" customWidth="1"/>
    <col min="12548" max="12548" width="16.5" style="194" bestFit="1" customWidth="1"/>
    <col min="12549" max="12549" width="15.1640625" style="194" bestFit="1" customWidth="1"/>
    <col min="12550" max="12551" width="16.5" style="194" customWidth="1"/>
    <col min="12552" max="12553" width="20.83203125" style="194" bestFit="1" customWidth="1"/>
    <col min="12554" max="12655" width="10.1640625" style="194"/>
    <col min="12656" max="12656" width="69.1640625" style="194" bestFit="1" customWidth="1"/>
    <col min="12657" max="12657" width="15.5" style="194" customWidth="1"/>
    <col min="12658" max="12659" width="18.1640625" style="194" customWidth="1"/>
    <col min="12660" max="12660" width="16.5" style="194" bestFit="1" customWidth="1"/>
    <col min="12661" max="12661" width="17.5" style="194" bestFit="1" customWidth="1"/>
    <col min="12662" max="12662" width="13.83203125" style="194" bestFit="1" customWidth="1"/>
    <col min="12663" max="12663" width="17.5" style="194" bestFit="1" customWidth="1"/>
    <col min="12664" max="12664" width="13.83203125" style="194" bestFit="1" customWidth="1"/>
    <col min="12665" max="12665" width="17.5" style="194" bestFit="1" customWidth="1"/>
    <col min="12666" max="12666" width="14.1640625" style="194" bestFit="1" customWidth="1"/>
    <col min="12667" max="12789" width="10.1640625" style="194"/>
    <col min="12790" max="12790" width="71.1640625" style="194" customWidth="1"/>
    <col min="12791" max="12795" width="5.1640625" style="194" customWidth="1"/>
    <col min="12796" max="12796" width="6.1640625" style="194" customWidth="1"/>
    <col min="12797" max="12797" width="32" style="194" bestFit="1" customWidth="1"/>
    <col min="12798" max="12798" width="12.5" style="194" customWidth="1"/>
    <col min="12799" max="12799" width="14.83203125" style="194" customWidth="1"/>
    <col min="12800" max="12800" width="18.1640625" style="194" customWidth="1"/>
    <col min="12801" max="12801" width="20.83203125" style="194" customWidth="1"/>
    <col min="12802" max="12802" width="16.5" style="194" customWidth="1"/>
    <col min="12803" max="12803" width="18" style="194" bestFit="1" customWidth="1"/>
    <col min="12804" max="12804" width="16.5" style="194" bestFit="1" customWidth="1"/>
    <col min="12805" max="12805" width="15.1640625" style="194" bestFit="1" customWidth="1"/>
    <col min="12806" max="12807" width="16.5" style="194" customWidth="1"/>
    <col min="12808" max="12809" width="20.83203125" style="194" bestFit="1" customWidth="1"/>
    <col min="12810" max="12911" width="10.1640625" style="194"/>
    <col min="12912" max="12912" width="69.1640625" style="194" bestFit="1" customWidth="1"/>
    <col min="12913" max="12913" width="15.5" style="194" customWidth="1"/>
    <col min="12914" max="12915" width="18.1640625" style="194" customWidth="1"/>
    <col min="12916" max="12916" width="16.5" style="194" bestFit="1" customWidth="1"/>
    <col min="12917" max="12917" width="17.5" style="194" bestFit="1" customWidth="1"/>
    <col min="12918" max="12918" width="13.83203125" style="194" bestFit="1" customWidth="1"/>
    <col min="12919" max="12919" width="17.5" style="194" bestFit="1" customWidth="1"/>
    <col min="12920" max="12920" width="13.83203125" style="194" bestFit="1" customWidth="1"/>
    <col min="12921" max="12921" width="17.5" style="194" bestFit="1" customWidth="1"/>
    <col min="12922" max="12922" width="14.1640625" style="194" bestFit="1" customWidth="1"/>
    <col min="12923" max="13045" width="10.1640625" style="194"/>
    <col min="13046" max="13046" width="71.1640625" style="194" customWidth="1"/>
    <col min="13047" max="13051" width="5.1640625" style="194" customWidth="1"/>
    <col min="13052" max="13052" width="6.1640625" style="194" customWidth="1"/>
    <col min="13053" max="13053" width="32" style="194" bestFit="1" customWidth="1"/>
    <col min="13054" max="13054" width="12.5" style="194" customWidth="1"/>
    <col min="13055" max="13055" width="14.83203125" style="194" customWidth="1"/>
    <col min="13056" max="13056" width="18.1640625" style="194" customWidth="1"/>
    <col min="13057" max="13057" width="20.83203125" style="194" customWidth="1"/>
    <col min="13058" max="13058" width="16.5" style="194" customWidth="1"/>
    <col min="13059" max="13059" width="18" style="194" bestFit="1" customWidth="1"/>
    <col min="13060" max="13060" width="16.5" style="194" bestFit="1" customWidth="1"/>
    <col min="13061" max="13061" width="15.1640625" style="194" bestFit="1" customWidth="1"/>
    <col min="13062" max="13063" width="16.5" style="194" customWidth="1"/>
    <col min="13064" max="13065" width="20.83203125" style="194" bestFit="1" customWidth="1"/>
    <col min="13066" max="13167" width="10.1640625" style="194"/>
    <col min="13168" max="13168" width="69.1640625" style="194" bestFit="1" customWidth="1"/>
    <col min="13169" max="13169" width="15.5" style="194" customWidth="1"/>
    <col min="13170" max="13171" width="18.1640625" style="194" customWidth="1"/>
    <col min="13172" max="13172" width="16.5" style="194" bestFit="1" customWidth="1"/>
    <col min="13173" max="13173" width="17.5" style="194" bestFit="1" customWidth="1"/>
    <col min="13174" max="13174" width="13.83203125" style="194" bestFit="1" customWidth="1"/>
    <col min="13175" max="13175" width="17.5" style="194" bestFit="1" customWidth="1"/>
    <col min="13176" max="13176" width="13.83203125" style="194" bestFit="1" customWidth="1"/>
    <col min="13177" max="13177" width="17.5" style="194" bestFit="1" customWidth="1"/>
    <col min="13178" max="13178" width="14.1640625" style="194" bestFit="1" customWidth="1"/>
    <col min="13179" max="13301" width="10.1640625" style="194"/>
    <col min="13302" max="13302" width="71.1640625" style="194" customWidth="1"/>
    <col min="13303" max="13307" width="5.1640625" style="194" customWidth="1"/>
    <col min="13308" max="13308" width="6.1640625" style="194" customWidth="1"/>
    <col min="13309" max="13309" width="32" style="194" bestFit="1" customWidth="1"/>
    <col min="13310" max="13310" width="12.5" style="194" customWidth="1"/>
    <col min="13311" max="13311" width="14.83203125" style="194" customWidth="1"/>
    <col min="13312" max="13312" width="18.1640625" style="194" customWidth="1"/>
    <col min="13313" max="13313" width="20.83203125" style="194" customWidth="1"/>
    <col min="13314" max="13314" width="16.5" style="194" customWidth="1"/>
    <col min="13315" max="13315" width="18" style="194" bestFit="1" customWidth="1"/>
    <col min="13316" max="13316" width="16.5" style="194" bestFit="1" customWidth="1"/>
    <col min="13317" max="13317" width="15.1640625" style="194" bestFit="1" customWidth="1"/>
    <col min="13318" max="13319" width="16.5" style="194" customWidth="1"/>
    <col min="13320" max="13321" width="20.83203125" style="194" bestFit="1" customWidth="1"/>
    <col min="13322" max="13423" width="10.1640625" style="194"/>
    <col min="13424" max="13424" width="69.1640625" style="194" bestFit="1" customWidth="1"/>
    <col min="13425" max="13425" width="15.5" style="194" customWidth="1"/>
    <col min="13426" max="13427" width="18.1640625" style="194" customWidth="1"/>
    <col min="13428" max="13428" width="16.5" style="194" bestFit="1" customWidth="1"/>
    <col min="13429" max="13429" width="17.5" style="194" bestFit="1" customWidth="1"/>
    <col min="13430" max="13430" width="13.83203125" style="194" bestFit="1" customWidth="1"/>
    <col min="13431" max="13431" width="17.5" style="194" bestFit="1" customWidth="1"/>
    <col min="13432" max="13432" width="13.83203125" style="194" bestFit="1" customWidth="1"/>
    <col min="13433" max="13433" width="17.5" style="194" bestFit="1" customWidth="1"/>
    <col min="13434" max="13434" width="14.1640625" style="194" bestFit="1" customWidth="1"/>
    <col min="13435" max="13557" width="10.1640625" style="194"/>
    <col min="13558" max="13558" width="71.1640625" style="194" customWidth="1"/>
    <col min="13559" max="13563" width="5.1640625" style="194" customWidth="1"/>
    <col min="13564" max="13564" width="6.1640625" style="194" customWidth="1"/>
    <col min="13565" max="13565" width="32" style="194" bestFit="1" customWidth="1"/>
    <col min="13566" max="13566" width="12.5" style="194" customWidth="1"/>
    <col min="13567" max="13567" width="14.83203125" style="194" customWidth="1"/>
    <col min="13568" max="13568" width="18.1640625" style="194" customWidth="1"/>
    <col min="13569" max="13569" width="20.83203125" style="194" customWidth="1"/>
    <col min="13570" max="13570" width="16.5" style="194" customWidth="1"/>
    <col min="13571" max="13571" width="18" style="194" bestFit="1" customWidth="1"/>
    <col min="13572" max="13572" width="16.5" style="194" bestFit="1" customWidth="1"/>
    <col min="13573" max="13573" width="15.1640625" style="194" bestFit="1" customWidth="1"/>
    <col min="13574" max="13575" width="16.5" style="194" customWidth="1"/>
    <col min="13576" max="13577" width="20.83203125" style="194" bestFit="1" customWidth="1"/>
    <col min="13578" max="13679" width="10.1640625" style="194"/>
    <col min="13680" max="13680" width="69.1640625" style="194" bestFit="1" customWidth="1"/>
    <col min="13681" max="13681" width="15.5" style="194" customWidth="1"/>
    <col min="13682" max="13683" width="18.1640625" style="194" customWidth="1"/>
    <col min="13684" max="13684" width="16.5" style="194" bestFit="1" customWidth="1"/>
    <col min="13685" max="13685" width="17.5" style="194" bestFit="1" customWidth="1"/>
    <col min="13686" max="13686" width="13.83203125" style="194" bestFit="1" customWidth="1"/>
    <col min="13687" max="13687" width="17.5" style="194" bestFit="1" customWidth="1"/>
    <col min="13688" max="13688" width="13.83203125" style="194" bestFit="1" customWidth="1"/>
    <col min="13689" max="13689" width="17.5" style="194" bestFit="1" customWidth="1"/>
    <col min="13690" max="13690" width="14.1640625" style="194" bestFit="1" customWidth="1"/>
    <col min="13691" max="13813" width="10.1640625" style="194"/>
    <col min="13814" max="13814" width="71.1640625" style="194" customWidth="1"/>
    <col min="13815" max="13819" width="5.1640625" style="194" customWidth="1"/>
    <col min="13820" max="13820" width="6.1640625" style="194" customWidth="1"/>
    <col min="13821" max="13821" width="32" style="194" bestFit="1" customWidth="1"/>
    <col min="13822" max="13822" width="12.5" style="194" customWidth="1"/>
    <col min="13823" max="13823" width="14.83203125" style="194" customWidth="1"/>
    <col min="13824" max="13824" width="18.1640625" style="194" customWidth="1"/>
    <col min="13825" max="13825" width="20.83203125" style="194" customWidth="1"/>
    <col min="13826" max="13826" width="16.5" style="194" customWidth="1"/>
    <col min="13827" max="13827" width="18" style="194" bestFit="1" customWidth="1"/>
    <col min="13828" max="13828" width="16.5" style="194" bestFit="1" customWidth="1"/>
    <col min="13829" max="13829" width="15.1640625" style="194" bestFit="1" customWidth="1"/>
    <col min="13830" max="13831" width="16.5" style="194" customWidth="1"/>
    <col min="13832" max="13833" width="20.83203125" style="194" bestFit="1" customWidth="1"/>
    <col min="13834" max="13935" width="10.1640625" style="194"/>
    <col min="13936" max="13936" width="69.1640625" style="194" bestFit="1" customWidth="1"/>
    <col min="13937" max="13937" width="15.5" style="194" customWidth="1"/>
    <col min="13938" max="13939" width="18.1640625" style="194" customWidth="1"/>
    <col min="13940" max="13940" width="16.5" style="194" bestFit="1" customWidth="1"/>
    <col min="13941" max="13941" width="17.5" style="194" bestFit="1" customWidth="1"/>
    <col min="13942" max="13942" width="13.83203125" style="194" bestFit="1" customWidth="1"/>
    <col min="13943" max="13943" width="17.5" style="194" bestFit="1" customWidth="1"/>
    <col min="13944" max="13944" width="13.83203125" style="194" bestFit="1" customWidth="1"/>
    <col min="13945" max="13945" width="17.5" style="194" bestFit="1" customWidth="1"/>
    <col min="13946" max="13946" width="14.1640625" style="194" bestFit="1" customWidth="1"/>
    <col min="13947" max="14069" width="10.1640625" style="194"/>
    <col min="14070" max="14070" width="71.1640625" style="194" customWidth="1"/>
    <col min="14071" max="14075" width="5.1640625" style="194" customWidth="1"/>
    <col min="14076" max="14076" width="6.1640625" style="194" customWidth="1"/>
    <col min="14077" max="14077" width="32" style="194" bestFit="1" customWidth="1"/>
    <col min="14078" max="14078" width="12.5" style="194" customWidth="1"/>
    <col min="14079" max="14079" width="14.83203125" style="194" customWidth="1"/>
    <col min="14080" max="14080" width="18.1640625" style="194" customWidth="1"/>
    <col min="14081" max="14081" width="20.83203125" style="194" customWidth="1"/>
    <col min="14082" max="14082" width="16.5" style="194" customWidth="1"/>
    <col min="14083" max="14083" width="18" style="194" bestFit="1" customWidth="1"/>
    <col min="14084" max="14084" width="16.5" style="194" bestFit="1" customWidth="1"/>
    <col min="14085" max="14085" width="15.1640625" style="194" bestFit="1" customWidth="1"/>
    <col min="14086" max="14087" width="16.5" style="194" customWidth="1"/>
    <col min="14088" max="14089" width="20.83203125" style="194" bestFit="1" customWidth="1"/>
    <col min="14090" max="14191" width="10.1640625" style="194"/>
    <col min="14192" max="14192" width="69.1640625" style="194" bestFit="1" customWidth="1"/>
    <col min="14193" max="14193" width="15.5" style="194" customWidth="1"/>
    <col min="14194" max="14195" width="18.1640625" style="194" customWidth="1"/>
    <col min="14196" max="14196" width="16.5" style="194" bestFit="1" customWidth="1"/>
    <col min="14197" max="14197" width="17.5" style="194" bestFit="1" customWidth="1"/>
    <col min="14198" max="14198" width="13.83203125" style="194" bestFit="1" customWidth="1"/>
    <col min="14199" max="14199" width="17.5" style="194" bestFit="1" customWidth="1"/>
    <col min="14200" max="14200" width="13.83203125" style="194" bestFit="1" customWidth="1"/>
    <col min="14201" max="14201" width="17.5" style="194" bestFit="1" customWidth="1"/>
    <col min="14202" max="14202" width="14.1640625" style="194" bestFit="1" customWidth="1"/>
    <col min="14203" max="14325" width="10.1640625" style="194"/>
    <col min="14326" max="14326" width="71.1640625" style="194" customWidth="1"/>
    <col min="14327" max="14331" width="5.1640625" style="194" customWidth="1"/>
    <col min="14332" max="14332" width="6.1640625" style="194" customWidth="1"/>
    <col min="14333" max="14333" width="32" style="194" bestFit="1" customWidth="1"/>
    <col min="14334" max="14334" width="12.5" style="194" customWidth="1"/>
    <col min="14335" max="14335" width="14.83203125" style="194" customWidth="1"/>
    <col min="14336" max="14336" width="18.1640625" style="194" customWidth="1"/>
    <col min="14337" max="14337" width="20.83203125" style="194" customWidth="1"/>
    <col min="14338" max="14338" width="16.5" style="194" customWidth="1"/>
    <col min="14339" max="14339" width="18" style="194" bestFit="1" customWidth="1"/>
    <col min="14340" max="14340" width="16.5" style="194" bestFit="1" customWidth="1"/>
    <col min="14341" max="14341" width="15.1640625" style="194" bestFit="1" customWidth="1"/>
    <col min="14342" max="14343" width="16.5" style="194" customWidth="1"/>
    <col min="14344" max="14345" width="20.83203125" style="194" bestFit="1" customWidth="1"/>
    <col min="14346" max="14447" width="10.1640625" style="194"/>
    <col min="14448" max="14448" width="69.1640625" style="194" bestFit="1" customWidth="1"/>
    <col min="14449" max="14449" width="15.5" style="194" customWidth="1"/>
    <col min="14450" max="14451" width="18.1640625" style="194" customWidth="1"/>
    <col min="14452" max="14452" width="16.5" style="194" bestFit="1" customWidth="1"/>
    <col min="14453" max="14453" width="17.5" style="194" bestFit="1" customWidth="1"/>
    <col min="14454" max="14454" width="13.83203125" style="194" bestFit="1" customWidth="1"/>
    <col min="14455" max="14455" width="17.5" style="194" bestFit="1" customWidth="1"/>
    <col min="14456" max="14456" width="13.83203125" style="194" bestFit="1" customWidth="1"/>
    <col min="14457" max="14457" width="17.5" style="194" bestFit="1" customWidth="1"/>
    <col min="14458" max="14458" width="14.1640625" style="194" bestFit="1" customWidth="1"/>
    <col min="14459" max="14581" width="10.1640625" style="194"/>
    <col min="14582" max="14582" width="71.1640625" style="194" customWidth="1"/>
    <col min="14583" max="14587" width="5.1640625" style="194" customWidth="1"/>
    <col min="14588" max="14588" width="6.1640625" style="194" customWidth="1"/>
    <col min="14589" max="14589" width="32" style="194" bestFit="1" customWidth="1"/>
    <col min="14590" max="14590" width="12.5" style="194" customWidth="1"/>
    <col min="14591" max="14591" width="14.83203125" style="194" customWidth="1"/>
    <col min="14592" max="14592" width="18.1640625" style="194" customWidth="1"/>
    <col min="14593" max="14593" width="20.83203125" style="194" customWidth="1"/>
    <col min="14594" max="14594" width="16.5" style="194" customWidth="1"/>
    <col min="14595" max="14595" width="18" style="194" bestFit="1" customWidth="1"/>
    <col min="14596" max="14596" width="16.5" style="194" bestFit="1" customWidth="1"/>
    <col min="14597" max="14597" width="15.1640625" style="194" bestFit="1" customWidth="1"/>
    <col min="14598" max="14599" width="16.5" style="194" customWidth="1"/>
    <col min="14600" max="14601" width="20.83203125" style="194" bestFit="1" customWidth="1"/>
    <col min="14602" max="14703" width="10.1640625" style="194"/>
    <col min="14704" max="14704" width="69.1640625" style="194" bestFit="1" customWidth="1"/>
    <col min="14705" max="14705" width="15.5" style="194" customWidth="1"/>
    <col min="14706" max="14707" width="18.1640625" style="194" customWidth="1"/>
    <col min="14708" max="14708" width="16.5" style="194" bestFit="1" customWidth="1"/>
    <col min="14709" max="14709" width="17.5" style="194" bestFit="1" customWidth="1"/>
    <col min="14710" max="14710" width="13.83203125" style="194" bestFit="1" customWidth="1"/>
    <col min="14711" max="14711" width="17.5" style="194" bestFit="1" customWidth="1"/>
    <col min="14712" max="14712" width="13.83203125" style="194" bestFit="1" customWidth="1"/>
    <col min="14713" max="14713" width="17.5" style="194" bestFit="1" customWidth="1"/>
    <col min="14714" max="14714" width="14.1640625" style="194" bestFit="1" customWidth="1"/>
    <col min="14715" max="14837" width="10.1640625" style="194"/>
    <col min="14838" max="14838" width="71.1640625" style="194" customWidth="1"/>
    <col min="14839" max="14843" width="5.1640625" style="194" customWidth="1"/>
    <col min="14844" max="14844" width="6.1640625" style="194" customWidth="1"/>
    <col min="14845" max="14845" width="32" style="194" bestFit="1" customWidth="1"/>
    <col min="14846" max="14846" width="12.5" style="194" customWidth="1"/>
    <col min="14847" max="14847" width="14.83203125" style="194" customWidth="1"/>
    <col min="14848" max="14848" width="18.1640625" style="194" customWidth="1"/>
    <col min="14849" max="14849" width="20.83203125" style="194" customWidth="1"/>
    <col min="14850" max="14850" width="16.5" style="194" customWidth="1"/>
    <col min="14851" max="14851" width="18" style="194" bestFit="1" customWidth="1"/>
    <col min="14852" max="14852" width="16.5" style="194" bestFit="1" customWidth="1"/>
    <col min="14853" max="14853" width="15.1640625" style="194" bestFit="1" customWidth="1"/>
    <col min="14854" max="14855" width="16.5" style="194" customWidth="1"/>
    <col min="14856" max="14857" width="20.83203125" style="194" bestFit="1" customWidth="1"/>
    <col min="14858" max="14959" width="10.1640625" style="194"/>
    <col min="14960" max="14960" width="69.1640625" style="194" bestFit="1" customWidth="1"/>
    <col min="14961" max="14961" width="15.5" style="194" customWidth="1"/>
    <col min="14962" max="14963" width="18.1640625" style="194" customWidth="1"/>
    <col min="14964" max="14964" width="16.5" style="194" bestFit="1" customWidth="1"/>
    <col min="14965" max="14965" width="17.5" style="194" bestFit="1" customWidth="1"/>
    <col min="14966" max="14966" width="13.83203125" style="194" bestFit="1" customWidth="1"/>
    <col min="14967" max="14967" width="17.5" style="194" bestFit="1" customWidth="1"/>
    <col min="14968" max="14968" width="13.83203125" style="194" bestFit="1" customWidth="1"/>
    <col min="14969" max="14969" width="17.5" style="194" bestFit="1" customWidth="1"/>
    <col min="14970" max="14970" width="14.1640625" style="194" bestFit="1" customWidth="1"/>
    <col min="14971" max="15093" width="10.1640625" style="194"/>
    <col min="15094" max="15094" width="71.1640625" style="194" customWidth="1"/>
    <col min="15095" max="15099" width="5.1640625" style="194" customWidth="1"/>
    <col min="15100" max="15100" width="6.1640625" style="194" customWidth="1"/>
    <col min="15101" max="15101" width="32" style="194" bestFit="1" customWidth="1"/>
    <col min="15102" max="15102" width="12.5" style="194" customWidth="1"/>
    <col min="15103" max="15103" width="14.83203125" style="194" customWidth="1"/>
    <col min="15104" max="15104" width="18.1640625" style="194" customWidth="1"/>
    <col min="15105" max="15105" width="20.83203125" style="194" customWidth="1"/>
    <col min="15106" max="15106" width="16.5" style="194" customWidth="1"/>
    <col min="15107" max="15107" width="18" style="194" bestFit="1" customWidth="1"/>
    <col min="15108" max="15108" width="16.5" style="194" bestFit="1" customWidth="1"/>
    <col min="15109" max="15109" width="15.1640625" style="194" bestFit="1" customWidth="1"/>
    <col min="15110" max="15111" width="16.5" style="194" customWidth="1"/>
    <col min="15112" max="15113" width="20.83203125" style="194" bestFit="1" customWidth="1"/>
    <col min="15114" max="15215" width="10.1640625" style="194"/>
    <col min="15216" max="15216" width="69.1640625" style="194" bestFit="1" customWidth="1"/>
    <col min="15217" max="15217" width="15.5" style="194" customWidth="1"/>
    <col min="15218" max="15219" width="18.1640625" style="194" customWidth="1"/>
    <col min="15220" max="15220" width="16.5" style="194" bestFit="1" customWidth="1"/>
    <col min="15221" max="15221" width="17.5" style="194" bestFit="1" customWidth="1"/>
    <col min="15222" max="15222" width="13.83203125" style="194" bestFit="1" customWidth="1"/>
    <col min="15223" max="15223" width="17.5" style="194" bestFit="1" customWidth="1"/>
    <col min="15224" max="15224" width="13.83203125" style="194" bestFit="1" customWidth="1"/>
    <col min="15225" max="15225" width="17.5" style="194" bestFit="1" customWidth="1"/>
    <col min="15226" max="15226" width="14.1640625" style="194" bestFit="1" customWidth="1"/>
    <col min="15227" max="15349" width="10.1640625" style="194"/>
    <col min="15350" max="15350" width="71.1640625" style="194" customWidth="1"/>
    <col min="15351" max="15355" width="5.1640625" style="194" customWidth="1"/>
    <col min="15356" max="15356" width="6.1640625" style="194" customWidth="1"/>
    <col min="15357" max="15357" width="32" style="194" bestFit="1" customWidth="1"/>
    <col min="15358" max="15358" width="12.5" style="194" customWidth="1"/>
    <col min="15359" max="15359" width="14.83203125" style="194" customWidth="1"/>
    <col min="15360" max="15360" width="18.1640625" style="194" customWidth="1"/>
    <col min="15361" max="15361" width="20.83203125" style="194" customWidth="1"/>
    <col min="15362" max="15362" width="16.5" style="194" customWidth="1"/>
    <col min="15363" max="15363" width="18" style="194" bestFit="1" customWidth="1"/>
    <col min="15364" max="15364" width="16.5" style="194" bestFit="1" customWidth="1"/>
    <col min="15365" max="15365" width="15.1640625" style="194" bestFit="1" customWidth="1"/>
    <col min="15366" max="15367" width="16.5" style="194" customWidth="1"/>
    <col min="15368" max="15369" width="20.83203125" style="194" bestFit="1" customWidth="1"/>
    <col min="15370" max="15471" width="10.1640625" style="194"/>
    <col min="15472" max="15472" width="69.1640625" style="194" bestFit="1" customWidth="1"/>
    <col min="15473" max="15473" width="15.5" style="194" customWidth="1"/>
    <col min="15474" max="15475" width="18.1640625" style="194" customWidth="1"/>
    <col min="15476" max="15476" width="16.5" style="194" bestFit="1" customWidth="1"/>
    <col min="15477" max="15477" width="17.5" style="194" bestFit="1" customWidth="1"/>
    <col min="15478" max="15478" width="13.83203125" style="194" bestFit="1" customWidth="1"/>
    <col min="15479" max="15479" width="17.5" style="194" bestFit="1" customWidth="1"/>
    <col min="15480" max="15480" width="13.83203125" style="194" bestFit="1" customWidth="1"/>
    <col min="15481" max="15481" width="17.5" style="194" bestFit="1" customWidth="1"/>
    <col min="15482" max="15482" width="14.1640625" style="194" bestFit="1" customWidth="1"/>
    <col min="15483" max="15605" width="10.1640625" style="194"/>
    <col min="15606" max="15606" width="71.1640625" style="194" customWidth="1"/>
    <col min="15607" max="15611" width="5.1640625" style="194" customWidth="1"/>
    <col min="15612" max="15612" width="6.1640625" style="194" customWidth="1"/>
    <col min="15613" max="15613" width="32" style="194" bestFit="1" customWidth="1"/>
    <col min="15614" max="15614" width="12.5" style="194" customWidth="1"/>
    <col min="15615" max="15615" width="14.83203125" style="194" customWidth="1"/>
    <col min="15616" max="15616" width="18.1640625" style="194" customWidth="1"/>
    <col min="15617" max="15617" width="20.83203125" style="194" customWidth="1"/>
    <col min="15618" max="15618" width="16.5" style="194" customWidth="1"/>
    <col min="15619" max="15619" width="18" style="194" bestFit="1" customWidth="1"/>
    <col min="15620" max="15620" width="16.5" style="194" bestFit="1" customWidth="1"/>
    <col min="15621" max="15621" width="15.1640625" style="194" bestFit="1" customWidth="1"/>
    <col min="15622" max="15623" width="16.5" style="194" customWidth="1"/>
    <col min="15624" max="15625" width="20.83203125" style="194" bestFit="1" customWidth="1"/>
    <col min="15626" max="15727" width="10.1640625" style="194"/>
    <col min="15728" max="15728" width="69.1640625" style="194" bestFit="1" customWidth="1"/>
    <col min="15729" max="15729" width="15.5" style="194" customWidth="1"/>
    <col min="15730" max="15731" width="18.1640625" style="194" customWidth="1"/>
    <col min="15732" max="15732" width="16.5" style="194" bestFit="1" customWidth="1"/>
    <col min="15733" max="15733" width="17.5" style="194" bestFit="1" customWidth="1"/>
    <col min="15734" max="15734" width="13.83203125" style="194" bestFit="1" customWidth="1"/>
    <col min="15735" max="15735" width="17.5" style="194" bestFit="1" customWidth="1"/>
    <col min="15736" max="15736" width="13.83203125" style="194" bestFit="1" customWidth="1"/>
    <col min="15737" max="15737" width="17.5" style="194" bestFit="1" customWidth="1"/>
    <col min="15738" max="15738" width="14.1640625" style="194" bestFit="1" customWidth="1"/>
    <col min="15739" max="15861" width="10.1640625" style="194"/>
    <col min="15862" max="15862" width="71.1640625" style="194" customWidth="1"/>
    <col min="15863" max="15867" width="5.1640625" style="194" customWidth="1"/>
    <col min="15868" max="15868" width="6.1640625" style="194" customWidth="1"/>
    <col min="15869" max="15869" width="32" style="194" bestFit="1" customWidth="1"/>
    <col min="15870" max="15870" width="12.5" style="194" customWidth="1"/>
    <col min="15871" max="15871" width="14.83203125" style="194" customWidth="1"/>
    <col min="15872" max="15872" width="18.1640625" style="194" customWidth="1"/>
    <col min="15873" max="15873" width="20.83203125" style="194" customWidth="1"/>
    <col min="15874" max="15874" width="16.5" style="194" customWidth="1"/>
    <col min="15875" max="15875" width="18" style="194" bestFit="1" customWidth="1"/>
    <col min="15876" max="15876" width="16.5" style="194" bestFit="1" customWidth="1"/>
    <col min="15877" max="15877" width="15.1640625" style="194" bestFit="1" customWidth="1"/>
    <col min="15878" max="15879" width="16.5" style="194" customWidth="1"/>
    <col min="15880" max="15881" width="20.83203125" style="194" bestFit="1" customWidth="1"/>
    <col min="15882" max="15983" width="10.1640625" style="194"/>
    <col min="15984" max="15984" width="69.1640625" style="194" bestFit="1" customWidth="1"/>
    <col min="15985" max="15985" width="15.5" style="194" customWidth="1"/>
    <col min="15986" max="15987" width="18.1640625" style="194" customWidth="1"/>
    <col min="15988" max="15988" width="16.5" style="194" bestFit="1" customWidth="1"/>
    <col min="15989" max="15989" width="17.5" style="194" bestFit="1" customWidth="1"/>
    <col min="15990" max="15990" width="13.83203125" style="194" bestFit="1" customWidth="1"/>
    <col min="15991" max="15991" width="17.5" style="194" bestFit="1" customWidth="1"/>
    <col min="15992" max="15992" width="13.83203125" style="194" bestFit="1" customWidth="1"/>
    <col min="15993" max="15993" width="17.5" style="194" bestFit="1" customWidth="1"/>
    <col min="15994" max="15994" width="14.1640625" style="194" bestFit="1" customWidth="1"/>
    <col min="15995" max="16117" width="10.1640625" style="194"/>
    <col min="16118" max="16118" width="71.1640625" style="194" customWidth="1"/>
    <col min="16119" max="16123" width="5.1640625" style="194" customWidth="1"/>
    <col min="16124" max="16124" width="6.1640625" style="194" customWidth="1"/>
    <col min="16125" max="16125" width="32" style="194" bestFit="1" customWidth="1"/>
    <col min="16126" max="16126" width="12.5" style="194" customWidth="1"/>
    <col min="16127" max="16127" width="14.83203125" style="194" customWidth="1"/>
    <col min="16128" max="16128" width="18.1640625" style="194" customWidth="1"/>
    <col min="16129" max="16129" width="20.83203125" style="194" customWidth="1"/>
    <col min="16130" max="16130" width="16.5" style="194" customWidth="1"/>
    <col min="16131" max="16131" width="18" style="194" bestFit="1" customWidth="1"/>
    <col min="16132" max="16132" width="16.5" style="194" bestFit="1" customWidth="1"/>
    <col min="16133" max="16133" width="15.1640625" style="194" bestFit="1" customWidth="1"/>
    <col min="16134" max="16135" width="16.5" style="194" customWidth="1"/>
    <col min="16136" max="16137" width="20.83203125" style="194" bestFit="1" customWidth="1"/>
    <col min="16138" max="16239" width="10.1640625" style="194"/>
    <col min="16240" max="16240" width="69.1640625" style="194" bestFit="1" customWidth="1"/>
    <col min="16241" max="16241" width="15.5" style="194" customWidth="1"/>
    <col min="16242" max="16243" width="18.1640625" style="194" customWidth="1"/>
    <col min="16244" max="16244" width="16.5" style="194" bestFit="1" customWidth="1"/>
    <col min="16245" max="16245" width="17.5" style="194" bestFit="1" customWidth="1"/>
    <col min="16246" max="16246" width="13.83203125" style="194" bestFit="1" customWidth="1"/>
    <col min="16247" max="16247" width="17.5" style="194" bestFit="1" customWidth="1"/>
    <col min="16248" max="16248" width="13.83203125" style="194" bestFit="1" customWidth="1"/>
    <col min="16249" max="16249" width="17.5" style="194" bestFit="1" customWidth="1"/>
    <col min="16250" max="16250" width="14.1640625" style="194" bestFit="1" customWidth="1"/>
    <col min="16251" max="16384" width="10.1640625" style="194"/>
  </cols>
  <sheetData>
    <row r="1" spans="1:11" ht="31.5" customHeight="1" x14ac:dyDescent="0.2">
      <c r="A1" s="804" t="s">
        <v>562</v>
      </c>
      <c r="B1" s="805"/>
      <c r="C1" s="805"/>
      <c r="D1" s="805"/>
      <c r="E1" s="805"/>
      <c r="F1" s="805"/>
      <c r="G1" s="805"/>
      <c r="H1" s="805"/>
      <c r="I1" s="805"/>
      <c r="J1" s="805"/>
      <c r="K1" s="805"/>
    </row>
    <row r="2" spans="1:11" ht="6" customHeight="1" x14ac:dyDescent="0.2">
      <c r="A2" s="195"/>
      <c r="G2" s="79"/>
    </row>
    <row r="3" spans="1:11" ht="21" customHeight="1" x14ac:dyDescent="0.2">
      <c r="A3" s="803" t="s">
        <v>476</v>
      </c>
      <c r="B3" s="798" t="s">
        <v>266</v>
      </c>
      <c r="C3" s="798" t="s">
        <v>267</v>
      </c>
      <c r="D3" s="798" t="s">
        <v>268</v>
      </c>
      <c r="E3" s="798" t="s">
        <v>269</v>
      </c>
      <c r="F3" s="798" t="s">
        <v>270</v>
      </c>
      <c r="G3" s="799" t="s">
        <v>271</v>
      </c>
      <c r="H3" s="806" t="s">
        <v>380</v>
      </c>
      <c r="I3" s="796" t="s">
        <v>502</v>
      </c>
      <c r="J3" s="337">
        <v>15.7</v>
      </c>
      <c r="K3" s="796" t="s">
        <v>225</v>
      </c>
    </row>
    <row r="4" spans="1:11" ht="21" customHeight="1" x14ac:dyDescent="0.2">
      <c r="A4" s="803"/>
      <c r="B4" s="798"/>
      <c r="C4" s="798"/>
      <c r="D4" s="798"/>
      <c r="E4" s="798"/>
      <c r="F4" s="798"/>
      <c r="G4" s="799"/>
      <c r="H4" s="807"/>
      <c r="I4" s="797"/>
      <c r="J4" s="200"/>
      <c r="K4" s="797"/>
    </row>
    <row r="5" spans="1:11" s="205" customFormat="1" x14ac:dyDescent="0.2">
      <c r="A5" s="201"/>
      <c r="B5" s="202"/>
      <c r="C5" s="203"/>
      <c r="D5" s="203"/>
      <c r="E5" s="87"/>
      <c r="F5" s="87"/>
      <c r="G5" s="92"/>
      <c r="H5" s="90"/>
      <c r="I5" s="216"/>
      <c r="J5" s="204"/>
      <c r="K5" s="216"/>
    </row>
    <row r="6" spans="1:11" ht="17" x14ac:dyDescent="0.2">
      <c r="A6" s="206" t="s">
        <v>563</v>
      </c>
      <c r="B6" s="207" t="s">
        <v>564</v>
      </c>
      <c r="C6" s="207">
        <v>4</v>
      </c>
      <c r="D6" s="207">
        <v>24</v>
      </c>
      <c r="E6" s="208">
        <v>5000</v>
      </c>
      <c r="F6" s="208">
        <f>C6*D6*E6</f>
        <v>480000</v>
      </c>
      <c r="G6" s="209">
        <f>F6/J3</f>
        <v>30573.248407643314</v>
      </c>
      <c r="H6" s="217">
        <f>G6</f>
        <v>30573.248407643314</v>
      </c>
      <c r="I6" s="217">
        <f>H6*1.05</f>
        <v>32101.91082802548</v>
      </c>
      <c r="J6" s="200"/>
      <c r="K6" s="217">
        <f>H6+I6</f>
        <v>62675.159235668791</v>
      </c>
    </row>
    <row r="7" spans="1:11" x14ac:dyDescent="0.2">
      <c r="A7" s="206"/>
      <c r="B7" s="207"/>
      <c r="C7" s="207"/>
      <c r="D7" s="207"/>
      <c r="E7" s="208"/>
      <c r="F7" s="208"/>
      <c r="G7" s="209"/>
      <c r="H7" s="218"/>
      <c r="I7" s="217"/>
      <c r="J7" s="200"/>
      <c r="K7" s="217"/>
    </row>
    <row r="8" spans="1:11" x14ac:dyDescent="0.2">
      <c r="A8" s="206"/>
      <c r="B8" s="207"/>
      <c r="C8" s="207"/>
      <c r="D8" s="207"/>
      <c r="E8" s="208"/>
      <c r="F8" s="208"/>
      <c r="G8" s="209"/>
      <c r="H8" s="218"/>
      <c r="I8" s="217"/>
      <c r="J8" s="200"/>
      <c r="K8" s="217"/>
    </row>
    <row r="9" spans="1:11" s="205" customFormat="1" x14ac:dyDescent="0.2">
      <c r="A9" s="210"/>
      <c r="B9" s="211"/>
      <c r="C9" s="211"/>
      <c r="D9" s="211"/>
      <c r="E9" s="212"/>
      <c r="F9" s="213">
        <f>SUM(F6:F6)</f>
        <v>480000</v>
      </c>
      <c r="G9" s="214">
        <f>SUM(G6:G6)*0</f>
        <v>0</v>
      </c>
      <c r="H9" s="214">
        <f>SUM(H6:H6)</f>
        <v>30573.248407643314</v>
      </c>
      <c r="I9" s="215">
        <f>SUM(I6:I6)</f>
        <v>32101.91082802548</v>
      </c>
      <c r="J9" s="204"/>
      <c r="K9" s="215">
        <f>SUM(K6:K6)</f>
        <v>62675.159235668791</v>
      </c>
    </row>
    <row r="12" spans="1:11" ht="17" thickBot="1" x14ac:dyDescent="0.25"/>
    <row r="13" spans="1:11" ht="31.5" customHeight="1" thickBot="1" x14ac:dyDescent="0.25">
      <c r="A13" s="800" t="s">
        <v>565</v>
      </c>
      <c r="B13" s="801"/>
      <c r="C13" s="801"/>
      <c r="D13" s="801"/>
      <c r="E13" s="801"/>
      <c r="F13" s="801"/>
      <c r="G13" s="801"/>
      <c r="H13" s="801"/>
      <c r="I13" s="802"/>
      <c r="J13" s="414"/>
    </row>
    <row r="14" spans="1:11" ht="6" customHeight="1" x14ac:dyDescent="0.2">
      <c r="A14" s="195"/>
      <c r="G14" s="79"/>
    </row>
    <row r="15" spans="1:11" ht="21" customHeight="1" x14ac:dyDescent="0.2">
      <c r="A15" s="803" t="s">
        <v>264</v>
      </c>
      <c r="B15" s="798" t="s">
        <v>266</v>
      </c>
      <c r="C15" s="798" t="s">
        <v>267</v>
      </c>
      <c r="D15" s="798" t="s">
        <v>268</v>
      </c>
      <c r="E15" s="798" t="s">
        <v>269</v>
      </c>
      <c r="F15" s="798" t="s">
        <v>270</v>
      </c>
      <c r="G15" s="799" t="s">
        <v>271</v>
      </c>
      <c r="H15" s="196" t="s">
        <v>380</v>
      </c>
      <c r="I15" s="197" t="s">
        <v>502</v>
      </c>
      <c r="J15" s="337">
        <v>15.7</v>
      </c>
      <c r="K15" s="796" t="s">
        <v>225</v>
      </c>
    </row>
    <row r="16" spans="1:11" ht="21" customHeight="1" x14ac:dyDescent="0.2">
      <c r="A16" s="803"/>
      <c r="B16" s="798"/>
      <c r="C16" s="798"/>
      <c r="D16" s="798"/>
      <c r="E16" s="798"/>
      <c r="F16" s="798"/>
      <c r="G16" s="799"/>
      <c r="H16" s="198"/>
      <c r="I16" s="199"/>
      <c r="J16" s="200"/>
      <c r="K16" s="797"/>
    </row>
    <row r="17" spans="1:11" s="205" customFormat="1" x14ac:dyDescent="0.2">
      <c r="A17" s="201"/>
      <c r="B17" s="202"/>
      <c r="C17" s="203"/>
      <c r="D17" s="203"/>
      <c r="E17" s="87"/>
      <c r="F17" s="87"/>
      <c r="G17" s="92"/>
      <c r="H17" s="90"/>
      <c r="I17" s="91"/>
      <c r="J17" s="204"/>
      <c r="K17" s="91"/>
    </row>
    <row r="18" spans="1:11" s="205" customFormat="1" ht="17" x14ac:dyDescent="0.2">
      <c r="A18" s="219" t="s">
        <v>566</v>
      </c>
      <c r="B18" s="202" t="s">
        <v>567</v>
      </c>
      <c r="C18" s="220">
        <f>CA_912!T6</f>
        <v>2229.6</v>
      </c>
      <c r="D18" s="221">
        <f>CA_912!U6</f>
        <v>12</v>
      </c>
      <c r="E18" s="357">
        <f>CA_912!V6</f>
        <v>1.1200000000000001</v>
      </c>
      <c r="F18" s="208">
        <f t="shared" ref="F18:F25" si="0">C18*D18*E18</f>
        <v>29965.824000000001</v>
      </c>
      <c r="G18" s="209">
        <f>F18</f>
        <v>29965.824000000001</v>
      </c>
      <c r="H18" s="222">
        <f>G18</f>
        <v>29965.824000000001</v>
      </c>
      <c r="I18" s="222">
        <f t="shared" ref="I18" si="1">H18*1.05</f>
        <v>31464.1152</v>
      </c>
      <c r="J18" s="204"/>
      <c r="K18" s="222">
        <f>H18+I18</f>
        <v>61429.939200000001</v>
      </c>
    </row>
    <row r="19" spans="1:11" ht="17" x14ac:dyDescent="0.2">
      <c r="A19" s="219" t="s">
        <v>568</v>
      </c>
      <c r="B19" s="207" t="s">
        <v>569</v>
      </c>
      <c r="C19" s="359">
        <f>CA_922!P6</f>
        <v>7.2</v>
      </c>
      <c r="D19" s="221">
        <f>CA_922!Q6</f>
        <v>12</v>
      </c>
      <c r="E19" s="87">
        <f>CA_922!R6</f>
        <v>745.186149632293</v>
      </c>
      <c r="F19" s="208">
        <f t="shared" ref="F19" si="2">C19*D19*E19</f>
        <v>64384.083328230117</v>
      </c>
      <c r="G19" s="209">
        <f t="shared" ref="G19:H25" si="3">F19</f>
        <v>64384.083328230117</v>
      </c>
      <c r="H19" s="222">
        <f t="shared" si="3"/>
        <v>64384.083328230117</v>
      </c>
      <c r="I19" s="222">
        <f>H19*1.05</f>
        <v>67603.287494641627</v>
      </c>
      <c r="J19" s="200"/>
      <c r="K19" s="222">
        <f t="shared" ref="K19:K25" si="4">H19+I19</f>
        <v>131987.37082287174</v>
      </c>
    </row>
    <row r="20" spans="1:11" s="205" customFormat="1" ht="17" x14ac:dyDescent="0.2">
      <c r="A20" s="219" t="s">
        <v>570</v>
      </c>
      <c r="B20" s="202" t="s">
        <v>571</v>
      </c>
      <c r="C20" s="359">
        <f>CA_932!O6</f>
        <v>1</v>
      </c>
      <c r="D20" s="221">
        <f>CA_932!P6</f>
        <v>12</v>
      </c>
      <c r="E20" s="87">
        <f>CA_932!Q6</f>
        <v>2306.61</v>
      </c>
      <c r="F20" s="208">
        <f t="shared" si="0"/>
        <v>27679.32</v>
      </c>
      <c r="G20" s="209">
        <f t="shared" ref="G20:G25" si="5">F20</f>
        <v>27679.32</v>
      </c>
      <c r="H20" s="222">
        <f t="shared" si="3"/>
        <v>27679.32</v>
      </c>
      <c r="I20" s="222">
        <f t="shared" ref="I20:I25" si="6">H20*1.05</f>
        <v>29063.286</v>
      </c>
      <c r="J20" s="204"/>
      <c r="K20" s="222">
        <f t="shared" si="4"/>
        <v>56742.606</v>
      </c>
    </row>
    <row r="21" spans="1:11" s="205" customFormat="1" ht="17" x14ac:dyDescent="0.2">
      <c r="A21" s="219" t="s">
        <v>572</v>
      </c>
      <c r="B21" s="202" t="s">
        <v>571</v>
      </c>
      <c r="C21" s="359">
        <v>1</v>
      </c>
      <c r="D21" s="221">
        <f>CA_932!P7</f>
        <v>12</v>
      </c>
      <c r="E21" s="87">
        <f>CA_932!Q7</f>
        <v>1535</v>
      </c>
      <c r="F21" s="208">
        <f t="shared" si="0"/>
        <v>18420</v>
      </c>
      <c r="G21" s="209">
        <f t="shared" si="5"/>
        <v>18420</v>
      </c>
      <c r="H21" s="222">
        <f t="shared" si="3"/>
        <v>18420</v>
      </c>
      <c r="I21" s="222">
        <f t="shared" si="6"/>
        <v>19341</v>
      </c>
      <c r="J21" s="204"/>
      <c r="K21" s="222">
        <f t="shared" si="4"/>
        <v>37761</v>
      </c>
    </row>
    <row r="22" spans="1:11" s="205" customFormat="1" ht="17" x14ac:dyDescent="0.2">
      <c r="A22" s="219" t="s">
        <v>573</v>
      </c>
      <c r="B22" s="202" t="s">
        <v>571</v>
      </c>
      <c r="C22" s="359">
        <v>1</v>
      </c>
      <c r="D22" s="221">
        <f>CA_932!P8</f>
        <v>12</v>
      </c>
      <c r="E22" s="87">
        <f>CA_932!Q8</f>
        <v>800</v>
      </c>
      <c r="F22" s="208">
        <f t="shared" si="0"/>
        <v>9600</v>
      </c>
      <c r="G22" s="209">
        <f t="shared" si="5"/>
        <v>9600</v>
      </c>
      <c r="H22" s="222">
        <f t="shared" si="3"/>
        <v>9600</v>
      </c>
      <c r="I22" s="222">
        <f t="shared" si="6"/>
        <v>10080</v>
      </c>
      <c r="J22" s="204"/>
      <c r="K22" s="222">
        <f t="shared" si="4"/>
        <v>19680</v>
      </c>
    </row>
    <row r="23" spans="1:11" s="205" customFormat="1" ht="17" x14ac:dyDescent="0.2">
      <c r="A23" s="219" t="s">
        <v>574</v>
      </c>
      <c r="B23" s="202" t="s">
        <v>571</v>
      </c>
      <c r="C23" s="359">
        <v>1</v>
      </c>
      <c r="D23" s="221">
        <f>CA_932!P9</f>
        <v>12</v>
      </c>
      <c r="E23" s="87">
        <f>CA_932!Q9</f>
        <v>387.22</v>
      </c>
      <c r="F23" s="208">
        <f t="shared" si="0"/>
        <v>4646.6400000000003</v>
      </c>
      <c r="G23" s="209">
        <f t="shared" si="5"/>
        <v>4646.6400000000003</v>
      </c>
      <c r="H23" s="222">
        <f t="shared" si="3"/>
        <v>4646.6400000000003</v>
      </c>
      <c r="I23" s="222">
        <f t="shared" si="6"/>
        <v>4878.9720000000007</v>
      </c>
      <c r="J23" s="204"/>
      <c r="K23" s="222">
        <f t="shared" si="4"/>
        <v>9525.612000000001</v>
      </c>
    </row>
    <row r="24" spans="1:11" s="205" customFormat="1" ht="17" x14ac:dyDescent="0.2">
      <c r="A24" s="219" t="s">
        <v>575</v>
      </c>
      <c r="B24" s="202" t="s">
        <v>571</v>
      </c>
      <c r="C24" s="359">
        <v>1</v>
      </c>
      <c r="D24" s="221">
        <f>CA_932!P10</f>
        <v>12</v>
      </c>
      <c r="E24" s="87">
        <f>CA_932!Q10</f>
        <v>133.83000000000001</v>
      </c>
      <c r="F24" s="208">
        <f t="shared" si="0"/>
        <v>1605.96</v>
      </c>
      <c r="G24" s="209">
        <f t="shared" si="5"/>
        <v>1605.96</v>
      </c>
      <c r="H24" s="222">
        <f t="shared" si="3"/>
        <v>1605.96</v>
      </c>
      <c r="I24" s="222">
        <f t="shared" si="6"/>
        <v>1686.258</v>
      </c>
      <c r="J24" s="204"/>
      <c r="K24" s="222">
        <f t="shared" si="4"/>
        <v>3292.2179999999998</v>
      </c>
    </row>
    <row r="25" spans="1:11" s="205" customFormat="1" ht="17" x14ac:dyDescent="0.2">
      <c r="A25" s="219" t="s">
        <v>576</v>
      </c>
      <c r="B25" s="202" t="s">
        <v>571</v>
      </c>
      <c r="C25" s="359">
        <v>1</v>
      </c>
      <c r="D25" s="221">
        <f>CA_932!P11</f>
        <v>0</v>
      </c>
      <c r="E25" s="87">
        <f>CA_932!Q11</f>
        <v>0</v>
      </c>
      <c r="F25" s="208">
        <f t="shared" si="0"/>
        <v>0</v>
      </c>
      <c r="G25" s="209">
        <f t="shared" si="5"/>
        <v>0</v>
      </c>
      <c r="H25" s="222">
        <f t="shared" si="3"/>
        <v>0</v>
      </c>
      <c r="I25" s="222">
        <f t="shared" si="6"/>
        <v>0</v>
      </c>
      <c r="J25" s="204"/>
      <c r="K25" s="222">
        <f t="shared" si="4"/>
        <v>0</v>
      </c>
    </row>
    <row r="26" spans="1:11" x14ac:dyDescent="0.2">
      <c r="A26" s="206"/>
      <c r="B26" s="207"/>
      <c r="C26" s="360"/>
      <c r="D26" s="207"/>
      <c r="E26" s="208"/>
      <c r="F26" s="208"/>
      <c r="G26" s="209"/>
      <c r="H26" s="222"/>
      <c r="I26" s="222"/>
      <c r="J26" s="200"/>
      <c r="K26" s="222"/>
    </row>
    <row r="27" spans="1:11" x14ac:dyDescent="0.2">
      <c r="A27" s="206"/>
      <c r="B27" s="207"/>
      <c r="C27" s="207"/>
      <c r="D27" s="207"/>
      <c r="E27" s="208"/>
      <c r="F27" s="208"/>
      <c r="G27" s="209"/>
      <c r="H27" s="223"/>
      <c r="I27" s="222"/>
      <c r="J27" s="200"/>
      <c r="K27" s="222"/>
    </row>
    <row r="28" spans="1:11" s="205" customFormat="1" ht="17" x14ac:dyDescent="0.2">
      <c r="A28" s="210" t="s">
        <v>238</v>
      </c>
      <c r="B28" s="211"/>
      <c r="C28" s="211"/>
      <c r="D28" s="211"/>
      <c r="E28" s="212"/>
      <c r="F28" s="213">
        <f>SUM(F18:F26)</f>
        <v>156301.82732823014</v>
      </c>
      <c r="G28" s="214">
        <f>SUM(G17:G26)</f>
        <v>156301.82732823014</v>
      </c>
      <c r="H28" s="214">
        <f>SUM(H17:H26)</f>
        <v>156301.82732823014</v>
      </c>
      <c r="I28" s="215">
        <f>SUM(I17:I26)</f>
        <v>164116.91869464164</v>
      </c>
      <c r="J28" s="204"/>
      <c r="K28" s="215">
        <f>SUM(K17:K26)</f>
        <v>320418.74602287175</v>
      </c>
    </row>
    <row r="30" spans="1:11" x14ac:dyDescent="0.2">
      <c r="K30" s="200"/>
    </row>
  </sheetData>
  <mergeCells count="20">
    <mergeCell ref="A1:K1"/>
    <mergeCell ref="A3:A4"/>
    <mergeCell ref="B3:B4"/>
    <mergeCell ref="C3:C4"/>
    <mergeCell ref="D3:D4"/>
    <mergeCell ref="E3:E4"/>
    <mergeCell ref="F3:F4"/>
    <mergeCell ref="G3:G4"/>
    <mergeCell ref="H3:H4"/>
    <mergeCell ref="K15:K16"/>
    <mergeCell ref="E15:E16"/>
    <mergeCell ref="F15:F16"/>
    <mergeCell ref="G15:G16"/>
    <mergeCell ref="I3:I4"/>
    <mergeCell ref="A13:I13"/>
    <mergeCell ref="A15:A16"/>
    <mergeCell ref="B15:B16"/>
    <mergeCell ref="C15:C16"/>
    <mergeCell ref="D15:D16"/>
    <mergeCell ref="K3:K4"/>
  </mergeCells>
  <pageMargins left="0.7" right="0.7" top="0.75" bottom="0.75" header="0.3" footer="0.3"/>
  <pageSetup paperSize="9" scale="3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8E16-1FB1-4A13-B1AE-84D54CA6B1A6}">
  <sheetPr>
    <tabColor rgb="FF00B050"/>
    <pageSetUpPr fitToPage="1"/>
  </sheetPr>
  <dimension ref="A1:V46"/>
  <sheetViews>
    <sheetView zoomScale="85" zoomScaleNormal="85" workbookViewId="0">
      <selection activeCell="B9" sqref="B9"/>
    </sheetView>
  </sheetViews>
  <sheetFormatPr baseColWidth="10" defaultColWidth="9.1640625" defaultRowHeight="16" x14ac:dyDescent="0.2"/>
  <cols>
    <col min="1" max="1" width="44.1640625" style="227" bestFit="1" customWidth="1"/>
    <col min="2" max="2" width="15.5" style="225" bestFit="1" customWidth="1"/>
    <col min="3" max="3" width="12.1640625" style="226" bestFit="1" customWidth="1"/>
    <col min="4" max="4" width="4.5" style="226" customWidth="1"/>
    <col min="5" max="5" width="10" style="226" customWidth="1"/>
    <col min="6" max="6" width="11.1640625" style="226" customWidth="1"/>
    <col min="7" max="7" width="12.83203125" style="226" bestFit="1" customWidth="1"/>
    <col min="8" max="8" width="2.83203125" style="226" customWidth="1"/>
    <col min="9" max="10" width="11.5" style="226" customWidth="1"/>
    <col min="11" max="11" width="12.83203125" style="227" bestFit="1" customWidth="1"/>
    <col min="12" max="12" width="15" style="227" bestFit="1" customWidth="1"/>
    <col min="13" max="13" width="14.5" style="227" bestFit="1" customWidth="1"/>
    <col min="14" max="14" width="11.5" style="227" bestFit="1" customWidth="1"/>
    <col min="15" max="15" width="3" style="227" customWidth="1"/>
    <col min="16" max="17" width="11.5" style="227" customWidth="1"/>
    <col min="18" max="18" width="2.5" style="227" customWidth="1"/>
    <col min="19" max="19" width="14.83203125" style="227" bestFit="1" customWidth="1"/>
    <col min="20" max="20" width="11.5" style="227" customWidth="1"/>
    <col min="21" max="21" width="11.5" style="227" bestFit="1" customWidth="1"/>
    <col min="22" max="22" width="10" style="224" bestFit="1" customWidth="1"/>
    <col min="23" max="23" width="10.83203125" style="227" bestFit="1" customWidth="1"/>
    <col min="24" max="24" width="11.5" style="227" customWidth="1"/>
    <col min="25" max="25" width="20.83203125" style="227" bestFit="1" customWidth="1"/>
    <col min="26" max="256" width="9.1640625" style="227"/>
    <col min="257" max="257" width="44.1640625" style="227" bestFit="1" customWidth="1"/>
    <col min="258" max="258" width="15.5" style="227" bestFit="1" customWidth="1"/>
    <col min="259" max="259" width="10" style="227" customWidth="1"/>
    <col min="260" max="260" width="4.5" style="227" customWidth="1"/>
    <col min="261" max="261" width="10" style="227" customWidth="1"/>
    <col min="262" max="262" width="11.1640625" style="227" customWidth="1"/>
    <col min="263" max="263" width="12.83203125" style="227" bestFit="1" customWidth="1"/>
    <col min="264" max="264" width="2.83203125" style="227" customWidth="1"/>
    <col min="265" max="266" width="11.5" style="227" customWidth="1"/>
    <col min="267" max="267" width="12.83203125" style="227" bestFit="1" customWidth="1"/>
    <col min="268" max="268" width="15" style="227" bestFit="1" customWidth="1"/>
    <col min="269" max="269" width="11.5" style="227" customWidth="1"/>
    <col min="270" max="270" width="11.5" style="227" bestFit="1" customWidth="1"/>
    <col min="271" max="271" width="3" style="227" customWidth="1"/>
    <col min="272" max="273" width="11.5" style="227" customWidth="1"/>
    <col min="274" max="274" width="2.5" style="227" customWidth="1"/>
    <col min="275" max="275" width="14.83203125" style="227" bestFit="1" customWidth="1"/>
    <col min="276" max="276" width="11.5" style="227" customWidth="1"/>
    <col min="277" max="277" width="11.5" style="227" bestFit="1" customWidth="1"/>
    <col min="278" max="278" width="10" style="227" bestFit="1" customWidth="1"/>
    <col min="279" max="279" width="10.83203125" style="227" bestFit="1" customWidth="1"/>
    <col min="280" max="280" width="11.5" style="227" customWidth="1"/>
    <col min="281" max="281" width="20.83203125" style="227" bestFit="1" customWidth="1"/>
    <col min="282" max="512" width="9.1640625" style="227"/>
    <col min="513" max="513" width="44.1640625" style="227" bestFit="1" customWidth="1"/>
    <col min="514" max="514" width="15.5" style="227" bestFit="1" customWidth="1"/>
    <col min="515" max="515" width="10" style="227" customWidth="1"/>
    <col min="516" max="516" width="4.5" style="227" customWidth="1"/>
    <col min="517" max="517" width="10" style="227" customWidth="1"/>
    <col min="518" max="518" width="11.1640625" style="227" customWidth="1"/>
    <col min="519" max="519" width="12.83203125" style="227" bestFit="1" customWidth="1"/>
    <col min="520" max="520" width="2.83203125" style="227" customWidth="1"/>
    <col min="521" max="522" width="11.5" style="227" customWidth="1"/>
    <col min="523" max="523" width="12.83203125" style="227" bestFit="1" customWidth="1"/>
    <col min="524" max="524" width="15" style="227" bestFit="1" customWidth="1"/>
    <col min="525" max="525" width="11.5" style="227" customWidth="1"/>
    <col min="526" max="526" width="11.5" style="227" bestFit="1" customWidth="1"/>
    <col min="527" max="527" width="3" style="227" customWidth="1"/>
    <col min="528" max="529" width="11.5" style="227" customWidth="1"/>
    <col min="530" max="530" width="2.5" style="227" customWidth="1"/>
    <col min="531" max="531" width="14.83203125" style="227" bestFit="1" customWidth="1"/>
    <col min="532" max="532" width="11.5" style="227" customWidth="1"/>
    <col min="533" max="533" width="11.5" style="227" bestFit="1" customWidth="1"/>
    <col min="534" max="534" width="10" style="227" bestFit="1" customWidth="1"/>
    <col min="535" max="535" width="10.83203125" style="227" bestFit="1" customWidth="1"/>
    <col min="536" max="536" width="11.5" style="227" customWidth="1"/>
    <col min="537" max="537" width="20.83203125" style="227" bestFit="1" customWidth="1"/>
    <col min="538" max="768" width="9.1640625" style="227"/>
    <col min="769" max="769" width="44.1640625" style="227" bestFit="1" customWidth="1"/>
    <col min="770" max="770" width="15.5" style="227" bestFit="1" customWidth="1"/>
    <col min="771" max="771" width="10" style="227" customWidth="1"/>
    <col min="772" max="772" width="4.5" style="227" customWidth="1"/>
    <col min="773" max="773" width="10" style="227" customWidth="1"/>
    <col min="774" max="774" width="11.1640625" style="227" customWidth="1"/>
    <col min="775" max="775" width="12.83203125" style="227" bestFit="1" customWidth="1"/>
    <col min="776" max="776" width="2.83203125" style="227" customWidth="1"/>
    <col min="777" max="778" width="11.5" style="227" customWidth="1"/>
    <col min="779" max="779" width="12.83203125" style="227" bestFit="1" customWidth="1"/>
    <col min="780" max="780" width="15" style="227" bestFit="1" customWidth="1"/>
    <col min="781" max="781" width="11.5" style="227" customWidth="1"/>
    <col min="782" max="782" width="11.5" style="227" bestFit="1" customWidth="1"/>
    <col min="783" max="783" width="3" style="227" customWidth="1"/>
    <col min="784" max="785" width="11.5" style="227" customWidth="1"/>
    <col min="786" max="786" width="2.5" style="227" customWidth="1"/>
    <col min="787" max="787" width="14.83203125" style="227" bestFit="1" customWidth="1"/>
    <col min="788" max="788" width="11.5" style="227" customWidth="1"/>
    <col min="789" max="789" width="11.5" style="227" bestFit="1" customWidth="1"/>
    <col min="790" max="790" width="10" style="227" bestFit="1" customWidth="1"/>
    <col min="791" max="791" width="10.83203125" style="227" bestFit="1" customWidth="1"/>
    <col min="792" max="792" width="11.5" style="227" customWidth="1"/>
    <col min="793" max="793" width="20.83203125" style="227" bestFit="1" customWidth="1"/>
    <col min="794" max="1024" width="9.1640625" style="227"/>
    <col min="1025" max="1025" width="44.1640625" style="227" bestFit="1" customWidth="1"/>
    <col min="1026" max="1026" width="15.5" style="227" bestFit="1" customWidth="1"/>
    <col min="1027" max="1027" width="10" style="227" customWidth="1"/>
    <col min="1028" max="1028" width="4.5" style="227" customWidth="1"/>
    <col min="1029" max="1029" width="10" style="227" customWidth="1"/>
    <col min="1030" max="1030" width="11.1640625" style="227" customWidth="1"/>
    <col min="1031" max="1031" width="12.83203125" style="227" bestFit="1" customWidth="1"/>
    <col min="1032" max="1032" width="2.83203125" style="227" customWidth="1"/>
    <col min="1033" max="1034" width="11.5" style="227" customWidth="1"/>
    <col min="1035" max="1035" width="12.83203125" style="227" bestFit="1" customWidth="1"/>
    <col min="1036" max="1036" width="15" style="227" bestFit="1" customWidth="1"/>
    <col min="1037" max="1037" width="11.5" style="227" customWidth="1"/>
    <col min="1038" max="1038" width="11.5" style="227" bestFit="1" customWidth="1"/>
    <col min="1039" max="1039" width="3" style="227" customWidth="1"/>
    <col min="1040" max="1041" width="11.5" style="227" customWidth="1"/>
    <col min="1042" max="1042" width="2.5" style="227" customWidth="1"/>
    <col min="1043" max="1043" width="14.83203125" style="227" bestFit="1" customWidth="1"/>
    <col min="1044" max="1044" width="11.5" style="227" customWidth="1"/>
    <col min="1045" max="1045" width="11.5" style="227" bestFit="1" customWidth="1"/>
    <col min="1046" max="1046" width="10" style="227" bestFit="1" customWidth="1"/>
    <col min="1047" max="1047" width="10.83203125" style="227" bestFit="1" customWidth="1"/>
    <col min="1048" max="1048" width="11.5" style="227" customWidth="1"/>
    <col min="1049" max="1049" width="20.83203125" style="227" bestFit="1" customWidth="1"/>
    <col min="1050" max="1280" width="9.1640625" style="227"/>
    <col min="1281" max="1281" width="44.1640625" style="227" bestFit="1" customWidth="1"/>
    <col min="1282" max="1282" width="15.5" style="227" bestFit="1" customWidth="1"/>
    <col min="1283" max="1283" width="10" style="227" customWidth="1"/>
    <col min="1284" max="1284" width="4.5" style="227" customWidth="1"/>
    <col min="1285" max="1285" width="10" style="227" customWidth="1"/>
    <col min="1286" max="1286" width="11.1640625" style="227" customWidth="1"/>
    <col min="1287" max="1287" width="12.83203125" style="227" bestFit="1" customWidth="1"/>
    <col min="1288" max="1288" width="2.83203125" style="227" customWidth="1"/>
    <col min="1289" max="1290" width="11.5" style="227" customWidth="1"/>
    <col min="1291" max="1291" width="12.83203125" style="227" bestFit="1" customWidth="1"/>
    <col min="1292" max="1292" width="15" style="227" bestFit="1" customWidth="1"/>
    <col min="1293" max="1293" width="11.5" style="227" customWidth="1"/>
    <col min="1294" max="1294" width="11.5" style="227" bestFit="1" customWidth="1"/>
    <col min="1295" max="1295" width="3" style="227" customWidth="1"/>
    <col min="1296" max="1297" width="11.5" style="227" customWidth="1"/>
    <col min="1298" max="1298" width="2.5" style="227" customWidth="1"/>
    <col min="1299" max="1299" width="14.83203125" style="227" bestFit="1" customWidth="1"/>
    <col min="1300" max="1300" width="11.5" style="227" customWidth="1"/>
    <col min="1301" max="1301" width="11.5" style="227" bestFit="1" customWidth="1"/>
    <col min="1302" max="1302" width="10" style="227" bestFit="1" customWidth="1"/>
    <col min="1303" max="1303" width="10.83203125" style="227" bestFit="1" customWidth="1"/>
    <col min="1304" max="1304" width="11.5" style="227" customWidth="1"/>
    <col min="1305" max="1305" width="20.83203125" style="227" bestFit="1" customWidth="1"/>
    <col min="1306" max="1536" width="9.1640625" style="227"/>
    <col min="1537" max="1537" width="44.1640625" style="227" bestFit="1" customWidth="1"/>
    <col min="1538" max="1538" width="15.5" style="227" bestFit="1" customWidth="1"/>
    <col min="1539" max="1539" width="10" style="227" customWidth="1"/>
    <col min="1540" max="1540" width="4.5" style="227" customWidth="1"/>
    <col min="1541" max="1541" width="10" style="227" customWidth="1"/>
    <col min="1542" max="1542" width="11.1640625" style="227" customWidth="1"/>
    <col min="1543" max="1543" width="12.83203125" style="227" bestFit="1" customWidth="1"/>
    <col min="1544" max="1544" width="2.83203125" style="227" customWidth="1"/>
    <col min="1545" max="1546" width="11.5" style="227" customWidth="1"/>
    <col min="1547" max="1547" width="12.83203125" style="227" bestFit="1" customWidth="1"/>
    <col min="1548" max="1548" width="15" style="227" bestFit="1" customWidth="1"/>
    <col min="1549" max="1549" width="11.5" style="227" customWidth="1"/>
    <col min="1550" max="1550" width="11.5" style="227" bestFit="1" customWidth="1"/>
    <col min="1551" max="1551" width="3" style="227" customWidth="1"/>
    <col min="1552" max="1553" width="11.5" style="227" customWidth="1"/>
    <col min="1554" max="1554" width="2.5" style="227" customWidth="1"/>
    <col min="1555" max="1555" width="14.83203125" style="227" bestFit="1" customWidth="1"/>
    <col min="1556" max="1556" width="11.5" style="227" customWidth="1"/>
    <col min="1557" max="1557" width="11.5" style="227" bestFit="1" customWidth="1"/>
    <col min="1558" max="1558" width="10" style="227" bestFit="1" customWidth="1"/>
    <col min="1559" max="1559" width="10.83203125" style="227" bestFit="1" customWidth="1"/>
    <col min="1560" max="1560" width="11.5" style="227" customWidth="1"/>
    <col min="1561" max="1561" width="20.83203125" style="227" bestFit="1" customWidth="1"/>
    <col min="1562" max="1792" width="9.1640625" style="227"/>
    <col min="1793" max="1793" width="44.1640625" style="227" bestFit="1" customWidth="1"/>
    <col min="1794" max="1794" width="15.5" style="227" bestFit="1" customWidth="1"/>
    <col min="1795" max="1795" width="10" style="227" customWidth="1"/>
    <col min="1796" max="1796" width="4.5" style="227" customWidth="1"/>
    <col min="1797" max="1797" width="10" style="227" customWidth="1"/>
    <col min="1798" max="1798" width="11.1640625" style="227" customWidth="1"/>
    <col min="1799" max="1799" width="12.83203125" style="227" bestFit="1" customWidth="1"/>
    <col min="1800" max="1800" width="2.83203125" style="227" customWidth="1"/>
    <col min="1801" max="1802" width="11.5" style="227" customWidth="1"/>
    <col min="1803" max="1803" width="12.83203125" style="227" bestFit="1" customWidth="1"/>
    <col min="1804" max="1804" width="15" style="227" bestFit="1" customWidth="1"/>
    <col min="1805" max="1805" width="11.5" style="227" customWidth="1"/>
    <col min="1806" max="1806" width="11.5" style="227" bestFit="1" customWidth="1"/>
    <col min="1807" max="1807" width="3" style="227" customWidth="1"/>
    <col min="1808" max="1809" width="11.5" style="227" customWidth="1"/>
    <col min="1810" max="1810" width="2.5" style="227" customWidth="1"/>
    <col min="1811" max="1811" width="14.83203125" style="227" bestFit="1" customWidth="1"/>
    <col min="1812" max="1812" width="11.5" style="227" customWidth="1"/>
    <col min="1813" max="1813" width="11.5" style="227" bestFit="1" customWidth="1"/>
    <col min="1814" max="1814" width="10" style="227" bestFit="1" customWidth="1"/>
    <col min="1815" max="1815" width="10.83203125" style="227" bestFit="1" customWidth="1"/>
    <col min="1816" max="1816" width="11.5" style="227" customWidth="1"/>
    <col min="1817" max="1817" width="20.83203125" style="227" bestFit="1" customWidth="1"/>
    <col min="1818" max="2048" width="9.1640625" style="227"/>
    <col min="2049" max="2049" width="44.1640625" style="227" bestFit="1" customWidth="1"/>
    <col min="2050" max="2050" width="15.5" style="227" bestFit="1" customWidth="1"/>
    <col min="2051" max="2051" width="10" style="227" customWidth="1"/>
    <col min="2052" max="2052" width="4.5" style="227" customWidth="1"/>
    <col min="2053" max="2053" width="10" style="227" customWidth="1"/>
    <col min="2054" max="2054" width="11.1640625" style="227" customWidth="1"/>
    <col min="2055" max="2055" width="12.83203125" style="227" bestFit="1" customWidth="1"/>
    <col min="2056" max="2056" width="2.83203125" style="227" customWidth="1"/>
    <col min="2057" max="2058" width="11.5" style="227" customWidth="1"/>
    <col min="2059" max="2059" width="12.83203125" style="227" bestFit="1" customWidth="1"/>
    <col min="2060" max="2060" width="15" style="227" bestFit="1" customWidth="1"/>
    <col min="2061" max="2061" width="11.5" style="227" customWidth="1"/>
    <col min="2062" max="2062" width="11.5" style="227" bestFit="1" customWidth="1"/>
    <col min="2063" max="2063" width="3" style="227" customWidth="1"/>
    <col min="2064" max="2065" width="11.5" style="227" customWidth="1"/>
    <col min="2066" max="2066" width="2.5" style="227" customWidth="1"/>
    <col min="2067" max="2067" width="14.83203125" style="227" bestFit="1" customWidth="1"/>
    <col min="2068" max="2068" width="11.5" style="227" customWidth="1"/>
    <col min="2069" max="2069" width="11.5" style="227" bestFit="1" customWidth="1"/>
    <col min="2070" max="2070" width="10" style="227" bestFit="1" customWidth="1"/>
    <col min="2071" max="2071" width="10.83203125" style="227" bestFit="1" customWidth="1"/>
    <col min="2072" max="2072" width="11.5" style="227" customWidth="1"/>
    <col min="2073" max="2073" width="20.83203125" style="227" bestFit="1" customWidth="1"/>
    <col min="2074" max="2304" width="9.1640625" style="227"/>
    <col min="2305" max="2305" width="44.1640625" style="227" bestFit="1" customWidth="1"/>
    <col min="2306" max="2306" width="15.5" style="227" bestFit="1" customWidth="1"/>
    <col min="2307" max="2307" width="10" style="227" customWidth="1"/>
    <col min="2308" max="2308" width="4.5" style="227" customWidth="1"/>
    <col min="2309" max="2309" width="10" style="227" customWidth="1"/>
    <col min="2310" max="2310" width="11.1640625" style="227" customWidth="1"/>
    <col min="2311" max="2311" width="12.83203125" style="227" bestFit="1" customWidth="1"/>
    <col min="2312" max="2312" width="2.83203125" style="227" customWidth="1"/>
    <col min="2313" max="2314" width="11.5" style="227" customWidth="1"/>
    <col min="2315" max="2315" width="12.83203125" style="227" bestFit="1" customWidth="1"/>
    <col min="2316" max="2316" width="15" style="227" bestFit="1" customWidth="1"/>
    <col min="2317" max="2317" width="11.5" style="227" customWidth="1"/>
    <col min="2318" max="2318" width="11.5" style="227" bestFit="1" customWidth="1"/>
    <col min="2319" max="2319" width="3" style="227" customWidth="1"/>
    <col min="2320" max="2321" width="11.5" style="227" customWidth="1"/>
    <col min="2322" max="2322" width="2.5" style="227" customWidth="1"/>
    <col min="2323" max="2323" width="14.83203125" style="227" bestFit="1" customWidth="1"/>
    <col min="2324" max="2324" width="11.5" style="227" customWidth="1"/>
    <col min="2325" max="2325" width="11.5" style="227" bestFit="1" customWidth="1"/>
    <col min="2326" max="2326" width="10" style="227" bestFit="1" customWidth="1"/>
    <col min="2327" max="2327" width="10.83203125" style="227" bestFit="1" customWidth="1"/>
    <col min="2328" max="2328" width="11.5" style="227" customWidth="1"/>
    <col min="2329" max="2329" width="20.83203125" style="227" bestFit="1" customWidth="1"/>
    <col min="2330" max="2560" width="9.1640625" style="227"/>
    <col min="2561" max="2561" width="44.1640625" style="227" bestFit="1" customWidth="1"/>
    <col min="2562" max="2562" width="15.5" style="227" bestFit="1" customWidth="1"/>
    <col min="2563" max="2563" width="10" style="227" customWidth="1"/>
    <col min="2564" max="2564" width="4.5" style="227" customWidth="1"/>
    <col min="2565" max="2565" width="10" style="227" customWidth="1"/>
    <col min="2566" max="2566" width="11.1640625" style="227" customWidth="1"/>
    <col min="2567" max="2567" width="12.83203125" style="227" bestFit="1" customWidth="1"/>
    <col min="2568" max="2568" width="2.83203125" style="227" customWidth="1"/>
    <col min="2569" max="2570" width="11.5" style="227" customWidth="1"/>
    <col min="2571" max="2571" width="12.83203125" style="227" bestFit="1" customWidth="1"/>
    <col min="2572" max="2572" width="15" style="227" bestFit="1" customWidth="1"/>
    <col min="2573" max="2573" width="11.5" style="227" customWidth="1"/>
    <col min="2574" max="2574" width="11.5" style="227" bestFit="1" customWidth="1"/>
    <col min="2575" max="2575" width="3" style="227" customWidth="1"/>
    <col min="2576" max="2577" width="11.5" style="227" customWidth="1"/>
    <col min="2578" max="2578" width="2.5" style="227" customWidth="1"/>
    <col min="2579" max="2579" width="14.83203125" style="227" bestFit="1" customWidth="1"/>
    <col min="2580" max="2580" width="11.5" style="227" customWidth="1"/>
    <col min="2581" max="2581" width="11.5" style="227" bestFit="1" customWidth="1"/>
    <col min="2582" max="2582" width="10" style="227" bestFit="1" customWidth="1"/>
    <col min="2583" max="2583" width="10.83203125" style="227" bestFit="1" customWidth="1"/>
    <col min="2584" max="2584" width="11.5" style="227" customWidth="1"/>
    <col min="2585" max="2585" width="20.83203125" style="227" bestFit="1" customWidth="1"/>
    <col min="2586" max="2816" width="9.1640625" style="227"/>
    <col min="2817" max="2817" width="44.1640625" style="227" bestFit="1" customWidth="1"/>
    <col min="2818" max="2818" width="15.5" style="227" bestFit="1" customWidth="1"/>
    <col min="2819" max="2819" width="10" style="227" customWidth="1"/>
    <col min="2820" max="2820" width="4.5" style="227" customWidth="1"/>
    <col min="2821" max="2821" width="10" style="227" customWidth="1"/>
    <col min="2822" max="2822" width="11.1640625" style="227" customWidth="1"/>
    <col min="2823" max="2823" width="12.83203125" style="227" bestFit="1" customWidth="1"/>
    <col min="2824" max="2824" width="2.83203125" style="227" customWidth="1"/>
    <col min="2825" max="2826" width="11.5" style="227" customWidth="1"/>
    <col min="2827" max="2827" width="12.83203125" style="227" bestFit="1" customWidth="1"/>
    <col min="2828" max="2828" width="15" style="227" bestFit="1" customWidth="1"/>
    <col min="2829" max="2829" width="11.5" style="227" customWidth="1"/>
    <col min="2830" max="2830" width="11.5" style="227" bestFit="1" customWidth="1"/>
    <col min="2831" max="2831" width="3" style="227" customWidth="1"/>
    <col min="2832" max="2833" width="11.5" style="227" customWidth="1"/>
    <col min="2834" max="2834" width="2.5" style="227" customWidth="1"/>
    <col min="2835" max="2835" width="14.83203125" style="227" bestFit="1" customWidth="1"/>
    <col min="2836" max="2836" width="11.5" style="227" customWidth="1"/>
    <col min="2837" max="2837" width="11.5" style="227" bestFit="1" customWidth="1"/>
    <col min="2838" max="2838" width="10" style="227" bestFit="1" customWidth="1"/>
    <col min="2839" max="2839" width="10.83203125" style="227" bestFit="1" customWidth="1"/>
    <col min="2840" max="2840" width="11.5" style="227" customWidth="1"/>
    <col min="2841" max="2841" width="20.83203125" style="227" bestFit="1" customWidth="1"/>
    <col min="2842" max="3072" width="9.1640625" style="227"/>
    <col min="3073" max="3073" width="44.1640625" style="227" bestFit="1" customWidth="1"/>
    <col min="3074" max="3074" width="15.5" style="227" bestFit="1" customWidth="1"/>
    <col min="3075" max="3075" width="10" style="227" customWidth="1"/>
    <col min="3076" max="3076" width="4.5" style="227" customWidth="1"/>
    <col min="3077" max="3077" width="10" style="227" customWidth="1"/>
    <col min="3078" max="3078" width="11.1640625" style="227" customWidth="1"/>
    <col min="3079" max="3079" width="12.83203125" style="227" bestFit="1" customWidth="1"/>
    <col min="3080" max="3080" width="2.83203125" style="227" customWidth="1"/>
    <col min="3081" max="3082" width="11.5" style="227" customWidth="1"/>
    <col min="3083" max="3083" width="12.83203125" style="227" bestFit="1" customWidth="1"/>
    <col min="3084" max="3084" width="15" style="227" bestFit="1" customWidth="1"/>
    <col min="3085" max="3085" width="11.5" style="227" customWidth="1"/>
    <col min="3086" max="3086" width="11.5" style="227" bestFit="1" customWidth="1"/>
    <col min="3087" max="3087" width="3" style="227" customWidth="1"/>
    <col min="3088" max="3089" width="11.5" style="227" customWidth="1"/>
    <col min="3090" max="3090" width="2.5" style="227" customWidth="1"/>
    <col min="3091" max="3091" width="14.83203125" style="227" bestFit="1" customWidth="1"/>
    <col min="3092" max="3092" width="11.5" style="227" customWidth="1"/>
    <col min="3093" max="3093" width="11.5" style="227" bestFit="1" customWidth="1"/>
    <col min="3094" max="3094" width="10" style="227" bestFit="1" customWidth="1"/>
    <col min="3095" max="3095" width="10.83203125" style="227" bestFit="1" customWidth="1"/>
    <col min="3096" max="3096" width="11.5" style="227" customWidth="1"/>
    <col min="3097" max="3097" width="20.83203125" style="227" bestFit="1" customWidth="1"/>
    <col min="3098" max="3328" width="9.1640625" style="227"/>
    <col min="3329" max="3329" width="44.1640625" style="227" bestFit="1" customWidth="1"/>
    <col min="3330" max="3330" width="15.5" style="227" bestFit="1" customWidth="1"/>
    <col min="3331" max="3331" width="10" style="227" customWidth="1"/>
    <col min="3332" max="3332" width="4.5" style="227" customWidth="1"/>
    <col min="3333" max="3333" width="10" style="227" customWidth="1"/>
    <col min="3334" max="3334" width="11.1640625" style="227" customWidth="1"/>
    <col min="3335" max="3335" width="12.83203125" style="227" bestFit="1" customWidth="1"/>
    <col min="3336" max="3336" width="2.83203125" style="227" customWidth="1"/>
    <col min="3337" max="3338" width="11.5" style="227" customWidth="1"/>
    <col min="3339" max="3339" width="12.83203125" style="227" bestFit="1" customWidth="1"/>
    <col min="3340" max="3340" width="15" style="227" bestFit="1" customWidth="1"/>
    <col min="3341" max="3341" width="11.5" style="227" customWidth="1"/>
    <col min="3342" max="3342" width="11.5" style="227" bestFit="1" customWidth="1"/>
    <col min="3343" max="3343" width="3" style="227" customWidth="1"/>
    <col min="3344" max="3345" width="11.5" style="227" customWidth="1"/>
    <col min="3346" max="3346" width="2.5" style="227" customWidth="1"/>
    <col min="3347" max="3347" width="14.83203125" style="227" bestFit="1" customWidth="1"/>
    <col min="3348" max="3348" width="11.5" style="227" customWidth="1"/>
    <col min="3349" max="3349" width="11.5" style="227" bestFit="1" customWidth="1"/>
    <col min="3350" max="3350" width="10" style="227" bestFit="1" customWidth="1"/>
    <col min="3351" max="3351" width="10.83203125" style="227" bestFit="1" customWidth="1"/>
    <col min="3352" max="3352" width="11.5" style="227" customWidth="1"/>
    <col min="3353" max="3353" width="20.83203125" style="227" bestFit="1" customWidth="1"/>
    <col min="3354" max="3584" width="9.1640625" style="227"/>
    <col min="3585" max="3585" width="44.1640625" style="227" bestFit="1" customWidth="1"/>
    <col min="3586" max="3586" width="15.5" style="227" bestFit="1" customWidth="1"/>
    <col min="3587" max="3587" width="10" style="227" customWidth="1"/>
    <col min="3588" max="3588" width="4.5" style="227" customWidth="1"/>
    <col min="3589" max="3589" width="10" style="227" customWidth="1"/>
    <col min="3590" max="3590" width="11.1640625" style="227" customWidth="1"/>
    <col min="3591" max="3591" width="12.83203125" style="227" bestFit="1" customWidth="1"/>
    <col min="3592" max="3592" width="2.83203125" style="227" customWidth="1"/>
    <col min="3593" max="3594" width="11.5" style="227" customWidth="1"/>
    <col min="3595" max="3595" width="12.83203125" style="227" bestFit="1" customWidth="1"/>
    <col min="3596" max="3596" width="15" style="227" bestFit="1" customWidth="1"/>
    <col min="3597" max="3597" width="11.5" style="227" customWidth="1"/>
    <col min="3598" max="3598" width="11.5" style="227" bestFit="1" customWidth="1"/>
    <col min="3599" max="3599" width="3" style="227" customWidth="1"/>
    <col min="3600" max="3601" width="11.5" style="227" customWidth="1"/>
    <col min="3602" max="3602" width="2.5" style="227" customWidth="1"/>
    <col min="3603" max="3603" width="14.83203125" style="227" bestFit="1" customWidth="1"/>
    <col min="3604" max="3604" width="11.5" style="227" customWidth="1"/>
    <col min="3605" max="3605" width="11.5" style="227" bestFit="1" customWidth="1"/>
    <col min="3606" max="3606" width="10" style="227" bestFit="1" customWidth="1"/>
    <col min="3607" max="3607" width="10.83203125" style="227" bestFit="1" customWidth="1"/>
    <col min="3608" max="3608" width="11.5" style="227" customWidth="1"/>
    <col min="3609" max="3609" width="20.83203125" style="227" bestFit="1" customWidth="1"/>
    <col min="3610" max="3840" width="9.1640625" style="227"/>
    <col min="3841" max="3841" width="44.1640625" style="227" bestFit="1" customWidth="1"/>
    <col min="3842" max="3842" width="15.5" style="227" bestFit="1" customWidth="1"/>
    <col min="3843" max="3843" width="10" style="227" customWidth="1"/>
    <col min="3844" max="3844" width="4.5" style="227" customWidth="1"/>
    <col min="3845" max="3845" width="10" style="227" customWidth="1"/>
    <col min="3846" max="3846" width="11.1640625" style="227" customWidth="1"/>
    <col min="3847" max="3847" width="12.83203125" style="227" bestFit="1" customWidth="1"/>
    <col min="3848" max="3848" width="2.83203125" style="227" customWidth="1"/>
    <col min="3849" max="3850" width="11.5" style="227" customWidth="1"/>
    <col min="3851" max="3851" width="12.83203125" style="227" bestFit="1" customWidth="1"/>
    <col min="3852" max="3852" width="15" style="227" bestFit="1" customWidth="1"/>
    <col min="3853" max="3853" width="11.5" style="227" customWidth="1"/>
    <col min="3854" max="3854" width="11.5" style="227" bestFit="1" customWidth="1"/>
    <col min="3855" max="3855" width="3" style="227" customWidth="1"/>
    <col min="3856" max="3857" width="11.5" style="227" customWidth="1"/>
    <col min="3858" max="3858" width="2.5" style="227" customWidth="1"/>
    <col min="3859" max="3859" width="14.83203125" style="227" bestFit="1" customWidth="1"/>
    <col min="3860" max="3860" width="11.5" style="227" customWidth="1"/>
    <col min="3861" max="3861" width="11.5" style="227" bestFit="1" customWidth="1"/>
    <col min="3862" max="3862" width="10" style="227" bestFit="1" customWidth="1"/>
    <col min="3863" max="3863" width="10.83203125" style="227" bestFit="1" customWidth="1"/>
    <col min="3864" max="3864" width="11.5" style="227" customWidth="1"/>
    <col min="3865" max="3865" width="20.83203125" style="227" bestFit="1" customWidth="1"/>
    <col min="3866" max="4096" width="9.1640625" style="227"/>
    <col min="4097" max="4097" width="44.1640625" style="227" bestFit="1" customWidth="1"/>
    <col min="4098" max="4098" width="15.5" style="227" bestFit="1" customWidth="1"/>
    <col min="4099" max="4099" width="10" style="227" customWidth="1"/>
    <col min="4100" max="4100" width="4.5" style="227" customWidth="1"/>
    <col min="4101" max="4101" width="10" style="227" customWidth="1"/>
    <col min="4102" max="4102" width="11.1640625" style="227" customWidth="1"/>
    <col min="4103" max="4103" width="12.83203125" style="227" bestFit="1" customWidth="1"/>
    <col min="4104" max="4104" width="2.83203125" style="227" customWidth="1"/>
    <col min="4105" max="4106" width="11.5" style="227" customWidth="1"/>
    <col min="4107" max="4107" width="12.83203125" style="227" bestFit="1" customWidth="1"/>
    <col min="4108" max="4108" width="15" style="227" bestFit="1" customWidth="1"/>
    <col min="4109" max="4109" width="11.5" style="227" customWidth="1"/>
    <col min="4110" max="4110" width="11.5" style="227" bestFit="1" customWidth="1"/>
    <col min="4111" max="4111" width="3" style="227" customWidth="1"/>
    <col min="4112" max="4113" width="11.5" style="227" customWidth="1"/>
    <col min="4114" max="4114" width="2.5" style="227" customWidth="1"/>
    <col min="4115" max="4115" width="14.83203125" style="227" bestFit="1" customWidth="1"/>
    <col min="4116" max="4116" width="11.5" style="227" customWidth="1"/>
    <col min="4117" max="4117" width="11.5" style="227" bestFit="1" customWidth="1"/>
    <col min="4118" max="4118" width="10" style="227" bestFit="1" customWidth="1"/>
    <col min="4119" max="4119" width="10.83203125" style="227" bestFit="1" customWidth="1"/>
    <col min="4120" max="4120" width="11.5" style="227" customWidth="1"/>
    <col min="4121" max="4121" width="20.83203125" style="227" bestFit="1" customWidth="1"/>
    <col min="4122" max="4352" width="9.1640625" style="227"/>
    <col min="4353" max="4353" width="44.1640625" style="227" bestFit="1" customWidth="1"/>
    <col min="4354" max="4354" width="15.5" style="227" bestFit="1" customWidth="1"/>
    <col min="4355" max="4355" width="10" style="227" customWidth="1"/>
    <col min="4356" max="4356" width="4.5" style="227" customWidth="1"/>
    <col min="4357" max="4357" width="10" style="227" customWidth="1"/>
    <col min="4358" max="4358" width="11.1640625" style="227" customWidth="1"/>
    <col min="4359" max="4359" width="12.83203125" style="227" bestFit="1" customWidth="1"/>
    <col min="4360" max="4360" width="2.83203125" style="227" customWidth="1"/>
    <col min="4361" max="4362" width="11.5" style="227" customWidth="1"/>
    <col min="4363" max="4363" width="12.83203125" style="227" bestFit="1" customWidth="1"/>
    <col min="4364" max="4364" width="15" style="227" bestFit="1" customWidth="1"/>
    <col min="4365" max="4365" width="11.5" style="227" customWidth="1"/>
    <col min="4366" max="4366" width="11.5" style="227" bestFit="1" customWidth="1"/>
    <col min="4367" max="4367" width="3" style="227" customWidth="1"/>
    <col min="4368" max="4369" width="11.5" style="227" customWidth="1"/>
    <col min="4370" max="4370" width="2.5" style="227" customWidth="1"/>
    <col min="4371" max="4371" width="14.83203125" style="227" bestFit="1" customWidth="1"/>
    <col min="4372" max="4372" width="11.5" style="227" customWidth="1"/>
    <col min="4373" max="4373" width="11.5" style="227" bestFit="1" customWidth="1"/>
    <col min="4374" max="4374" width="10" style="227" bestFit="1" customWidth="1"/>
    <col min="4375" max="4375" width="10.83203125" style="227" bestFit="1" customWidth="1"/>
    <col min="4376" max="4376" width="11.5" style="227" customWidth="1"/>
    <col min="4377" max="4377" width="20.83203125" style="227" bestFit="1" customWidth="1"/>
    <col min="4378" max="4608" width="9.1640625" style="227"/>
    <col min="4609" max="4609" width="44.1640625" style="227" bestFit="1" customWidth="1"/>
    <col min="4610" max="4610" width="15.5" style="227" bestFit="1" customWidth="1"/>
    <col min="4611" max="4611" width="10" style="227" customWidth="1"/>
    <col min="4612" max="4612" width="4.5" style="227" customWidth="1"/>
    <col min="4613" max="4613" width="10" style="227" customWidth="1"/>
    <col min="4614" max="4614" width="11.1640625" style="227" customWidth="1"/>
    <col min="4615" max="4615" width="12.83203125" style="227" bestFit="1" customWidth="1"/>
    <col min="4616" max="4616" width="2.83203125" style="227" customWidth="1"/>
    <col min="4617" max="4618" width="11.5" style="227" customWidth="1"/>
    <col min="4619" max="4619" width="12.83203125" style="227" bestFit="1" customWidth="1"/>
    <col min="4620" max="4620" width="15" style="227" bestFit="1" customWidth="1"/>
    <col min="4621" max="4621" width="11.5" style="227" customWidth="1"/>
    <col min="4622" max="4622" width="11.5" style="227" bestFit="1" customWidth="1"/>
    <col min="4623" max="4623" width="3" style="227" customWidth="1"/>
    <col min="4624" max="4625" width="11.5" style="227" customWidth="1"/>
    <col min="4626" max="4626" width="2.5" style="227" customWidth="1"/>
    <col min="4627" max="4627" width="14.83203125" style="227" bestFit="1" customWidth="1"/>
    <col min="4628" max="4628" width="11.5" style="227" customWidth="1"/>
    <col min="4629" max="4629" width="11.5" style="227" bestFit="1" customWidth="1"/>
    <col min="4630" max="4630" width="10" style="227" bestFit="1" customWidth="1"/>
    <col min="4631" max="4631" width="10.83203125" style="227" bestFit="1" customWidth="1"/>
    <col min="4632" max="4632" width="11.5" style="227" customWidth="1"/>
    <col min="4633" max="4633" width="20.83203125" style="227" bestFit="1" customWidth="1"/>
    <col min="4634" max="4864" width="9.1640625" style="227"/>
    <col min="4865" max="4865" width="44.1640625" style="227" bestFit="1" customWidth="1"/>
    <col min="4866" max="4866" width="15.5" style="227" bestFit="1" customWidth="1"/>
    <col min="4867" max="4867" width="10" style="227" customWidth="1"/>
    <col min="4868" max="4868" width="4.5" style="227" customWidth="1"/>
    <col min="4869" max="4869" width="10" style="227" customWidth="1"/>
    <col min="4870" max="4870" width="11.1640625" style="227" customWidth="1"/>
    <col min="4871" max="4871" width="12.83203125" style="227" bestFit="1" customWidth="1"/>
    <col min="4872" max="4872" width="2.83203125" style="227" customWidth="1"/>
    <col min="4873" max="4874" width="11.5" style="227" customWidth="1"/>
    <col min="4875" max="4875" width="12.83203125" style="227" bestFit="1" customWidth="1"/>
    <col min="4876" max="4876" width="15" style="227" bestFit="1" customWidth="1"/>
    <col min="4877" max="4877" width="11.5" style="227" customWidth="1"/>
    <col min="4878" max="4878" width="11.5" style="227" bestFit="1" customWidth="1"/>
    <col min="4879" max="4879" width="3" style="227" customWidth="1"/>
    <col min="4880" max="4881" width="11.5" style="227" customWidth="1"/>
    <col min="4882" max="4882" width="2.5" style="227" customWidth="1"/>
    <col min="4883" max="4883" width="14.83203125" style="227" bestFit="1" customWidth="1"/>
    <col min="4884" max="4884" width="11.5" style="227" customWidth="1"/>
    <col min="4885" max="4885" width="11.5" style="227" bestFit="1" customWidth="1"/>
    <col min="4886" max="4886" width="10" style="227" bestFit="1" customWidth="1"/>
    <col min="4887" max="4887" width="10.83203125" style="227" bestFit="1" customWidth="1"/>
    <col min="4888" max="4888" width="11.5" style="227" customWidth="1"/>
    <col min="4889" max="4889" width="20.83203125" style="227" bestFit="1" customWidth="1"/>
    <col min="4890" max="5120" width="9.1640625" style="227"/>
    <col min="5121" max="5121" width="44.1640625" style="227" bestFit="1" customWidth="1"/>
    <col min="5122" max="5122" width="15.5" style="227" bestFit="1" customWidth="1"/>
    <col min="5123" max="5123" width="10" style="227" customWidth="1"/>
    <col min="5124" max="5124" width="4.5" style="227" customWidth="1"/>
    <col min="5125" max="5125" width="10" style="227" customWidth="1"/>
    <col min="5126" max="5126" width="11.1640625" style="227" customWidth="1"/>
    <col min="5127" max="5127" width="12.83203125" style="227" bestFit="1" customWidth="1"/>
    <col min="5128" max="5128" width="2.83203125" style="227" customWidth="1"/>
    <col min="5129" max="5130" width="11.5" style="227" customWidth="1"/>
    <col min="5131" max="5131" width="12.83203125" style="227" bestFit="1" customWidth="1"/>
    <col min="5132" max="5132" width="15" style="227" bestFit="1" customWidth="1"/>
    <col min="5133" max="5133" width="11.5" style="227" customWidth="1"/>
    <col min="5134" max="5134" width="11.5" style="227" bestFit="1" customWidth="1"/>
    <col min="5135" max="5135" width="3" style="227" customWidth="1"/>
    <col min="5136" max="5137" width="11.5" style="227" customWidth="1"/>
    <col min="5138" max="5138" width="2.5" style="227" customWidth="1"/>
    <col min="5139" max="5139" width="14.83203125" style="227" bestFit="1" customWidth="1"/>
    <col min="5140" max="5140" width="11.5" style="227" customWidth="1"/>
    <col min="5141" max="5141" width="11.5" style="227" bestFit="1" customWidth="1"/>
    <col min="5142" max="5142" width="10" style="227" bestFit="1" customWidth="1"/>
    <col min="5143" max="5143" width="10.83203125" style="227" bestFit="1" customWidth="1"/>
    <col min="5144" max="5144" width="11.5" style="227" customWidth="1"/>
    <col min="5145" max="5145" width="20.83203125" style="227" bestFit="1" customWidth="1"/>
    <col min="5146" max="5376" width="9.1640625" style="227"/>
    <col min="5377" max="5377" width="44.1640625" style="227" bestFit="1" customWidth="1"/>
    <col min="5378" max="5378" width="15.5" style="227" bestFit="1" customWidth="1"/>
    <col min="5379" max="5379" width="10" style="227" customWidth="1"/>
    <col min="5380" max="5380" width="4.5" style="227" customWidth="1"/>
    <col min="5381" max="5381" width="10" style="227" customWidth="1"/>
    <col min="5382" max="5382" width="11.1640625" style="227" customWidth="1"/>
    <col min="5383" max="5383" width="12.83203125" style="227" bestFit="1" customWidth="1"/>
    <col min="5384" max="5384" width="2.83203125" style="227" customWidth="1"/>
    <col min="5385" max="5386" width="11.5" style="227" customWidth="1"/>
    <col min="5387" max="5387" width="12.83203125" style="227" bestFit="1" customWidth="1"/>
    <col min="5388" max="5388" width="15" style="227" bestFit="1" customWidth="1"/>
    <col min="5389" max="5389" width="11.5" style="227" customWidth="1"/>
    <col min="5390" max="5390" width="11.5" style="227" bestFit="1" customWidth="1"/>
    <col min="5391" max="5391" width="3" style="227" customWidth="1"/>
    <col min="5392" max="5393" width="11.5" style="227" customWidth="1"/>
    <col min="5394" max="5394" width="2.5" style="227" customWidth="1"/>
    <col min="5395" max="5395" width="14.83203125" style="227" bestFit="1" customWidth="1"/>
    <col min="5396" max="5396" width="11.5" style="227" customWidth="1"/>
    <col min="5397" max="5397" width="11.5" style="227" bestFit="1" customWidth="1"/>
    <col min="5398" max="5398" width="10" style="227" bestFit="1" customWidth="1"/>
    <col min="5399" max="5399" width="10.83203125" style="227" bestFit="1" customWidth="1"/>
    <col min="5400" max="5400" width="11.5" style="227" customWidth="1"/>
    <col min="5401" max="5401" width="20.83203125" style="227" bestFit="1" customWidth="1"/>
    <col min="5402" max="5632" width="9.1640625" style="227"/>
    <col min="5633" max="5633" width="44.1640625" style="227" bestFit="1" customWidth="1"/>
    <col min="5634" max="5634" width="15.5" style="227" bestFit="1" customWidth="1"/>
    <col min="5635" max="5635" width="10" style="227" customWidth="1"/>
    <col min="5636" max="5636" width="4.5" style="227" customWidth="1"/>
    <col min="5637" max="5637" width="10" style="227" customWidth="1"/>
    <col min="5638" max="5638" width="11.1640625" style="227" customWidth="1"/>
    <col min="5639" max="5639" width="12.83203125" style="227" bestFit="1" customWidth="1"/>
    <col min="5640" max="5640" width="2.83203125" style="227" customWidth="1"/>
    <col min="5641" max="5642" width="11.5" style="227" customWidth="1"/>
    <col min="5643" max="5643" width="12.83203125" style="227" bestFit="1" customWidth="1"/>
    <col min="5644" max="5644" width="15" style="227" bestFit="1" customWidth="1"/>
    <col min="5645" max="5645" width="11.5" style="227" customWidth="1"/>
    <col min="5646" max="5646" width="11.5" style="227" bestFit="1" customWidth="1"/>
    <col min="5647" max="5647" width="3" style="227" customWidth="1"/>
    <col min="5648" max="5649" width="11.5" style="227" customWidth="1"/>
    <col min="5650" max="5650" width="2.5" style="227" customWidth="1"/>
    <col min="5651" max="5651" width="14.83203125" style="227" bestFit="1" customWidth="1"/>
    <col min="5652" max="5652" width="11.5" style="227" customWidth="1"/>
    <col min="5653" max="5653" width="11.5" style="227" bestFit="1" customWidth="1"/>
    <col min="5654" max="5654" width="10" style="227" bestFit="1" customWidth="1"/>
    <col min="5655" max="5655" width="10.83203125" style="227" bestFit="1" customWidth="1"/>
    <col min="5656" max="5656" width="11.5" style="227" customWidth="1"/>
    <col min="5657" max="5657" width="20.83203125" style="227" bestFit="1" customWidth="1"/>
    <col min="5658" max="5888" width="9.1640625" style="227"/>
    <col min="5889" max="5889" width="44.1640625" style="227" bestFit="1" customWidth="1"/>
    <col min="5890" max="5890" width="15.5" style="227" bestFit="1" customWidth="1"/>
    <col min="5891" max="5891" width="10" style="227" customWidth="1"/>
    <col min="5892" max="5892" width="4.5" style="227" customWidth="1"/>
    <col min="5893" max="5893" width="10" style="227" customWidth="1"/>
    <col min="5894" max="5894" width="11.1640625" style="227" customWidth="1"/>
    <col min="5895" max="5895" width="12.83203125" style="227" bestFit="1" customWidth="1"/>
    <col min="5896" max="5896" width="2.83203125" style="227" customWidth="1"/>
    <col min="5897" max="5898" width="11.5" style="227" customWidth="1"/>
    <col min="5899" max="5899" width="12.83203125" style="227" bestFit="1" customWidth="1"/>
    <col min="5900" max="5900" width="15" style="227" bestFit="1" customWidth="1"/>
    <col min="5901" max="5901" width="11.5" style="227" customWidth="1"/>
    <col min="5902" max="5902" width="11.5" style="227" bestFit="1" customWidth="1"/>
    <col min="5903" max="5903" width="3" style="227" customWidth="1"/>
    <col min="5904" max="5905" width="11.5" style="227" customWidth="1"/>
    <col min="5906" max="5906" width="2.5" style="227" customWidth="1"/>
    <col min="5907" max="5907" width="14.83203125" style="227" bestFit="1" customWidth="1"/>
    <col min="5908" max="5908" width="11.5" style="227" customWidth="1"/>
    <col min="5909" max="5909" width="11.5" style="227" bestFit="1" customWidth="1"/>
    <col min="5910" max="5910" width="10" style="227" bestFit="1" customWidth="1"/>
    <col min="5911" max="5911" width="10.83203125" style="227" bestFit="1" customWidth="1"/>
    <col min="5912" max="5912" width="11.5" style="227" customWidth="1"/>
    <col min="5913" max="5913" width="20.83203125" style="227" bestFit="1" customWidth="1"/>
    <col min="5914" max="6144" width="9.1640625" style="227"/>
    <col min="6145" max="6145" width="44.1640625" style="227" bestFit="1" customWidth="1"/>
    <col min="6146" max="6146" width="15.5" style="227" bestFit="1" customWidth="1"/>
    <col min="6147" max="6147" width="10" style="227" customWidth="1"/>
    <col min="6148" max="6148" width="4.5" style="227" customWidth="1"/>
    <col min="6149" max="6149" width="10" style="227" customWidth="1"/>
    <col min="6150" max="6150" width="11.1640625" style="227" customWidth="1"/>
    <col min="6151" max="6151" width="12.83203125" style="227" bestFit="1" customWidth="1"/>
    <col min="6152" max="6152" width="2.83203125" style="227" customWidth="1"/>
    <col min="6153" max="6154" width="11.5" style="227" customWidth="1"/>
    <col min="6155" max="6155" width="12.83203125" style="227" bestFit="1" customWidth="1"/>
    <col min="6156" max="6156" width="15" style="227" bestFit="1" customWidth="1"/>
    <col min="6157" max="6157" width="11.5" style="227" customWidth="1"/>
    <col min="6158" max="6158" width="11.5" style="227" bestFit="1" customWidth="1"/>
    <col min="6159" max="6159" width="3" style="227" customWidth="1"/>
    <col min="6160" max="6161" width="11.5" style="227" customWidth="1"/>
    <col min="6162" max="6162" width="2.5" style="227" customWidth="1"/>
    <col min="6163" max="6163" width="14.83203125" style="227" bestFit="1" customWidth="1"/>
    <col min="6164" max="6164" width="11.5" style="227" customWidth="1"/>
    <col min="6165" max="6165" width="11.5" style="227" bestFit="1" customWidth="1"/>
    <col min="6166" max="6166" width="10" style="227" bestFit="1" customWidth="1"/>
    <col min="6167" max="6167" width="10.83203125" style="227" bestFit="1" customWidth="1"/>
    <col min="6168" max="6168" width="11.5" style="227" customWidth="1"/>
    <col min="6169" max="6169" width="20.83203125" style="227" bestFit="1" customWidth="1"/>
    <col min="6170" max="6400" width="9.1640625" style="227"/>
    <col min="6401" max="6401" width="44.1640625" style="227" bestFit="1" customWidth="1"/>
    <col min="6402" max="6402" width="15.5" style="227" bestFit="1" customWidth="1"/>
    <col min="6403" max="6403" width="10" style="227" customWidth="1"/>
    <col min="6404" max="6404" width="4.5" style="227" customWidth="1"/>
    <col min="6405" max="6405" width="10" style="227" customWidth="1"/>
    <col min="6406" max="6406" width="11.1640625" style="227" customWidth="1"/>
    <col min="6407" max="6407" width="12.83203125" style="227" bestFit="1" customWidth="1"/>
    <col min="6408" max="6408" width="2.83203125" style="227" customWidth="1"/>
    <col min="6409" max="6410" width="11.5" style="227" customWidth="1"/>
    <col min="6411" max="6411" width="12.83203125" style="227" bestFit="1" customWidth="1"/>
    <col min="6412" max="6412" width="15" style="227" bestFit="1" customWidth="1"/>
    <col min="6413" max="6413" width="11.5" style="227" customWidth="1"/>
    <col min="6414" max="6414" width="11.5" style="227" bestFit="1" customWidth="1"/>
    <col min="6415" max="6415" width="3" style="227" customWidth="1"/>
    <col min="6416" max="6417" width="11.5" style="227" customWidth="1"/>
    <col min="6418" max="6418" width="2.5" style="227" customWidth="1"/>
    <col min="6419" max="6419" width="14.83203125" style="227" bestFit="1" customWidth="1"/>
    <col min="6420" max="6420" width="11.5" style="227" customWidth="1"/>
    <col min="6421" max="6421" width="11.5" style="227" bestFit="1" customWidth="1"/>
    <col min="6422" max="6422" width="10" style="227" bestFit="1" customWidth="1"/>
    <col min="6423" max="6423" width="10.83203125" style="227" bestFit="1" customWidth="1"/>
    <col min="6424" max="6424" width="11.5" style="227" customWidth="1"/>
    <col min="6425" max="6425" width="20.83203125" style="227" bestFit="1" customWidth="1"/>
    <col min="6426" max="6656" width="9.1640625" style="227"/>
    <col min="6657" max="6657" width="44.1640625" style="227" bestFit="1" customWidth="1"/>
    <col min="6658" max="6658" width="15.5" style="227" bestFit="1" customWidth="1"/>
    <col min="6659" max="6659" width="10" style="227" customWidth="1"/>
    <col min="6660" max="6660" width="4.5" style="227" customWidth="1"/>
    <col min="6661" max="6661" width="10" style="227" customWidth="1"/>
    <col min="6662" max="6662" width="11.1640625" style="227" customWidth="1"/>
    <col min="6663" max="6663" width="12.83203125" style="227" bestFit="1" customWidth="1"/>
    <col min="6664" max="6664" width="2.83203125" style="227" customWidth="1"/>
    <col min="6665" max="6666" width="11.5" style="227" customWidth="1"/>
    <col min="6667" max="6667" width="12.83203125" style="227" bestFit="1" customWidth="1"/>
    <col min="6668" max="6668" width="15" style="227" bestFit="1" customWidth="1"/>
    <col min="6669" max="6669" width="11.5" style="227" customWidth="1"/>
    <col min="6670" max="6670" width="11.5" style="227" bestFit="1" customWidth="1"/>
    <col min="6671" max="6671" width="3" style="227" customWidth="1"/>
    <col min="6672" max="6673" width="11.5" style="227" customWidth="1"/>
    <col min="6674" max="6674" width="2.5" style="227" customWidth="1"/>
    <col min="6675" max="6675" width="14.83203125" style="227" bestFit="1" customWidth="1"/>
    <col min="6676" max="6676" width="11.5" style="227" customWidth="1"/>
    <col min="6677" max="6677" width="11.5" style="227" bestFit="1" customWidth="1"/>
    <col min="6678" max="6678" width="10" style="227" bestFit="1" customWidth="1"/>
    <col min="6679" max="6679" width="10.83203125" style="227" bestFit="1" customWidth="1"/>
    <col min="6680" max="6680" width="11.5" style="227" customWidth="1"/>
    <col min="6681" max="6681" width="20.83203125" style="227" bestFit="1" customWidth="1"/>
    <col min="6682" max="6912" width="9.1640625" style="227"/>
    <col min="6913" max="6913" width="44.1640625" style="227" bestFit="1" customWidth="1"/>
    <col min="6914" max="6914" width="15.5" style="227" bestFit="1" customWidth="1"/>
    <col min="6915" max="6915" width="10" style="227" customWidth="1"/>
    <col min="6916" max="6916" width="4.5" style="227" customWidth="1"/>
    <col min="6917" max="6917" width="10" style="227" customWidth="1"/>
    <col min="6918" max="6918" width="11.1640625" style="227" customWidth="1"/>
    <col min="6919" max="6919" width="12.83203125" style="227" bestFit="1" customWidth="1"/>
    <col min="6920" max="6920" width="2.83203125" style="227" customWidth="1"/>
    <col min="6921" max="6922" width="11.5" style="227" customWidth="1"/>
    <col min="6923" max="6923" width="12.83203125" style="227" bestFit="1" customWidth="1"/>
    <col min="6924" max="6924" width="15" style="227" bestFit="1" customWidth="1"/>
    <col min="6925" max="6925" width="11.5" style="227" customWidth="1"/>
    <col min="6926" max="6926" width="11.5" style="227" bestFit="1" customWidth="1"/>
    <col min="6927" max="6927" width="3" style="227" customWidth="1"/>
    <col min="6928" max="6929" width="11.5" style="227" customWidth="1"/>
    <col min="6930" max="6930" width="2.5" style="227" customWidth="1"/>
    <col min="6931" max="6931" width="14.83203125" style="227" bestFit="1" customWidth="1"/>
    <col min="6932" max="6932" width="11.5" style="227" customWidth="1"/>
    <col min="6933" max="6933" width="11.5" style="227" bestFit="1" customWidth="1"/>
    <col min="6934" max="6934" width="10" style="227" bestFit="1" customWidth="1"/>
    <col min="6935" max="6935" width="10.83203125" style="227" bestFit="1" customWidth="1"/>
    <col min="6936" max="6936" width="11.5" style="227" customWidth="1"/>
    <col min="6937" max="6937" width="20.83203125" style="227" bestFit="1" customWidth="1"/>
    <col min="6938" max="7168" width="9.1640625" style="227"/>
    <col min="7169" max="7169" width="44.1640625" style="227" bestFit="1" customWidth="1"/>
    <col min="7170" max="7170" width="15.5" style="227" bestFit="1" customWidth="1"/>
    <col min="7171" max="7171" width="10" style="227" customWidth="1"/>
    <col min="7172" max="7172" width="4.5" style="227" customWidth="1"/>
    <col min="7173" max="7173" width="10" style="227" customWidth="1"/>
    <col min="7174" max="7174" width="11.1640625" style="227" customWidth="1"/>
    <col min="7175" max="7175" width="12.83203125" style="227" bestFit="1" customWidth="1"/>
    <col min="7176" max="7176" width="2.83203125" style="227" customWidth="1"/>
    <col min="7177" max="7178" width="11.5" style="227" customWidth="1"/>
    <col min="7179" max="7179" width="12.83203125" style="227" bestFit="1" customWidth="1"/>
    <col min="7180" max="7180" width="15" style="227" bestFit="1" customWidth="1"/>
    <col min="7181" max="7181" width="11.5" style="227" customWidth="1"/>
    <col min="7182" max="7182" width="11.5" style="227" bestFit="1" customWidth="1"/>
    <col min="7183" max="7183" width="3" style="227" customWidth="1"/>
    <col min="7184" max="7185" width="11.5" style="227" customWidth="1"/>
    <col min="7186" max="7186" width="2.5" style="227" customWidth="1"/>
    <col min="7187" max="7187" width="14.83203125" style="227" bestFit="1" customWidth="1"/>
    <col min="7188" max="7188" width="11.5" style="227" customWidth="1"/>
    <col min="7189" max="7189" width="11.5" style="227" bestFit="1" customWidth="1"/>
    <col min="7190" max="7190" width="10" style="227" bestFit="1" customWidth="1"/>
    <col min="7191" max="7191" width="10.83203125" style="227" bestFit="1" customWidth="1"/>
    <col min="7192" max="7192" width="11.5" style="227" customWidth="1"/>
    <col min="7193" max="7193" width="20.83203125" style="227" bestFit="1" customWidth="1"/>
    <col min="7194" max="7424" width="9.1640625" style="227"/>
    <col min="7425" max="7425" width="44.1640625" style="227" bestFit="1" customWidth="1"/>
    <col min="7426" max="7426" width="15.5" style="227" bestFit="1" customWidth="1"/>
    <col min="7427" max="7427" width="10" style="227" customWidth="1"/>
    <col min="7428" max="7428" width="4.5" style="227" customWidth="1"/>
    <col min="7429" max="7429" width="10" style="227" customWidth="1"/>
    <col min="7430" max="7430" width="11.1640625" style="227" customWidth="1"/>
    <col min="7431" max="7431" width="12.83203125" style="227" bestFit="1" customWidth="1"/>
    <col min="7432" max="7432" width="2.83203125" style="227" customWidth="1"/>
    <col min="7433" max="7434" width="11.5" style="227" customWidth="1"/>
    <col min="7435" max="7435" width="12.83203125" style="227" bestFit="1" customWidth="1"/>
    <col min="7436" max="7436" width="15" style="227" bestFit="1" customWidth="1"/>
    <col min="7437" max="7437" width="11.5" style="227" customWidth="1"/>
    <col min="7438" max="7438" width="11.5" style="227" bestFit="1" customWidth="1"/>
    <col min="7439" max="7439" width="3" style="227" customWidth="1"/>
    <col min="7440" max="7441" width="11.5" style="227" customWidth="1"/>
    <col min="7442" max="7442" width="2.5" style="227" customWidth="1"/>
    <col min="7443" max="7443" width="14.83203125" style="227" bestFit="1" customWidth="1"/>
    <col min="7444" max="7444" width="11.5" style="227" customWidth="1"/>
    <col min="7445" max="7445" width="11.5" style="227" bestFit="1" customWidth="1"/>
    <col min="7446" max="7446" width="10" style="227" bestFit="1" customWidth="1"/>
    <col min="7447" max="7447" width="10.83203125" style="227" bestFit="1" customWidth="1"/>
    <col min="7448" max="7448" width="11.5" style="227" customWidth="1"/>
    <col min="7449" max="7449" width="20.83203125" style="227" bestFit="1" customWidth="1"/>
    <col min="7450" max="7680" width="9.1640625" style="227"/>
    <col min="7681" max="7681" width="44.1640625" style="227" bestFit="1" customWidth="1"/>
    <col min="7682" max="7682" width="15.5" style="227" bestFit="1" customWidth="1"/>
    <col min="7683" max="7683" width="10" style="227" customWidth="1"/>
    <col min="7684" max="7684" width="4.5" style="227" customWidth="1"/>
    <col min="7685" max="7685" width="10" style="227" customWidth="1"/>
    <col min="7686" max="7686" width="11.1640625" style="227" customWidth="1"/>
    <col min="7687" max="7687" width="12.83203125" style="227" bestFit="1" customWidth="1"/>
    <col min="7688" max="7688" width="2.83203125" style="227" customWidth="1"/>
    <col min="7689" max="7690" width="11.5" style="227" customWidth="1"/>
    <col min="7691" max="7691" width="12.83203125" style="227" bestFit="1" customWidth="1"/>
    <col min="7692" max="7692" width="15" style="227" bestFit="1" customWidth="1"/>
    <col min="7693" max="7693" width="11.5" style="227" customWidth="1"/>
    <col min="7694" max="7694" width="11.5" style="227" bestFit="1" customWidth="1"/>
    <col min="7695" max="7695" width="3" style="227" customWidth="1"/>
    <col min="7696" max="7697" width="11.5" style="227" customWidth="1"/>
    <col min="7698" max="7698" width="2.5" style="227" customWidth="1"/>
    <col min="7699" max="7699" width="14.83203125" style="227" bestFit="1" customWidth="1"/>
    <col min="7700" max="7700" width="11.5" style="227" customWidth="1"/>
    <col min="7701" max="7701" width="11.5" style="227" bestFit="1" customWidth="1"/>
    <col min="7702" max="7702" width="10" style="227" bestFit="1" customWidth="1"/>
    <col min="7703" max="7703" width="10.83203125" style="227" bestFit="1" customWidth="1"/>
    <col min="7704" max="7704" width="11.5" style="227" customWidth="1"/>
    <col min="7705" max="7705" width="20.83203125" style="227" bestFit="1" customWidth="1"/>
    <col min="7706" max="7936" width="9.1640625" style="227"/>
    <col min="7937" max="7937" width="44.1640625" style="227" bestFit="1" customWidth="1"/>
    <col min="7938" max="7938" width="15.5" style="227" bestFit="1" customWidth="1"/>
    <col min="7939" max="7939" width="10" style="227" customWidth="1"/>
    <col min="7940" max="7940" width="4.5" style="227" customWidth="1"/>
    <col min="7941" max="7941" width="10" style="227" customWidth="1"/>
    <col min="7942" max="7942" width="11.1640625" style="227" customWidth="1"/>
    <col min="7943" max="7943" width="12.83203125" style="227" bestFit="1" customWidth="1"/>
    <col min="7944" max="7944" width="2.83203125" style="227" customWidth="1"/>
    <col min="7945" max="7946" width="11.5" style="227" customWidth="1"/>
    <col min="7947" max="7947" width="12.83203125" style="227" bestFit="1" customWidth="1"/>
    <col min="7948" max="7948" width="15" style="227" bestFit="1" customWidth="1"/>
    <col min="7949" max="7949" width="11.5" style="227" customWidth="1"/>
    <col min="7950" max="7950" width="11.5" style="227" bestFit="1" customWidth="1"/>
    <col min="7951" max="7951" width="3" style="227" customWidth="1"/>
    <col min="7952" max="7953" width="11.5" style="227" customWidth="1"/>
    <col min="7954" max="7954" width="2.5" style="227" customWidth="1"/>
    <col min="7955" max="7955" width="14.83203125" style="227" bestFit="1" customWidth="1"/>
    <col min="7956" max="7956" width="11.5" style="227" customWidth="1"/>
    <col min="7957" max="7957" width="11.5" style="227" bestFit="1" customWidth="1"/>
    <col min="7958" max="7958" width="10" style="227" bestFit="1" customWidth="1"/>
    <col min="7959" max="7959" width="10.83203125" style="227" bestFit="1" customWidth="1"/>
    <col min="7960" max="7960" width="11.5" style="227" customWidth="1"/>
    <col min="7961" max="7961" width="20.83203125" style="227" bestFit="1" customWidth="1"/>
    <col min="7962" max="8192" width="9.1640625" style="227"/>
    <col min="8193" max="8193" width="44.1640625" style="227" bestFit="1" customWidth="1"/>
    <col min="8194" max="8194" width="15.5" style="227" bestFit="1" customWidth="1"/>
    <col min="8195" max="8195" width="10" style="227" customWidth="1"/>
    <col min="8196" max="8196" width="4.5" style="227" customWidth="1"/>
    <col min="8197" max="8197" width="10" style="227" customWidth="1"/>
    <col min="8198" max="8198" width="11.1640625" style="227" customWidth="1"/>
    <col min="8199" max="8199" width="12.83203125" style="227" bestFit="1" customWidth="1"/>
    <col min="8200" max="8200" width="2.83203125" style="227" customWidth="1"/>
    <col min="8201" max="8202" width="11.5" style="227" customWidth="1"/>
    <col min="8203" max="8203" width="12.83203125" style="227" bestFit="1" customWidth="1"/>
    <col min="8204" max="8204" width="15" style="227" bestFit="1" customWidth="1"/>
    <col min="8205" max="8205" width="11.5" style="227" customWidth="1"/>
    <col min="8206" max="8206" width="11.5" style="227" bestFit="1" customWidth="1"/>
    <col min="8207" max="8207" width="3" style="227" customWidth="1"/>
    <col min="8208" max="8209" width="11.5" style="227" customWidth="1"/>
    <col min="8210" max="8210" width="2.5" style="227" customWidth="1"/>
    <col min="8211" max="8211" width="14.83203125" style="227" bestFit="1" customWidth="1"/>
    <col min="8212" max="8212" width="11.5" style="227" customWidth="1"/>
    <col min="8213" max="8213" width="11.5" style="227" bestFit="1" customWidth="1"/>
    <col min="8214" max="8214" width="10" style="227" bestFit="1" customWidth="1"/>
    <col min="8215" max="8215" width="10.83203125" style="227" bestFit="1" customWidth="1"/>
    <col min="8216" max="8216" width="11.5" style="227" customWidth="1"/>
    <col min="8217" max="8217" width="20.83203125" style="227" bestFit="1" customWidth="1"/>
    <col min="8218" max="8448" width="9.1640625" style="227"/>
    <col min="8449" max="8449" width="44.1640625" style="227" bestFit="1" customWidth="1"/>
    <col min="8450" max="8450" width="15.5" style="227" bestFit="1" customWidth="1"/>
    <col min="8451" max="8451" width="10" style="227" customWidth="1"/>
    <col min="8452" max="8452" width="4.5" style="227" customWidth="1"/>
    <col min="8453" max="8453" width="10" style="227" customWidth="1"/>
    <col min="8454" max="8454" width="11.1640625" style="227" customWidth="1"/>
    <col min="8455" max="8455" width="12.83203125" style="227" bestFit="1" customWidth="1"/>
    <col min="8456" max="8456" width="2.83203125" style="227" customWidth="1"/>
    <col min="8457" max="8458" width="11.5" style="227" customWidth="1"/>
    <col min="8459" max="8459" width="12.83203125" style="227" bestFit="1" customWidth="1"/>
    <col min="8460" max="8460" width="15" style="227" bestFit="1" customWidth="1"/>
    <col min="8461" max="8461" width="11.5" style="227" customWidth="1"/>
    <col min="8462" max="8462" width="11.5" style="227" bestFit="1" customWidth="1"/>
    <col min="8463" max="8463" width="3" style="227" customWidth="1"/>
    <col min="8464" max="8465" width="11.5" style="227" customWidth="1"/>
    <col min="8466" max="8466" width="2.5" style="227" customWidth="1"/>
    <col min="8467" max="8467" width="14.83203125" style="227" bestFit="1" customWidth="1"/>
    <col min="8468" max="8468" width="11.5" style="227" customWidth="1"/>
    <col min="8469" max="8469" width="11.5" style="227" bestFit="1" customWidth="1"/>
    <col min="8470" max="8470" width="10" style="227" bestFit="1" customWidth="1"/>
    <col min="8471" max="8471" width="10.83203125" style="227" bestFit="1" customWidth="1"/>
    <col min="8472" max="8472" width="11.5" style="227" customWidth="1"/>
    <col min="8473" max="8473" width="20.83203125" style="227" bestFit="1" customWidth="1"/>
    <col min="8474" max="8704" width="9.1640625" style="227"/>
    <col min="8705" max="8705" width="44.1640625" style="227" bestFit="1" customWidth="1"/>
    <col min="8706" max="8706" width="15.5" style="227" bestFit="1" customWidth="1"/>
    <col min="8707" max="8707" width="10" style="227" customWidth="1"/>
    <col min="8708" max="8708" width="4.5" style="227" customWidth="1"/>
    <col min="8709" max="8709" width="10" style="227" customWidth="1"/>
    <col min="8710" max="8710" width="11.1640625" style="227" customWidth="1"/>
    <col min="8711" max="8711" width="12.83203125" style="227" bestFit="1" customWidth="1"/>
    <col min="8712" max="8712" width="2.83203125" style="227" customWidth="1"/>
    <col min="8713" max="8714" width="11.5" style="227" customWidth="1"/>
    <col min="8715" max="8715" width="12.83203125" style="227" bestFit="1" customWidth="1"/>
    <col min="8716" max="8716" width="15" style="227" bestFit="1" customWidth="1"/>
    <col min="8717" max="8717" width="11.5" style="227" customWidth="1"/>
    <col min="8718" max="8718" width="11.5" style="227" bestFit="1" customWidth="1"/>
    <col min="8719" max="8719" width="3" style="227" customWidth="1"/>
    <col min="8720" max="8721" width="11.5" style="227" customWidth="1"/>
    <col min="8722" max="8722" width="2.5" style="227" customWidth="1"/>
    <col min="8723" max="8723" width="14.83203125" style="227" bestFit="1" customWidth="1"/>
    <col min="8724" max="8724" width="11.5" style="227" customWidth="1"/>
    <col min="8725" max="8725" width="11.5" style="227" bestFit="1" customWidth="1"/>
    <col min="8726" max="8726" width="10" style="227" bestFit="1" customWidth="1"/>
    <col min="8727" max="8727" width="10.83203125" style="227" bestFit="1" customWidth="1"/>
    <col min="8728" max="8728" width="11.5" style="227" customWidth="1"/>
    <col min="8729" max="8729" width="20.83203125" style="227" bestFit="1" customWidth="1"/>
    <col min="8730" max="8960" width="9.1640625" style="227"/>
    <col min="8961" max="8961" width="44.1640625" style="227" bestFit="1" customWidth="1"/>
    <col min="8962" max="8962" width="15.5" style="227" bestFit="1" customWidth="1"/>
    <col min="8963" max="8963" width="10" style="227" customWidth="1"/>
    <col min="8964" max="8964" width="4.5" style="227" customWidth="1"/>
    <col min="8965" max="8965" width="10" style="227" customWidth="1"/>
    <col min="8966" max="8966" width="11.1640625" style="227" customWidth="1"/>
    <col min="8967" max="8967" width="12.83203125" style="227" bestFit="1" customWidth="1"/>
    <col min="8968" max="8968" width="2.83203125" style="227" customWidth="1"/>
    <col min="8969" max="8970" width="11.5" style="227" customWidth="1"/>
    <col min="8971" max="8971" width="12.83203125" style="227" bestFit="1" customWidth="1"/>
    <col min="8972" max="8972" width="15" style="227" bestFit="1" customWidth="1"/>
    <col min="8973" max="8973" width="11.5" style="227" customWidth="1"/>
    <col min="8974" max="8974" width="11.5" style="227" bestFit="1" customWidth="1"/>
    <col min="8975" max="8975" width="3" style="227" customWidth="1"/>
    <col min="8976" max="8977" width="11.5" style="227" customWidth="1"/>
    <col min="8978" max="8978" width="2.5" style="227" customWidth="1"/>
    <col min="8979" max="8979" width="14.83203125" style="227" bestFit="1" customWidth="1"/>
    <col min="8980" max="8980" width="11.5" style="227" customWidth="1"/>
    <col min="8981" max="8981" width="11.5" style="227" bestFit="1" customWidth="1"/>
    <col min="8982" max="8982" width="10" style="227" bestFit="1" customWidth="1"/>
    <col min="8983" max="8983" width="10.83203125" style="227" bestFit="1" customWidth="1"/>
    <col min="8984" max="8984" width="11.5" style="227" customWidth="1"/>
    <col min="8985" max="8985" width="20.83203125" style="227" bestFit="1" customWidth="1"/>
    <col min="8986" max="9216" width="9.1640625" style="227"/>
    <col min="9217" max="9217" width="44.1640625" style="227" bestFit="1" customWidth="1"/>
    <col min="9218" max="9218" width="15.5" style="227" bestFit="1" customWidth="1"/>
    <col min="9219" max="9219" width="10" style="227" customWidth="1"/>
    <col min="9220" max="9220" width="4.5" style="227" customWidth="1"/>
    <col min="9221" max="9221" width="10" style="227" customWidth="1"/>
    <col min="9222" max="9222" width="11.1640625" style="227" customWidth="1"/>
    <col min="9223" max="9223" width="12.83203125" style="227" bestFit="1" customWidth="1"/>
    <col min="9224" max="9224" width="2.83203125" style="227" customWidth="1"/>
    <col min="9225" max="9226" width="11.5" style="227" customWidth="1"/>
    <col min="9227" max="9227" width="12.83203125" style="227" bestFit="1" customWidth="1"/>
    <col min="9228" max="9228" width="15" style="227" bestFit="1" customWidth="1"/>
    <col min="9229" max="9229" width="11.5" style="227" customWidth="1"/>
    <col min="9230" max="9230" width="11.5" style="227" bestFit="1" customWidth="1"/>
    <col min="9231" max="9231" width="3" style="227" customWidth="1"/>
    <col min="9232" max="9233" width="11.5" style="227" customWidth="1"/>
    <col min="9234" max="9234" width="2.5" style="227" customWidth="1"/>
    <col min="9235" max="9235" width="14.83203125" style="227" bestFit="1" customWidth="1"/>
    <col min="9236" max="9236" width="11.5" style="227" customWidth="1"/>
    <col min="9237" max="9237" width="11.5" style="227" bestFit="1" customWidth="1"/>
    <col min="9238" max="9238" width="10" style="227" bestFit="1" customWidth="1"/>
    <col min="9239" max="9239" width="10.83203125" style="227" bestFit="1" customWidth="1"/>
    <col min="9240" max="9240" width="11.5" style="227" customWidth="1"/>
    <col min="9241" max="9241" width="20.83203125" style="227" bestFit="1" customWidth="1"/>
    <col min="9242" max="9472" width="9.1640625" style="227"/>
    <col min="9473" max="9473" width="44.1640625" style="227" bestFit="1" customWidth="1"/>
    <col min="9474" max="9474" width="15.5" style="227" bestFit="1" customWidth="1"/>
    <col min="9475" max="9475" width="10" style="227" customWidth="1"/>
    <col min="9476" max="9476" width="4.5" style="227" customWidth="1"/>
    <col min="9477" max="9477" width="10" style="227" customWidth="1"/>
    <col min="9478" max="9478" width="11.1640625" style="227" customWidth="1"/>
    <col min="9479" max="9479" width="12.83203125" style="227" bestFit="1" customWidth="1"/>
    <col min="9480" max="9480" width="2.83203125" style="227" customWidth="1"/>
    <col min="9481" max="9482" width="11.5" style="227" customWidth="1"/>
    <col min="9483" max="9483" width="12.83203125" style="227" bestFit="1" customWidth="1"/>
    <col min="9484" max="9484" width="15" style="227" bestFit="1" customWidth="1"/>
    <col min="9485" max="9485" width="11.5" style="227" customWidth="1"/>
    <col min="9486" max="9486" width="11.5" style="227" bestFit="1" customWidth="1"/>
    <col min="9487" max="9487" width="3" style="227" customWidth="1"/>
    <col min="9488" max="9489" width="11.5" style="227" customWidth="1"/>
    <col min="9490" max="9490" width="2.5" style="227" customWidth="1"/>
    <col min="9491" max="9491" width="14.83203125" style="227" bestFit="1" customWidth="1"/>
    <col min="9492" max="9492" width="11.5" style="227" customWidth="1"/>
    <col min="9493" max="9493" width="11.5" style="227" bestFit="1" customWidth="1"/>
    <col min="9494" max="9494" width="10" style="227" bestFit="1" customWidth="1"/>
    <col min="9495" max="9495" width="10.83203125" style="227" bestFit="1" customWidth="1"/>
    <col min="9496" max="9496" width="11.5" style="227" customWidth="1"/>
    <col min="9497" max="9497" width="20.83203125" style="227" bestFit="1" customWidth="1"/>
    <col min="9498" max="9728" width="9.1640625" style="227"/>
    <col min="9729" max="9729" width="44.1640625" style="227" bestFit="1" customWidth="1"/>
    <col min="9730" max="9730" width="15.5" style="227" bestFit="1" customWidth="1"/>
    <col min="9731" max="9731" width="10" style="227" customWidth="1"/>
    <col min="9732" max="9732" width="4.5" style="227" customWidth="1"/>
    <col min="9733" max="9733" width="10" style="227" customWidth="1"/>
    <col min="9734" max="9734" width="11.1640625" style="227" customWidth="1"/>
    <col min="9735" max="9735" width="12.83203125" style="227" bestFit="1" customWidth="1"/>
    <col min="9736" max="9736" width="2.83203125" style="227" customWidth="1"/>
    <col min="9737" max="9738" width="11.5" style="227" customWidth="1"/>
    <col min="9739" max="9739" width="12.83203125" style="227" bestFit="1" customWidth="1"/>
    <col min="9740" max="9740" width="15" style="227" bestFit="1" customWidth="1"/>
    <col min="9741" max="9741" width="11.5" style="227" customWidth="1"/>
    <col min="9742" max="9742" width="11.5" style="227" bestFit="1" customWidth="1"/>
    <col min="9743" max="9743" width="3" style="227" customWidth="1"/>
    <col min="9744" max="9745" width="11.5" style="227" customWidth="1"/>
    <col min="9746" max="9746" width="2.5" style="227" customWidth="1"/>
    <col min="9747" max="9747" width="14.83203125" style="227" bestFit="1" customWidth="1"/>
    <col min="9748" max="9748" width="11.5" style="227" customWidth="1"/>
    <col min="9749" max="9749" width="11.5" style="227" bestFit="1" customWidth="1"/>
    <col min="9750" max="9750" width="10" style="227" bestFit="1" customWidth="1"/>
    <col min="9751" max="9751" width="10.83203125" style="227" bestFit="1" customWidth="1"/>
    <col min="9752" max="9752" width="11.5" style="227" customWidth="1"/>
    <col min="9753" max="9753" width="20.83203125" style="227" bestFit="1" customWidth="1"/>
    <col min="9754" max="9984" width="9.1640625" style="227"/>
    <col min="9985" max="9985" width="44.1640625" style="227" bestFit="1" customWidth="1"/>
    <col min="9986" max="9986" width="15.5" style="227" bestFit="1" customWidth="1"/>
    <col min="9987" max="9987" width="10" style="227" customWidth="1"/>
    <col min="9988" max="9988" width="4.5" style="227" customWidth="1"/>
    <col min="9989" max="9989" width="10" style="227" customWidth="1"/>
    <col min="9990" max="9990" width="11.1640625" style="227" customWidth="1"/>
    <col min="9991" max="9991" width="12.83203125" style="227" bestFit="1" customWidth="1"/>
    <col min="9992" max="9992" width="2.83203125" style="227" customWidth="1"/>
    <col min="9993" max="9994" width="11.5" style="227" customWidth="1"/>
    <col min="9995" max="9995" width="12.83203125" style="227" bestFit="1" customWidth="1"/>
    <col min="9996" max="9996" width="15" style="227" bestFit="1" customWidth="1"/>
    <col min="9997" max="9997" width="11.5" style="227" customWidth="1"/>
    <col min="9998" max="9998" width="11.5" style="227" bestFit="1" customWidth="1"/>
    <col min="9999" max="9999" width="3" style="227" customWidth="1"/>
    <col min="10000" max="10001" width="11.5" style="227" customWidth="1"/>
    <col min="10002" max="10002" width="2.5" style="227" customWidth="1"/>
    <col min="10003" max="10003" width="14.83203125" style="227" bestFit="1" customWidth="1"/>
    <col min="10004" max="10004" width="11.5" style="227" customWidth="1"/>
    <col min="10005" max="10005" width="11.5" style="227" bestFit="1" customWidth="1"/>
    <col min="10006" max="10006" width="10" style="227" bestFit="1" customWidth="1"/>
    <col min="10007" max="10007" width="10.83203125" style="227" bestFit="1" customWidth="1"/>
    <col min="10008" max="10008" width="11.5" style="227" customWidth="1"/>
    <col min="10009" max="10009" width="20.83203125" style="227" bestFit="1" customWidth="1"/>
    <col min="10010" max="10240" width="9.1640625" style="227"/>
    <col min="10241" max="10241" width="44.1640625" style="227" bestFit="1" customWidth="1"/>
    <col min="10242" max="10242" width="15.5" style="227" bestFit="1" customWidth="1"/>
    <col min="10243" max="10243" width="10" style="227" customWidth="1"/>
    <col min="10244" max="10244" width="4.5" style="227" customWidth="1"/>
    <col min="10245" max="10245" width="10" style="227" customWidth="1"/>
    <col min="10246" max="10246" width="11.1640625" style="227" customWidth="1"/>
    <col min="10247" max="10247" width="12.83203125" style="227" bestFit="1" customWidth="1"/>
    <col min="10248" max="10248" width="2.83203125" style="227" customWidth="1"/>
    <col min="10249" max="10250" width="11.5" style="227" customWidth="1"/>
    <col min="10251" max="10251" width="12.83203125" style="227" bestFit="1" customWidth="1"/>
    <col min="10252" max="10252" width="15" style="227" bestFit="1" customWidth="1"/>
    <col min="10253" max="10253" width="11.5" style="227" customWidth="1"/>
    <col min="10254" max="10254" width="11.5" style="227" bestFit="1" customWidth="1"/>
    <col min="10255" max="10255" width="3" style="227" customWidth="1"/>
    <col min="10256" max="10257" width="11.5" style="227" customWidth="1"/>
    <col min="10258" max="10258" width="2.5" style="227" customWidth="1"/>
    <col min="10259" max="10259" width="14.83203125" style="227" bestFit="1" customWidth="1"/>
    <col min="10260" max="10260" width="11.5" style="227" customWidth="1"/>
    <col min="10261" max="10261" width="11.5" style="227" bestFit="1" customWidth="1"/>
    <col min="10262" max="10262" width="10" style="227" bestFit="1" customWidth="1"/>
    <col min="10263" max="10263" width="10.83203125" style="227" bestFit="1" customWidth="1"/>
    <col min="10264" max="10264" width="11.5" style="227" customWidth="1"/>
    <col min="10265" max="10265" width="20.83203125" style="227" bestFit="1" customWidth="1"/>
    <col min="10266" max="10496" width="9.1640625" style="227"/>
    <col min="10497" max="10497" width="44.1640625" style="227" bestFit="1" customWidth="1"/>
    <col min="10498" max="10498" width="15.5" style="227" bestFit="1" customWidth="1"/>
    <col min="10499" max="10499" width="10" style="227" customWidth="1"/>
    <col min="10500" max="10500" width="4.5" style="227" customWidth="1"/>
    <col min="10501" max="10501" width="10" style="227" customWidth="1"/>
    <col min="10502" max="10502" width="11.1640625" style="227" customWidth="1"/>
    <col min="10503" max="10503" width="12.83203125" style="227" bestFit="1" customWidth="1"/>
    <col min="10504" max="10504" width="2.83203125" style="227" customWidth="1"/>
    <col min="10505" max="10506" width="11.5" style="227" customWidth="1"/>
    <col min="10507" max="10507" width="12.83203125" style="227" bestFit="1" customWidth="1"/>
    <col min="10508" max="10508" width="15" style="227" bestFit="1" customWidth="1"/>
    <col min="10509" max="10509" width="11.5" style="227" customWidth="1"/>
    <col min="10510" max="10510" width="11.5" style="227" bestFit="1" customWidth="1"/>
    <col min="10511" max="10511" width="3" style="227" customWidth="1"/>
    <col min="10512" max="10513" width="11.5" style="227" customWidth="1"/>
    <col min="10514" max="10514" width="2.5" style="227" customWidth="1"/>
    <col min="10515" max="10515" width="14.83203125" style="227" bestFit="1" customWidth="1"/>
    <col min="10516" max="10516" width="11.5" style="227" customWidth="1"/>
    <col min="10517" max="10517" width="11.5" style="227" bestFit="1" customWidth="1"/>
    <col min="10518" max="10518" width="10" style="227" bestFit="1" customWidth="1"/>
    <col min="10519" max="10519" width="10.83203125" style="227" bestFit="1" customWidth="1"/>
    <col min="10520" max="10520" width="11.5" style="227" customWidth="1"/>
    <col min="10521" max="10521" width="20.83203125" style="227" bestFit="1" customWidth="1"/>
    <col min="10522" max="10752" width="9.1640625" style="227"/>
    <col min="10753" max="10753" width="44.1640625" style="227" bestFit="1" customWidth="1"/>
    <col min="10754" max="10754" width="15.5" style="227" bestFit="1" customWidth="1"/>
    <col min="10755" max="10755" width="10" style="227" customWidth="1"/>
    <col min="10756" max="10756" width="4.5" style="227" customWidth="1"/>
    <col min="10757" max="10757" width="10" style="227" customWidth="1"/>
    <col min="10758" max="10758" width="11.1640625" style="227" customWidth="1"/>
    <col min="10759" max="10759" width="12.83203125" style="227" bestFit="1" customWidth="1"/>
    <col min="10760" max="10760" width="2.83203125" style="227" customWidth="1"/>
    <col min="10761" max="10762" width="11.5" style="227" customWidth="1"/>
    <col min="10763" max="10763" width="12.83203125" style="227" bestFit="1" customWidth="1"/>
    <col min="10764" max="10764" width="15" style="227" bestFit="1" customWidth="1"/>
    <col min="10765" max="10765" width="11.5" style="227" customWidth="1"/>
    <col min="10766" max="10766" width="11.5" style="227" bestFit="1" customWidth="1"/>
    <col min="10767" max="10767" width="3" style="227" customWidth="1"/>
    <col min="10768" max="10769" width="11.5" style="227" customWidth="1"/>
    <col min="10770" max="10770" width="2.5" style="227" customWidth="1"/>
    <col min="10771" max="10771" width="14.83203125" style="227" bestFit="1" customWidth="1"/>
    <col min="10772" max="10772" width="11.5" style="227" customWidth="1"/>
    <col min="10773" max="10773" width="11.5" style="227" bestFit="1" customWidth="1"/>
    <col min="10774" max="10774" width="10" style="227" bestFit="1" customWidth="1"/>
    <col min="10775" max="10775" width="10.83203125" style="227" bestFit="1" customWidth="1"/>
    <col min="10776" max="10776" width="11.5" style="227" customWidth="1"/>
    <col min="10777" max="10777" width="20.83203125" style="227" bestFit="1" customWidth="1"/>
    <col min="10778" max="11008" width="9.1640625" style="227"/>
    <col min="11009" max="11009" width="44.1640625" style="227" bestFit="1" customWidth="1"/>
    <col min="11010" max="11010" width="15.5" style="227" bestFit="1" customWidth="1"/>
    <col min="11011" max="11011" width="10" style="227" customWidth="1"/>
    <col min="11012" max="11012" width="4.5" style="227" customWidth="1"/>
    <col min="11013" max="11013" width="10" style="227" customWidth="1"/>
    <col min="11014" max="11014" width="11.1640625" style="227" customWidth="1"/>
    <col min="11015" max="11015" width="12.83203125" style="227" bestFit="1" customWidth="1"/>
    <col min="11016" max="11016" width="2.83203125" style="227" customWidth="1"/>
    <col min="11017" max="11018" width="11.5" style="227" customWidth="1"/>
    <col min="11019" max="11019" width="12.83203125" style="227" bestFit="1" customWidth="1"/>
    <col min="11020" max="11020" width="15" style="227" bestFit="1" customWidth="1"/>
    <col min="11021" max="11021" width="11.5" style="227" customWidth="1"/>
    <col min="11022" max="11022" width="11.5" style="227" bestFit="1" customWidth="1"/>
    <col min="11023" max="11023" width="3" style="227" customWidth="1"/>
    <col min="11024" max="11025" width="11.5" style="227" customWidth="1"/>
    <col min="11026" max="11026" width="2.5" style="227" customWidth="1"/>
    <col min="11027" max="11027" width="14.83203125" style="227" bestFit="1" customWidth="1"/>
    <col min="11028" max="11028" width="11.5" style="227" customWidth="1"/>
    <col min="11029" max="11029" width="11.5" style="227" bestFit="1" customWidth="1"/>
    <col min="11030" max="11030" width="10" style="227" bestFit="1" customWidth="1"/>
    <col min="11031" max="11031" width="10.83203125" style="227" bestFit="1" customWidth="1"/>
    <col min="11032" max="11032" width="11.5" style="227" customWidth="1"/>
    <col min="11033" max="11033" width="20.83203125" style="227" bestFit="1" customWidth="1"/>
    <col min="11034" max="11264" width="9.1640625" style="227"/>
    <col min="11265" max="11265" width="44.1640625" style="227" bestFit="1" customWidth="1"/>
    <col min="11266" max="11266" width="15.5" style="227" bestFit="1" customWidth="1"/>
    <col min="11267" max="11267" width="10" style="227" customWidth="1"/>
    <col min="11268" max="11268" width="4.5" style="227" customWidth="1"/>
    <col min="11269" max="11269" width="10" style="227" customWidth="1"/>
    <col min="11270" max="11270" width="11.1640625" style="227" customWidth="1"/>
    <col min="11271" max="11271" width="12.83203125" style="227" bestFit="1" customWidth="1"/>
    <col min="11272" max="11272" width="2.83203125" style="227" customWidth="1"/>
    <col min="11273" max="11274" width="11.5" style="227" customWidth="1"/>
    <col min="11275" max="11275" width="12.83203125" style="227" bestFit="1" customWidth="1"/>
    <col min="11276" max="11276" width="15" style="227" bestFit="1" customWidth="1"/>
    <col min="11277" max="11277" width="11.5" style="227" customWidth="1"/>
    <col min="11278" max="11278" width="11.5" style="227" bestFit="1" customWidth="1"/>
    <col min="11279" max="11279" width="3" style="227" customWidth="1"/>
    <col min="11280" max="11281" width="11.5" style="227" customWidth="1"/>
    <col min="11282" max="11282" width="2.5" style="227" customWidth="1"/>
    <col min="11283" max="11283" width="14.83203125" style="227" bestFit="1" customWidth="1"/>
    <col min="11284" max="11284" width="11.5" style="227" customWidth="1"/>
    <col min="11285" max="11285" width="11.5" style="227" bestFit="1" customWidth="1"/>
    <col min="11286" max="11286" width="10" style="227" bestFit="1" customWidth="1"/>
    <col min="11287" max="11287" width="10.83203125" style="227" bestFit="1" customWidth="1"/>
    <col min="11288" max="11288" width="11.5" style="227" customWidth="1"/>
    <col min="11289" max="11289" width="20.83203125" style="227" bestFit="1" customWidth="1"/>
    <col min="11290" max="11520" width="9.1640625" style="227"/>
    <col min="11521" max="11521" width="44.1640625" style="227" bestFit="1" customWidth="1"/>
    <col min="11522" max="11522" width="15.5" style="227" bestFit="1" customWidth="1"/>
    <col min="11523" max="11523" width="10" style="227" customWidth="1"/>
    <col min="11524" max="11524" width="4.5" style="227" customWidth="1"/>
    <col min="11525" max="11525" width="10" style="227" customWidth="1"/>
    <col min="11526" max="11526" width="11.1640625" style="227" customWidth="1"/>
    <col min="11527" max="11527" width="12.83203125" style="227" bestFit="1" customWidth="1"/>
    <col min="11528" max="11528" width="2.83203125" style="227" customWidth="1"/>
    <col min="11529" max="11530" width="11.5" style="227" customWidth="1"/>
    <col min="11531" max="11531" width="12.83203125" style="227" bestFit="1" customWidth="1"/>
    <col min="11532" max="11532" width="15" style="227" bestFit="1" customWidth="1"/>
    <col min="11533" max="11533" width="11.5" style="227" customWidth="1"/>
    <col min="11534" max="11534" width="11.5" style="227" bestFit="1" customWidth="1"/>
    <col min="11535" max="11535" width="3" style="227" customWidth="1"/>
    <col min="11536" max="11537" width="11.5" style="227" customWidth="1"/>
    <col min="11538" max="11538" width="2.5" style="227" customWidth="1"/>
    <col min="11539" max="11539" width="14.83203125" style="227" bestFit="1" customWidth="1"/>
    <col min="11540" max="11540" width="11.5" style="227" customWidth="1"/>
    <col min="11541" max="11541" width="11.5" style="227" bestFit="1" customWidth="1"/>
    <col min="11542" max="11542" width="10" style="227" bestFit="1" customWidth="1"/>
    <col min="11543" max="11543" width="10.83203125" style="227" bestFit="1" customWidth="1"/>
    <col min="11544" max="11544" width="11.5" style="227" customWidth="1"/>
    <col min="11545" max="11545" width="20.83203125" style="227" bestFit="1" customWidth="1"/>
    <col min="11546" max="11776" width="9.1640625" style="227"/>
    <col min="11777" max="11777" width="44.1640625" style="227" bestFit="1" customWidth="1"/>
    <col min="11778" max="11778" width="15.5" style="227" bestFit="1" customWidth="1"/>
    <col min="11779" max="11779" width="10" style="227" customWidth="1"/>
    <col min="11780" max="11780" width="4.5" style="227" customWidth="1"/>
    <col min="11781" max="11781" width="10" style="227" customWidth="1"/>
    <col min="11782" max="11782" width="11.1640625" style="227" customWidth="1"/>
    <col min="11783" max="11783" width="12.83203125" style="227" bestFit="1" customWidth="1"/>
    <col min="11784" max="11784" width="2.83203125" style="227" customWidth="1"/>
    <col min="11785" max="11786" width="11.5" style="227" customWidth="1"/>
    <col min="11787" max="11787" width="12.83203125" style="227" bestFit="1" customWidth="1"/>
    <col min="11788" max="11788" width="15" style="227" bestFit="1" customWidth="1"/>
    <col min="11789" max="11789" width="11.5" style="227" customWidth="1"/>
    <col min="11790" max="11790" width="11.5" style="227" bestFit="1" customWidth="1"/>
    <col min="11791" max="11791" width="3" style="227" customWidth="1"/>
    <col min="11792" max="11793" width="11.5" style="227" customWidth="1"/>
    <col min="11794" max="11794" width="2.5" style="227" customWidth="1"/>
    <col min="11795" max="11795" width="14.83203125" style="227" bestFit="1" customWidth="1"/>
    <col min="11796" max="11796" width="11.5" style="227" customWidth="1"/>
    <col min="11797" max="11797" width="11.5" style="227" bestFit="1" customWidth="1"/>
    <col min="11798" max="11798" width="10" style="227" bestFit="1" customWidth="1"/>
    <col min="11799" max="11799" width="10.83203125" style="227" bestFit="1" customWidth="1"/>
    <col min="11800" max="11800" width="11.5" style="227" customWidth="1"/>
    <col min="11801" max="11801" width="20.83203125" style="227" bestFit="1" customWidth="1"/>
    <col min="11802" max="12032" width="9.1640625" style="227"/>
    <col min="12033" max="12033" width="44.1640625" style="227" bestFit="1" customWidth="1"/>
    <col min="12034" max="12034" width="15.5" style="227" bestFit="1" customWidth="1"/>
    <col min="12035" max="12035" width="10" style="227" customWidth="1"/>
    <col min="12036" max="12036" width="4.5" style="227" customWidth="1"/>
    <col min="12037" max="12037" width="10" style="227" customWidth="1"/>
    <col min="12038" max="12038" width="11.1640625" style="227" customWidth="1"/>
    <col min="12039" max="12039" width="12.83203125" style="227" bestFit="1" customWidth="1"/>
    <col min="12040" max="12040" width="2.83203125" style="227" customWidth="1"/>
    <col min="12041" max="12042" width="11.5" style="227" customWidth="1"/>
    <col min="12043" max="12043" width="12.83203125" style="227" bestFit="1" customWidth="1"/>
    <col min="12044" max="12044" width="15" style="227" bestFit="1" customWidth="1"/>
    <col min="12045" max="12045" width="11.5" style="227" customWidth="1"/>
    <col min="12046" max="12046" width="11.5" style="227" bestFit="1" customWidth="1"/>
    <col min="12047" max="12047" width="3" style="227" customWidth="1"/>
    <col min="12048" max="12049" width="11.5" style="227" customWidth="1"/>
    <col min="12050" max="12050" width="2.5" style="227" customWidth="1"/>
    <col min="12051" max="12051" width="14.83203125" style="227" bestFit="1" customWidth="1"/>
    <col min="12052" max="12052" width="11.5" style="227" customWidth="1"/>
    <col min="12053" max="12053" width="11.5" style="227" bestFit="1" customWidth="1"/>
    <col min="12054" max="12054" width="10" style="227" bestFit="1" customWidth="1"/>
    <col min="12055" max="12055" width="10.83203125" style="227" bestFit="1" customWidth="1"/>
    <col min="12056" max="12056" width="11.5" style="227" customWidth="1"/>
    <col min="12057" max="12057" width="20.83203125" style="227" bestFit="1" customWidth="1"/>
    <col min="12058" max="12288" width="9.1640625" style="227"/>
    <col min="12289" max="12289" width="44.1640625" style="227" bestFit="1" customWidth="1"/>
    <col min="12290" max="12290" width="15.5" style="227" bestFit="1" customWidth="1"/>
    <col min="12291" max="12291" width="10" style="227" customWidth="1"/>
    <col min="12292" max="12292" width="4.5" style="227" customWidth="1"/>
    <col min="12293" max="12293" width="10" style="227" customWidth="1"/>
    <col min="12294" max="12294" width="11.1640625" style="227" customWidth="1"/>
    <col min="12295" max="12295" width="12.83203125" style="227" bestFit="1" customWidth="1"/>
    <col min="12296" max="12296" width="2.83203125" style="227" customWidth="1"/>
    <col min="12297" max="12298" width="11.5" style="227" customWidth="1"/>
    <col min="12299" max="12299" width="12.83203125" style="227" bestFit="1" customWidth="1"/>
    <col min="12300" max="12300" width="15" style="227" bestFit="1" customWidth="1"/>
    <col min="12301" max="12301" width="11.5" style="227" customWidth="1"/>
    <col min="12302" max="12302" width="11.5" style="227" bestFit="1" customWidth="1"/>
    <col min="12303" max="12303" width="3" style="227" customWidth="1"/>
    <col min="12304" max="12305" width="11.5" style="227" customWidth="1"/>
    <col min="12306" max="12306" width="2.5" style="227" customWidth="1"/>
    <col min="12307" max="12307" width="14.83203125" style="227" bestFit="1" customWidth="1"/>
    <col min="12308" max="12308" width="11.5" style="227" customWidth="1"/>
    <col min="12309" max="12309" width="11.5" style="227" bestFit="1" customWidth="1"/>
    <col min="12310" max="12310" width="10" style="227" bestFit="1" customWidth="1"/>
    <col min="12311" max="12311" width="10.83203125" style="227" bestFit="1" customWidth="1"/>
    <col min="12312" max="12312" width="11.5" style="227" customWidth="1"/>
    <col min="12313" max="12313" width="20.83203125" style="227" bestFit="1" customWidth="1"/>
    <col min="12314" max="12544" width="9.1640625" style="227"/>
    <col min="12545" max="12545" width="44.1640625" style="227" bestFit="1" customWidth="1"/>
    <col min="12546" max="12546" width="15.5" style="227" bestFit="1" customWidth="1"/>
    <col min="12547" max="12547" width="10" style="227" customWidth="1"/>
    <col min="12548" max="12548" width="4.5" style="227" customWidth="1"/>
    <col min="12549" max="12549" width="10" style="227" customWidth="1"/>
    <col min="12550" max="12550" width="11.1640625" style="227" customWidth="1"/>
    <col min="12551" max="12551" width="12.83203125" style="227" bestFit="1" customWidth="1"/>
    <col min="12552" max="12552" width="2.83203125" style="227" customWidth="1"/>
    <col min="12553" max="12554" width="11.5" style="227" customWidth="1"/>
    <col min="12555" max="12555" width="12.83203125" style="227" bestFit="1" customWidth="1"/>
    <col min="12556" max="12556" width="15" style="227" bestFit="1" customWidth="1"/>
    <col min="12557" max="12557" width="11.5" style="227" customWidth="1"/>
    <col min="12558" max="12558" width="11.5" style="227" bestFit="1" customWidth="1"/>
    <col min="12559" max="12559" width="3" style="227" customWidth="1"/>
    <col min="12560" max="12561" width="11.5" style="227" customWidth="1"/>
    <col min="12562" max="12562" width="2.5" style="227" customWidth="1"/>
    <col min="12563" max="12563" width="14.83203125" style="227" bestFit="1" customWidth="1"/>
    <col min="12564" max="12564" width="11.5" style="227" customWidth="1"/>
    <col min="12565" max="12565" width="11.5" style="227" bestFit="1" customWidth="1"/>
    <col min="12566" max="12566" width="10" style="227" bestFit="1" customWidth="1"/>
    <col min="12567" max="12567" width="10.83203125" style="227" bestFit="1" customWidth="1"/>
    <col min="12568" max="12568" width="11.5" style="227" customWidth="1"/>
    <col min="12569" max="12569" width="20.83203125" style="227" bestFit="1" customWidth="1"/>
    <col min="12570" max="12800" width="9.1640625" style="227"/>
    <col min="12801" max="12801" width="44.1640625" style="227" bestFit="1" customWidth="1"/>
    <col min="12802" max="12802" width="15.5" style="227" bestFit="1" customWidth="1"/>
    <col min="12803" max="12803" width="10" style="227" customWidth="1"/>
    <col min="12804" max="12804" width="4.5" style="227" customWidth="1"/>
    <col min="12805" max="12805" width="10" style="227" customWidth="1"/>
    <col min="12806" max="12806" width="11.1640625" style="227" customWidth="1"/>
    <col min="12807" max="12807" width="12.83203125" style="227" bestFit="1" customWidth="1"/>
    <col min="12808" max="12808" width="2.83203125" style="227" customWidth="1"/>
    <col min="12809" max="12810" width="11.5" style="227" customWidth="1"/>
    <col min="12811" max="12811" width="12.83203125" style="227" bestFit="1" customWidth="1"/>
    <col min="12812" max="12812" width="15" style="227" bestFit="1" customWidth="1"/>
    <col min="12813" max="12813" width="11.5" style="227" customWidth="1"/>
    <col min="12814" max="12814" width="11.5" style="227" bestFit="1" customWidth="1"/>
    <col min="12815" max="12815" width="3" style="227" customWidth="1"/>
    <col min="12816" max="12817" width="11.5" style="227" customWidth="1"/>
    <col min="12818" max="12818" width="2.5" style="227" customWidth="1"/>
    <col min="12819" max="12819" width="14.83203125" style="227" bestFit="1" customWidth="1"/>
    <col min="12820" max="12820" width="11.5" style="227" customWidth="1"/>
    <col min="12821" max="12821" width="11.5" style="227" bestFit="1" customWidth="1"/>
    <col min="12822" max="12822" width="10" style="227" bestFit="1" customWidth="1"/>
    <col min="12823" max="12823" width="10.83203125" style="227" bestFit="1" customWidth="1"/>
    <col min="12824" max="12824" width="11.5" style="227" customWidth="1"/>
    <col min="12825" max="12825" width="20.83203125" style="227" bestFit="1" customWidth="1"/>
    <col min="12826" max="13056" width="9.1640625" style="227"/>
    <col min="13057" max="13057" width="44.1640625" style="227" bestFit="1" customWidth="1"/>
    <col min="13058" max="13058" width="15.5" style="227" bestFit="1" customWidth="1"/>
    <col min="13059" max="13059" width="10" style="227" customWidth="1"/>
    <col min="13060" max="13060" width="4.5" style="227" customWidth="1"/>
    <col min="13061" max="13061" width="10" style="227" customWidth="1"/>
    <col min="13062" max="13062" width="11.1640625" style="227" customWidth="1"/>
    <col min="13063" max="13063" width="12.83203125" style="227" bestFit="1" customWidth="1"/>
    <col min="13064" max="13064" width="2.83203125" style="227" customWidth="1"/>
    <col min="13065" max="13066" width="11.5" style="227" customWidth="1"/>
    <col min="13067" max="13067" width="12.83203125" style="227" bestFit="1" customWidth="1"/>
    <col min="13068" max="13068" width="15" style="227" bestFit="1" customWidth="1"/>
    <col min="13069" max="13069" width="11.5" style="227" customWidth="1"/>
    <col min="13070" max="13070" width="11.5" style="227" bestFit="1" customWidth="1"/>
    <col min="13071" max="13071" width="3" style="227" customWidth="1"/>
    <col min="13072" max="13073" width="11.5" style="227" customWidth="1"/>
    <col min="13074" max="13074" width="2.5" style="227" customWidth="1"/>
    <col min="13075" max="13075" width="14.83203125" style="227" bestFit="1" customWidth="1"/>
    <col min="13076" max="13076" width="11.5" style="227" customWidth="1"/>
    <col min="13077" max="13077" width="11.5" style="227" bestFit="1" customWidth="1"/>
    <col min="13078" max="13078" width="10" style="227" bestFit="1" customWidth="1"/>
    <col min="13079" max="13079" width="10.83203125" style="227" bestFit="1" customWidth="1"/>
    <col min="13080" max="13080" width="11.5" style="227" customWidth="1"/>
    <col min="13081" max="13081" width="20.83203125" style="227" bestFit="1" customWidth="1"/>
    <col min="13082" max="13312" width="9.1640625" style="227"/>
    <col min="13313" max="13313" width="44.1640625" style="227" bestFit="1" customWidth="1"/>
    <col min="13314" max="13314" width="15.5" style="227" bestFit="1" customWidth="1"/>
    <col min="13315" max="13315" width="10" style="227" customWidth="1"/>
    <col min="13316" max="13316" width="4.5" style="227" customWidth="1"/>
    <col min="13317" max="13317" width="10" style="227" customWidth="1"/>
    <col min="13318" max="13318" width="11.1640625" style="227" customWidth="1"/>
    <col min="13319" max="13319" width="12.83203125" style="227" bestFit="1" customWidth="1"/>
    <col min="13320" max="13320" width="2.83203125" style="227" customWidth="1"/>
    <col min="13321" max="13322" width="11.5" style="227" customWidth="1"/>
    <col min="13323" max="13323" width="12.83203125" style="227" bestFit="1" customWidth="1"/>
    <col min="13324" max="13324" width="15" style="227" bestFit="1" customWidth="1"/>
    <col min="13325" max="13325" width="11.5" style="227" customWidth="1"/>
    <col min="13326" max="13326" width="11.5" style="227" bestFit="1" customWidth="1"/>
    <col min="13327" max="13327" width="3" style="227" customWidth="1"/>
    <col min="13328" max="13329" width="11.5" style="227" customWidth="1"/>
    <col min="13330" max="13330" width="2.5" style="227" customWidth="1"/>
    <col min="13331" max="13331" width="14.83203125" style="227" bestFit="1" customWidth="1"/>
    <col min="13332" max="13332" width="11.5" style="227" customWidth="1"/>
    <col min="13333" max="13333" width="11.5" style="227" bestFit="1" customWidth="1"/>
    <col min="13334" max="13334" width="10" style="227" bestFit="1" customWidth="1"/>
    <col min="13335" max="13335" width="10.83203125" style="227" bestFit="1" customWidth="1"/>
    <col min="13336" max="13336" width="11.5" style="227" customWidth="1"/>
    <col min="13337" max="13337" width="20.83203125" style="227" bestFit="1" customWidth="1"/>
    <col min="13338" max="13568" width="9.1640625" style="227"/>
    <col min="13569" max="13569" width="44.1640625" style="227" bestFit="1" customWidth="1"/>
    <col min="13570" max="13570" width="15.5" style="227" bestFit="1" customWidth="1"/>
    <col min="13571" max="13571" width="10" style="227" customWidth="1"/>
    <col min="13572" max="13572" width="4.5" style="227" customWidth="1"/>
    <col min="13573" max="13573" width="10" style="227" customWidth="1"/>
    <col min="13574" max="13574" width="11.1640625" style="227" customWidth="1"/>
    <col min="13575" max="13575" width="12.83203125" style="227" bestFit="1" customWidth="1"/>
    <col min="13576" max="13576" width="2.83203125" style="227" customWidth="1"/>
    <col min="13577" max="13578" width="11.5" style="227" customWidth="1"/>
    <col min="13579" max="13579" width="12.83203125" style="227" bestFit="1" customWidth="1"/>
    <col min="13580" max="13580" width="15" style="227" bestFit="1" customWidth="1"/>
    <col min="13581" max="13581" width="11.5" style="227" customWidth="1"/>
    <col min="13582" max="13582" width="11.5" style="227" bestFit="1" customWidth="1"/>
    <col min="13583" max="13583" width="3" style="227" customWidth="1"/>
    <col min="13584" max="13585" width="11.5" style="227" customWidth="1"/>
    <col min="13586" max="13586" width="2.5" style="227" customWidth="1"/>
    <col min="13587" max="13587" width="14.83203125" style="227" bestFit="1" customWidth="1"/>
    <col min="13588" max="13588" width="11.5" style="227" customWidth="1"/>
    <col min="13589" max="13589" width="11.5" style="227" bestFit="1" customWidth="1"/>
    <col min="13590" max="13590" width="10" style="227" bestFit="1" customWidth="1"/>
    <col min="13591" max="13591" width="10.83203125" style="227" bestFit="1" customWidth="1"/>
    <col min="13592" max="13592" width="11.5" style="227" customWidth="1"/>
    <col min="13593" max="13593" width="20.83203125" style="227" bestFit="1" customWidth="1"/>
    <col min="13594" max="13824" width="9.1640625" style="227"/>
    <col min="13825" max="13825" width="44.1640625" style="227" bestFit="1" customWidth="1"/>
    <col min="13826" max="13826" width="15.5" style="227" bestFit="1" customWidth="1"/>
    <col min="13827" max="13827" width="10" style="227" customWidth="1"/>
    <col min="13828" max="13828" width="4.5" style="227" customWidth="1"/>
    <col min="13829" max="13829" width="10" style="227" customWidth="1"/>
    <col min="13830" max="13830" width="11.1640625" style="227" customWidth="1"/>
    <col min="13831" max="13831" width="12.83203125" style="227" bestFit="1" customWidth="1"/>
    <col min="13832" max="13832" width="2.83203125" style="227" customWidth="1"/>
    <col min="13833" max="13834" width="11.5" style="227" customWidth="1"/>
    <col min="13835" max="13835" width="12.83203125" style="227" bestFit="1" customWidth="1"/>
    <col min="13836" max="13836" width="15" style="227" bestFit="1" customWidth="1"/>
    <col min="13837" max="13837" width="11.5" style="227" customWidth="1"/>
    <col min="13838" max="13838" width="11.5" style="227" bestFit="1" customWidth="1"/>
    <col min="13839" max="13839" width="3" style="227" customWidth="1"/>
    <col min="13840" max="13841" width="11.5" style="227" customWidth="1"/>
    <col min="13842" max="13842" width="2.5" style="227" customWidth="1"/>
    <col min="13843" max="13843" width="14.83203125" style="227" bestFit="1" customWidth="1"/>
    <col min="13844" max="13844" width="11.5" style="227" customWidth="1"/>
    <col min="13845" max="13845" width="11.5" style="227" bestFit="1" customWidth="1"/>
    <col min="13846" max="13846" width="10" style="227" bestFit="1" customWidth="1"/>
    <col min="13847" max="13847" width="10.83203125" style="227" bestFit="1" customWidth="1"/>
    <col min="13848" max="13848" width="11.5" style="227" customWidth="1"/>
    <col min="13849" max="13849" width="20.83203125" style="227" bestFit="1" customWidth="1"/>
    <col min="13850" max="14080" width="9.1640625" style="227"/>
    <col min="14081" max="14081" width="44.1640625" style="227" bestFit="1" customWidth="1"/>
    <col min="14082" max="14082" width="15.5" style="227" bestFit="1" customWidth="1"/>
    <col min="14083" max="14083" width="10" style="227" customWidth="1"/>
    <col min="14084" max="14084" width="4.5" style="227" customWidth="1"/>
    <col min="14085" max="14085" width="10" style="227" customWidth="1"/>
    <col min="14086" max="14086" width="11.1640625" style="227" customWidth="1"/>
    <col min="14087" max="14087" width="12.83203125" style="227" bestFit="1" customWidth="1"/>
    <col min="14088" max="14088" width="2.83203125" style="227" customWidth="1"/>
    <col min="14089" max="14090" width="11.5" style="227" customWidth="1"/>
    <col min="14091" max="14091" width="12.83203125" style="227" bestFit="1" customWidth="1"/>
    <col min="14092" max="14092" width="15" style="227" bestFit="1" customWidth="1"/>
    <col min="14093" max="14093" width="11.5" style="227" customWidth="1"/>
    <col min="14094" max="14094" width="11.5" style="227" bestFit="1" customWidth="1"/>
    <col min="14095" max="14095" width="3" style="227" customWidth="1"/>
    <col min="14096" max="14097" width="11.5" style="227" customWidth="1"/>
    <col min="14098" max="14098" width="2.5" style="227" customWidth="1"/>
    <col min="14099" max="14099" width="14.83203125" style="227" bestFit="1" customWidth="1"/>
    <col min="14100" max="14100" width="11.5" style="227" customWidth="1"/>
    <col min="14101" max="14101" width="11.5" style="227" bestFit="1" customWidth="1"/>
    <col min="14102" max="14102" width="10" style="227" bestFit="1" customWidth="1"/>
    <col min="14103" max="14103" width="10.83203125" style="227" bestFit="1" customWidth="1"/>
    <col min="14104" max="14104" width="11.5" style="227" customWidth="1"/>
    <col min="14105" max="14105" width="20.83203125" style="227" bestFit="1" customWidth="1"/>
    <col min="14106" max="14336" width="9.1640625" style="227"/>
    <col min="14337" max="14337" width="44.1640625" style="227" bestFit="1" customWidth="1"/>
    <col min="14338" max="14338" width="15.5" style="227" bestFit="1" customWidth="1"/>
    <col min="14339" max="14339" width="10" style="227" customWidth="1"/>
    <col min="14340" max="14340" width="4.5" style="227" customWidth="1"/>
    <col min="14341" max="14341" width="10" style="227" customWidth="1"/>
    <col min="14342" max="14342" width="11.1640625" style="227" customWidth="1"/>
    <col min="14343" max="14343" width="12.83203125" style="227" bestFit="1" customWidth="1"/>
    <col min="14344" max="14344" width="2.83203125" style="227" customWidth="1"/>
    <col min="14345" max="14346" width="11.5" style="227" customWidth="1"/>
    <col min="14347" max="14347" width="12.83203125" style="227" bestFit="1" customWidth="1"/>
    <col min="14348" max="14348" width="15" style="227" bestFit="1" customWidth="1"/>
    <col min="14349" max="14349" width="11.5" style="227" customWidth="1"/>
    <col min="14350" max="14350" width="11.5" style="227" bestFit="1" customWidth="1"/>
    <col min="14351" max="14351" width="3" style="227" customWidth="1"/>
    <col min="14352" max="14353" width="11.5" style="227" customWidth="1"/>
    <col min="14354" max="14354" width="2.5" style="227" customWidth="1"/>
    <col min="14355" max="14355" width="14.83203125" style="227" bestFit="1" customWidth="1"/>
    <col min="14356" max="14356" width="11.5" style="227" customWidth="1"/>
    <col min="14357" max="14357" width="11.5" style="227" bestFit="1" customWidth="1"/>
    <col min="14358" max="14358" width="10" style="227" bestFit="1" customWidth="1"/>
    <col min="14359" max="14359" width="10.83203125" style="227" bestFit="1" customWidth="1"/>
    <col min="14360" max="14360" width="11.5" style="227" customWidth="1"/>
    <col min="14361" max="14361" width="20.83203125" style="227" bestFit="1" customWidth="1"/>
    <col min="14362" max="14592" width="9.1640625" style="227"/>
    <col min="14593" max="14593" width="44.1640625" style="227" bestFit="1" customWidth="1"/>
    <col min="14594" max="14594" width="15.5" style="227" bestFit="1" customWidth="1"/>
    <col min="14595" max="14595" width="10" style="227" customWidth="1"/>
    <col min="14596" max="14596" width="4.5" style="227" customWidth="1"/>
    <col min="14597" max="14597" width="10" style="227" customWidth="1"/>
    <col min="14598" max="14598" width="11.1640625" style="227" customWidth="1"/>
    <col min="14599" max="14599" width="12.83203125" style="227" bestFit="1" customWidth="1"/>
    <col min="14600" max="14600" width="2.83203125" style="227" customWidth="1"/>
    <col min="14601" max="14602" width="11.5" style="227" customWidth="1"/>
    <col min="14603" max="14603" width="12.83203125" style="227" bestFit="1" customWidth="1"/>
    <col min="14604" max="14604" width="15" style="227" bestFit="1" customWidth="1"/>
    <col min="14605" max="14605" width="11.5" style="227" customWidth="1"/>
    <col min="14606" max="14606" width="11.5" style="227" bestFit="1" customWidth="1"/>
    <col min="14607" max="14607" width="3" style="227" customWidth="1"/>
    <col min="14608" max="14609" width="11.5" style="227" customWidth="1"/>
    <col min="14610" max="14610" width="2.5" style="227" customWidth="1"/>
    <col min="14611" max="14611" width="14.83203125" style="227" bestFit="1" customWidth="1"/>
    <col min="14612" max="14612" width="11.5" style="227" customWidth="1"/>
    <col min="14613" max="14613" width="11.5" style="227" bestFit="1" customWidth="1"/>
    <col min="14614" max="14614" width="10" style="227" bestFit="1" customWidth="1"/>
    <col min="14615" max="14615" width="10.83203125" style="227" bestFit="1" customWidth="1"/>
    <col min="14616" max="14616" width="11.5" style="227" customWidth="1"/>
    <col min="14617" max="14617" width="20.83203125" style="227" bestFit="1" customWidth="1"/>
    <col min="14618" max="14848" width="9.1640625" style="227"/>
    <col min="14849" max="14849" width="44.1640625" style="227" bestFit="1" customWidth="1"/>
    <col min="14850" max="14850" width="15.5" style="227" bestFit="1" customWidth="1"/>
    <col min="14851" max="14851" width="10" style="227" customWidth="1"/>
    <col min="14852" max="14852" width="4.5" style="227" customWidth="1"/>
    <col min="14853" max="14853" width="10" style="227" customWidth="1"/>
    <col min="14854" max="14854" width="11.1640625" style="227" customWidth="1"/>
    <col min="14855" max="14855" width="12.83203125" style="227" bestFit="1" customWidth="1"/>
    <col min="14856" max="14856" width="2.83203125" style="227" customWidth="1"/>
    <col min="14857" max="14858" width="11.5" style="227" customWidth="1"/>
    <col min="14859" max="14859" width="12.83203125" style="227" bestFit="1" customWidth="1"/>
    <col min="14860" max="14860" width="15" style="227" bestFit="1" customWidth="1"/>
    <col min="14861" max="14861" width="11.5" style="227" customWidth="1"/>
    <col min="14862" max="14862" width="11.5" style="227" bestFit="1" customWidth="1"/>
    <col min="14863" max="14863" width="3" style="227" customWidth="1"/>
    <col min="14864" max="14865" width="11.5" style="227" customWidth="1"/>
    <col min="14866" max="14866" width="2.5" style="227" customWidth="1"/>
    <col min="14867" max="14867" width="14.83203125" style="227" bestFit="1" customWidth="1"/>
    <col min="14868" max="14868" width="11.5" style="227" customWidth="1"/>
    <col min="14869" max="14869" width="11.5" style="227" bestFit="1" customWidth="1"/>
    <col min="14870" max="14870" width="10" style="227" bestFit="1" customWidth="1"/>
    <col min="14871" max="14871" width="10.83203125" style="227" bestFit="1" customWidth="1"/>
    <col min="14872" max="14872" width="11.5" style="227" customWidth="1"/>
    <col min="14873" max="14873" width="20.83203125" style="227" bestFit="1" customWidth="1"/>
    <col min="14874" max="15104" width="9.1640625" style="227"/>
    <col min="15105" max="15105" width="44.1640625" style="227" bestFit="1" customWidth="1"/>
    <col min="15106" max="15106" width="15.5" style="227" bestFit="1" customWidth="1"/>
    <col min="15107" max="15107" width="10" style="227" customWidth="1"/>
    <col min="15108" max="15108" width="4.5" style="227" customWidth="1"/>
    <col min="15109" max="15109" width="10" style="227" customWidth="1"/>
    <col min="15110" max="15110" width="11.1640625" style="227" customWidth="1"/>
    <col min="15111" max="15111" width="12.83203125" style="227" bestFit="1" customWidth="1"/>
    <col min="15112" max="15112" width="2.83203125" style="227" customWidth="1"/>
    <col min="15113" max="15114" width="11.5" style="227" customWidth="1"/>
    <col min="15115" max="15115" width="12.83203125" style="227" bestFit="1" customWidth="1"/>
    <col min="15116" max="15116" width="15" style="227" bestFit="1" customWidth="1"/>
    <col min="15117" max="15117" width="11.5" style="227" customWidth="1"/>
    <col min="15118" max="15118" width="11.5" style="227" bestFit="1" customWidth="1"/>
    <col min="15119" max="15119" width="3" style="227" customWidth="1"/>
    <col min="15120" max="15121" width="11.5" style="227" customWidth="1"/>
    <col min="15122" max="15122" width="2.5" style="227" customWidth="1"/>
    <col min="15123" max="15123" width="14.83203125" style="227" bestFit="1" customWidth="1"/>
    <col min="15124" max="15124" width="11.5" style="227" customWidth="1"/>
    <col min="15125" max="15125" width="11.5" style="227" bestFit="1" customWidth="1"/>
    <col min="15126" max="15126" width="10" style="227" bestFit="1" customWidth="1"/>
    <col min="15127" max="15127" width="10.83203125" style="227" bestFit="1" customWidth="1"/>
    <col min="15128" max="15128" width="11.5" style="227" customWidth="1"/>
    <col min="15129" max="15129" width="20.83203125" style="227" bestFit="1" customWidth="1"/>
    <col min="15130" max="15360" width="9.1640625" style="227"/>
    <col min="15361" max="15361" width="44.1640625" style="227" bestFit="1" customWidth="1"/>
    <col min="15362" max="15362" width="15.5" style="227" bestFit="1" customWidth="1"/>
    <col min="15363" max="15363" width="10" style="227" customWidth="1"/>
    <col min="15364" max="15364" width="4.5" style="227" customWidth="1"/>
    <col min="15365" max="15365" width="10" style="227" customWidth="1"/>
    <col min="15366" max="15366" width="11.1640625" style="227" customWidth="1"/>
    <col min="15367" max="15367" width="12.83203125" style="227" bestFit="1" customWidth="1"/>
    <col min="15368" max="15368" width="2.83203125" style="227" customWidth="1"/>
    <col min="15369" max="15370" width="11.5" style="227" customWidth="1"/>
    <col min="15371" max="15371" width="12.83203125" style="227" bestFit="1" customWidth="1"/>
    <col min="15372" max="15372" width="15" style="227" bestFit="1" customWidth="1"/>
    <col min="15373" max="15373" width="11.5" style="227" customWidth="1"/>
    <col min="15374" max="15374" width="11.5" style="227" bestFit="1" customWidth="1"/>
    <col min="15375" max="15375" width="3" style="227" customWidth="1"/>
    <col min="15376" max="15377" width="11.5" style="227" customWidth="1"/>
    <col min="15378" max="15378" width="2.5" style="227" customWidth="1"/>
    <col min="15379" max="15379" width="14.83203125" style="227" bestFit="1" customWidth="1"/>
    <col min="15380" max="15380" width="11.5" style="227" customWidth="1"/>
    <col min="15381" max="15381" width="11.5" style="227" bestFit="1" customWidth="1"/>
    <col min="15382" max="15382" width="10" style="227" bestFit="1" customWidth="1"/>
    <col min="15383" max="15383" width="10.83203125" style="227" bestFit="1" customWidth="1"/>
    <col min="15384" max="15384" width="11.5" style="227" customWidth="1"/>
    <col min="15385" max="15385" width="20.83203125" style="227" bestFit="1" customWidth="1"/>
    <col min="15386" max="15616" width="9.1640625" style="227"/>
    <col min="15617" max="15617" width="44.1640625" style="227" bestFit="1" customWidth="1"/>
    <col min="15618" max="15618" width="15.5" style="227" bestFit="1" customWidth="1"/>
    <col min="15619" max="15619" width="10" style="227" customWidth="1"/>
    <col min="15620" max="15620" width="4.5" style="227" customWidth="1"/>
    <col min="15621" max="15621" width="10" style="227" customWidth="1"/>
    <col min="15622" max="15622" width="11.1640625" style="227" customWidth="1"/>
    <col min="15623" max="15623" width="12.83203125" style="227" bestFit="1" customWidth="1"/>
    <col min="15624" max="15624" width="2.83203125" style="227" customWidth="1"/>
    <col min="15625" max="15626" width="11.5" style="227" customWidth="1"/>
    <col min="15627" max="15627" width="12.83203125" style="227" bestFit="1" customWidth="1"/>
    <col min="15628" max="15628" width="15" style="227" bestFit="1" customWidth="1"/>
    <col min="15629" max="15629" width="11.5" style="227" customWidth="1"/>
    <col min="15630" max="15630" width="11.5" style="227" bestFit="1" customWidth="1"/>
    <col min="15631" max="15631" width="3" style="227" customWidth="1"/>
    <col min="15632" max="15633" width="11.5" style="227" customWidth="1"/>
    <col min="15634" max="15634" width="2.5" style="227" customWidth="1"/>
    <col min="15635" max="15635" width="14.83203125" style="227" bestFit="1" customWidth="1"/>
    <col min="15636" max="15636" width="11.5" style="227" customWidth="1"/>
    <col min="15637" max="15637" width="11.5" style="227" bestFit="1" customWidth="1"/>
    <col min="15638" max="15638" width="10" style="227" bestFit="1" customWidth="1"/>
    <col min="15639" max="15639" width="10.83203125" style="227" bestFit="1" customWidth="1"/>
    <col min="15640" max="15640" width="11.5" style="227" customWidth="1"/>
    <col min="15641" max="15641" width="20.83203125" style="227" bestFit="1" customWidth="1"/>
    <col min="15642" max="15872" width="9.1640625" style="227"/>
    <col min="15873" max="15873" width="44.1640625" style="227" bestFit="1" customWidth="1"/>
    <col min="15874" max="15874" width="15.5" style="227" bestFit="1" customWidth="1"/>
    <col min="15875" max="15875" width="10" style="227" customWidth="1"/>
    <col min="15876" max="15876" width="4.5" style="227" customWidth="1"/>
    <col min="15877" max="15877" width="10" style="227" customWidth="1"/>
    <col min="15878" max="15878" width="11.1640625" style="227" customWidth="1"/>
    <col min="15879" max="15879" width="12.83203125" style="227" bestFit="1" customWidth="1"/>
    <col min="15880" max="15880" width="2.83203125" style="227" customWidth="1"/>
    <col min="15881" max="15882" width="11.5" style="227" customWidth="1"/>
    <col min="15883" max="15883" width="12.83203125" style="227" bestFit="1" customWidth="1"/>
    <col min="15884" max="15884" width="15" style="227" bestFit="1" customWidth="1"/>
    <col min="15885" max="15885" width="11.5" style="227" customWidth="1"/>
    <col min="15886" max="15886" width="11.5" style="227" bestFit="1" customWidth="1"/>
    <col min="15887" max="15887" width="3" style="227" customWidth="1"/>
    <col min="15888" max="15889" width="11.5" style="227" customWidth="1"/>
    <col min="15890" max="15890" width="2.5" style="227" customWidth="1"/>
    <col min="15891" max="15891" width="14.83203125" style="227" bestFit="1" customWidth="1"/>
    <col min="15892" max="15892" width="11.5" style="227" customWidth="1"/>
    <col min="15893" max="15893" width="11.5" style="227" bestFit="1" customWidth="1"/>
    <col min="15894" max="15894" width="10" style="227" bestFit="1" customWidth="1"/>
    <col min="15895" max="15895" width="10.83203125" style="227" bestFit="1" customWidth="1"/>
    <col min="15896" max="15896" width="11.5" style="227" customWidth="1"/>
    <col min="15897" max="15897" width="20.83203125" style="227" bestFit="1" customWidth="1"/>
    <col min="15898" max="16128" width="9.1640625" style="227"/>
    <col min="16129" max="16129" width="44.1640625" style="227" bestFit="1" customWidth="1"/>
    <col min="16130" max="16130" width="15.5" style="227" bestFit="1" customWidth="1"/>
    <col min="16131" max="16131" width="10" style="227" customWidth="1"/>
    <col min="16132" max="16132" width="4.5" style="227" customWidth="1"/>
    <col min="16133" max="16133" width="10" style="227" customWidth="1"/>
    <col min="16134" max="16134" width="11.1640625" style="227" customWidth="1"/>
    <col min="16135" max="16135" width="12.83203125" style="227" bestFit="1" customWidth="1"/>
    <col min="16136" max="16136" width="2.83203125" style="227" customWidth="1"/>
    <col min="16137" max="16138" width="11.5" style="227" customWidth="1"/>
    <col min="16139" max="16139" width="12.83203125" style="227" bestFit="1" customWidth="1"/>
    <col min="16140" max="16140" width="15" style="227" bestFit="1" customWidth="1"/>
    <col min="16141" max="16141" width="11.5" style="227" customWidth="1"/>
    <col min="16142" max="16142" width="11.5" style="227" bestFit="1" customWidth="1"/>
    <col min="16143" max="16143" width="3" style="227" customWidth="1"/>
    <col min="16144" max="16145" width="11.5" style="227" customWidth="1"/>
    <col min="16146" max="16146" width="2.5" style="227" customWidth="1"/>
    <col min="16147" max="16147" width="14.83203125" style="227" bestFit="1" customWidth="1"/>
    <col min="16148" max="16148" width="11.5" style="227" customWidth="1"/>
    <col min="16149" max="16149" width="11.5" style="227" bestFit="1" customWidth="1"/>
    <col min="16150" max="16150" width="10" style="227" bestFit="1" customWidth="1"/>
    <col min="16151" max="16151" width="10.83203125" style="227" bestFit="1" customWidth="1"/>
    <col min="16152" max="16152" width="11.5" style="227" customWidth="1"/>
    <col min="16153" max="16153" width="20.83203125" style="227" bestFit="1" customWidth="1"/>
    <col min="16154" max="16384" width="9.1640625" style="227"/>
  </cols>
  <sheetData>
    <row r="1" spans="1:22" x14ac:dyDescent="0.2">
      <c r="A1" s="224" t="s">
        <v>577</v>
      </c>
    </row>
    <row r="2" spans="1:22" x14ac:dyDescent="0.2">
      <c r="A2" s="228"/>
      <c r="B2" s="229"/>
      <c r="C2" s="808"/>
      <c r="D2" s="808"/>
      <c r="E2" s="808"/>
      <c r="F2" s="808"/>
      <c r="G2" s="808"/>
      <c r="H2" s="808"/>
      <c r="I2" s="808"/>
      <c r="J2" s="808"/>
      <c r="K2" s="808"/>
      <c r="L2" s="230"/>
      <c r="M2" s="224"/>
      <c r="N2" s="224"/>
      <c r="O2" s="224"/>
      <c r="P2" s="224"/>
      <c r="Q2" s="224"/>
      <c r="R2" s="224"/>
      <c r="S2" s="224"/>
      <c r="T2" s="224"/>
      <c r="U2" s="224"/>
    </row>
    <row r="3" spans="1:22" x14ac:dyDescent="0.2">
      <c r="A3" s="231" t="s">
        <v>578</v>
      </c>
      <c r="B3" s="232"/>
      <c r="C3" s="233"/>
      <c r="D3" s="234"/>
      <c r="E3" s="809" t="s">
        <v>484</v>
      </c>
      <c r="F3" s="809"/>
      <c r="G3" s="809"/>
      <c r="H3" s="234"/>
      <c r="I3" s="809" t="s">
        <v>502</v>
      </c>
      <c r="J3" s="809"/>
      <c r="K3" s="809"/>
      <c r="L3" s="235"/>
      <c r="V3" s="227"/>
    </row>
    <row r="4" spans="1:22" x14ac:dyDescent="0.2">
      <c r="A4" s="228" t="s">
        <v>579</v>
      </c>
      <c r="B4" s="236" t="s">
        <v>456</v>
      </c>
      <c r="C4" s="236" t="s">
        <v>580</v>
      </c>
      <c r="D4" s="237"/>
      <c r="E4" s="238" t="s">
        <v>464</v>
      </c>
      <c r="F4" s="236" t="s">
        <v>581</v>
      </c>
      <c r="G4" s="239" t="s">
        <v>10</v>
      </c>
      <c r="H4" s="237"/>
      <c r="I4" s="238" t="s">
        <v>464</v>
      </c>
      <c r="J4" s="236" t="s">
        <v>581</v>
      </c>
      <c r="K4" s="239" t="s">
        <v>10</v>
      </c>
      <c r="L4" s="240" t="s">
        <v>582</v>
      </c>
      <c r="M4" s="227">
        <v>0.03</v>
      </c>
      <c r="N4" s="227" t="s">
        <v>583</v>
      </c>
      <c r="V4" s="227"/>
    </row>
    <row r="5" spans="1:22" x14ac:dyDescent="0.2">
      <c r="A5" s="228"/>
      <c r="B5" s="242"/>
      <c r="C5" s="242"/>
      <c r="D5" s="243"/>
      <c r="E5" s="244"/>
      <c r="F5" s="242"/>
      <c r="G5" s="245"/>
      <c r="H5" s="243"/>
      <c r="I5" s="244"/>
      <c r="J5" s="242"/>
      <c r="K5" s="245"/>
      <c r="L5" s="246"/>
      <c r="V5" s="227"/>
    </row>
    <row r="6" spans="1:22" x14ac:dyDescent="0.2">
      <c r="A6" s="228" t="s">
        <v>584</v>
      </c>
      <c r="B6" s="247">
        <v>7500</v>
      </c>
      <c r="C6" s="248">
        <f t="shared" ref="C6" si="0">B6/$M$25</f>
        <v>477.70700636942678</v>
      </c>
      <c r="D6" s="249"/>
      <c r="E6" s="232">
        <v>0.05</v>
      </c>
      <c r="F6" s="250">
        <v>12</v>
      </c>
      <c r="G6" s="251">
        <f t="shared" ref="G6" si="1">C6*F6*(1+$M$4)*E6</f>
        <v>295.22292993630577</v>
      </c>
      <c r="H6" s="252"/>
      <c r="I6" s="232">
        <v>0.05</v>
      </c>
      <c r="J6" s="250">
        <v>12</v>
      </c>
      <c r="K6" s="251">
        <f t="shared" ref="K6" si="2">C6*J6*(1+$M$8)^1*I6</f>
        <v>300.95541401273886</v>
      </c>
      <c r="L6" s="253">
        <f>SUM(G6,K6)</f>
        <v>596.17834394904457</v>
      </c>
      <c r="V6" s="227"/>
    </row>
    <row r="7" spans="1:22" x14ac:dyDescent="0.2">
      <c r="A7" s="241" t="s">
        <v>585</v>
      </c>
      <c r="B7" s="242"/>
      <c r="C7" s="242"/>
      <c r="D7" s="243"/>
      <c r="E7" s="244"/>
      <c r="F7" s="242"/>
      <c r="G7" s="245"/>
      <c r="H7" s="243"/>
      <c r="I7" s="244"/>
      <c r="J7" s="242"/>
      <c r="K7" s="245"/>
      <c r="L7" s="246"/>
      <c r="V7" s="227"/>
    </row>
    <row r="8" spans="1:22" x14ac:dyDescent="0.2">
      <c r="A8" s="228" t="s">
        <v>469</v>
      </c>
      <c r="B8" s="247">
        <v>16985</v>
      </c>
      <c r="C8" s="248">
        <f t="shared" ref="C8:C14" si="3">B8/$M$25</f>
        <v>1081.8471337579617</v>
      </c>
      <c r="D8" s="249"/>
      <c r="E8" s="232">
        <v>1</v>
      </c>
      <c r="F8" s="250">
        <v>12</v>
      </c>
      <c r="G8" s="251">
        <f>C8*F8*(1+$M$4)*E8</f>
        <v>13371.630573248407</v>
      </c>
      <c r="H8" s="252"/>
      <c r="I8" s="232">
        <v>1</v>
      </c>
      <c r="J8" s="250">
        <v>12</v>
      </c>
      <c r="K8" s="251">
        <f>C8*J8*(1+$M$8)^1*I8</f>
        <v>13631.273885350318</v>
      </c>
      <c r="L8" s="253">
        <f>SUM(G8,K8)</f>
        <v>27002.904458598725</v>
      </c>
      <c r="M8" s="656">
        <v>0.05</v>
      </c>
      <c r="N8" s="227" t="s">
        <v>586</v>
      </c>
      <c r="V8" s="227"/>
    </row>
    <row r="9" spans="1:22" x14ac:dyDescent="0.2">
      <c r="A9" s="228" t="s">
        <v>470</v>
      </c>
      <c r="B9" s="247">
        <v>13985</v>
      </c>
      <c r="C9" s="248">
        <f t="shared" si="3"/>
        <v>890.76433121019113</v>
      </c>
      <c r="D9" s="249"/>
      <c r="E9" s="232">
        <v>1</v>
      </c>
      <c r="F9" s="250">
        <v>12</v>
      </c>
      <c r="G9" s="251">
        <f t="shared" ref="G9:G14" si="4">C9*F9*(1+$M$4)*E9</f>
        <v>11009.847133757963</v>
      </c>
      <c r="H9" s="252"/>
      <c r="I9" s="232">
        <v>1</v>
      </c>
      <c r="J9" s="250">
        <v>12</v>
      </c>
      <c r="K9" s="251">
        <f t="shared" ref="K9:K14" si="5">C9*J9*(1+$M$8)^1*I9</f>
        <v>11223.630573248409</v>
      </c>
      <c r="L9" s="253">
        <f>SUM(G9,K9)</f>
        <v>22233.477707006372</v>
      </c>
      <c r="V9" s="227"/>
    </row>
    <row r="10" spans="1:22" x14ac:dyDescent="0.2">
      <c r="A10" s="228" t="s">
        <v>471</v>
      </c>
      <c r="B10" s="247">
        <v>12262</v>
      </c>
      <c r="C10" s="248">
        <f t="shared" si="3"/>
        <v>781.01910828025484</v>
      </c>
      <c r="D10" s="249"/>
      <c r="E10" s="232">
        <v>1</v>
      </c>
      <c r="F10" s="250">
        <v>12</v>
      </c>
      <c r="G10" s="251">
        <f t="shared" si="4"/>
        <v>9653.3961783439499</v>
      </c>
      <c r="H10" s="252"/>
      <c r="I10" s="232">
        <v>1</v>
      </c>
      <c r="J10" s="250">
        <v>7</v>
      </c>
      <c r="K10" s="251">
        <f t="shared" si="5"/>
        <v>5740.490445859873</v>
      </c>
      <c r="L10" s="253">
        <f t="shared" ref="L10:L14" si="6">SUM(G10,K10)</f>
        <v>15393.886624203824</v>
      </c>
      <c r="V10" s="227"/>
    </row>
    <row r="11" spans="1:22" x14ac:dyDescent="0.2">
      <c r="A11" s="228" t="s">
        <v>587</v>
      </c>
      <c r="B11" s="247">
        <v>18506</v>
      </c>
      <c r="C11" s="248">
        <f t="shared" si="3"/>
        <v>1178.7261146496817</v>
      </c>
      <c r="D11" s="249"/>
      <c r="E11" s="232">
        <v>0.2</v>
      </c>
      <c r="F11" s="250">
        <v>12</v>
      </c>
      <c r="G11" s="251">
        <f t="shared" si="4"/>
        <v>2913.8109554140133</v>
      </c>
      <c r="H11" s="252"/>
      <c r="I11" s="232">
        <v>0.2</v>
      </c>
      <c r="J11" s="250">
        <v>12</v>
      </c>
      <c r="K11" s="251">
        <f t="shared" si="5"/>
        <v>2970.389808917198</v>
      </c>
      <c r="L11" s="253">
        <f t="shared" si="6"/>
        <v>5884.2007643312118</v>
      </c>
      <c r="M11" s="262">
        <f>L11*Q17</f>
        <v>137101.87780891723</v>
      </c>
      <c r="V11" s="227"/>
    </row>
    <row r="12" spans="1:22" x14ac:dyDescent="0.2">
      <c r="A12" s="228" t="s">
        <v>473</v>
      </c>
      <c r="B12" s="247">
        <v>23016</v>
      </c>
      <c r="C12" s="248">
        <f t="shared" si="3"/>
        <v>1465.9872611464968</v>
      </c>
      <c r="D12" s="249"/>
      <c r="E12" s="232">
        <v>0.05</v>
      </c>
      <c r="F12" s="250">
        <v>12</v>
      </c>
      <c r="G12" s="251">
        <f t="shared" si="4"/>
        <v>905.98012738853504</v>
      </c>
      <c r="H12" s="252"/>
      <c r="I12" s="232">
        <v>0.05</v>
      </c>
      <c r="J12" s="250">
        <v>12</v>
      </c>
      <c r="K12" s="251">
        <f t="shared" si="5"/>
        <v>923.57197452229309</v>
      </c>
      <c r="L12" s="253">
        <f t="shared" si="6"/>
        <v>1829.5521019108282</v>
      </c>
      <c r="V12" s="227"/>
    </row>
    <row r="13" spans="1:22" x14ac:dyDescent="0.2">
      <c r="A13" s="228" t="s">
        <v>588</v>
      </c>
      <c r="B13" s="247">
        <v>12118</v>
      </c>
      <c r="C13" s="248">
        <f t="shared" si="3"/>
        <v>771.84713375796184</v>
      </c>
      <c r="D13" s="249"/>
      <c r="E13" s="232">
        <v>1</v>
      </c>
      <c r="F13" s="250">
        <v>12</v>
      </c>
      <c r="G13" s="251">
        <f>C13*F13*(1+$M$4)*E13</f>
        <v>9540.0305732484085</v>
      </c>
      <c r="H13" s="252"/>
      <c r="I13" s="232">
        <v>1</v>
      </c>
      <c r="J13" s="250">
        <v>12</v>
      </c>
      <c r="K13" s="251">
        <f>C13*J13*(1+$M$8)^1*I13</f>
        <v>9725.2738853503197</v>
      </c>
      <c r="L13" s="253">
        <f t="shared" si="6"/>
        <v>19265.30445859873</v>
      </c>
      <c r="V13" s="227"/>
    </row>
    <row r="14" spans="1:22" x14ac:dyDescent="0.2">
      <c r="A14" s="228" t="s">
        <v>475</v>
      </c>
      <c r="B14" s="247">
        <v>12118</v>
      </c>
      <c r="C14" s="248">
        <f t="shared" si="3"/>
        <v>771.84713375796184</v>
      </c>
      <c r="D14" s="249"/>
      <c r="E14" s="232">
        <v>0.15</v>
      </c>
      <c r="F14" s="250">
        <v>12</v>
      </c>
      <c r="G14" s="251">
        <f t="shared" si="4"/>
        <v>1431.0045859872612</v>
      </c>
      <c r="H14" s="252"/>
      <c r="I14" s="232">
        <v>0.15</v>
      </c>
      <c r="J14" s="250">
        <v>12</v>
      </c>
      <c r="K14" s="251">
        <f t="shared" si="5"/>
        <v>1458.7910828025479</v>
      </c>
      <c r="L14" s="253">
        <f t="shared" si="6"/>
        <v>2889.795668789809</v>
      </c>
      <c r="V14" s="227"/>
    </row>
    <row r="15" spans="1:22" x14ac:dyDescent="0.2">
      <c r="A15" s="228"/>
      <c r="B15" s="247"/>
      <c r="C15" s="248"/>
      <c r="D15" s="249"/>
      <c r="E15" s="232"/>
      <c r="F15" s="250"/>
      <c r="G15" s="251"/>
      <c r="H15" s="252"/>
      <c r="I15" s="232"/>
      <c r="J15" s="250"/>
      <c r="K15" s="251"/>
      <c r="L15" s="253"/>
      <c r="V15" s="227"/>
    </row>
    <row r="16" spans="1:22" ht="17" thickBot="1" x14ac:dyDescent="0.25">
      <c r="A16" s="254" t="s">
        <v>589</v>
      </c>
      <c r="B16" s="255"/>
      <c r="C16" s="256"/>
      <c r="D16" s="257"/>
      <c r="E16" s="255"/>
      <c r="F16" s="258"/>
      <c r="G16" s="259">
        <f>SUM(G8:G14)</f>
        <v>48825.70012738854</v>
      </c>
      <c r="H16" s="260"/>
      <c r="I16" s="255"/>
      <c r="J16" s="258"/>
      <c r="K16" s="259">
        <f>SUM(K8:K14)</f>
        <v>45673.421656050959</v>
      </c>
      <c r="L16" s="261">
        <f>SUM(L8:L14)</f>
        <v>94499.121783439492</v>
      </c>
      <c r="N16" s="262"/>
      <c r="V16" s="227"/>
    </row>
    <row r="17" spans="1:22" ht="17" thickTop="1" x14ac:dyDescent="0.2">
      <c r="A17" s="228"/>
      <c r="B17" s="247"/>
      <c r="C17" s="248"/>
      <c r="D17" s="249"/>
      <c r="E17" s="232"/>
      <c r="F17" s="250"/>
      <c r="G17" s="251"/>
      <c r="H17" s="252"/>
      <c r="I17" s="232"/>
      <c r="J17" s="250"/>
      <c r="K17" s="251"/>
      <c r="L17" s="263"/>
      <c r="Q17" s="227">
        <v>23.3</v>
      </c>
      <c r="S17" s="227" t="s">
        <v>967</v>
      </c>
      <c r="V17" s="227"/>
    </row>
    <row r="18" spans="1:22" x14ac:dyDescent="0.2">
      <c r="A18" s="241" t="s">
        <v>590</v>
      </c>
      <c r="B18" s="247"/>
      <c r="C18" s="248"/>
      <c r="D18" s="249"/>
      <c r="E18" s="232"/>
      <c r="F18" s="250"/>
      <c r="G18" s="251"/>
      <c r="H18" s="252"/>
      <c r="I18" s="232"/>
      <c r="J18" s="250"/>
      <c r="K18" s="251"/>
      <c r="L18" s="263"/>
      <c r="V18" s="227"/>
    </row>
    <row r="19" spans="1:22" ht="17" x14ac:dyDescent="0.2">
      <c r="A19" s="219" t="s">
        <v>570</v>
      </c>
      <c r="B19" s="247"/>
      <c r="C19" s="247">
        <f>CA_932!Q6</f>
        <v>2306.61</v>
      </c>
      <c r="D19" s="249"/>
      <c r="E19" s="361">
        <v>1</v>
      </c>
      <c r="F19" s="250">
        <v>12</v>
      </c>
      <c r="G19" s="251">
        <f t="shared" ref="G19:G20" si="7">C19*F19*(1+$M$4)*E19</f>
        <v>28509.6996</v>
      </c>
      <c r="H19" s="252"/>
      <c r="I19" s="361">
        <v>1</v>
      </c>
      <c r="J19" s="250">
        <v>12</v>
      </c>
      <c r="K19" s="251">
        <f t="shared" ref="K19:K20" si="8">C19*J19*(1+$M$8)^1*I19</f>
        <v>29063.286</v>
      </c>
      <c r="L19" s="253">
        <f>SUM(G19,K19)</f>
        <v>57572.9856</v>
      </c>
      <c r="V19" s="227"/>
    </row>
    <row r="20" spans="1:22" ht="17" x14ac:dyDescent="0.2">
      <c r="A20" s="219" t="s">
        <v>572</v>
      </c>
      <c r="B20" s="247"/>
      <c r="C20" s="247">
        <f>CA_932!Q7</f>
        <v>1535</v>
      </c>
      <c r="D20" s="249"/>
      <c r="E20" s="361">
        <v>1</v>
      </c>
      <c r="F20" s="250">
        <v>12</v>
      </c>
      <c r="G20" s="251">
        <f t="shared" si="7"/>
        <v>18972.600000000002</v>
      </c>
      <c r="H20" s="252"/>
      <c r="I20" s="361">
        <v>1</v>
      </c>
      <c r="J20" s="250">
        <v>12</v>
      </c>
      <c r="K20" s="251">
        <f t="shared" si="8"/>
        <v>19341</v>
      </c>
      <c r="L20" s="253">
        <f>SUM(G20,K20)</f>
        <v>38313.600000000006</v>
      </c>
      <c r="V20" s="227"/>
    </row>
    <row r="21" spans="1:22" x14ac:dyDescent="0.2">
      <c r="A21" s="228"/>
      <c r="B21" s="247"/>
      <c r="C21" s="248"/>
      <c r="D21" s="249"/>
      <c r="E21" s="232"/>
      <c r="F21" s="250"/>
      <c r="G21" s="251"/>
      <c r="H21" s="252"/>
      <c r="I21" s="232"/>
      <c r="J21" s="250"/>
      <c r="K21" s="251"/>
      <c r="L21" s="253"/>
      <c r="V21" s="227"/>
    </row>
    <row r="22" spans="1:22" x14ac:dyDescent="0.2">
      <c r="A22" s="228"/>
      <c r="B22" s="247"/>
      <c r="C22" s="248"/>
      <c r="D22" s="249"/>
      <c r="E22" s="232"/>
      <c r="F22" s="250"/>
      <c r="G22" s="251"/>
      <c r="H22" s="252"/>
      <c r="I22" s="232"/>
      <c r="J22" s="250"/>
      <c r="K22" s="251"/>
      <c r="L22" s="253"/>
      <c r="V22" s="227"/>
    </row>
    <row r="23" spans="1:22" x14ac:dyDescent="0.2">
      <c r="A23" s="228"/>
      <c r="B23" s="247"/>
      <c r="C23" s="248"/>
      <c r="D23" s="249"/>
      <c r="E23" s="232"/>
      <c r="F23" s="250"/>
      <c r="G23" s="251"/>
      <c r="H23" s="252"/>
      <c r="I23" s="232"/>
      <c r="J23" s="250"/>
      <c r="K23" s="251"/>
      <c r="L23" s="253"/>
      <c r="V23" s="227"/>
    </row>
    <row r="24" spans="1:22" x14ac:dyDescent="0.2">
      <c r="A24" s="228"/>
      <c r="B24" s="247"/>
      <c r="C24" s="248"/>
      <c r="D24" s="249"/>
      <c r="E24" s="232"/>
      <c r="F24" s="250"/>
      <c r="G24" s="251"/>
      <c r="H24" s="252"/>
      <c r="I24" s="232"/>
      <c r="J24" s="250"/>
      <c r="K24" s="251"/>
      <c r="L24" s="253"/>
      <c r="V24" s="227"/>
    </row>
    <row r="25" spans="1:22" x14ac:dyDescent="0.2">
      <c r="A25" s="228"/>
      <c r="B25" s="232"/>
      <c r="C25" s="248">
        <f>B25/$M$25</f>
        <v>0</v>
      </c>
      <c r="D25" s="249"/>
      <c r="E25" s="232"/>
      <c r="F25" s="250">
        <f>E25*3</f>
        <v>0</v>
      </c>
      <c r="G25" s="251">
        <f>C25*F25</f>
        <v>0</v>
      </c>
      <c r="H25" s="252"/>
      <c r="I25" s="232"/>
      <c r="J25" s="250"/>
      <c r="K25" s="251">
        <f>C25*J25*(1+$M$8)^1</f>
        <v>0</v>
      </c>
      <c r="L25" s="253">
        <f>SUM(G25,K25)</f>
        <v>0</v>
      </c>
      <c r="M25" s="264">
        <v>15.7</v>
      </c>
      <c r="N25" s="227" t="s">
        <v>591</v>
      </c>
      <c r="V25" s="227"/>
    </row>
    <row r="26" spans="1:22" ht="17" thickBot="1" x14ac:dyDescent="0.25">
      <c r="A26" s="254" t="s">
        <v>592</v>
      </c>
      <c r="B26" s="255"/>
      <c r="C26" s="256"/>
      <c r="D26" s="257"/>
      <c r="E26" s="255"/>
      <c r="F26" s="258"/>
      <c r="G26" s="259">
        <f>SUM(G19:G25)</f>
        <v>47482.299599999998</v>
      </c>
      <c r="H26" s="260"/>
      <c r="I26" s="255"/>
      <c r="J26" s="258"/>
      <c r="K26" s="259">
        <f>SUM(K19:K25)</f>
        <v>48404.286</v>
      </c>
      <c r="L26" s="261">
        <f>SUM(L19:L25)</f>
        <v>95886.585600000006</v>
      </c>
      <c r="N26" s="262"/>
      <c r="V26" s="227"/>
    </row>
    <row r="27" spans="1:22" ht="17" thickTop="1" x14ac:dyDescent="0.2">
      <c r="A27" s="265"/>
      <c r="B27" s="266"/>
      <c r="C27" s="267"/>
      <c r="D27" s="267"/>
      <c r="E27" s="266"/>
      <c r="F27" s="268"/>
      <c r="G27" s="253"/>
      <c r="H27" s="253"/>
      <c r="I27" s="266"/>
      <c r="J27" s="268"/>
      <c r="K27" s="253"/>
      <c r="L27" s="253"/>
      <c r="N27" s="262"/>
      <c r="V27" s="227"/>
    </row>
    <row r="28" spans="1:22" x14ac:dyDescent="0.2">
      <c r="B28" s="266"/>
      <c r="C28" s="267"/>
      <c r="D28" s="267"/>
      <c r="E28" s="266"/>
      <c r="F28" s="268"/>
      <c r="G28" s="253"/>
      <c r="H28" s="253"/>
      <c r="I28" s="266"/>
      <c r="J28" s="268"/>
      <c r="K28" s="253"/>
      <c r="L28" s="253"/>
      <c r="N28" s="262"/>
      <c r="V28" s="227"/>
    </row>
    <row r="29" spans="1:22" x14ac:dyDescent="0.2">
      <c r="A29" s="269" t="s">
        <v>593</v>
      </c>
      <c r="B29" s="266"/>
      <c r="C29" s="267"/>
      <c r="D29" s="267"/>
      <c r="E29" s="266"/>
      <c r="F29" s="268"/>
      <c r="G29" s="253"/>
      <c r="H29" s="253"/>
      <c r="I29" s="266"/>
      <c r="J29" s="268"/>
      <c r="K29" s="253"/>
      <c r="L29" s="253"/>
      <c r="N29" s="262"/>
      <c r="V29" s="227"/>
    </row>
    <row r="30" spans="1:22" x14ac:dyDescent="0.2">
      <c r="A30" s="241" t="s">
        <v>585</v>
      </c>
      <c r="B30" s="266"/>
      <c r="C30" s="267"/>
      <c r="D30" s="252"/>
      <c r="E30" s="266"/>
      <c r="F30" s="268"/>
      <c r="G30" s="253"/>
      <c r="H30" s="252"/>
      <c r="I30" s="266"/>
      <c r="J30" s="268"/>
      <c r="K30" s="253"/>
      <c r="L30" s="253"/>
      <c r="N30" s="262"/>
      <c r="V30" s="227"/>
    </row>
    <row r="31" spans="1:22" x14ac:dyDescent="0.2">
      <c r="A31" s="270" t="s">
        <v>594</v>
      </c>
      <c r="B31" s="271"/>
      <c r="C31" s="234"/>
      <c r="D31" s="252"/>
      <c r="E31" s="362">
        <v>0.6</v>
      </c>
      <c r="F31" s="250"/>
      <c r="G31" s="251">
        <f>SUM(G8:G14)*E31</f>
        <v>29295.420076433122</v>
      </c>
      <c r="H31" s="272"/>
      <c r="I31" s="362">
        <v>0.6</v>
      </c>
      <c r="J31" s="250"/>
      <c r="K31" s="251">
        <f>SUM(K8:K14)*I31</f>
        <v>27404.052993630576</v>
      </c>
      <c r="L31" s="253">
        <f t="shared" ref="L31" si="9">SUM(G31,K31)</f>
        <v>56699.473070063701</v>
      </c>
      <c r="V31" s="227"/>
    </row>
    <row r="32" spans="1:22" x14ac:dyDescent="0.2">
      <c r="A32" s="270"/>
      <c r="B32" s="271"/>
      <c r="C32" s="234"/>
      <c r="D32" s="252"/>
      <c r="E32" s="234"/>
      <c r="F32" s="250"/>
      <c r="G32" s="274"/>
      <c r="H32" s="272"/>
      <c r="I32" s="273"/>
      <c r="J32" s="250"/>
      <c r="K32" s="274"/>
      <c r="L32" s="253"/>
      <c r="V32" s="227"/>
    </row>
    <row r="33" spans="1:22" ht="17" thickBot="1" x14ac:dyDescent="0.25">
      <c r="A33" s="254" t="s">
        <v>595</v>
      </c>
      <c r="B33" s="255"/>
      <c r="C33" s="256"/>
      <c r="D33" s="257"/>
      <c r="E33" s="255"/>
      <c r="F33" s="258"/>
      <c r="G33" s="259">
        <f>SUM(G31:G31)</f>
        <v>29295.420076433122</v>
      </c>
      <c r="H33" s="260"/>
      <c r="I33" s="255"/>
      <c r="J33" s="258"/>
      <c r="K33" s="259">
        <f>SUM(K31:K31)</f>
        <v>27404.052993630576</v>
      </c>
      <c r="L33" s="261">
        <f>SUM(L31:L31)</f>
        <v>56699.473070063701</v>
      </c>
      <c r="V33" s="227"/>
    </row>
    <row r="34" spans="1:22" ht="17" thickTop="1" x14ac:dyDescent="0.2">
      <c r="A34" s="270"/>
      <c r="B34" s="271"/>
      <c r="C34" s="234"/>
      <c r="D34" s="252"/>
      <c r="E34" s="234"/>
      <c r="F34" s="250"/>
      <c r="G34" s="276"/>
      <c r="H34" s="272"/>
      <c r="I34" s="273"/>
      <c r="J34" s="250"/>
      <c r="K34" s="276"/>
      <c r="L34" s="275"/>
      <c r="V34" s="227"/>
    </row>
    <row r="35" spans="1:22" x14ac:dyDescent="0.2">
      <c r="A35" s="241" t="s">
        <v>590</v>
      </c>
      <c r="B35" s="277"/>
      <c r="C35" s="267"/>
      <c r="D35" s="278"/>
      <c r="E35" s="277"/>
      <c r="F35" s="268"/>
      <c r="G35" s="279"/>
      <c r="H35" s="280"/>
      <c r="I35" s="277"/>
      <c r="J35" s="268"/>
      <c r="K35" s="279"/>
      <c r="L35" s="253"/>
      <c r="N35" s="262"/>
      <c r="V35" s="227"/>
    </row>
    <row r="36" spans="1:22" x14ac:dyDescent="0.2">
      <c r="A36" s="270"/>
      <c r="B36" s="271"/>
      <c r="C36" s="234">
        <f>G19</f>
        <v>28509.6996</v>
      </c>
      <c r="D36" s="252"/>
      <c r="E36" s="232">
        <v>0.3</v>
      </c>
      <c r="F36" s="250">
        <v>12</v>
      </c>
      <c r="G36" s="251">
        <f>C36/18*E36*F36*(1+$M$4)</f>
        <v>5872.9981176000001</v>
      </c>
      <c r="H36" s="272"/>
      <c r="I36" s="281">
        <v>0.3</v>
      </c>
      <c r="J36" s="250">
        <v>6</v>
      </c>
      <c r="K36" s="251">
        <f>C36/18*I36*J36</f>
        <v>2850.9699599999999</v>
      </c>
      <c r="L36" s="275">
        <f>SUM(G36,K36)</f>
        <v>8723.9680776000005</v>
      </c>
      <c r="V36" s="227"/>
    </row>
    <row r="37" spans="1:22" x14ac:dyDescent="0.2">
      <c r="A37" s="270" t="s">
        <v>596</v>
      </c>
      <c r="B37" s="271"/>
      <c r="C37" s="234">
        <f>G20</f>
        <v>18972.600000000002</v>
      </c>
      <c r="D37" s="252"/>
      <c r="E37" s="232">
        <v>0.6</v>
      </c>
      <c r="F37" s="250">
        <v>12</v>
      </c>
      <c r="G37" s="251">
        <f>C37/18*E37*F37*(1+$M$4)</f>
        <v>7816.7112000000016</v>
      </c>
      <c r="H37" s="272"/>
      <c r="I37" s="281">
        <v>0.6</v>
      </c>
      <c r="J37" s="250">
        <v>6</v>
      </c>
      <c r="K37" s="251">
        <f>C37/18*I37*J37</f>
        <v>3794.5200000000004</v>
      </c>
      <c r="L37" s="275">
        <f>SUM(G37,K37)</f>
        <v>11611.231200000002</v>
      </c>
      <c r="V37" s="227"/>
    </row>
    <row r="38" spans="1:22" x14ac:dyDescent="0.2">
      <c r="A38" s="270" t="s">
        <v>597</v>
      </c>
      <c r="B38" s="271"/>
      <c r="C38" s="234">
        <v>1009.8888888888888</v>
      </c>
      <c r="D38" s="252"/>
      <c r="E38" s="232">
        <v>0.05</v>
      </c>
      <c r="F38" s="250">
        <v>12</v>
      </c>
      <c r="G38" s="251">
        <f>C38*E38*F38*(1+$M$4)</f>
        <v>624.11133333333328</v>
      </c>
      <c r="H38" s="272"/>
      <c r="I38" s="232">
        <v>0.05</v>
      </c>
      <c r="J38" s="250">
        <v>6</v>
      </c>
      <c r="K38" s="251">
        <f>C38*I38*J38</f>
        <v>302.96666666666664</v>
      </c>
      <c r="L38" s="275">
        <f>SUM(G38,K38)</f>
        <v>927.07799999999997</v>
      </c>
      <c r="V38" s="227"/>
    </row>
    <row r="39" spans="1:22" x14ac:dyDescent="0.2">
      <c r="A39" s="270" t="s">
        <v>598</v>
      </c>
      <c r="B39" s="271"/>
      <c r="C39" s="234">
        <f>(21000*3)/12</f>
        <v>5250</v>
      </c>
      <c r="D39" s="252"/>
      <c r="E39" s="232">
        <v>0.05</v>
      </c>
      <c r="F39" s="250">
        <v>12</v>
      </c>
      <c r="G39" s="251">
        <f>C39*E39*F39*(1+$M$4)</f>
        <v>3244.5</v>
      </c>
      <c r="H39" s="272"/>
      <c r="I39" s="232">
        <v>0.05</v>
      </c>
      <c r="J39" s="250">
        <v>6</v>
      </c>
      <c r="K39" s="251">
        <f>C39*I39*J39</f>
        <v>1575</v>
      </c>
      <c r="L39" s="275">
        <f>SUM(G39,K39)</f>
        <v>4819.5</v>
      </c>
      <c r="V39" s="227"/>
    </row>
    <row r="40" spans="1:22" x14ac:dyDescent="0.2">
      <c r="A40" s="270" t="s">
        <v>599</v>
      </c>
      <c r="B40" s="271"/>
      <c r="C40" s="234">
        <f>(9000*3)/12</f>
        <v>2250</v>
      </c>
      <c r="D40" s="252"/>
      <c r="E40" s="232">
        <v>0.05</v>
      </c>
      <c r="F40" s="250">
        <v>12</v>
      </c>
      <c r="G40" s="251">
        <f>C40*E40*F40*(1+$M$4)</f>
        <v>1390.5</v>
      </c>
      <c r="H40" s="272"/>
      <c r="I40" s="232">
        <v>0.05</v>
      </c>
      <c r="J40" s="250">
        <v>6</v>
      </c>
      <c r="K40" s="251">
        <f>C40*I40*J40</f>
        <v>675</v>
      </c>
      <c r="L40" s="275">
        <f>SUM(G40,K40)</f>
        <v>2065.5</v>
      </c>
      <c r="V40" s="227"/>
    </row>
    <row r="41" spans="1:22" x14ac:dyDescent="0.2">
      <c r="A41" s="270"/>
      <c r="B41" s="271"/>
      <c r="C41" s="234"/>
      <c r="D41" s="252"/>
      <c r="E41" s="232"/>
      <c r="F41" s="250"/>
      <c r="G41" s="251"/>
      <c r="H41" s="272"/>
      <c r="I41" s="232"/>
      <c r="J41" s="250"/>
      <c r="K41" s="251"/>
      <c r="L41" s="275"/>
      <c r="V41" s="227"/>
    </row>
    <row r="42" spans="1:22" ht="17" thickBot="1" x14ac:dyDescent="0.25">
      <c r="A42" s="254" t="s">
        <v>595</v>
      </c>
      <c r="B42" s="255"/>
      <c r="C42" s="256"/>
      <c r="D42" s="257"/>
      <c r="E42" s="255"/>
      <c r="F42" s="258"/>
      <c r="G42" s="259">
        <f>SUM(G36:G40)</f>
        <v>18948.820650933336</v>
      </c>
      <c r="H42" s="260"/>
      <c r="I42" s="255"/>
      <c r="J42" s="258"/>
      <c r="K42" s="259">
        <f>SUM(K36:K40)</f>
        <v>9198.4566266666661</v>
      </c>
      <c r="L42" s="261">
        <f>SUM(L36:L40)</f>
        <v>28147.277277600006</v>
      </c>
      <c r="V42" s="227"/>
    </row>
    <row r="43" spans="1:22" ht="17" thickTop="1" x14ac:dyDescent="0.2">
      <c r="A43" s="282"/>
      <c r="B43" s="271"/>
      <c r="C43" s="234"/>
      <c r="D43" s="252"/>
      <c r="E43" s="234"/>
      <c r="F43" s="250"/>
      <c r="G43" s="276"/>
      <c r="H43" s="272"/>
      <c r="I43" s="273"/>
      <c r="J43" s="250"/>
      <c r="K43" s="276"/>
      <c r="L43" s="275"/>
      <c r="V43" s="227"/>
    </row>
    <row r="44" spans="1:22" ht="17" thickBot="1" x14ac:dyDescent="0.25">
      <c r="A44" s="283" t="s">
        <v>600</v>
      </c>
      <c r="B44" s="284"/>
      <c r="C44" s="285"/>
      <c r="D44" s="286"/>
      <c r="E44" s="285"/>
      <c r="F44" s="287"/>
      <c r="G44" s="285">
        <f>G16+G26+G33+G42+G6</f>
        <v>144847.46338469131</v>
      </c>
      <c r="H44" s="286"/>
      <c r="I44" s="285"/>
      <c r="J44" s="287"/>
      <c r="K44" s="285">
        <f>K16+K26+K33+K42+K6</f>
        <v>130981.17269036094</v>
      </c>
      <c r="L44" s="285">
        <f>L16+L26+L33+L42+L6</f>
        <v>275828.63607505226</v>
      </c>
      <c r="V44" s="227"/>
    </row>
    <row r="45" spans="1:22" x14ac:dyDescent="0.2">
      <c r="B45" s="288"/>
      <c r="C45" s="289"/>
      <c r="D45" s="289"/>
      <c r="E45" s="289"/>
      <c r="F45" s="289"/>
      <c r="G45" s="289"/>
      <c r="H45" s="289"/>
      <c r="I45" s="289"/>
      <c r="J45" s="250">
        <f>12*B45</f>
        <v>0</v>
      </c>
      <c r="V45" s="227"/>
    </row>
    <row r="46" spans="1:22" x14ac:dyDescent="0.2">
      <c r="K46" s="226"/>
      <c r="L46" s="289"/>
      <c r="V46" s="227"/>
    </row>
  </sheetData>
  <mergeCells count="3">
    <mergeCell ref="C2:K2"/>
    <mergeCell ref="E3:G3"/>
    <mergeCell ref="I3:K3"/>
  </mergeCells>
  <pageMargins left="0.7" right="0.7" top="0.75" bottom="0.75" header="0.3" footer="0.3"/>
  <pageSetup paperSize="9" scale="43"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430A-E100-4789-A9E3-9A32D31FB121}">
  <sheetPr>
    <tabColor rgb="FF00B050"/>
  </sheetPr>
  <dimension ref="A1:Q13"/>
  <sheetViews>
    <sheetView workbookViewId="0">
      <selection activeCell="B9" sqref="B9"/>
    </sheetView>
  </sheetViews>
  <sheetFormatPr baseColWidth="10" defaultColWidth="9.1640625" defaultRowHeight="15" x14ac:dyDescent="0.2"/>
  <cols>
    <col min="1" max="1" width="44.1640625" style="293" customWidth="1"/>
    <col min="2" max="2" width="15.1640625" style="291" bestFit="1" customWidth="1"/>
    <col min="3" max="3" width="15.1640625" style="291" customWidth="1"/>
    <col min="4" max="6" width="10" style="292" customWidth="1"/>
    <col min="7" max="7" width="18.83203125" style="292" customWidth="1"/>
    <col min="8" max="8" width="11.5" style="293" customWidth="1"/>
    <col min="9" max="9" width="11.5" style="293" bestFit="1" customWidth="1"/>
    <col min="10" max="10" width="3" style="293" customWidth="1"/>
    <col min="11" max="12" width="11.5" style="293" customWidth="1"/>
    <col min="13" max="13" width="2.5" style="293" customWidth="1"/>
    <col min="14" max="14" width="14.83203125" style="293" bestFit="1" customWidth="1"/>
    <col min="15" max="15" width="11.5" style="293" customWidth="1"/>
    <col min="16" max="16" width="11.5" style="293" bestFit="1" customWidth="1"/>
    <col min="17" max="17" width="10" style="290" bestFit="1" customWidth="1"/>
    <col min="18" max="18" width="10.83203125" style="293" bestFit="1" customWidth="1"/>
    <col min="19" max="19" width="11.5" style="293" customWidth="1"/>
    <col min="20" max="20" width="20.83203125" style="293" bestFit="1" customWidth="1"/>
    <col min="21" max="253" width="9.1640625" style="293"/>
    <col min="254" max="254" width="44.1640625" style="293" bestFit="1" customWidth="1"/>
    <col min="255" max="255" width="15.1640625" style="293" bestFit="1" customWidth="1"/>
    <col min="256" max="258" width="10" style="293" customWidth="1"/>
    <col min="259" max="259" width="18.83203125" style="293" bestFit="1" customWidth="1"/>
    <col min="260" max="261" width="11.5" style="293" customWidth="1"/>
    <col min="262" max="262" width="16.83203125" style="293" bestFit="1" customWidth="1"/>
    <col min="263" max="263" width="14" style="293" bestFit="1" customWidth="1"/>
    <col min="264" max="264" width="11.5" style="293" customWidth="1"/>
    <col min="265" max="265" width="11.5" style="293" bestFit="1" customWidth="1"/>
    <col min="266" max="266" width="3" style="293" customWidth="1"/>
    <col min="267" max="268" width="11.5" style="293" customWidth="1"/>
    <col min="269" max="269" width="2.5" style="293" customWidth="1"/>
    <col min="270" max="270" width="14.83203125" style="293" bestFit="1" customWidth="1"/>
    <col min="271" max="271" width="11.5" style="293" customWidth="1"/>
    <col min="272" max="272" width="11.5" style="293" bestFit="1" customWidth="1"/>
    <col min="273" max="273" width="10" style="293" bestFit="1" customWidth="1"/>
    <col min="274" max="274" width="10.83203125" style="293" bestFit="1" customWidth="1"/>
    <col min="275" max="275" width="11.5" style="293" customWidth="1"/>
    <col min="276" max="276" width="20.83203125" style="293" bestFit="1" customWidth="1"/>
    <col min="277" max="509" width="9.1640625" style="293"/>
    <col min="510" max="510" width="44.1640625" style="293" bestFit="1" customWidth="1"/>
    <col min="511" max="511" width="15.1640625" style="293" bestFit="1" customWidth="1"/>
    <col min="512" max="514" width="10" style="293" customWidth="1"/>
    <col min="515" max="515" width="18.83203125" style="293" bestFit="1" customWidth="1"/>
    <col min="516" max="517" width="11.5" style="293" customWidth="1"/>
    <col min="518" max="518" width="16.83203125" style="293" bestFit="1" customWidth="1"/>
    <col min="519" max="519" width="14" style="293" bestFit="1" customWidth="1"/>
    <col min="520" max="520" width="11.5" style="293" customWidth="1"/>
    <col min="521" max="521" width="11.5" style="293" bestFit="1" customWidth="1"/>
    <col min="522" max="522" width="3" style="293" customWidth="1"/>
    <col min="523" max="524" width="11.5" style="293" customWidth="1"/>
    <col min="525" max="525" width="2.5" style="293" customWidth="1"/>
    <col min="526" max="526" width="14.83203125" style="293" bestFit="1" customWidth="1"/>
    <col min="527" max="527" width="11.5" style="293" customWidth="1"/>
    <col min="528" max="528" width="11.5" style="293" bestFit="1" customWidth="1"/>
    <col min="529" max="529" width="10" style="293" bestFit="1" customWidth="1"/>
    <col min="530" max="530" width="10.83203125" style="293" bestFit="1" customWidth="1"/>
    <col min="531" max="531" width="11.5" style="293" customWidth="1"/>
    <col min="532" max="532" width="20.83203125" style="293" bestFit="1" customWidth="1"/>
    <col min="533" max="765" width="9.1640625" style="293"/>
    <col min="766" max="766" width="44.1640625" style="293" bestFit="1" customWidth="1"/>
    <col min="767" max="767" width="15.1640625" style="293" bestFit="1" customWidth="1"/>
    <col min="768" max="770" width="10" style="293" customWidth="1"/>
    <col min="771" max="771" width="18.83203125" style="293" bestFit="1" customWidth="1"/>
    <col min="772" max="773" width="11.5" style="293" customWidth="1"/>
    <col min="774" max="774" width="16.83203125" style="293" bestFit="1" customWidth="1"/>
    <col min="775" max="775" width="14" style="293" bestFit="1" customWidth="1"/>
    <col min="776" max="776" width="11.5" style="293" customWidth="1"/>
    <col min="777" max="777" width="11.5" style="293" bestFit="1" customWidth="1"/>
    <col min="778" max="778" width="3" style="293" customWidth="1"/>
    <col min="779" max="780" width="11.5" style="293" customWidth="1"/>
    <col min="781" max="781" width="2.5" style="293" customWidth="1"/>
    <col min="782" max="782" width="14.83203125" style="293" bestFit="1" customWidth="1"/>
    <col min="783" max="783" width="11.5" style="293" customWidth="1"/>
    <col min="784" max="784" width="11.5" style="293" bestFit="1" customWidth="1"/>
    <col min="785" max="785" width="10" style="293" bestFit="1" customWidth="1"/>
    <col min="786" max="786" width="10.83203125" style="293" bestFit="1" customWidth="1"/>
    <col min="787" max="787" width="11.5" style="293" customWidth="1"/>
    <col min="788" max="788" width="20.83203125" style="293" bestFit="1" customWidth="1"/>
    <col min="789" max="1021" width="9.1640625" style="293"/>
    <col min="1022" max="1022" width="44.1640625" style="293" bestFit="1" customWidth="1"/>
    <col min="1023" max="1023" width="15.1640625" style="293" bestFit="1" customWidth="1"/>
    <col min="1024" max="1026" width="10" style="293" customWidth="1"/>
    <col min="1027" max="1027" width="18.83203125" style="293" bestFit="1" customWidth="1"/>
    <col min="1028" max="1029" width="11.5" style="293" customWidth="1"/>
    <col min="1030" max="1030" width="16.83203125" style="293" bestFit="1" customWidth="1"/>
    <col min="1031" max="1031" width="14" style="293" bestFit="1" customWidth="1"/>
    <col min="1032" max="1032" width="11.5" style="293" customWidth="1"/>
    <col min="1033" max="1033" width="11.5" style="293" bestFit="1" customWidth="1"/>
    <col min="1034" max="1034" width="3" style="293" customWidth="1"/>
    <col min="1035" max="1036" width="11.5" style="293" customWidth="1"/>
    <col min="1037" max="1037" width="2.5" style="293" customWidth="1"/>
    <col min="1038" max="1038" width="14.83203125" style="293" bestFit="1" customWidth="1"/>
    <col min="1039" max="1039" width="11.5" style="293" customWidth="1"/>
    <col min="1040" max="1040" width="11.5" style="293" bestFit="1" customWidth="1"/>
    <col min="1041" max="1041" width="10" style="293" bestFit="1" customWidth="1"/>
    <col min="1042" max="1042" width="10.83203125" style="293" bestFit="1" customWidth="1"/>
    <col min="1043" max="1043" width="11.5" style="293" customWidth="1"/>
    <col min="1044" max="1044" width="20.83203125" style="293" bestFit="1" customWidth="1"/>
    <col min="1045" max="1277" width="9.1640625" style="293"/>
    <col min="1278" max="1278" width="44.1640625" style="293" bestFit="1" customWidth="1"/>
    <col min="1279" max="1279" width="15.1640625" style="293" bestFit="1" customWidth="1"/>
    <col min="1280" max="1282" width="10" style="293" customWidth="1"/>
    <col min="1283" max="1283" width="18.83203125" style="293" bestFit="1" customWidth="1"/>
    <col min="1284" max="1285" width="11.5" style="293" customWidth="1"/>
    <col min="1286" max="1286" width="16.83203125" style="293" bestFit="1" customWidth="1"/>
    <col min="1287" max="1287" width="14" style="293" bestFit="1" customWidth="1"/>
    <col min="1288" max="1288" width="11.5" style="293" customWidth="1"/>
    <col min="1289" max="1289" width="11.5" style="293" bestFit="1" customWidth="1"/>
    <col min="1290" max="1290" width="3" style="293" customWidth="1"/>
    <col min="1291" max="1292" width="11.5" style="293" customWidth="1"/>
    <col min="1293" max="1293" width="2.5" style="293" customWidth="1"/>
    <col min="1294" max="1294" width="14.83203125" style="293" bestFit="1" customWidth="1"/>
    <col min="1295" max="1295" width="11.5" style="293" customWidth="1"/>
    <col min="1296" max="1296" width="11.5" style="293" bestFit="1" customWidth="1"/>
    <col min="1297" max="1297" width="10" style="293" bestFit="1" customWidth="1"/>
    <col min="1298" max="1298" width="10.83203125" style="293" bestFit="1" customWidth="1"/>
    <col min="1299" max="1299" width="11.5" style="293" customWidth="1"/>
    <col min="1300" max="1300" width="20.83203125" style="293" bestFit="1" customWidth="1"/>
    <col min="1301" max="1533" width="9.1640625" style="293"/>
    <col min="1534" max="1534" width="44.1640625" style="293" bestFit="1" customWidth="1"/>
    <col min="1535" max="1535" width="15.1640625" style="293" bestFit="1" customWidth="1"/>
    <col min="1536" max="1538" width="10" style="293" customWidth="1"/>
    <col min="1539" max="1539" width="18.83203125" style="293" bestFit="1" customWidth="1"/>
    <col min="1540" max="1541" width="11.5" style="293" customWidth="1"/>
    <col min="1542" max="1542" width="16.83203125" style="293" bestFit="1" customWidth="1"/>
    <col min="1543" max="1543" width="14" style="293" bestFit="1" customWidth="1"/>
    <col min="1544" max="1544" width="11.5" style="293" customWidth="1"/>
    <col min="1545" max="1545" width="11.5" style="293" bestFit="1" customWidth="1"/>
    <col min="1546" max="1546" width="3" style="293" customWidth="1"/>
    <col min="1547" max="1548" width="11.5" style="293" customWidth="1"/>
    <col min="1549" max="1549" width="2.5" style="293" customWidth="1"/>
    <col min="1550" max="1550" width="14.83203125" style="293" bestFit="1" customWidth="1"/>
    <col min="1551" max="1551" width="11.5" style="293" customWidth="1"/>
    <col min="1552" max="1552" width="11.5" style="293" bestFit="1" customWidth="1"/>
    <col min="1553" max="1553" width="10" style="293" bestFit="1" customWidth="1"/>
    <col min="1554" max="1554" width="10.83203125" style="293" bestFit="1" customWidth="1"/>
    <col min="1555" max="1555" width="11.5" style="293" customWidth="1"/>
    <col min="1556" max="1556" width="20.83203125" style="293" bestFit="1" customWidth="1"/>
    <col min="1557" max="1789" width="9.1640625" style="293"/>
    <col min="1790" max="1790" width="44.1640625" style="293" bestFit="1" customWidth="1"/>
    <col min="1791" max="1791" width="15.1640625" style="293" bestFit="1" customWidth="1"/>
    <col min="1792" max="1794" width="10" style="293" customWidth="1"/>
    <col min="1795" max="1795" width="18.83203125" style="293" bestFit="1" customWidth="1"/>
    <col min="1796" max="1797" width="11.5" style="293" customWidth="1"/>
    <col min="1798" max="1798" width="16.83203125" style="293" bestFit="1" customWidth="1"/>
    <col min="1799" max="1799" width="14" style="293" bestFit="1" customWidth="1"/>
    <col min="1800" max="1800" width="11.5" style="293" customWidth="1"/>
    <col min="1801" max="1801" width="11.5" style="293" bestFit="1" customWidth="1"/>
    <col min="1802" max="1802" width="3" style="293" customWidth="1"/>
    <col min="1803" max="1804" width="11.5" style="293" customWidth="1"/>
    <col min="1805" max="1805" width="2.5" style="293" customWidth="1"/>
    <col min="1806" max="1806" width="14.83203125" style="293" bestFit="1" customWidth="1"/>
    <col min="1807" max="1807" width="11.5" style="293" customWidth="1"/>
    <col min="1808" max="1808" width="11.5" style="293" bestFit="1" customWidth="1"/>
    <col min="1809" max="1809" width="10" style="293" bestFit="1" customWidth="1"/>
    <col min="1810" max="1810" width="10.83203125" style="293" bestFit="1" customWidth="1"/>
    <col min="1811" max="1811" width="11.5" style="293" customWidth="1"/>
    <col min="1812" max="1812" width="20.83203125" style="293" bestFit="1" customWidth="1"/>
    <col min="1813" max="2045" width="9.1640625" style="293"/>
    <col min="2046" max="2046" width="44.1640625" style="293" bestFit="1" customWidth="1"/>
    <col min="2047" max="2047" width="15.1640625" style="293" bestFit="1" customWidth="1"/>
    <col min="2048" max="2050" width="10" style="293" customWidth="1"/>
    <col min="2051" max="2051" width="18.83203125" style="293" bestFit="1" customWidth="1"/>
    <col min="2052" max="2053" width="11.5" style="293" customWidth="1"/>
    <col min="2054" max="2054" width="16.83203125" style="293" bestFit="1" customWidth="1"/>
    <col min="2055" max="2055" width="14" style="293" bestFit="1" customWidth="1"/>
    <col min="2056" max="2056" width="11.5" style="293" customWidth="1"/>
    <col min="2057" max="2057" width="11.5" style="293" bestFit="1" customWidth="1"/>
    <col min="2058" max="2058" width="3" style="293" customWidth="1"/>
    <col min="2059" max="2060" width="11.5" style="293" customWidth="1"/>
    <col min="2061" max="2061" width="2.5" style="293" customWidth="1"/>
    <col min="2062" max="2062" width="14.83203125" style="293" bestFit="1" customWidth="1"/>
    <col min="2063" max="2063" width="11.5" style="293" customWidth="1"/>
    <col min="2064" max="2064" width="11.5" style="293" bestFit="1" customWidth="1"/>
    <col min="2065" max="2065" width="10" style="293" bestFit="1" customWidth="1"/>
    <col min="2066" max="2066" width="10.83203125" style="293" bestFit="1" customWidth="1"/>
    <col min="2067" max="2067" width="11.5" style="293" customWidth="1"/>
    <col min="2068" max="2068" width="20.83203125" style="293" bestFit="1" customWidth="1"/>
    <col min="2069" max="2301" width="9.1640625" style="293"/>
    <col min="2302" max="2302" width="44.1640625" style="293" bestFit="1" customWidth="1"/>
    <col min="2303" max="2303" width="15.1640625" style="293" bestFit="1" customWidth="1"/>
    <col min="2304" max="2306" width="10" style="293" customWidth="1"/>
    <col min="2307" max="2307" width="18.83203125" style="293" bestFit="1" customWidth="1"/>
    <col min="2308" max="2309" width="11.5" style="293" customWidth="1"/>
    <col min="2310" max="2310" width="16.83203125" style="293" bestFit="1" customWidth="1"/>
    <col min="2311" max="2311" width="14" style="293" bestFit="1" customWidth="1"/>
    <col min="2312" max="2312" width="11.5" style="293" customWidth="1"/>
    <col min="2313" max="2313" width="11.5" style="293" bestFit="1" customWidth="1"/>
    <col min="2314" max="2314" width="3" style="293" customWidth="1"/>
    <col min="2315" max="2316" width="11.5" style="293" customWidth="1"/>
    <col min="2317" max="2317" width="2.5" style="293" customWidth="1"/>
    <col min="2318" max="2318" width="14.83203125" style="293" bestFit="1" customWidth="1"/>
    <col min="2319" max="2319" width="11.5" style="293" customWidth="1"/>
    <col min="2320" max="2320" width="11.5" style="293" bestFit="1" customWidth="1"/>
    <col min="2321" max="2321" width="10" style="293" bestFit="1" customWidth="1"/>
    <col min="2322" max="2322" width="10.83203125" style="293" bestFit="1" customWidth="1"/>
    <col min="2323" max="2323" width="11.5" style="293" customWidth="1"/>
    <col min="2324" max="2324" width="20.83203125" style="293" bestFit="1" customWidth="1"/>
    <col min="2325" max="2557" width="9.1640625" style="293"/>
    <col min="2558" max="2558" width="44.1640625" style="293" bestFit="1" customWidth="1"/>
    <col min="2559" max="2559" width="15.1640625" style="293" bestFit="1" customWidth="1"/>
    <col min="2560" max="2562" width="10" style="293" customWidth="1"/>
    <col min="2563" max="2563" width="18.83203125" style="293" bestFit="1" customWidth="1"/>
    <col min="2564" max="2565" width="11.5" style="293" customWidth="1"/>
    <col min="2566" max="2566" width="16.83203125" style="293" bestFit="1" customWidth="1"/>
    <col min="2567" max="2567" width="14" style="293" bestFit="1" customWidth="1"/>
    <col min="2568" max="2568" width="11.5" style="293" customWidth="1"/>
    <col min="2569" max="2569" width="11.5" style="293" bestFit="1" customWidth="1"/>
    <col min="2570" max="2570" width="3" style="293" customWidth="1"/>
    <col min="2571" max="2572" width="11.5" style="293" customWidth="1"/>
    <col min="2573" max="2573" width="2.5" style="293" customWidth="1"/>
    <col min="2574" max="2574" width="14.83203125" style="293" bestFit="1" customWidth="1"/>
    <col min="2575" max="2575" width="11.5" style="293" customWidth="1"/>
    <col min="2576" max="2576" width="11.5" style="293" bestFit="1" customWidth="1"/>
    <col min="2577" max="2577" width="10" style="293" bestFit="1" customWidth="1"/>
    <col min="2578" max="2578" width="10.83203125" style="293" bestFit="1" customWidth="1"/>
    <col min="2579" max="2579" width="11.5" style="293" customWidth="1"/>
    <col min="2580" max="2580" width="20.83203125" style="293" bestFit="1" customWidth="1"/>
    <col min="2581" max="2813" width="9.1640625" style="293"/>
    <col min="2814" max="2814" width="44.1640625" style="293" bestFit="1" customWidth="1"/>
    <col min="2815" max="2815" width="15.1640625" style="293" bestFit="1" customWidth="1"/>
    <col min="2816" max="2818" width="10" style="293" customWidth="1"/>
    <col min="2819" max="2819" width="18.83203125" style="293" bestFit="1" customWidth="1"/>
    <col min="2820" max="2821" width="11.5" style="293" customWidth="1"/>
    <col min="2822" max="2822" width="16.83203125" style="293" bestFit="1" customWidth="1"/>
    <col min="2823" max="2823" width="14" style="293" bestFit="1" customWidth="1"/>
    <col min="2824" max="2824" width="11.5" style="293" customWidth="1"/>
    <col min="2825" max="2825" width="11.5" style="293" bestFit="1" customWidth="1"/>
    <col min="2826" max="2826" width="3" style="293" customWidth="1"/>
    <col min="2827" max="2828" width="11.5" style="293" customWidth="1"/>
    <col min="2829" max="2829" width="2.5" style="293" customWidth="1"/>
    <col min="2830" max="2830" width="14.83203125" style="293" bestFit="1" customWidth="1"/>
    <col min="2831" max="2831" width="11.5" style="293" customWidth="1"/>
    <col min="2832" max="2832" width="11.5" style="293" bestFit="1" customWidth="1"/>
    <col min="2833" max="2833" width="10" style="293" bestFit="1" customWidth="1"/>
    <col min="2834" max="2834" width="10.83203125" style="293" bestFit="1" customWidth="1"/>
    <col min="2835" max="2835" width="11.5" style="293" customWidth="1"/>
    <col min="2836" max="2836" width="20.83203125" style="293" bestFit="1" customWidth="1"/>
    <col min="2837" max="3069" width="9.1640625" style="293"/>
    <col min="3070" max="3070" width="44.1640625" style="293" bestFit="1" customWidth="1"/>
    <col min="3071" max="3071" width="15.1640625" style="293" bestFit="1" customWidth="1"/>
    <col min="3072" max="3074" width="10" style="293" customWidth="1"/>
    <col min="3075" max="3075" width="18.83203125" style="293" bestFit="1" customWidth="1"/>
    <col min="3076" max="3077" width="11.5" style="293" customWidth="1"/>
    <col min="3078" max="3078" width="16.83203125" style="293" bestFit="1" customWidth="1"/>
    <col min="3079" max="3079" width="14" style="293" bestFit="1" customWidth="1"/>
    <col min="3080" max="3080" width="11.5" style="293" customWidth="1"/>
    <col min="3081" max="3081" width="11.5" style="293" bestFit="1" customWidth="1"/>
    <col min="3082" max="3082" width="3" style="293" customWidth="1"/>
    <col min="3083" max="3084" width="11.5" style="293" customWidth="1"/>
    <col min="3085" max="3085" width="2.5" style="293" customWidth="1"/>
    <col min="3086" max="3086" width="14.83203125" style="293" bestFit="1" customWidth="1"/>
    <col min="3087" max="3087" width="11.5" style="293" customWidth="1"/>
    <col min="3088" max="3088" width="11.5" style="293" bestFit="1" customWidth="1"/>
    <col min="3089" max="3089" width="10" style="293" bestFit="1" customWidth="1"/>
    <col min="3090" max="3090" width="10.83203125" style="293" bestFit="1" customWidth="1"/>
    <col min="3091" max="3091" width="11.5" style="293" customWidth="1"/>
    <col min="3092" max="3092" width="20.83203125" style="293" bestFit="1" customWidth="1"/>
    <col min="3093" max="3325" width="9.1640625" style="293"/>
    <col min="3326" max="3326" width="44.1640625" style="293" bestFit="1" customWidth="1"/>
    <col min="3327" max="3327" width="15.1640625" style="293" bestFit="1" customWidth="1"/>
    <col min="3328" max="3330" width="10" style="293" customWidth="1"/>
    <col min="3331" max="3331" width="18.83203125" style="293" bestFit="1" customWidth="1"/>
    <col min="3332" max="3333" width="11.5" style="293" customWidth="1"/>
    <col min="3334" max="3334" width="16.83203125" style="293" bestFit="1" customWidth="1"/>
    <col min="3335" max="3335" width="14" style="293" bestFit="1" customWidth="1"/>
    <col min="3336" max="3336" width="11.5" style="293" customWidth="1"/>
    <col min="3337" max="3337" width="11.5" style="293" bestFit="1" customWidth="1"/>
    <col min="3338" max="3338" width="3" style="293" customWidth="1"/>
    <col min="3339" max="3340" width="11.5" style="293" customWidth="1"/>
    <col min="3341" max="3341" width="2.5" style="293" customWidth="1"/>
    <col min="3342" max="3342" width="14.83203125" style="293" bestFit="1" customWidth="1"/>
    <col min="3343" max="3343" width="11.5" style="293" customWidth="1"/>
    <col min="3344" max="3344" width="11.5" style="293" bestFit="1" customWidth="1"/>
    <col min="3345" max="3345" width="10" style="293" bestFit="1" customWidth="1"/>
    <col min="3346" max="3346" width="10.83203125" style="293" bestFit="1" customWidth="1"/>
    <col min="3347" max="3347" width="11.5" style="293" customWidth="1"/>
    <col min="3348" max="3348" width="20.83203125" style="293" bestFit="1" customWidth="1"/>
    <col min="3349" max="3581" width="9.1640625" style="293"/>
    <col min="3582" max="3582" width="44.1640625" style="293" bestFit="1" customWidth="1"/>
    <col min="3583" max="3583" width="15.1640625" style="293" bestFit="1" customWidth="1"/>
    <col min="3584" max="3586" width="10" style="293" customWidth="1"/>
    <col min="3587" max="3587" width="18.83203125" style="293" bestFit="1" customWidth="1"/>
    <col min="3588" max="3589" width="11.5" style="293" customWidth="1"/>
    <col min="3590" max="3590" width="16.83203125" style="293" bestFit="1" customWidth="1"/>
    <col min="3591" max="3591" width="14" style="293" bestFit="1" customWidth="1"/>
    <col min="3592" max="3592" width="11.5" style="293" customWidth="1"/>
    <col min="3593" max="3593" width="11.5" style="293" bestFit="1" customWidth="1"/>
    <col min="3594" max="3594" width="3" style="293" customWidth="1"/>
    <col min="3595" max="3596" width="11.5" style="293" customWidth="1"/>
    <col min="3597" max="3597" width="2.5" style="293" customWidth="1"/>
    <col min="3598" max="3598" width="14.83203125" style="293" bestFit="1" customWidth="1"/>
    <col min="3599" max="3599" width="11.5" style="293" customWidth="1"/>
    <col min="3600" max="3600" width="11.5" style="293" bestFit="1" customWidth="1"/>
    <col min="3601" max="3601" width="10" style="293" bestFit="1" customWidth="1"/>
    <col min="3602" max="3602" width="10.83203125" style="293" bestFit="1" customWidth="1"/>
    <col min="3603" max="3603" width="11.5" style="293" customWidth="1"/>
    <col min="3604" max="3604" width="20.83203125" style="293" bestFit="1" customWidth="1"/>
    <col min="3605" max="3837" width="9.1640625" style="293"/>
    <col min="3838" max="3838" width="44.1640625" style="293" bestFit="1" customWidth="1"/>
    <col min="3839" max="3839" width="15.1640625" style="293" bestFit="1" customWidth="1"/>
    <col min="3840" max="3842" width="10" style="293" customWidth="1"/>
    <col min="3843" max="3843" width="18.83203125" style="293" bestFit="1" customWidth="1"/>
    <col min="3844" max="3845" width="11.5" style="293" customWidth="1"/>
    <col min="3846" max="3846" width="16.83203125" style="293" bestFit="1" customWidth="1"/>
    <col min="3847" max="3847" width="14" style="293" bestFit="1" customWidth="1"/>
    <col min="3848" max="3848" width="11.5" style="293" customWidth="1"/>
    <col min="3849" max="3849" width="11.5" style="293" bestFit="1" customWidth="1"/>
    <col min="3850" max="3850" width="3" style="293" customWidth="1"/>
    <col min="3851" max="3852" width="11.5" style="293" customWidth="1"/>
    <col min="3853" max="3853" width="2.5" style="293" customWidth="1"/>
    <col min="3854" max="3854" width="14.83203125" style="293" bestFit="1" customWidth="1"/>
    <col min="3855" max="3855" width="11.5" style="293" customWidth="1"/>
    <col min="3856" max="3856" width="11.5" style="293" bestFit="1" customWidth="1"/>
    <col min="3857" max="3857" width="10" style="293" bestFit="1" customWidth="1"/>
    <col min="3858" max="3858" width="10.83203125" style="293" bestFit="1" customWidth="1"/>
    <col min="3859" max="3859" width="11.5" style="293" customWidth="1"/>
    <col min="3860" max="3860" width="20.83203125" style="293" bestFit="1" customWidth="1"/>
    <col min="3861" max="4093" width="9.1640625" style="293"/>
    <col min="4094" max="4094" width="44.1640625" style="293" bestFit="1" customWidth="1"/>
    <col min="4095" max="4095" width="15.1640625" style="293" bestFit="1" customWidth="1"/>
    <col min="4096" max="4098" width="10" style="293" customWidth="1"/>
    <col min="4099" max="4099" width="18.83203125" style="293" bestFit="1" customWidth="1"/>
    <col min="4100" max="4101" width="11.5" style="293" customWidth="1"/>
    <col min="4102" max="4102" width="16.83203125" style="293" bestFit="1" customWidth="1"/>
    <col min="4103" max="4103" width="14" style="293" bestFit="1" customWidth="1"/>
    <col min="4104" max="4104" width="11.5" style="293" customWidth="1"/>
    <col min="4105" max="4105" width="11.5" style="293" bestFit="1" customWidth="1"/>
    <col min="4106" max="4106" width="3" style="293" customWidth="1"/>
    <col min="4107" max="4108" width="11.5" style="293" customWidth="1"/>
    <col min="4109" max="4109" width="2.5" style="293" customWidth="1"/>
    <col min="4110" max="4110" width="14.83203125" style="293" bestFit="1" customWidth="1"/>
    <col min="4111" max="4111" width="11.5" style="293" customWidth="1"/>
    <col min="4112" max="4112" width="11.5" style="293" bestFit="1" customWidth="1"/>
    <col min="4113" max="4113" width="10" style="293" bestFit="1" customWidth="1"/>
    <col min="4114" max="4114" width="10.83203125" style="293" bestFit="1" customWidth="1"/>
    <col min="4115" max="4115" width="11.5" style="293" customWidth="1"/>
    <col min="4116" max="4116" width="20.83203125" style="293" bestFit="1" customWidth="1"/>
    <col min="4117" max="4349" width="9.1640625" style="293"/>
    <col min="4350" max="4350" width="44.1640625" style="293" bestFit="1" customWidth="1"/>
    <col min="4351" max="4351" width="15.1640625" style="293" bestFit="1" customWidth="1"/>
    <col min="4352" max="4354" width="10" style="293" customWidth="1"/>
    <col min="4355" max="4355" width="18.83203125" style="293" bestFit="1" customWidth="1"/>
    <col min="4356" max="4357" width="11.5" style="293" customWidth="1"/>
    <col min="4358" max="4358" width="16.83203125" style="293" bestFit="1" customWidth="1"/>
    <col min="4359" max="4359" width="14" style="293" bestFit="1" customWidth="1"/>
    <col min="4360" max="4360" width="11.5" style="293" customWidth="1"/>
    <col min="4361" max="4361" width="11.5" style="293" bestFit="1" customWidth="1"/>
    <col min="4362" max="4362" width="3" style="293" customWidth="1"/>
    <col min="4363" max="4364" width="11.5" style="293" customWidth="1"/>
    <col min="4365" max="4365" width="2.5" style="293" customWidth="1"/>
    <col min="4366" max="4366" width="14.83203125" style="293" bestFit="1" customWidth="1"/>
    <col min="4367" max="4367" width="11.5" style="293" customWidth="1"/>
    <col min="4368" max="4368" width="11.5" style="293" bestFit="1" customWidth="1"/>
    <col min="4369" max="4369" width="10" style="293" bestFit="1" customWidth="1"/>
    <col min="4370" max="4370" width="10.83203125" style="293" bestFit="1" customWidth="1"/>
    <col min="4371" max="4371" width="11.5" style="293" customWidth="1"/>
    <col min="4372" max="4372" width="20.83203125" style="293" bestFit="1" customWidth="1"/>
    <col min="4373" max="4605" width="9.1640625" style="293"/>
    <col min="4606" max="4606" width="44.1640625" style="293" bestFit="1" customWidth="1"/>
    <col min="4607" max="4607" width="15.1640625" style="293" bestFit="1" customWidth="1"/>
    <col min="4608" max="4610" width="10" style="293" customWidth="1"/>
    <col min="4611" max="4611" width="18.83203125" style="293" bestFit="1" customWidth="1"/>
    <col min="4612" max="4613" width="11.5" style="293" customWidth="1"/>
    <col min="4614" max="4614" width="16.83203125" style="293" bestFit="1" customWidth="1"/>
    <col min="4615" max="4615" width="14" style="293" bestFit="1" customWidth="1"/>
    <col min="4616" max="4616" width="11.5" style="293" customWidth="1"/>
    <col min="4617" max="4617" width="11.5" style="293" bestFit="1" customWidth="1"/>
    <col min="4618" max="4618" width="3" style="293" customWidth="1"/>
    <col min="4619" max="4620" width="11.5" style="293" customWidth="1"/>
    <col min="4621" max="4621" width="2.5" style="293" customWidth="1"/>
    <col min="4622" max="4622" width="14.83203125" style="293" bestFit="1" customWidth="1"/>
    <col min="4623" max="4623" width="11.5" style="293" customWidth="1"/>
    <col min="4624" max="4624" width="11.5" style="293" bestFit="1" customWidth="1"/>
    <col min="4625" max="4625" width="10" style="293" bestFit="1" customWidth="1"/>
    <col min="4626" max="4626" width="10.83203125" style="293" bestFit="1" customWidth="1"/>
    <col min="4627" max="4627" width="11.5" style="293" customWidth="1"/>
    <col min="4628" max="4628" width="20.83203125" style="293" bestFit="1" customWidth="1"/>
    <col min="4629" max="4861" width="9.1640625" style="293"/>
    <col min="4862" max="4862" width="44.1640625" style="293" bestFit="1" customWidth="1"/>
    <col min="4863" max="4863" width="15.1640625" style="293" bestFit="1" customWidth="1"/>
    <col min="4864" max="4866" width="10" style="293" customWidth="1"/>
    <col min="4867" max="4867" width="18.83203125" style="293" bestFit="1" customWidth="1"/>
    <col min="4868" max="4869" width="11.5" style="293" customWidth="1"/>
    <col min="4870" max="4870" width="16.83203125" style="293" bestFit="1" customWidth="1"/>
    <col min="4871" max="4871" width="14" style="293" bestFit="1" customWidth="1"/>
    <col min="4872" max="4872" width="11.5" style="293" customWidth="1"/>
    <col min="4873" max="4873" width="11.5" style="293" bestFit="1" customWidth="1"/>
    <col min="4874" max="4874" width="3" style="293" customWidth="1"/>
    <col min="4875" max="4876" width="11.5" style="293" customWidth="1"/>
    <col min="4877" max="4877" width="2.5" style="293" customWidth="1"/>
    <col min="4878" max="4878" width="14.83203125" style="293" bestFit="1" customWidth="1"/>
    <col min="4879" max="4879" width="11.5" style="293" customWidth="1"/>
    <col min="4880" max="4880" width="11.5" style="293" bestFit="1" customWidth="1"/>
    <col min="4881" max="4881" width="10" style="293" bestFit="1" customWidth="1"/>
    <col min="4882" max="4882" width="10.83203125" style="293" bestFit="1" customWidth="1"/>
    <col min="4883" max="4883" width="11.5" style="293" customWidth="1"/>
    <col min="4884" max="4884" width="20.83203125" style="293" bestFit="1" customWidth="1"/>
    <col min="4885" max="5117" width="9.1640625" style="293"/>
    <col min="5118" max="5118" width="44.1640625" style="293" bestFit="1" customWidth="1"/>
    <col min="5119" max="5119" width="15.1640625" style="293" bestFit="1" customWidth="1"/>
    <col min="5120" max="5122" width="10" style="293" customWidth="1"/>
    <col min="5123" max="5123" width="18.83203125" style="293" bestFit="1" customWidth="1"/>
    <col min="5124" max="5125" width="11.5" style="293" customWidth="1"/>
    <col min="5126" max="5126" width="16.83203125" style="293" bestFit="1" customWidth="1"/>
    <col min="5127" max="5127" width="14" style="293" bestFit="1" customWidth="1"/>
    <col min="5128" max="5128" width="11.5" style="293" customWidth="1"/>
    <col min="5129" max="5129" width="11.5" style="293" bestFit="1" customWidth="1"/>
    <col min="5130" max="5130" width="3" style="293" customWidth="1"/>
    <col min="5131" max="5132" width="11.5" style="293" customWidth="1"/>
    <col min="5133" max="5133" width="2.5" style="293" customWidth="1"/>
    <col min="5134" max="5134" width="14.83203125" style="293" bestFit="1" customWidth="1"/>
    <col min="5135" max="5135" width="11.5" style="293" customWidth="1"/>
    <col min="5136" max="5136" width="11.5" style="293" bestFit="1" customWidth="1"/>
    <col min="5137" max="5137" width="10" style="293" bestFit="1" customWidth="1"/>
    <col min="5138" max="5138" width="10.83203125" style="293" bestFit="1" customWidth="1"/>
    <col min="5139" max="5139" width="11.5" style="293" customWidth="1"/>
    <col min="5140" max="5140" width="20.83203125" style="293" bestFit="1" customWidth="1"/>
    <col min="5141" max="5373" width="9.1640625" style="293"/>
    <col min="5374" max="5374" width="44.1640625" style="293" bestFit="1" customWidth="1"/>
    <col min="5375" max="5375" width="15.1640625" style="293" bestFit="1" customWidth="1"/>
    <col min="5376" max="5378" width="10" style="293" customWidth="1"/>
    <col min="5379" max="5379" width="18.83203125" style="293" bestFit="1" customWidth="1"/>
    <col min="5380" max="5381" width="11.5" style="293" customWidth="1"/>
    <col min="5382" max="5382" width="16.83203125" style="293" bestFit="1" customWidth="1"/>
    <col min="5383" max="5383" width="14" style="293" bestFit="1" customWidth="1"/>
    <col min="5384" max="5384" width="11.5" style="293" customWidth="1"/>
    <col min="5385" max="5385" width="11.5" style="293" bestFit="1" customWidth="1"/>
    <col min="5386" max="5386" width="3" style="293" customWidth="1"/>
    <col min="5387" max="5388" width="11.5" style="293" customWidth="1"/>
    <col min="5389" max="5389" width="2.5" style="293" customWidth="1"/>
    <col min="5390" max="5390" width="14.83203125" style="293" bestFit="1" customWidth="1"/>
    <col min="5391" max="5391" width="11.5" style="293" customWidth="1"/>
    <col min="5392" max="5392" width="11.5" style="293" bestFit="1" customWidth="1"/>
    <col min="5393" max="5393" width="10" style="293" bestFit="1" customWidth="1"/>
    <col min="5394" max="5394" width="10.83203125" style="293" bestFit="1" customWidth="1"/>
    <col min="5395" max="5395" width="11.5" style="293" customWidth="1"/>
    <col min="5396" max="5396" width="20.83203125" style="293" bestFit="1" customWidth="1"/>
    <col min="5397" max="5629" width="9.1640625" style="293"/>
    <col min="5630" max="5630" width="44.1640625" style="293" bestFit="1" customWidth="1"/>
    <col min="5631" max="5631" width="15.1640625" style="293" bestFit="1" customWidth="1"/>
    <col min="5632" max="5634" width="10" style="293" customWidth="1"/>
    <col min="5635" max="5635" width="18.83203125" style="293" bestFit="1" customWidth="1"/>
    <col min="5636" max="5637" width="11.5" style="293" customWidth="1"/>
    <col min="5638" max="5638" width="16.83203125" style="293" bestFit="1" customWidth="1"/>
    <col min="5639" max="5639" width="14" style="293" bestFit="1" customWidth="1"/>
    <col min="5640" max="5640" width="11.5" style="293" customWidth="1"/>
    <col min="5641" max="5641" width="11.5" style="293" bestFit="1" customWidth="1"/>
    <col min="5642" max="5642" width="3" style="293" customWidth="1"/>
    <col min="5643" max="5644" width="11.5" style="293" customWidth="1"/>
    <col min="5645" max="5645" width="2.5" style="293" customWidth="1"/>
    <col min="5646" max="5646" width="14.83203125" style="293" bestFit="1" customWidth="1"/>
    <col min="5647" max="5647" width="11.5" style="293" customWidth="1"/>
    <col min="5648" max="5648" width="11.5" style="293" bestFit="1" customWidth="1"/>
    <col min="5649" max="5649" width="10" style="293" bestFit="1" customWidth="1"/>
    <col min="5650" max="5650" width="10.83203125" style="293" bestFit="1" customWidth="1"/>
    <col min="5651" max="5651" width="11.5" style="293" customWidth="1"/>
    <col min="5652" max="5652" width="20.83203125" style="293" bestFit="1" customWidth="1"/>
    <col min="5653" max="5885" width="9.1640625" style="293"/>
    <col min="5886" max="5886" width="44.1640625" style="293" bestFit="1" customWidth="1"/>
    <col min="5887" max="5887" width="15.1640625" style="293" bestFit="1" customWidth="1"/>
    <col min="5888" max="5890" width="10" style="293" customWidth="1"/>
    <col min="5891" max="5891" width="18.83203125" style="293" bestFit="1" customWidth="1"/>
    <col min="5892" max="5893" width="11.5" style="293" customWidth="1"/>
    <col min="5894" max="5894" width="16.83203125" style="293" bestFit="1" customWidth="1"/>
    <col min="5895" max="5895" width="14" style="293" bestFit="1" customWidth="1"/>
    <col min="5896" max="5896" width="11.5" style="293" customWidth="1"/>
    <col min="5897" max="5897" width="11.5" style="293" bestFit="1" customWidth="1"/>
    <col min="5898" max="5898" width="3" style="293" customWidth="1"/>
    <col min="5899" max="5900" width="11.5" style="293" customWidth="1"/>
    <col min="5901" max="5901" width="2.5" style="293" customWidth="1"/>
    <col min="5902" max="5902" width="14.83203125" style="293" bestFit="1" customWidth="1"/>
    <col min="5903" max="5903" width="11.5" style="293" customWidth="1"/>
    <col min="5904" max="5904" width="11.5" style="293" bestFit="1" customWidth="1"/>
    <col min="5905" max="5905" width="10" style="293" bestFit="1" customWidth="1"/>
    <col min="5906" max="5906" width="10.83203125" style="293" bestFit="1" customWidth="1"/>
    <col min="5907" max="5907" width="11.5" style="293" customWidth="1"/>
    <col min="5908" max="5908" width="20.83203125" style="293" bestFit="1" customWidth="1"/>
    <col min="5909" max="6141" width="9.1640625" style="293"/>
    <col min="6142" max="6142" width="44.1640625" style="293" bestFit="1" customWidth="1"/>
    <col min="6143" max="6143" width="15.1640625" style="293" bestFit="1" customWidth="1"/>
    <col min="6144" max="6146" width="10" style="293" customWidth="1"/>
    <col min="6147" max="6147" width="18.83203125" style="293" bestFit="1" customWidth="1"/>
    <col min="6148" max="6149" width="11.5" style="293" customWidth="1"/>
    <col min="6150" max="6150" width="16.83203125" style="293" bestFit="1" customWidth="1"/>
    <col min="6151" max="6151" width="14" style="293" bestFit="1" customWidth="1"/>
    <col min="6152" max="6152" width="11.5" style="293" customWidth="1"/>
    <col min="6153" max="6153" width="11.5" style="293" bestFit="1" customWidth="1"/>
    <col min="6154" max="6154" width="3" style="293" customWidth="1"/>
    <col min="6155" max="6156" width="11.5" style="293" customWidth="1"/>
    <col min="6157" max="6157" width="2.5" style="293" customWidth="1"/>
    <col min="6158" max="6158" width="14.83203125" style="293" bestFit="1" customWidth="1"/>
    <col min="6159" max="6159" width="11.5" style="293" customWidth="1"/>
    <col min="6160" max="6160" width="11.5" style="293" bestFit="1" customWidth="1"/>
    <col min="6161" max="6161" width="10" style="293" bestFit="1" customWidth="1"/>
    <col min="6162" max="6162" width="10.83203125" style="293" bestFit="1" customWidth="1"/>
    <col min="6163" max="6163" width="11.5" style="293" customWidth="1"/>
    <col min="6164" max="6164" width="20.83203125" style="293" bestFit="1" customWidth="1"/>
    <col min="6165" max="6397" width="9.1640625" style="293"/>
    <col min="6398" max="6398" width="44.1640625" style="293" bestFit="1" customWidth="1"/>
    <col min="6399" max="6399" width="15.1640625" style="293" bestFit="1" customWidth="1"/>
    <col min="6400" max="6402" width="10" style="293" customWidth="1"/>
    <col min="6403" max="6403" width="18.83203125" style="293" bestFit="1" customWidth="1"/>
    <col min="6404" max="6405" width="11.5" style="293" customWidth="1"/>
    <col min="6406" max="6406" width="16.83203125" style="293" bestFit="1" customWidth="1"/>
    <col min="6407" max="6407" width="14" style="293" bestFit="1" customWidth="1"/>
    <col min="6408" max="6408" width="11.5" style="293" customWidth="1"/>
    <col min="6409" max="6409" width="11.5" style="293" bestFit="1" customWidth="1"/>
    <col min="6410" max="6410" width="3" style="293" customWidth="1"/>
    <col min="6411" max="6412" width="11.5" style="293" customWidth="1"/>
    <col min="6413" max="6413" width="2.5" style="293" customWidth="1"/>
    <col min="6414" max="6414" width="14.83203125" style="293" bestFit="1" customWidth="1"/>
    <col min="6415" max="6415" width="11.5" style="293" customWidth="1"/>
    <col min="6416" max="6416" width="11.5" style="293" bestFit="1" customWidth="1"/>
    <col min="6417" max="6417" width="10" style="293" bestFit="1" customWidth="1"/>
    <col min="6418" max="6418" width="10.83203125" style="293" bestFit="1" customWidth="1"/>
    <col min="6419" max="6419" width="11.5" style="293" customWidth="1"/>
    <col min="6420" max="6420" width="20.83203125" style="293" bestFit="1" customWidth="1"/>
    <col min="6421" max="6653" width="9.1640625" style="293"/>
    <col min="6654" max="6654" width="44.1640625" style="293" bestFit="1" customWidth="1"/>
    <col min="6655" max="6655" width="15.1640625" style="293" bestFit="1" customWidth="1"/>
    <col min="6656" max="6658" width="10" style="293" customWidth="1"/>
    <col min="6659" max="6659" width="18.83203125" style="293" bestFit="1" customWidth="1"/>
    <col min="6660" max="6661" width="11.5" style="293" customWidth="1"/>
    <col min="6662" max="6662" width="16.83203125" style="293" bestFit="1" customWidth="1"/>
    <col min="6663" max="6663" width="14" style="293" bestFit="1" customWidth="1"/>
    <col min="6664" max="6664" width="11.5" style="293" customWidth="1"/>
    <col min="6665" max="6665" width="11.5" style="293" bestFit="1" customWidth="1"/>
    <col min="6666" max="6666" width="3" style="293" customWidth="1"/>
    <col min="6667" max="6668" width="11.5" style="293" customWidth="1"/>
    <col min="6669" max="6669" width="2.5" style="293" customWidth="1"/>
    <col min="6670" max="6670" width="14.83203125" style="293" bestFit="1" customWidth="1"/>
    <col min="6671" max="6671" width="11.5" style="293" customWidth="1"/>
    <col min="6672" max="6672" width="11.5" style="293" bestFit="1" customWidth="1"/>
    <col min="6673" max="6673" width="10" style="293" bestFit="1" customWidth="1"/>
    <col min="6674" max="6674" width="10.83203125" style="293" bestFit="1" customWidth="1"/>
    <col min="6675" max="6675" width="11.5" style="293" customWidth="1"/>
    <col min="6676" max="6676" width="20.83203125" style="293" bestFit="1" customWidth="1"/>
    <col min="6677" max="6909" width="9.1640625" style="293"/>
    <col min="6910" max="6910" width="44.1640625" style="293" bestFit="1" customWidth="1"/>
    <col min="6911" max="6911" width="15.1640625" style="293" bestFit="1" customWidth="1"/>
    <col min="6912" max="6914" width="10" style="293" customWidth="1"/>
    <col min="6915" max="6915" width="18.83203125" style="293" bestFit="1" customWidth="1"/>
    <col min="6916" max="6917" width="11.5" style="293" customWidth="1"/>
    <col min="6918" max="6918" width="16.83203125" style="293" bestFit="1" customWidth="1"/>
    <col min="6919" max="6919" width="14" style="293" bestFit="1" customWidth="1"/>
    <col min="6920" max="6920" width="11.5" style="293" customWidth="1"/>
    <col min="6921" max="6921" width="11.5" style="293" bestFit="1" customWidth="1"/>
    <col min="6922" max="6922" width="3" style="293" customWidth="1"/>
    <col min="6923" max="6924" width="11.5" style="293" customWidth="1"/>
    <col min="6925" max="6925" width="2.5" style="293" customWidth="1"/>
    <col min="6926" max="6926" width="14.83203125" style="293" bestFit="1" customWidth="1"/>
    <col min="6927" max="6927" width="11.5" style="293" customWidth="1"/>
    <col min="6928" max="6928" width="11.5" style="293" bestFit="1" customWidth="1"/>
    <col min="6929" max="6929" width="10" style="293" bestFit="1" customWidth="1"/>
    <col min="6930" max="6930" width="10.83203125" style="293" bestFit="1" customWidth="1"/>
    <col min="6931" max="6931" width="11.5" style="293" customWidth="1"/>
    <col min="6932" max="6932" width="20.83203125" style="293" bestFit="1" customWidth="1"/>
    <col min="6933" max="7165" width="9.1640625" style="293"/>
    <col min="7166" max="7166" width="44.1640625" style="293" bestFit="1" customWidth="1"/>
    <col min="7167" max="7167" width="15.1640625" style="293" bestFit="1" customWidth="1"/>
    <col min="7168" max="7170" width="10" style="293" customWidth="1"/>
    <col min="7171" max="7171" width="18.83203125" style="293" bestFit="1" customWidth="1"/>
    <col min="7172" max="7173" width="11.5" style="293" customWidth="1"/>
    <col min="7174" max="7174" width="16.83203125" style="293" bestFit="1" customWidth="1"/>
    <col min="7175" max="7175" width="14" style="293" bestFit="1" customWidth="1"/>
    <col min="7176" max="7176" width="11.5" style="293" customWidth="1"/>
    <col min="7177" max="7177" width="11.5" style="293" bestFit="1" customWidth="1"/>
    <col min="7178" max="7178" width="3" style="293" customWidth="1"/>
    <col min="7179" max="7180" width="11.5" style="293" customWidth="1"/>
    <col min="7181" max="7181" width="2.5" style="293" customWidth="1"/>
    <col min="7182" max="7182" width="14.83203125" style="293" bestFit="1" customWidth="1"/>
    <col min="7183" max="7183" width="11.5" style="293" customWidth="1"/>
    <col min="7184" max="7184" width="11.5" style="293" bestFit="1" customWidth="1"/>
    <col min="7185" max="7185" width="10" style="293" bestFit="1" customWidth="1"/>
    <col min="7186" max="7186" width="10.83203125" style="293" bestFit="1" customWidth="1"/>
    <col min="7187" max="7187" width="11.5" style="293" customWidth="1"/>
    <col min="7188" max="7188" width="20.83203125" style="293" bestFit="1" customWidth="1"/>
    <col min="7189" max="7421" width="9.1640625" style="293"/>
    <col min="7422" max="7422" width="44.1640625" style="293" bestFit="1" customWidth="1"/>
    <col min="7423" max="7423" width="15.1640625" style="293" bestFit="1" customWidth="1"/>
    <col min="7424" max="7426" width="10" style="293" customWidth="1"/>
    <col min="7427" max="7427" width="18.83203125" style="293" bestFit="1" customWidth="1"/>
    <col min="7428" max="7429" width="11.5" style="293" customWidth="1"/>
    <col min="7430" max="7430" width="16.83203125" style="293" bestFit="1" customWidth="1"/>
    <col min="7431" max="7431" width="14" style="293" bestFit="1" customWidth="1"/>
    <col min="7432" max="7432" width="11.5" style="293" customWidth="1"/>
    <col min="7433" max="7433" width="11.5" style="293" bestFit="1" customWidth="1"/>
    <col min="7434" max="7434" width="3" style="293" customWidth="1"/>
    <col min="7435" max="7436" width="11.5" style="293" customWidth="1"/>
    <col min="7437" max="7437" width="2.5" style="293" customWidth="1"/>
    <col min="7438" max="7438" width="14.83203125" style="293" bestFit="1" customWidth="1"/>
    <col min="7439" max="7439" width="11.5" style="293" customWidth="1"/>
    <col min="7440" max="7440" width="11.5" style="293" bestFit="1" customWidth="1"/>
    <col min="7441" max="7441" width="10" style="293" bestFit="1" customWidth="1"/>
    <col min="7442" max="7442" width="10.83203125" style="293" bestFit="1" customWidth="1"/>
    <col min="7443" max="7443" width="11.5" style="293" customWidth="1"/>
    <col min="7444" max="7444" width="20.83203125" style="293" bestFit="1" customWidth="1"/>
    <col min="7445" max="7677" width="9.1640625" style="293"/>
    <col min="7678" max="7678" width="44.1640625" style="293" bestFit="1" customWidth="1"/>
    <col min="7679" max="7679" width="15.1640625" style="293" bestFit="1" customWidth="1"/>
    <col min="7680" max="7682" width="10" style="293" customWidth="1"/>
    <col min="7683" max="7683" width="18.83203125" style="293" bestFit="1" customWidth="1"/>
    <col min="7684" max="7685" width="11.5" style="293" customWidth="1"/>
    <col min="7686" max="7686" width="16.83203125" style="293" bestFit="1" customWidth="1"/>
    <col min="7687" max="7687" width="14" style="293" bestFit="1" customWidth="1"/>
    <col min="7688" max="7688" width="11.5" style="293" customWidth="1"/>
    <col min="7689" max="7689" width="11.5" style="293" bestFit="1" customWidth="1"/>
    <col min="7690" max="7690" width="3" style="293" customWidth="1"/>
    <col min="7691" max="7692" width="11.5" style="293" customWidth="1"/>
    <col min="7693" max="7693" width="2.5" style="293" customWidth="1"/>
    <col min="7694" max="7694" width="14.83203125" style="293" bestFit="1" customWidth="1"/>
    <col min="7695" max="7695" width="11.5" style="293" customWidth="1"/>
    <col min="7696" max="7696" width="11.5" style="293" bestFit="1" customWidth="1"/>
    <col min="7697" max="7697" width="10" style="293" bestFit="1" customWidth="1"/>
    <col min="7698" max="7698" width="10.83203125" style="293" bestFit="1" customWidth="1"/>
    <col min="7699" max="7699" width="11.5" style="293" customWidth="1"/>
    <col min="7700" max="7700" width="20.83203125" style="293" bestFit="1" customWidth="1"/>
    <col min="7701" max="7933" width="9.1640625" style="293"/>
    <col min="7934" max="7934" width="44.1640625" style="293" bestFit="1" customWidth="1"/>
    <col min="7935" max="7935" width="15.1640625" style="293" bestFit="1" customWidth="1"/>
    <col min="7936" max="7938" width="10" style="293" customWidth="1"/>
    <col min="7939" max="7939" width="18.83203125" style="293" bestFit="1" customWidth="1"/>
    <col min="7940" max="7941" width="11.5" style="293" customWidth="1"/>
    <col min="7942" max="7942" width="16.83203125" style="293" bestFit="1" customWidth="1"/>
    <col min="7943" max="7943" width="14" style="293" bestFit="1" customWidth="1"/>
    <col min="7944" max="7944" width="11.5" style="293" customWidth="1"/>
    <col min="7945" max="7945" width="11.5" style="293" bestFit="1" customWidth="1"/>
    <col min="7946" max="7946" width="3" style="293" customWidth="1"/>
    <col min="7947" max="7948" width="11.5" style="293" customWidth="1"/>
    <col min="7949" max="7949" width="2.5" style="293" customWidth="1"/>
    <col min="7950" max="7950" width="14.83203125" style="293" bestFit="1" customWidth="1"/>
    <col min="7951" max="7951" width="11.5" style="293" customWidth="1"/>
    <col min="7952" max="7952" width="11.5" style="293" bestFit="1" customWidth="1"/>
    <col min="7953" max="7953" width="10" style="293" bestFit="1" customWidth="1"/>
    <col min="7954" max="7954" width="10.83203125" style="293" bestFit="1" customWidth="1"/>
    <col min="7955" max="7955" width="11.5" style="293" customWidth="1"/>
    <col min="7956" max="7956" width="20.83203125" style="293" bestFit="1" customWidth="1"/>
    <col min="7957" max="8189" width="9.1640625" style="293"/>
    <col min="8190" max="8190" width="44.1640625" style="293" bestFit="1" customWidth="1"/>
    <col min="8191" max="8191" width="15.1640625" style="293" bestFit="1" customWidth="1"/>
    <col min="8192" max="8194" width="10" style="293" customWidth="1"/>
    <col min="8195" max="8195" width="18.83203125" style="293" bestFit="1" customWidth="1"/>
    <col min="8196" max="8197" width="11.5" style="293" customWidth="1"/>
    <col min="8198" max="8198" width="16.83203125" style="293" bestFit="1" customWidth="1"/>
    <col min="8199" max="8199" width="14" style="293" bestFit="1" customWidth="1"/>
    <col min="8200" max="8200" width="11.5" style="293" customWidth="1"/>
    <col min="8201" max="8201" width="11.5" style="293" bestFit="1" customWidth="1"/>
    <col min="8202" max="8202" width="3" style="293" customWidth="1"/>
    <col min="8203" max="8204" width="11.5" style="293" customWidth="1"/>
    <col min="8205" max="8205" width="2.5" style="293" customWidth="1"/>
    <col min="8206" max="8206" width="14.83203125" style="293" bestFit="1" customWidth="1"/>
    <col min="8207" max="8207" width="11.5" style="293" customWidth="1"/>
    <col min="8208" max="8208" width="11.5" style="293" bestFit="1" customWidth="1"/>
    <col min="8209" max="8209" width="10" style="293" bestFit="1" customWidth="1"/>
    <col min="8210" max="8210" width="10.83203125" style="293" bestFit="1" customWidth="1"/>
    <col min="8211" max="8211" width="11.5" style="293" customWidth="1"/>
    <col min="8212" max="8212" width="20.83203125" style="293" bestFit="1" customWidth="1"/>
    <col min="8213" max="8445" width="9.1640625" style="293"/>
    <col min="8446" max="8446" width="44.1640625" style="293" bestFit="1" customWidth="1"/>
    <col min="8447" max="8447" width="15.1640625" style="293" bestFit="1" customWidth="1"/>
    <col min="8448" max="8450" width="10" style="293" customWidth="1"/>
    <col min="8451" max="8451" width="18.83203125" style="293" bestFit="1" customWidth="1"/>
    <col min="8452" max="8453" width="11.5" style="293" customWidth="1"/>
    <col min="8454" max="8454" width="16.83203125" style="293" bestFit="1" customWidth="1"/>
    <col min="8455" max="8455" width="14" style="293" bestFit="1" customWidth="1"/>
    <col min="8456" max="8456" width="11.5" style="293" customWidth="1"/>
    <col min="8457" max="8457" width="11.5" style="293" bestFit="1" customWidth="1"/>
    <col min="8458" max="8458" width="3" style="293" customWidth="1"/>
    <col min="8459" max="8460" width="11.5" style="293" customWidth="1"/>
    <col min="8461" max="8461" width="2.5" style="293" customWidth="1"/>
    <col min="8462" max="8462" width="14.83203125" style="293" bestFit="1" customWidth="1"/>
    <col min="8463" max="8463" width="11.5" style="293" customWidth="1"/>
    <col min="8464" max="8464" width="11.5" style="293" bestFit="1" customWidth="1"/>
    <col min="8465" max="8465" width="10" style="293" bestFit="1" customWidth="1"/>
    <col min="8466" max="8466" width="10.83203125" style="293" bestFit="1" customWidth="1"/>
    <col min="8467" max="8467" width="11.5" style="293" customWidth="1"/>
    <col min="8468" max="8468" width="20.83203125" style="293" bestFit="1" customWidth="1"/>
    <col min="8469" max="8701" width="9.1640625" style="293"/>
    <col min="8702" max="8702" width="44.1640625" style="293" bestFit="1" customWidth="1"/>
    <col min="8703" max="8703" width="15.1640625" style="293" bestFit="1" customWidth="1"/>
    <col min="8704" max="8706" width="10" style="293" customWidth="1"/>
    <col min="8707" max="8707" width="18.83203125" style="293" bestFit="1" customWidth="1"/>
    <col min="8708" max="8709" width="11.5" style="293" customWidth="1"/>
    <col min="8710" max="8710" width="16.83203125" style="293" bestFit="1" customWidth="1"/>
    <col min="8711" max="8711" width="14" style="293" bestFit="1" customWidth="1"/>
    <col min="8712" max="8712" width="11.5" style="293" customWidth="1"/>
    <col min="8713" max="8713" width="11.5" style="293" bestFit="1" customWidth="1"/>
    <col min="8714" max="8714" width="3" style="293" customWidth="1"/>
    <col min="8715" max="8716" width="11.5" style="293" customWidth="1"/>
    <col min="8717" max="8717" width="2.5" style="293" customWidth="1"/>
    <col min="8718" max="8718" width="14.83203125" style="293" bestFit="1" customWidth="1"/>
    <col min="8719" max="8719" width="11.5" style="293" customWidth="1"/>
    <col min="8720" max="8720" width="11.5" style="293" bestFit="1" customWidth="1"/>
    <col min="8721" max="8721" width="10" style="293" bestFit="1" customWidth="1"/>
    <col min="8722" max="8722" width="10.83203125" style="293" bestFit="1" customWidth="1"/>
    <col min="8723" max="8723" width="11.5" style="293" customWidth="1"/>
    <col min="8724" max="8724" width="20.83203125" style="293" bestFit="1" customWidth="1"/>
    <col min="8725" max="8957" width="9.1640625" style="293"/>
    <col min="8958" max="8958" width="44.1640625" style="293" bestFit="1" customWidth="1"/>
    <col min="8959" max="8959" width="15.1640625" style="293" bestFit="1" customWidth="1"/>
    <col min="8960" max="8962" width="10" style="293" customWidth="1"/>
    <col min="8963" max="8963" width="18.83203125" style="293" bestFit="1" customWidth="1"/>
    <col min="8964" max="8965" width="11.5" style="293" customWidth="1"/>
    <col min="8966" max="8966" width="16.83203125" style="293" bestFit="1" customWidth="1"/>
    <col min="8967" max="8967" width="14" style="293" bestFit="1" customWidth="1"/>
    <col min="8968" max="8968" width="11.5" style="293" customWidth="1"/>
    <col min="8969" max="8969" width="11.5" style="293" bestFit="1" customWidth="1"/>
    <col min="8970" max="8970" width="3" style="293" customWidth="1"/>
    <col min="8971" max="8972" width="11.5" style="293" customWidth="1"/>
    <col min="8973" max="8973" width="2.5" style="293" customWidth="1"/>
    <col min="8974" max="8974" width="14.83203125" style="293" bestFit="1" customWidth="1"/>
    <col min="8975" max="8975" width="11.5" style="293" customWidth="1"/>
    <col min="8976" max="8976" width="11.5" style="293" bestFit="1" customWidth="1"/>
    <col min="8977" max="8977" width="10" style="293" bestFit="1" customWidth="1"/>
    <col min="8978" max="8978" width="10.83203125" style="293" bestFit="1" customWidth="1"/>
    <col min="8979" max="8979" width="11.5" style="293" customWidth="1"/>
    <col min="8980" max="8980" width="20.83203125" style="293" bestFit="1" customWidth="1"/>
    <col min="8981" max="9213" width="9.1640625" style="293"/>
    <col min="9214" max="9214" width="44.1640625" style="293" bestFit="1" customWidth="1"/>
    <col min="9215" max="9215" width="15.1640625" style="293" bestFit="1" customWidth="1"/>
    <col min="9216" max="9218" width="10" style="293" customWidth="1"/>
    <col min="9219" max="9219" width="18.83203125" style="293" bestFit="1" customWidth="1"/>
    <col min="9220" max="9221" width="11.5" style="293" customWidth="1"/>
    <col min="9222" max="9222" width="16.83203125" style="293" bestFit="1" customWidth="1"/>
    <col min="9223" max="9223" width="14" style="293" bestFit="1" customWidth="1"/>
    <col min="9224" max="9224" width="11.5" style="293" customWidth="1"/>
    <col min="9225" max="9225" width="11.5" style="293" bestFit="1" customWidth="1"/>
    <col min="9226" max="9226" width="3" style="293" customWidth="1"/>
    <col min="9227" max="9228" width="11.5" style="293" customWidth="1"/>
    <col min="9229" max="9229" width="2.5" style="293" customWidth="1"/>
    <col min="9230" max="9230" width="14.83203125" style="293" bestFit="1" customWidth="1"/>
    <col min="9231" max="9231" width="11.5" style="293" customWidth="1"/>
    <col min="9232" max="9232" width="11.5" style="293" bestFit="1" customWidth="1"/>
    <col min="9233" max="9233" width="10" style="293" bestFit="1" customWidth="1"/>
    <col min="9234" max="9234" width="10.83203125" style="293" bestFit="1" customWidth="1"/>
    <col min="9235" max="9235" width="11.5" style="293" customWidth="1"/>
    <col min="9236" max="9236" width="20.83203125" style="293" bestFit="1" customWidth="1"/>
    <col min="9237" max="9469" width="9.1640625" style="293"/>
    <col min="9470" max="9470" width="44.1640625" style="293" bestFit="1" customWidth="1"/>
    <col min="9471" max="9471" width="15.1640625" style="293" bestFit="1" customWidth="1"/>
    <col min="9472" max="9474" width="10" style="293" customWidth="1"/>
    <col min="9475" max="9475" width="18.83203125" style="293" bestFit="1" customWidth="1"/>
    <col min="9476" max="9477" width="11.5" style="293" customWidth="1"/>
    <col min="9478" max="9478" width="16.83203125" style="293" bestFit="1" customWidth="1"/>
    <col min="9479" max="9479" width="14" style="293" bestFit="1" customWidth="1"/>
    <col min="9480" max="9480" width="11.5" style="293" customWidth="1"/>
    <col min="9481" max="9481" width="11.5" style="293" bestFit="1" customWidth="1"/>
    <col min="9482" max="9482" width="3" style="293" customWidth="1"/>
    <col min="9483" max="9484" width="11.5" style="293" customWidth="1"/>
    <col min="9485" max="9485" width="2.5" style="293" customWidth="1"/>
    <col min="9486" max="9486" width="14.83203125" style="293" bestFit="1" customWidth="1"/>
    <col min="9487" max="9487" width="11.5" style="293" customWidth="1"/>
    <col min="9488" max="9488" width="11.5" style="293" bestFit="1" customWidth="1"/>
    <col min="9489" max="9489" width="10" style="293" bestFit="1" customWidth="1"/>
    <col min="9490" max="9490" width="10.83203125" style="293" bestFit="1" customWidth="1"/>
    <col min="9491" max="9491" width="11.5" style="293" customWidth="1"/>
    <col min="9492" max="9492" width="20.83203125" style="293" bestFit="1" customWidth="1"/>
    <col min="9493" max="9725" width="9.1640625" style="293"/>
    <col min="9726" max="9726" width="44.1640625" style="293" bestFit="1" customWidth="1"/>
    <col min="9727" max="9727" width="15.1640625" style="293" bestFit="1" customWidth="1"/>
    <col min="9728" max="9730" width="10" style="293" customWidth="1"/>
    <col min="9731" max="9731" width="18.83203125" style="293" bestFit="1" customWidth="1"/>
    <col min="9732" max="9733" width="11.5" style="293" customWidth="1"/>
    <col min="9734" max="9734" width="16.83203125" style="293" bestFit="1" customWidth="1"/>
    <col min="9735" max="9735" width="14" style="293" bestFit="1" customWidth="1"/>
    <col min="9736" max="9736" width="11.5" style="293" customWidth="1"/>
    <col min="9737" max="9737" width="11.5" style="293" bestFit="1" customWidth="1"/>
    <col min="9738" max="9738" width="3" style="293" customWidth="1"/>
    <col min="9739" max="9740" width="11.5" style="293" customWidth="1"/>
    <col min="9741" max="9741" width="2.5" style="293" customWidth="1"/>
    <col min="9742" max="9742" width="14.83203125" style="293" bestFit="1" customWidth="1"/>
    <col min="9743" max="9743" width="11.5" style="293" customWidth="1"/>
    <col min="9744" max="9744" width="11.5" style="293" bestFit="1" customWidth="1"/>
    <col min="9745" max="9745" width="10" style="293" bestFit="1" customWidth="1"/>
    <col min="9746" max="9746" width="10.83203125" style="293" bestFit="1" customWidth="1"/>
    <col min="9747" max="9747" width="11.5" style="293" customWidth="1"/>
    <col min="9748" max="9748" width="20.83203125" style="293" bestFit="1" customWidth="1"/>
    <col min="9749" max="9981" width="9.1640625" style="293"/>
    <col min="9982" max="9982" width="44.1640625" style="293" bestFit="1" customWidth="1"/>
    <col min="9983" max="9983" width="15.1640625" style="293" bestFit="1" customWidth="1"/>
    <col min="9984" max="9986" width="10" style="293" customWidth="1"/>
    <col min="9987" max="9987" width="18.83203125" style="293" bestFit="1" customWidth="1"/>
    <col min="9988" max="9989" width="11.5" style="293" customWidth="1"/>
    <col min="9990" max="9990" width="16.83203125" style="293" bestFit="1" customWidth="1"/>
    <col min="9991" max="9991" width="14" style="293" bestFit="1" customWidth="1"/>
    <col min="9992" max="9992" width="11.5" style="293" customWidth="1"/>
    <col min="9993" max="9993" width="11.5" style="293" bestFit="1" customWidth="1"/>
    <col min="9994" max="9994" width="3" style="293" customWidth="1"/>
    <col min="9995" max="9996" width="11.5" style="293" customWidth="1"/>
    <col min="9997" max="9997" width="2.5" style="293" customWidth="1"/>
    <col min="9998" max="9998" width="14.83203125" style="293" bestFit="1" customWidth="1"/>
    <col min="9999" max="9999" width="11.5" style="293" customWidth="1"/>
    <col min="10000" max="10000" width="11.5" style="293" bestFit="1" customWidth="1"/>
    <col min="10001" max="10001" width="10" style="293" bestFit="1" customWidth="1"/>
    <col min="10002" max="10002" width="10.83203125" style="293" bestFit="1" customWidth="1"/>
    <col min="10003" max="10003" width="11.5" style="293" customWidth="1"/>
    <col min="10004" max="10004" width="20.83203125" style="293" bestFit="1" customWidth="1"/>
    <col min="10005" max="10237" width="9.1640625" style="293"/>
    <col min="10238" max="10238" width="44.1640625" style="293" bestFit="1" customWidth="1"/>
    <col min="10239" max="10239" width="15.1640625" style="293" bestFit="1" customWidth="1"/>
    <col min="10240" max="10242" width="10" style="293" customWidth="1"/>
    <col min="10243" max="10243" width="18.83203125" style="293" bestFit="1" customWidth="1"/>
    <col min="10244" max="10245" width="11.5" style="293" customWidth="1"/>
    <col min="10246" max="10246" width="16.83203125" style="293" bestFit="1" customWidth="1"/>
    <col min="10247" max="10247" width="14" style="293" bestFit="1" customWidth="1"/>
    <col min="10248" max="10248" width="11.5" style="293" customWidth="1"/>
    <col min="10249" max="10249" width="11.5" style="293" bestFit="1" customWidth="1"/>
    <col min="10250" max="10250" width="3" style="293" customWidth="1"/>
    <col min="10251" max="10252" width="11.5" style="293" customWidth="1"/>
    <col min="10253" max="10253" width="2.5" style="293" customWidth="1"/>
    <col min="10254" max="10254" width="14.83203125" style="293" bestFit="1" customWidth="1"/>
    <col min="10255" max="10255" width="11.5" style="293" customWidth="1"/>
    <col min="10256" max="10256" width="11.5" style="293" bestFit="1" customWidth="1"/>
    <col min="10257" max="10257" width="10" style="293" bestFit="1" customWidth="1"/>
    <col min="10258" max="10258" width="10.83203125" style="293" bestFit="1" customWidth="1"/>
    <col min="10259" max="10259" width="11.5" style="293" customWidth="1"/>
    <col min="10260" max="10260" width="20.83203125" style="293" bestFit="1" customWidth="1"/>
    <col min="10261" max="10493" width="9.1640625" style="293"/>
    <col min="10494" max="10494" width="44.1640625" style="293" bestFit="1" customWidth="1"/>
    <col min="10495" max="10495" width="15.1640625" style="293" bestFit="1" customWidth="1"/>
    <col min="10496" max="10498" width="10" style="293" customWidth="1"/>
    <col min="10499" max="10499" width="18.83203125" style="293" bestFit="1" customWidth="1"/>
    <col min="10500" max="10501" width="11.5" style="293" customWidth="1"/>
    <col min="10502" max="10502" width="16.83203125" style="293" bestFit="1" customWidth="1"/>
    <col min="10503" max="10503" width="14" style="293" bestFit="1" customWidth="1"/>
    <col min="10504" max="10504" width="11.5" style="293" customWidth="1"/>
    <col min="10505" max="10505" width="11.5" style="293" bestFit="1" customWidth="1"/>
    <col min="10506" max="10506" width="3" style="293" customWidth="1"/>
    <col min="10507" max="10508" width="11.5" style="293" customWidth="1"/>
    <col min="10509" max="10509" width="2.5" style="293" customWidth="1"/>
    <col min="10510" max="10510" width="14.83203125" style="293" bestFit="1" customWidth="1"/>
    <col min="10511" max="10511" width="11.5" style="293" customWidth="1"/>
    <col min="10512" max="10512" width="11.5" style="293" bestFit="1" customWidth="1"/>
    <col min="10513" max="10513" width="10" style="293" bestFit="1" customWidth="1"/>
    <col min="10514" max="10514" width="10.83203125" style="293" bestFit="1" customWidth="1"/>
    <col min="10515" max="10515" width="11.5" style="293" customWidth="1"/>
    <col min="10516" max="10516" width="20.83203125" style="293" bestFit="1" customWidth="1"/>
    <col min="10517" max="10749" width="9.1640625" style="293"/>
    <col min="10750" max="10750" width="44.1640625" style="293" bestFit="1" customWidth="1"/>
    <col min="10751" max="10751" width="15.1640625" style="293" bestFit="1" customWidth="1"/>
    <col min="10752" max="10754" width="10" style="293" customWidth="1"/>
    <col min="10755" max="10755" width="18.83203125" style="293" bestFit="1" customWidth="1"/>
    <col min="10756" max="10757" width="11.5" style="293" customWidth="1"/>
    <col min="10758" max="10758" width="16.83203125" style="293" bestFit="1" customWidth="1"/>
    <col min="10759" max="10759" width="14" style="293" bestFit="1" customWidth="1"/>
    <col min="10760" max="10760" width="11.5" style="293" customWidth="1"/>
    <col min="10761" max="10761" width="11.5" style="293" bestFit="1" customWidth="1"/>
    <col min="10762" max="10762" width="3" style="293" customWidth="1"/>
    <col min="10763" max="10764" width="11.5" style="293" customWidth="1"/>
    <col min="10765" max="10765" width="2.5" style="293" customWidth="1"/>
    <col min="10766" max="10766" width="14.83203125" style="293" bestFit="1" customWidth="1"/>
    <col min="10767" max="10767" width="11.5" style="293" customWidth="1"/>
    <col min="10768" max="10768" width="11.5" style="293" bestFit="1" customWidth="1"/>
    <col min="10769" max="10769" width="10" style="293" bestFit="1" customWidth="1"/>
    <col min="10770" max="10770" width="10.83203125" style="293" bestFit="1" customWidth="1"/>
    <col min="10771" max="10771" width="11.5" style="293" customWidth="1"/>
    <col min="10772" max="10772" width="20.83203125" style="293" bestFit="1" customWidth="1"/>
    <col min="10773" max="11005" width="9.1640625" style="293"/>
    <col min="11006" max="11006" width="44.1640625" style="293" bestFit="1" customWidth="1"/>
    <col min="11007" max="11007" width="15.1640625" style="293" bestFit="1" customWidth="1"/>
    <col min="11008" max="11010" width="10" style="293" customWidth="1"/>
    <col min="11011" max="11011" width="18.83203125" style="293" bestFit="1" customWidth="1"/>
    <col min="11012" max="11013" width="11.5" style="293" customWidth="1"/>
    <col min="11014" max="11014" width="16.83203125" style="293" bestFit="1" customWidth="1"/>
    <col min="11015" max="11015" width="14" style="293" bestFit="1" customWidth="1"/>
    <col min="11016" max="11016" width="11.5" style="293" customWidth="1"/>
    <col min="11017" max="11017" width="11.5" style="293" bestFit="1" customWidth="1"/>
    <col min="11018" max="11018" width="3" style="293" customWidth="1"/>
    <col min="11019" max="11020" width="11.5" style="293" customWidth="1"/>
    <col min="11021" max="11021" width="2.5" style="293" customWidth="1"/>
    <col min="11022" max="11022" width="14.83203125" style="293" bestFit="1" customWidth="1"/>
    <col min="11023" max="11023" width="11.5" style="293" customWidth="1"/>
    <col min="11024" max="11024" width="11.5" style="293" bestFit="1" customWidth="1"/>
    <col min="11025" max="11025" width="10" style="293" bestFit="1" customWidth="1"/>
    <col min="11026" max="11026" width="10.83203125" style="293" bestFit="1" customWidth="1"/>
    <col min="11027" max="11027" width="11.5" style="293" customWidth="1"/>
    <col min="11028" max="11028" width="20.83203125" style="293" bestFit="1" customWidth="1"/>
    <col min="11029" max="11261" width="9.1640625" style="293"/>
    <col min="11262" max="11262" width="44.1640625" style="293" bestFit="1" customWidth="1"/>
    <col min="11263" max="11263" width="15.1640625" style="293" bestFit="1" customWidth="1"/>
    <col min="11264" max="11266" width="10" style="293" customWidth="1"/>
    <col min="11267" max="11267" width="18.83203125" style="293" bestFit="1" customWidth="1"/>
    <col min="11268" max="11269" width="11.5" style="293" customWidth="1"/>
    <col min="11270" max="11270" width="16.83203125" style="293" bestFit="1" customWidth="1"/>
    <col min="11271" max="11271" width="14" style="293" bestFit="1" customWidth="1"/>
    <col min="11272" max="11272" width="11.5" style="293" customWidth="1"/>
    <col min="11273" max="11273" width="11.5" style="293" bestFit="1" customWidth="1"/>
    <col min="11274" max="11274" width="3" style="293" customWidth="1"/>
    <col min="11275" max="11276" width="11.5" style="293" customWidth="1"/>
    <col min="11277" max="11277" width="2.5" style="293" customWidth="1"/>
    <col min="11278" max="11278" width="14.83203125" style="293" bestFit="1" customWidth="1"/>
    <col min="11279" max="11279" width="11.5" style="293" customWidth="1"/>
    <col min="11280" max="11280" width="11.5" style="293" bestFit="1" customWidth="1"/>
    <col min="11281" max="11281" width="10" style="293" bestFit="1" customWidth="1"/>
    <col min="11282" max="11282" width="10.83203125" style="293" bestFit="1" customWidth="1"/>
    <col min="11283" max="11283" width="11.5" style="293" customWidth="1"/>
    <col min="11284" max="11284" width="20.83203125" style="293" bestFit="1" customWidth="1"/>
    <col min="11285" max="11517" width="9.1640625" style="293"/>
    <col min="11518" max="11518" width="44.1640625" style="293" bestFit="1" customWidth="1"/>
    <col min="11519" max="11519" width="15.1640625" style="293" bestFit="1" customWidth="1"/>
    <col min="11520" max="11522" width="10" style="293" customWidth="1"/>
    <col min="11523" max="11523" width="18.83203125" style="293" bestFit="1" customWidth="1"/>
    <col min="11524" max="11525" width="11.5" style="293" customWidth="1"/>
    <col min="11526" max="11526" width="16.83203125" style="293" bestFit="1" customWidth="1"/>
    <col min="11527" max="11527" width="14" style="293" bestFit="1" customWidth="1"/>
    <col min="11528" max="11528" width="11.5" style="293" customWidth="1"/>
    <col min="11529" max="11529" width="11.5" style="293" bestFit="1" customWidth="1"/>
    <col min="11530" max="11530" width="3" style="293" customWidth="1"/>
    <col min="11531" max="11532" width="11.5" style="293" customWidth="1"/>
    <col min="11533" max="11533" width="2.5" style="293" customWidth="1"/>
    <col min="11534" max="11534" width="14.83203125" style="293" bestFit="1" customWidth="1"/>
    <col min="11535" max="11535" width="11.5" style="293" customWidth="1"/>
    <col min="11536" max="11536" width="11.5" style="293" bestFit="1" customWidth="1"/>
    <col min="11537" max="11537" width="10" style="293" bestFit="1" customWidth="1"/>
    <col min="11538" max="11538" width="10.83203125" style="293" bestFit="1" customWidth="1"/>
    <col min="11539" max="11539" width="11.5" style="293" customWidth="1"/>
    <col min="11540" max="11540" width="20.83203125" style="293" bestFit="1" customWidth="1"/>
    <col min="11541" max="11773" width="9.1640625" style="293"/>
    <col min="11774" max="11774" width="44.1640625" style="293" bestFit="1" customWidth="1"/>
    <col min="11775" max="11775" width="15.1640625" style="293" bestFit="1" customWidth="1"/>
    <col min="11776" max="11778" width="10" style="293" customWidth="1"/>
    <col min="11779" max="11779" width="18.83203125" style="293" bestFit="1" customWidth="1"/>
    <col min="11780" max="11781" width="11.5" style="293" customWidth="1"/>
    <col min="11782" max="11782" width="16.83203125" style="293" bestFit="1" customWidth="1"/>
    <col min="11783" max="11783" width="14" style="293" bestFit="1" customWidth="1"/>
    <col min="11784" max="11784" width="11.5" style="293" customWidth="1"/>
    <col min="11785" max="11785" width="11.5" style="293" bestFit="1" customWidth="1"/>
    <col min="11786" max="11786" width="3" style="293" customWidth="1"/>
    <col min="11787" max="11788" width="11.5" style="293" customWidth="1"/>
    <col min="11789" max="11789" width="2.5" style="293" customWidth="1"/>
    <col min="11790" max="11790" width="14.83203125" style="293" bestFit="1" customWidth="1"/>
    <col min="11791" max="11791" width="11.5" style="293" customWidth="1"/>
    <col min="11792" max="11792" width="11.5" style="293" bestFit="1" customWidth="1"/>
    <col min="11793" max="11793" width="10" style="293" bestFit="1" customWidth="1"/>
    <col min="11794" max="11794" width="10.83203125" style="293" bestFit="1" customWidth="1"/>
    <col min="11795" max="11795" width="11.5" style="293" customWidth="1"/>
    <col min="11796" max="11796" width="20.83203125" style="293" bestFit="1" customWidth="1"/>
    <col min="11797" max="12029" width="9.1640625" style="293"/>
    <col min="12030" max="12030" width="44.1640625" style="293" bestFit="1" customWidth="1"/>
    <col min="12031" max="12031" width="15.1640625" style="293" bestFit="1" customWidth="1"/>
    <col min="12032" max="12034" width="10" style="293" customWidth="1"/>
    <col min="12035" max="12035" width="18.83203125" style="293" bestFit="1" customWidth="1"/>
    <col min="12036" max="12037" width="11.5" style="293" customWidth="1"/>
    <col min="12038" max="12038" width="16.83203125" style="293" bestFit="1" customWidth="1"/>
    <col min="12039" max="12039" width="14" style="293" bestFit="1" customWidth="1"/>
    <col min="12040" max="12040" width="11.5" style="293" customWidth="1"/>
    <col min="12041" max="12041" width="11.5" style="293" bestFit="1" customWidth="1"/>
    <col min="12042" max="12042" width="3" style="293" customWidth="1"/>
    <col min="12043" max="12044" width="11.5" style="293" customWidth="1"/>
    <col min="12045" max="12045" width="2.5" style="293" customWidth="1"/>
    <col min="12046" max="12046" width="14.83203125" style="293" bestFit="1" customWidth="1"/>
    <col min="12047" max="12047" width="11.5" style="293" customWidth="1"/>
    <col min="12048" max="12048" width="11.5" style="293" bestFit="1" customWidth="1"/>
    <col min="12049" max="12049" width="10" style="293" bestFit="1" customWidth="1"/>
    <col min="12050" max="12050" width="10.83203125" style="293" bestFit="1" customWidth="1"/>
    <col min="12051" max="12051" width="11.5" style="293" customWidth="1"/>
    <col min="12052" max="12052" width="20.83203125" style="293" bestFit="1" customWidth="1"/>
    <col min="12053" max="12285" width="9.1640625" style="293"/>
    <col min="12286" max="12286" width="44.1640625" style="293" bestFit="1" customWidth="1"/>
    <col min="12287" max="12287" width="15.1640625" style="293" bestFit="1" customWidth="1"/>
    <col min="12288" max="12290" width="10" style="293" customWidth="1"/>
    <col min="12291" max="12291" width="18.83203125" style="293" bestFit="1" customWidth="1"/>
    <col min="12292" max="12293" width="11.5" style="293" customWidth="1"/>
    <col min="12294" max="12294" width="16.83203125" style="293" bestFit="1" customWidth="1"/>
    <col min="12295" max="12295" width="14" style="293" bestFit="1" customWidth="1"/>
    <col min="12296" max="12296" width="11.5" style="293" customWidth="1"/>
    <col min="12297" max="12297" width="11.5" style="293" bestFit="1" customWidth="1"/>
    <col min="12298" max="12298" width="3" style="293" customWidth="1"/>
    <col min="12299" max="12300" width="11.5" style="293" customWidth="1"/>
    <col min="12301" max="12301" width="2.5" style="293" customWidth="1"/>
    <col min="12302" max="12302" width="14.83203125" style="293" bestFit="1" customWidth="1"/>
    <col min="12303" max="12303" width="11.5" style="293" customWidth="1"/>
    <col min="12304" max="12304" width="11.5" style="293" bestFit="1" customWidth="1"/>
    <col min="12305" max="12305" width="10" style="293" bestFit="1" customWidth="1"/>
    <col min="12306" max="12306" width="10.83203125" style="293" bestFit="1" customWidth="1"/>
    <col min="12307" max="12307" width="11.5" style="293" customWidth="1"/>
    <col min="12308" max="12308" width="20.83203125" style="293" bestFit="1" customWidth="1"/>
    <col min="12309" max="12541" width="9.1640625" style="293"/>
    <col min="12542" max="12542" width="44.1640625" style="293" bestFit="1" customWidth="1"/>
    <col min="12543" max="12543" width="15.1640625" style="293" bestFit="1" customWidth="1"/>
    <col min="12544" max="12546" width="10" style="293" customWidth="1"/>
    <col min="12547" max="12547" width="18.83203125" style="293" bestFit="1" customWidth="1"/>
    <col min="12548" max="12549" width="11.5" style="293" customWidth="1"/>
    <col min="12550" max="12550" width="16.83203125" style="293" bestFit="1" customWidth="1"/>
    <col min="12551" max="12551" width="14" style="293" bestFit="1" customWidth="1"/>
    <col min="12552" max="12552" width="11.5" style="293" customWidth="1"/>
    <col min="12553" max="12553" width="11.5" style="293" bestFit="1" customWidth="1"/>
    <col min="12554" max="12554" width="3" style="293" customWidth="1"/>
    <col min="12555" max="12556" width="11.5" style="293" customWidth="1"/>
    <col min="12557" max="12557" width="2.5" style="293" customWidth="1"/>
    <col min="12558" max="12558" width="14.83203125" style="293" bestFit="1" customWidth="1"/>
    <col min="12559" max="12559" width="11.5" style="293" customWidth="1"/>
    <col min="12560" max="12560" width="11.5" style="293" bestFit="1" customWidth="1"/>
    <col min="12561" max="12561" width="10" style="293" bestFit="1" customWidth="1"/>
    <col min="12562" max="12562" width="10.83203125" style="293" bestFit="1" customWidth="1"/>
    <col min="12563" max="12563" width="11.5" style="293" customWidth="1"/>
    <col min="12564" max="12564" width="20.83203125" style="293" bestFit="1" customWidth="1"/>
    <col min="12565" max="12797" width="9.1640625" style="293"/>
    <col min="12798" max="12798" width="44.1640625" style="293" bestFit="1" customWidth="1"/>
    <col min="12799" max="12799" width="15.1640625" style="293" bestFit="1" customWidth="1"/>
    <col min="12800" max="12802" width="10" style="293" customWidth="1"/>
    <col min="12803" max="12803" width="18.83203125" style="293" bestFit="1" customWidth="1"/>
    <col min="12804" max="12805" width="11.5" style="293" customWidth="1"/>
    <col min="12806" max="12806" width="16.83203125" style="293" bestFit="1" customWidth="1"/>
    <col min="12807" max="12807" width="14" style="293" bestFit="1" customWidth="1"/>
    <col min="12808" max="12808" width="11.5" style="293" customWidth="1"/>
    <col min="12809" max="12809" width="11.5" style="293" bestFit="1" customWidth="1"/>
    <col min="12810" max="12810" width="3" style="293" customWidth="1"/>
    <col min="12811" max="12812" width="11.5" style="293" customWidth="1"/>
    <col min="12813" max="12813" width="2.5" style="293" customWidth="1"/>
    <col min="12814" max="12814" width="14.83203125" style="293" bestFit="1" customWidth="1"/>
    <col min="12815" max="12815" width="11.5" style="293" customWidth="1"/>
    <col min="12816" max="12816" width="11.5" style="293" bestFit="1" customWidth="1"/>
    <col min="12817" max="12817" width="10" style="293" bestFit="1" customWidth="1"/>
    <col min="12818" max="12818" width="10.83203125" style="293" bestFit="1" customWidth="1"/>
    <col min="12819" max="12819" width="11.5" style="293" customWidth="1"/>
    <col min="12820" max="12820" width="20.83203125" style="293" bestFit="1" customWidth="1"/>
    <col min="12821" max="13053" width="9.1640625" style="293"/>
    <col min="13054" max="13054" width="44.1640625" style="293" bestFit="1" customWidth="1"/>
    <col min="13055" max="13055" width="15.1640625" style="293" bestFit="1" customWidth="1"/>
    <col min="13056" max="13058" width="10" style="293" customWidth="1"/>
    <col min="13059" max="13059" width="18.83203125" style="293" bestFit="1" customWidth="1"/>
    <col min="13060" max="13061" width="11.5" style="293" customWidth="1"/>
    <col min="13062" max="13062" width="16.83203125" style="293" bestFit="1" customWidth="1"/>
    <col min="13063" max="13063" width="14" style="293" bestFit="1" customWidth="1"/>
    <col min="13064" max="13064" width="11.5" style="293" customWidth="1"/>
    <col min="13065" max="13065" width="11.5" style="293" bestFit="1" customWidth="1"/>
    <col min="13066" max="13066" width="3" style="293" customWidth="1"/>
    <col min="13067" max="13068" width="11.5" style="293" customWidth="1"/>
    <col min="13069" max="13069" width="2.5" style="293" customWidth="1"/>
    <col min="13070" max="13070" width="14.83203125" style="293" bestFit="1" customWidth="1"/>
    <col min="13071" max="13071" width="11.5" style="293" customWidth="1"/>
    <col min="13072" max="13072" width="11.5" style="293" bestFit="1" customWidth="1"/>
    <col min="13073" max="13073" width="10" style="293" bestFit="1" customWidth="1"/>
    <col min="13074" max="13074" width="10.83203125" style="293" bestFit="1" customWidth="1"/>
    <col min="13075" max="13075" width="11.5" style="293" customWidth="1"/>
    <col min="13076" max="13076" width="20.83203125" style="293" bestFit="1" customWidth="1"/>
    <col min="13077" max="13309" width="9.1640625" style="293"/>
    <col min="13310" max="13310" width="44.1640625" style="293" bestFit="1" customWidth="1"/>
    <col min="13311" max="13311" width="15.1640625" style="293" bestFit="1" customWidth="1"/>
    <col min="13312" max="13314" width="10" style="293" customWidth="1"/>
    <col min="13315" max="13315" width="18.83203125" style="293" bestFit="1" customWidth="1"/>
    <col min="13316" max="13317" width="11.5" style="293" customWidth="1"/>
    <col min="13318" max="13318" width="16.83203125" style="293" bestFit="1" customWidth="1"/>
    <col min="13319" max="13319" width="14" style="293" bestFit="1" customWidth="1"/>
    <col min="13320" max="13320" width="11.5" style="293" customWidth="1"/>
    <col min="13321" max="13321" width="11.5" style="293" bestFit="1" customWidth="1"/>
    <col min="13322" max="13322" width="3" style="293" customWidth="1"/>
    <col min="13323" max="13324" width="11.5" style="293" customWidth="1"/>
    <col min="13325" max="13325" width="2.5" style="293" customWidth="1"/>
    <col min="13326" max="13326" width="14.83203125" style="293" bestFit="1" customWidth="1"/>
    <col min="13327" max="13327" width="11.5" style="293" customWidth="1"/>
    <col min="13328" max="13328" width="11.5" style="293" bestFit="1" customWidth="1"/>
    <col min="13329" max="13329" width="10" style="293" bestFit="1" customWidth="1"/>
    <col min="13330" max="13330" width="10.83203125" style="293" bestFit="1" customWidth="1"/>
    <col min="13331" max="13331" width="11.5" style="293" customWidth="1"/>
    <col min="13332" max="13332" width="20.83203125" style="293" bestFit="1" customWidth="1"/>
    <col min="13333" max="13565" width="9.1640625" style="293"/>
    <col min="13566" max="13566" width="44.1640625" style="293" bestFit="1" customWidth="1"/>
    <col min="13567" max="13567" width="15.1640625" style="293" bestFit="1" customWidth="1"/>
    <col min="13568" max="13570" width="10" style="293" customWidth="1"/>
    <col min="13571" max="13571" width="18.83203125" style="293" bestFit="1" customWidth="1"/>
    <col min="13572" max="13573" width="11.5" style="293" customWidth="1"/>
    <col min="13574" max="13574" width="16.83203125" style="293" bestFit="1" customWidth="1"/>
    <col min="13575" max="13575" width="14" style="293" bestFit="1" customWidth="1"/>
    <col min="13576" max="13576" width="11.5" style="293" customWidth="1"/>
    <col min="13577" max="13577" width="11.5" style="293" bestFit="1" customWidth="1"/>
    <col min="13578" max="13578" width="3" style="293" customWidth="1"/>
    <col min="13579" max="13580" width="11.5" style="293" customWidth="1"/>
    <col min="13581" max="13581" width="2.5" style="293" customWidth="1"/>
    <col min="13582" max="13582" width="14.83203125" style="293" bestFit="1" customWidth="1"/>
    <col min="13583" max="13583" width="11.5" style="293" customWidth="1"/>
    <col min="13584" max="13584" width="11.5" style="293" bestFit="1" customWidth="1"/>
    <col min="13585" max="13585" width="10" style="293" bestFit="1" customWidth="1"/>
    <col min="13586" max="13586" width="10.83203125" style="293" bestFit="1" customWidth="1"/>
    <col min="13587" max="13587" width="11.5" style="293" customWidth="1"/>
    <col min="13588" max="13588" width="20.83203125" style="293" bestFit="1" customWidth="1"/>
    <col min="13589" max="13821" width="9.1640625" style="293"/>
    <col min="13822" max="13822" width="44.1640625" style="293" bestFit="1" customWidth="1"/>
    <col min="13823" max="13823" width="15.1640625" style="293" bestFit="1" customWidth="1"/>
    <col min="13824" max="13826" width="10" style="293" customWidth="1"/>
    <col min="13827" max="13827" width="18.83203125" style="293" bestFit="1" customWidth="1"/>
    <col min="13828" max="13829" width="11.5" style="293" customWidth="1"/>
    <col min="13830" max="13830" width="16.83203125" style="293" bestFit="1" customWidth="1"/>
    <col min="13831" max="13831" width="14" style="293" bestFit="1" customWidth="1"/>
    <col min="13832" max="13832" width="11.5" style="293" customWidth="1"/>
    <col min="13833" max="13833" width="11.5" style="293" bestFit="1" customWidth="1"/>
    <col min="13834" max="13834" width="3" style="293" customWidth="1"/>
    <col min="13835" max="13836" width="11.5" style="293" customWidth="1"/>
    <col min="13837" max="13837" width="2.5" style="293" customWidth="1"/>
    <col min="13838" max="13838" width="14.83203125" style="293" bestFit="1" customWidth="1"/>
    <col min="13839" max="13839" width="11.5" style="293" customWidth="1"/>
    <col min="13840" max="13840" width="11.5" style="293" bestFit="1" customWidth="1"/>
    <col min="13841" max="13841" width="10" style="293" bestFit="1" customWidth="1"/>
    <col min="13842" max="13842" width="10.83203125" style="293" bestFit="1" customWidth="1"/>
    <col min="13843" max="13843" width="11.5" style="293" customWidth="1"/>
    <col min="13844" max="13844" width="20.83203125" style="293" bestFit="1" customWidth="1"/>
    <col min="13845" max="14077" width="9.1640625" style="293"/>
    <col min="14078" max="14078" width="44.1640625" style="293" bestFit="1" customWidth="1"/>
    <col min="14079" max="14079" width="15.1640625" style="293" bestFit="1" customWidth="1"/>
    <col min="14080" max="14082" width="10" style="293" customWidth="1"/>
    <col min="14083" max="14083" width="18.83203125" style="293" bestFit="1" customWidth="1"/>
    <col min="14084" max="14085" width="11.5" style="293" customWidth="1"/>
    <col min="14086" max="14086" width="16.83203125" style="293" bestFit="1" customWidth="1"/>
    <col min="14087" max="14087" width="14" style="293" bestFit="1" customWidth="1"/>
    <col min="14088" max="14088" width="11.5" style="293" customWidth="1"/>
    <col min="14089" max="14089" width="11.5" style="293" bestFit="1" customWidth="1"/>
    <col min="14090" max="14090" width="3" style="293" customWidth="1"/>
    <col min="14091" max="14092" width="11.5" style="293" customWidth="1"/>
    <col min="14093" max="14093" width="2.5" style="293" customWidth="1"/>
    <col min="14094" max="14094" width="14.83203125" style="293" bestFit="1" customWidth="1"/>
    <col min="14095" max="14095" width="11.5" style="293" customWidth="1"/>
    <col min="14096" max="14096" width="11.5" style="293" bestFit="1" customWidth="1"/>
    <col min="14097" max="14097" width="10" style="293" bestFit="1" customWidth="1"/>
    <col min="14098" max="14098" width="10.83203125" style="293" bestFit="1" customWidth="1"/>
    <col min="14099" max="14099" width="11.5" style="293" customWidth="1"/>
    <col min="14100" max="14100" width="20.83203125" style="293" bestFit="1" customWidth="1"/>
    <col min="14101" max="14333" width="9.1640625" style="293"/>
    <col min="14334" max="14334" width="44.1640625" style="293" bestFit="1" customWidth="1"/>
    <col min="14335" max="14335" width="15.1640625" style="293" bestFit="1" customWidth="1"/>
    <col min="14336" max="14338" width="10" style="293" customWidth="1"/>
    <col min="14339" max="14339" width="18.83203125" style="293" bestFit="1" customWidth="1"/>
    <col min="14340" max="14341" width="11.5" style="293" customWidth="1"/>
    <col min="14342" max="14342" width="16.83203125" style="293" bestFit="1" customWidth="1"/>
    <col min="14343" max="14343" width="14" style="293" bestFit="1" customWidth="1"/>
    <col min="14344" max="14344" width="11.5" style="293" customWidth="1"/>
    <col min="14345" max="14345" width="11.5" style="293" bestFit="1" customWidth="1"/>
    <col min="14346" max="14346" width="3" style="293" customWidth="1"/>
    <col min="14347" max="14348" width="11.5" style="293" customWidth="1"/>
    <col min="14349" max="14349" width="2.5" style="293" customWidth="1"/>
    <col min="14350" max="14350" width="14.83203125" style="293" bestFit="1" customWidth="1"/>
    <col min="14351" max="14351" width="11.5" style="293" customWidth="1"/>
    <col min="14352" max="14352" width="11.5" style="293" bestFit="1" customWidth="1"/>
    <col min="14353" max="14353" width="10" style="293" bestFit="1" customWidth="1"/>
    <col min="14354" max="14354" width="10.83203125" style="293" bestFit="1" customWidth="1"/>
    <col min="14355" max="14355" width="11.5" style="293" customWidth="1"/>
    <col min="14356" max="14356" width="20.83203125" style="293" bestFit="1" customWidth="1"/>
    <col min="14357" max="14589" width="9.1640625" style="293"/>
    <col min="14590" max="14590" width="44.1640625" style="293" bestFit="1" customWidth="1"/>
    <col min="14591" max="14591" width="15.1640625" style="293" bestFit="1" customWidth="1"/>
    <col min="14592" max="14594" width="10" style="293" customWidth="1"/>
    <col min="14595" max="14595" width="18.83203125" style="293" bestFit="1" customWidth="1"/>
    <col min="14596" max="14597" width="11.5" style="293" customWidth="1"/>
    <col min="14598" max="14598" width="16.83203125" style="293" bestFit="1" customWidth="1"/>
    <col min="14599" max="14599" width="14" style="293" bestFit="1" customWidth="1"/>
    <col min="14600" max="14600" width="11.5" style="293" customWidth="1"/>
    <col min="14601" max="14601" width="11.5" style="293" bestFit="1" customWidth="1"/>
    <col min="14602" max="14602" width="3" style="293" customWidth="1"/>
    <col min="14603" max="14604" width="11.5" style="293" customWidth="1"/>
    <col min="14605" max="14605" width="2.5" style="293" customWidth="1"/>
    <col min="14606" max="14606" width="14.83203125" style="293" bestFit="1" customWidth="1"/>
    <col min="14607" max="14607" width="11.5" style="293" customWidth="1"/>
    <col min="14608" max="14608" width="11.5" style="293" bestFit="1" customWidth="1"/>
    <col min="14609" max="14609" width="10" style="293" bestFit="1" customWidth="1"/>
    <col min="14610" max="14610" width="10.83203125" style="293" bestFit="1" customWidth="1"/>
    <col min="14611" max="14611" width="11.5" style="293" customWidth="1"/>
    <col min="14612" max="14612" width="20.83203125" style="293" bestFit="1" customWidth="1"/>
    <col min="14613" max="14845" width="9.1640625" style="293"/>
    <col min="14846" max="14846" width="44.1640625" style="293" bestFit="1" customWidth="1"/>
    <col min="14847" max="14847" width="15.1640625" style="293" bestFit="1" customWidth="1"/>
    <col min="14848" max="14850" width="10" style="293" customWidth="1"/>
    <col min="14851" max="14851" width="18.83203125" style="293" bestFit="1" customWidth="1"/>
    <col min="14852" max="14853" width="11.5" style="293" customWidth="1"/>
    <col min="14854" max="14854" width="16.83203125" style="293" bestFit="1" customWidth="1"/>
    <col min="14855" max="14855" width="14" style="293" bestFit="1" customWidth="1"/>
    <col min="14856" max="14856" width="11.5" style="293" customWidth="1"/>
    <col min="14857" max="14857" width="11.5" style="293" bestFit="1" customWidth="1"/>
    <col min="14858" max="14858" width="3" style="293" customWidth="1"/>
    <col min="14859" max="14860" width="11.5" style="293" customWidth="1"/>
    <col min="14861" max="14861" width="2.5" style="293" customWidth="1"/>
    <col min="14862" max="14862" width="14.83203125" style="293" bestFit="1" customWidth="1"/>
    <col min="14863" max="14863" width="11.5" style="293" customWidth="1"/>
    <col min="14864" max="14864" width="11.5" style="293" bestFit="1" customWidth="1"/>
    <col min="14865" max="14865" width="10" style="293" bestFit="1" customWidth="1"/>
    <col min="14866" max="14866" width="10.83203125" style="293" bestFit="1" customWidth="1"/>
    <col min="14867" max="14867" width="11.5" style="293" customWidth="1"/>
    <col min="14868" max="14868" width="20.83203125" style="293" bestFit="1" customWidth="1"/>
    <col min="14869" max="15101" width="9.1640625" style="293"/>
    <col min="15102" max="15102" width="44.1640625" style="293" bestFit="1" customWidth="1"/>
    <col min="15103" max="15103" width="15.1640625" style="293" bestFit="1" customWidth="1"/>
    <col min="15104" max="15106" width="10" style="293" customWidth="1"/>
    <col min="15107" max="15107" width="18.83203125" style="293" bestFit="1" customWidth="1"/>
    <col min="15108" max="15109" width="11.5" style="293" customWidth="1"/>
    <col min="15110" max="15110" width="16.83203125" style="293" bestFit="1" customWidth="1"/>
    <col min="15111" max="15111" width="14" style="293" bestFit="1" customWidth="1"/>
    <col min="15112" max="15112" width="11.5" style="293" customWidth="1"/>
    <col min="15113" max="15113" width="11.5" style="293" bestFit="1" customWidth="1"/>
    <col min="15114" max="15114" width="3" style="293" customWidth="1"/>
    <col min="15115" max="15116" width="11.5" style="293" customWidth="1"/>
    <col min="15117" max="15117" width="2.5" style="293" customWidth="1"/>
    <col min="15118" max="15118" width="14.83203125" style="293" bestFit="1" customWidth="1"/>
    <col min="15119" max="15119" width="11.5" style="293" customWidth="1"/>
    <col min="15120" max="15120" width="11.5" style="293" bestFit="1" customWidth="1"/>
    <col min="15121" max="15121" width="10" style="293" bestFit="1" customWidth="1"/>
    <col min="15122" max="15122" width="10.83203125" style="293" bestFit="1" customWidth="1"/>
    <col min="15123" max="15123" width="11.5" style="293" customWidth="1"/>
    <col min="15124" max="15124" width="20.83203125" style="293" bestFit="1" customWidth="1"/>
    <col min="15125" max="15357" width="9.1640625" style="293"/>
    <col min="15358" max="15358" width="44.1640625" style="293" bestFit="1" customWidth="1"/>
    <col min="15359" max="15359" width="15.1640625" style="293" bestFit="1" customWidth="1"/>
    <col min="15360" max="15362" width="10" style="293" customWidth="1"/>
    <col min="15363" max="15363" width="18.83203125" style="293" bestFit="1" customWidth="1"/>
    <col min="15364" max="15365" width="11.5" style="293" customWidth="1"/>
    <col min="15366" max="15366" width="16.83203125" style="293" bestFit="1" customWidth="1"/>
    <col min="15367" max="15367" width="14" style="293" bestFit="1" customWidth="1"/>
    <col min="15368" max="15368" width="11.5" style="293" customWidth="1"/>
    <col min="15369" max="15369" width="11.5" style="293" bestFit="1" customWidth="1"/>
    <col min="15370" max="15370" width="3" style="293" customWidth="1"/>
    <col min="15371" max="15372" width="11.5" style="293" customWidth="1"/>
    <col min="15373" max="15373" width="2.5" style="293" customWidth="1"/>
    <col min="15374" max="15374" width="14.83203125" style="293" bestFit="1" customWidth="1"/>
    <col min="15375" max="15375" width="11.5" style="293" customWidth="1"/>
    <col min="15376" max="15376" width="11.5" style="293" bestFit="1" customWidth="1"/>
    <col min="15377" max="15377" width="10" style="293" bestFit="1" customWidth="1"/>
    <col min="15378" max="15378" width="10.83203125" style="293" bestFit="1" customWidth="1"/>
    <col min="15379" max="15379" width="11.5" style="293" customWidth="1"/>
    <col min="15380" max="15380" width="20.83203125" style="293" bestFit="1" customWidth="1"/>
    <col min="15381" max="15613" width="9.1640625" style="293"/>
    <col min="15614" max="15614" width="44.1640625" style="293" bestFit="1" customWidth="1"/>
    <col min="15615" max="15615" width="15.1640625" style="293" bestFit="1" customWidth="1"/>
    <col min="15616" max="15618" width="10" style="293" customWidth="1"/>
    <col min="15619" max="15619" width="18.83203125" style="293" bestFit="1" customWidth="1"/>
    <col min="15620" max="15621" width="11.5" style="293" customWidth="1"/>
    <col min="15622" max="15622" width="16.83203125" style="293" bestFit="1" customWidth="1"/>
    <col min="15623" max="15623" width="14" style="293" bestFit="1" customWidth="1"/>
    <col min="15624" max="15624" width="11.5" style="293" customWidth="1"/>
    <col min="15625" max="15625" width="11.5" style="293" bestFit="1" customWidth="1"/>
    <col min="15626" max="15626" width="3" style="293" customWidth="1"/>
    <col min="15627" max="15628" width="11.5" style="293" customWidth="1"/>
    <col min="15629" max="15629" width="2.5" style="293" customWidth="1"/>
    <col min="15630" max="15630" width="14.83203125" style="293" bestFit="1" customWidth="1"/>
    <col min="15631" max="15631" width="11.5" style="293" customWidth="1"/>
    <col min="15632" max="15632" width="11.5" style="293" bestFit="1" customWidth="1"/>
    <col min="15633" max="15633" width="10" style="293" bestFit="1" customWidth="1"/>
    <col min="15634" max="15634" width="10.83203125" style="293" bestFit="1" customWidth="1"/>
    <col min="15635" max="15635" width="11.5" style="293" customWidth="1"/>
    <col min="15636" max="15636" width="20.83203125" style="293" bestFit="1" customWidth="1"/>
    <col min="15637" max="15869" width="9.1640625" style="293"/>
    <col min="15870" max="15870" width="44.1640625" style="293" bestFit="1" customWidth="1"/>
    <col min="15871" max="15871" width="15.1640625" style="293" bestFit="1" customWidth="1"/>
    <col min="15872" max="15874" width="10" style="293" customWidth="1"/>
    <col min="15875" max="15875" width="18.83203125" style="293" bestFit="1" customWidth="1"/>
    <col min="15876" max="15877" width="11.5" style="293" customWidth="1"/>
    <col min="15878" max="15878" width="16.83203125" style="293" bestFit="1" customWidth="1"/>
    <col min="15879" max="15879" width="14" style="293" bestFit="1" customWidth="1"/>
    <col min="15880" max="15880" width="11.5" style="293" customWidth="1"/>
    <col min="15881" max="15881" width="11.5" style="293" bestFit="1" customWidth="1"/>
    <col min="15882" max="15882" width="3" style="293" customWidth="1"/>
    <col min="15883" max="15884" width="11.5" style="293" customWidth="1"/>
    <col min="15885" max="15885" width="2.5" style="293" customWidth="1"/>
    <col min="15886" max="15886" width="14.83203125" style="293" bestFit="1" customWidth="1"/>
    <col min="15887" max="15887" width="11.5" style="293" customWidth="1"/>
    <col min="15888" max="15888" width="11.5" style="293" bestFit="1" customWidth="1"/>
    <col min="15889" max="15889" width="10" style="293" bestFit="1" customWidth="1"/>
    <col min="15890" max="15890" width="10.83203125" style="293" bestFit="1" customWidth="1"/>
    <col min="15891" max="15891" width="11.5" style="293" customWidth="1"/>
    <col min="15892" max="15892" width="20.83203125" style="293" bestFit="1" customWidth="1"/>
    <col min="15893" max="16125" width="9.1640625" style="293"/>
    <col min="16126" max="16126" width="44.1640625" style="293" bestFit="1" customWidth="1"/>
    <col min="16127" max="16127" width="15.1640625" style="293" bestFit="1" customWidth="1"/>
    <col min="16128" max="16130" width="10" style="293" customWidth="1"/>
    <col min="16131" max="16131" width="18.83203125" style="293" bestFit="1" customWidth="1"/>
    <col min="16132" max="16133" width="11.5" style="293" customWidth="1"/>
    <col min="16134" max="16134" width="16.83203125" style="293" bestFit="1" customWidth="1"/>
    <col min="16135" max="16135" width="14" style="293" bestFit="1" customWidth="1"/>
    <col min="16136" max="16136" width="11.5" style="293" customWidth="1"/>
    <col min="16137" max="16137" width="11.5" style="293" bestFit="1" customWidth="1"/>
    <col min="16138" max="16138" width="3" style="293" customWidth="1"/>
    <col min="16139" max="16140" width="11.5" style="293" customWidth="1"/>
    <col min="16141" max="16141" width="2.5" style="293" customWidth="1"/>
    <col min="16142" max="16142" width="14.83203125" style="293" bestFit="1" customWidth="1"/>
    <col min="16143" max="16143" width="11.5" style="293" customWidth="1"/>
    <col min="16144" max="16144" width="11.5" style="293" bestFit="1" customWidth="1"/>
    <col min="16145" max="16145" width="10" style="293" bestFit="1" customWidth="1"/>
    <col min="16146" max="16146" width="10.83203125" style="293" bestFit="1" customWidth="1"/>
    <col min="16147" max="16147" width="11.5" style="293" customWidth="1"/>
    <col min="16148" max="16148" width="20.83203125" style="293" bestFit="1" customWidth="1"/>
    <col min="16149" max="16384" width="9.1640625" style="293"/>
  </cols>
  <sheetData>
    <row r="1" spans="1:17" x14ac:dyDescent="0.2">
      <c r="A1" s="290" t="s">
        <v>577</v>
      </c>
    </row>
    <row r="2" spans="1:17" x14ac:dyDescent="0.2">
      <c r="A2" s="294" t="s">
        <v>476</v>
      </c>
      <c r="B2" s="295"/>
      <c r="C2" s="295"/>
      <c r="D2" s="296"/>
      <c r="E2" s="810" t="s">
        <v>601</v>
      </c>
      <c r="F2" s="811"/>
      <c r="G2" s="811"/>
      <c r="Q2" s="293"/>
    </row>
    <row r="3" spans="1:17" x14ac:dyDescent="0.2">
      <c r="A3" s="297" t="s">
        <v>579</v>
      </c>
      <c r="B3" s="298" t="s">
        <v>456</v>
      </c>
      <c r="C3" s="298" t="s">
        <v>602</v>
      </c>
      <c r="D3" s="298" t="s">
        <v>580</v>
      </c>
      <c r="E3" s="299" t="s">
        <v>464</v>
      </c>
      <c r="F3" s="298" t="s">
        <v>581</v>
      </c>
      <c r="G3" s="300" t="s">
        <v>10</v>
      </c>
      <c r="H3" s="301"/>
      <c r="Q3" s="293"/>
    </row>
    <row r="4" spans="1:17" x14ac:dyDescent="0.2">
      <c r="A4" s="294" t="s">
        <v>478</v>
      </c>
      <c r="B4" s="302">
        <v>6804.0214285714292</v>
      </c>
      <c r="C4" s="302">
        <v>1</v>
      </c>
      <c r="D4" s="303">
        <f>B4/$H$6</f>
        <v>433.37716105550504</v>
      </c>
      <c r="E4" s="295">
        <v>0.3</v>
      </c>
      <c r="F4" s="304">
        <v>24</v>
      </c>
      <c r="G4" s="305">
        <f>D4*F4*E4*C4</f>
        <v>3120.3155595996363</v>
      </c>
      <c r="Q4" s="293"/>
    </row>
    <row r="5" spans="1:17" x14ac:dyDescent="0.2">
      <c r="A5" s="294" t="s">
        <v>479</v>
      </c>
      <c r="B5" s="302">
        <v>6199.2857142857147</v>
      </c>
      <c r="C5" s="302">
        <v>4</v>
      </c>
      <c r="D5" s="303">
        <f>B5/$H$6</f>
        <v>394.85896269335763</v>
      </c>
      <c r="E5" s="295">
        <v>1</v>
      </c>
      <c r="F5" s="304">
        <v>24</v>
      </c>
      <c r="G5" s="305">
        <f>D5*F5*E5*C5</f>
        <v>37906.460418562332</v>
      </c>
      <c r="Q5" s="293"/>
    </row>
    <row r="6" spans="1:17" x14ac:dyDescent="0.2">
      <c r="A6" s="294" t="s">
        <v>480</v>
      </c>
      <c r="B6" s="302">
        <v>6199.2857142857147</v>
      </c>
      <c r="C6" s="302">
        <v>4</v>
      </c>
      <c r="D6" s="303">
        <f>B6/$H$6</f>
        <v>394.85896269335763</v>
      </c>
      <c r="E6" s="295">
        <v>0.3</v>
      </c>
      <c r="F6" s="304">
        <v>24</v>
      </c>
      <c r="G6" s="305">
        <f>D6*F6*E6*C6</f>
        <v>11371.938125568699</v>
      </c>
      <c r="H6" s="306">
        <v>15.7</v>
      </c>
      <c r="I6" s="293" t="s">
        <v>591</v>
      </c>
      <c r="Q6" s="293"/>
    </row>
    <row r="7" spans="1:17" x14ac:dyDescent="0.2">
      <c r="A7" s="294" t="s">
        <v>481</v>
      </c>
      <c r="B7" s="302">
        <v>5634.2857142857147</v>
      </c>
      <c r="C7" s="302">
        <v>4</v>
      </c>
      <c r="D7" s="303">
        <f>B7/$H$6</f>
        <v>358.87170154686083</v>
      </c>
      <c r="E7" s="295">
        <v>0.3</v>
      </c>
      <c r="F7" s="304">
        <v>24</v>
      </c>
      <c r="G7" s="305">
        <f>D7*F7*E7*C7</f>
        <v>10335.505004549592</v>
      </c>
      <c r="Q7" s="293"/>
    </row>
    <row r="8" spans="1:17" x14ac:dyDescent="0.2">
      <c r="A8" s="294" t="s">
        <v>482</v>
      </c>
      <c r="B8" s="302">
        <v>8230.9678571428576</v>
      </c>
      <c r="C8" s="302">
        <v>5</v>
      </c>
      <c r="D8" s="303">
        <f>B8/$H$6</f>
        <v>524.26546860782537</v>
      </c>
      <c r="E8" s="295">
        <v>0.3</v>
      </c>
      <c r="F8" s="304">
        <v>24</v>
      </c>
      <c r="G8" s="305">
        <f>D8*F8*E8*C8</f>
        <v>18873.556869881715</v>
      </c>
      <c r="Q8" s="293"/>
    </row>
    <row r="9" spans="1:17" x14ac:dyDescent="0.2">
      <c r="A9" s="294"/>
      <c r="B9" s="302"/>
      <c r="C9" s="302"/>
      <c r="D9" s="303"/>
      <c r="E9" s="295"/>
      <c r="F9" s="304"/>
      <c r="G9" s="305"/>
      <c r="Q9" s="293"/>
    </row>
    <row r="10" spans="1:17" x14ac:dyDescent="0.2">
      <c r="A10" s="294"/>
      <c r="B10" s="302"/>
      <c r="C10" s="302"/>
      <c r="D10" s="303"/>
      <c r="E10" s="295"/>
      <c r="F10" s="304"/>
      <c r="G10" s="305"/>
      <c r="Q10" s="293"/>
    </row>
    <row r="11" spans="1:17" ht="16" thickBot="1" x14ac:dyDescent="0.25">
      <c r="A11" s="307" t="s">
        <v>603</v>
      </c>
      <c r="B11" s="308"/>
      <c r="C11" s="308"/>
      <c r="D11" s="309"/>
      <c r="E11" s="308"/>
      <c r="F11" s="310"/>
      <c r="G11" s="311">
        <f>SUM(G4:G8)</f>
        <v>81607.775978161982</v>
      </c>
      <c r="I11" s="312"/>
      <c r="Q11" s="293"/>
    </row>
    <row r="12" spans="1:17" ht="16" thickTop="1" x14ac:dyDescent="0.2">
      <c r="A12" s="313" t="s">
        <v>604</v>
      </c>
      <c r="B12" s="314"/>
      <c r="C12" s="314"/>
      <c r="D12" s="315"/>
      <c r="E12" s="315"/>
      <c r="F12" s="304"/>
      <c r="G12" s="316">
        <f>SUM(G4:G8)*20%</f>
        <v>16321.555195632398</v>
      </c>
      <c r="Q12" s="293"/>
    </row>
    <row r="13" spans="1:17" ht="16" thickBot="1" x14ac:dyDescent="0.25">
      <c r="A13" s="317" t="s">
        <v>600</v>
      </c>
      <c r="B13" s="318"/>
      <c r="C13" s="318"/>
      <c r="D13" s="319"/>
      <c r="E13" s="319"/>
      <c r="F13" s="320"/>
      <c r="G13" s="319">
        <f>SUM(G11,G12)</f>
        <v>97929.331173794373</v>
      </c>
      <c r="I13" s="321"/>
      <c r="J13" s="322"/>
      <c r="K13" s="323"/>
      <c r="Q13" s="293"/>
    </row>
  </sheetData>
  <mergeCells count="1">
    <mergeCell ref="E2:G2"/>
  </mergeCells>
  <pageMargins left="0.7" right="0.7" top="0.75" bottom="0.75" header="0.3" footer="0.3"/>
  <pageSetup paperSize="9" scale="5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506E-ED39-4325-B82C-288E84FB74DA}">
  <sheetPr>
    <tabColor rgb="FF00B050"/>
  </sheetPr>
  <dimension ref="A1:J9"/>
  <sheetViews>
    <sheetView zoomScale="85" zoomScaleNormal="85" workbookViewId="0">
      <selection activeCell="B9" sqref="B9"/>
    </sheetView>
  </sheetViews>
  <sheetFormatPr baseColWidth="10" defaultColWidth="10.1640625" defaultRowHeight="16" x14ac:dyDescent="0.2"/>
  <cols>
    <col min="1" max="1" width="71.1640625" style="194" customWidth="1"/>
    <col min="2" max="2" width="13.83203125" style="194" customWidth="1"/>
    <col min="3" max="3" width="12.5" style="194" customWidth="1"/>
    <col min="4" max="4" width="11.5" style="194" customWidth="1"/>
    <col min="5" max="5" width="17.83203125" style="194" customWidth="1"/>
    <col min="6" max="6" width="20.83203125" style="194" customWidth="1"/>
    <col min="7" max="7" width="16.5" style="108" customWidth="1"/>
    <col min="8" max="8" width="17" style="194" customWidth="1"/>
    <col min="9" max="9" width="13" style="194" customWidth="1"/>
    <col min="10" max="10" width="15.1640625" style="194" bestFit="1" customWidth="1"/>
    <col min="11" max="112" width="10.1640625" style="194"/>
    <col min="113" max="113" width="69.1640625" style="194" bestFit="1" customWidth="1"/>
    <col min="114" max="114" width="15.5" style="194" customWidth="1"/>
    <col min="115" max="116" width="18.1640625" style="194" customWidth="1"/>
    <col min="117" max="117" width="16.5" style="194" bestFit="1" customWidth="1"/>
    <col min="118" max="118" width="17.5" style="194" bestFit="1" customWidth="1"/>
    <col min="119" max="119" width="13.83203125" style="194" bestFit="1" customWidth="1"/>
    <col min="120" max="120" width="17.5" style="194" bestFit="1" customWidth="1"/>
    <col min="121" max="121" width="13.83203125" style="194" bestFit="1" customWidth="1"/>
    <col min="122" max="122" width="17.5" style="194" bestFit="1" customWidth="1"/>
    <col min="123" max="123" width="14.1640625" style="194" bestFit="1" customWidth="1"/>
    <col min="124" max="246" width="10.1640625" style="194"/>
    <col min="247" max="247" width="71.1640625" style="194" customWidth="1"/>
    <col min="248" max="253" width="5.1640625" style="194" customWidth="1"/>
    <col min="254" max="254" width="32" style="194" bestFit="1" customWidth="1"/>
    <col min="255" max="255" width="12.5" style="194" customWidth="1"/>
    <col min="256" max="256" width="14.83203125" style="194" customWidth="1"/>
    <col min="257" max="257" width="18.1640625" style="194" customWidth="1"/>
    <col min="258" max="258" width="20.83203125" style="194" customWidth="1"/>
    <col min="259" max="259" width="16.5" style="194" customWidth="1"/>
    <col min="260" max="260" width="17" style="194" customWidth="1"/>
    <col min="261" max="261" width="15" style="194" customWidth="1"/>
    <col min="262" max="262" width="15.1640625" style="194" bestFit="1" customWidth="1"/>
    <col min="263" max="264" width="16.5" style="194" customWidth="1"/>
    <col min="265" max="266" width="20.83203125" style="194" bestFit="1" customWidth="1"/>
    <col min="267" max="368" width="10.1640625" style="194"/>
    <col min="369" max="369" width="69.1640625" style="194" bestFit="1" customWidth="1"/>
    <col min="370" max="370" width="15.5" style="194" customWidth="1"/>
    <col min="371" max="372" width="18.1640625" style="194" customWidth="1"/>
    <col min="373" max="373" width="16.5" style="194" bestFit="1" customWidth="1"/>
    <col min="374" max="374" width="17.5" style="194" bestFit="1" customWidth="1"/>
    <col min="375" max="375" width="13.83203125" style="194" bestFit="1" customWidth="1"/>
    <col min="376" max="376" width="17.5" style="194" bestFit="1" customWidth="1"/>
    <col min="377" max="377" width="13.83203125" style="194" bestFit="1" customWidth="1"/>
    <col min="378" max="378" width="17.5" style="194" bestFit="1" customWidth="1"/>
    <col min="379" max="379" width="14.1640625" style="194" bestFit="1" customWidth="1"/>
    <col min="380" max="502" width="10.1640625" style="194"/>
    <col min="503" max="503" width="71.1640625" style="194" customWidth="1"/>
    <col min="504" max="509" width="5.1640625" style="194" customWidth="1"/>
    <col min="510" max="510" width="32" style="194" bestFit="1" customWidth="1"/>
    <col min="511" max="511" width="12.5" style="194" customWidth="1"/>
    <col min="512" max="512" width="14.83203125" style="194" customWidth="1"/>
    <col min="513" max="513" width="18.1640625" style="194" customWidth="1"/>
    <col min="514" max="514" width="20.83203125" style="194" customWidth="1"/>
    <col min="515" max="515" width="16.5" style="194" customWidth="1"/>
    <col min="516" max="516" width="17" style="194" customWidth="1"/>
    <col min="517" max="517" width="15" style="194" customWidth="1"/>
    <col min="518" max="518" width="15.1640625" style="194" bestFit="1" customWidth="1"/>
    <col min="519" max="520" width="16.5" style="194" customWidth="1"/>
    <col min="521" max="522" width="20.83203125" style="194" bestFit="1" customWidth="1"/>
    <col min="523" max="624" width="10.1640625" style="194"/>
    <col min="625" max="625" width="69.1640625" style="194" bestFit="1" customWidth="1"/>
    <col min="626" max="626" width="15.5" style="194" customWidth="1"/>
    <col min="627" max="628" width="18.1640625" style="194" customWidth="1"/>
    <col min="629" max="629" width="16.5" style="194" bestFit="1" customWidth="1"/>
    <col min="630" max="630" width="17.5" style="194" bestFit="1" customWidth="1"/>
    <col min="631" max="631" width="13.83203125" style="194" bestFit="1" customWidth="1"/>
    <col min="632" max="632" width="17.5" style="194" bestFit="1" customWidth="1"/>
    <col min="633" max="633" width="13.83203125" style="194" bestFit="1" customWidth="1"/>
    <col min="634" max="634" width="17.5" style="194" bestFit="1" customWidth="1"/>
    <col min="635" max="635" width="14.1640625" style="194" bestFit="1" customWidth="1"/>
    <col min="636" max="758" width="10.1640625" style="194"/>
    <col min="759" max="759" width="71.1640625" style="194" customWidth="1"/>
    <col min="760" max="765" width="5.1640625" style="194" customWidth="1"/>
    <col min="766" max="766" width="32" style="194" bestFit="1" customWidth="1"/>
    <col min="767" max="767" width="12.5" style="194" customWidth="1"/>
    <col min="768" max="768" width="14.83203125" style="194" customWidth="1"/>
    <col min="769" max="769" width="18.1640625" style="194" customWidth="1"/>
    <col min="770" max="770" width="20.83203125" style="194" customWidth="1"/>
    <col min="771" max="771" width="16.5" style="194" customWidth="1"/>
    <col min="772" max="772" width="17" style="194" customWidth="1"/>
    <col min="773" max="773" width="15" style="194" customWidth="1"/>
    <col min="774" max="774" width="15.1640625" style="194" bestFit="1" customWidth="1"/>
    <col min="775" max="776" width="16.5" style="194" customWidth="1"/>
    <col min="777" max="778" width="20.83203125" style="194" bestFit="1" customWidth="1"/>
    <col min="779" max="880" width="10.1640625" style="194"/>
    <col min="881" max="881" width="69.1640625" style="194" bestFit="1" customWidth="1"/>
    <col min="882" max="882" width="15.5" style="194" customWidth="1"/>
    <col min="883" max="884" width="18.1640625" style="194" customWidth="1"/>
    <col min="885" max="885" width="16.5" style="194" bestFit="1" customWidth="1"/>
    <col min="886" max="886" width="17.5" style="194" bestFit="1" customWidth="1"/>
    <col min="887" max="887" width="13.83203125" style="194" bestFit="1" customWidth="1"/>
    <col min="888" max="888" width="17.5" style="194" bestFit="1" customWidth="1"/>
    <col min="889" max="889" width="13.83203125" style="194" bestFit="1" customWidth="1"/>
    <col min="890" max="890" width="17.5" style="194" bestFit="1" customWidth="1"/>
    <col min="891" max="891" width="14.1640625" style="194" bestFit="1" customWidth="1"/>
    <col min="892" max="1014" width="10.1640625" style="194"/>
    <col min="1015" max="1015" width="71.1640625" style="194" customWidth="1"/>
    <col min="1016" max="1021" width="5.1640625" style="194" customWidth="1"/>
    <col min="1022" max="1022" width="32" style="194" bestFit="1" customWidth="1"/>
    <col min="1023" max="1023" width="12.5" style="194" customWidth="1"/>
    <col min="1024" max="1024" width="14.83203125" style="194" customWidth="1"/>
    <col min="1025" max="1025" width="18.1640625" style="194" customWidth="1"/>
    <col min="1026" max="1026" width="20.83203125" style="194" customWidth="1"/>
    <col min="1027" max="1027" width="16.5" style="194" customWidth="1"/>
    <col min="1028" max="1028" width="17" style="194" customWidth="1"/>
    <col min="1029" max="1029" width="15" style="194" customWidth="1"/>
    <col min="1030" max="1030" width="15.1640625" style="194" bestFit="1" customWidth="1"/>
    <col min="1031" max="1032" width="16.5" style="194" customWidth="1"/>
    <col min="1033" max="1034" width="20.83203125" style="194" bestFit="1" customWidth="1"/>
    <col min="1035" max="1136" width="10.1640625" style="194"/>
    <col min="1137" max="1137" width="69.1640625" style="194" bestFit="1" customWidth="1"/>
    <col min="1138" max="1138" width="15.5" style="194" customWidth="1"/>
    <col min="1139" max="1140" width="18.1640625" style="194" customWidth="1"/>
    <col min="1141" max="1141" width="16.5" style="194" bestFit="1" customWidth="1"/>
    <col min="1142" max="1142" width="17.5" style="194" bestFit="1" customWidth="1"/>
    <col min="1143" max="1143" width="13.83203125" style="194" bestFit="1" customWidth="1"/>
    <col min="1144" max="1144" width="17.5" style="194" bestFit="1" customWidth="1"/>
    <col min="1145" max="1145" width="13.83203125" style="194" bestFit="1" customWidth="1"/>
    <col min="1146" max="1146" width="17.5" style="194" bestFit="1" customWidth="1"/>
    <col min="1147" max="1147" width="14.1640625" style="194" bestFit="1" customWidth="1"/>
    <col min="1148" max="1270" width="10.1640625" style="194"/>
    <col min="1271" max="1271" width="71.1640625" style="194" customWidth="1"/>
    <col min="1272" max="1277" width="5.1640625" style="194" customWidth="1"/>
    <col min="1278" max="1278" width="32" style="194" bestFit="1" customWidth="1"/>
    <col min="1279" max="1279" width="12.5" style="194" customWidth="1"/>
    <col min="1280" max="1280" width="14.83203125" style="194" customWidth="1"/>
    <col min="1281" max="1281" width="18.1640625" style="194" customWidth="1"/>
    <col min="1282" max="1282" width="20.83203125" style="194" customWidth="1"/>
    <col min="1283" max="1283" width="16.5" style="194" customWidth="1"/>
    <col min="1284" max="1284" width="17" style="194" customWidth="1"/>
    <col min="1285" max="1285" width="15" style="194" customWidth="1"/>
    <col min="1286" max="1286" width="15.1640625" style="194" bestFit="1" customWidth="1"/>
    <col min="1287" max="1288" width="16.5" style="194" customWidth="1"/>
    <col min="1289" max="1290" width="20.83203125" style="194" bestFit="1" customWidth="1"/>
    <col min="1291" max="1392" width="10.1640625" style="194"/>
    <col min="1393" max="1393" width="69.1640625" style="194" bestFit="1" customWidth="1"/>
    <col min="1394" max="1394" width="15.5" style="194" customWidth="1"/>
    <col min="1395" max="1396" width="18.1640625" style="194" customWidth="1"/>
    <col min="1397" max="1397" width="16.5" style="194" bestFit="1" customWidth="1"/>
    <col min="1398" max="1398" width="17.5" style="194" bestFit="1" customWidth="1"/>
    <col min="1399" max="1399" width="13.83203125" style="194" bestFit="1" customWidth="1"/>
    <col min="1400" max="1400" width="17.5" style="194" bestFit="1" customWidth="1"/>
    <col min="1401" max="1401" width="13.83203125" style="194" bestFit="1" customWidth="1"/>
    <col min="1402" max="1402" width="17.5" style="194" bestFit="1" customWidth="1"/>
    <col min="1403" max="1403" width="14.1640625" style="194" bestFit="1" customWidth="1"/>
    <col min="1404" max="1526" width="10.1640625" style="194"/>
    <col min="1527" max="1527" width="71.1640625" style="194" customWidth="1"/>
    <col min="1528" max="1533" width="5.1640625" style="194" customWidth="1"/>
    <col min="1534" max="1534" width="32" style="194" bestFit="1" customWidth="1"/>
    <col min="1535" max="1535" width="12.5" style="194" customWidth="1"/>
    <col min="1536" max="1536" width="14.83203125" style="194" customWidth="1"/>
    <col min="1537" max="1537" width="18.1640625" style="194" customWidth="1"/>
    <col min="1538" max="1538" width="20.83203125" style="194" customWidth="1"/>
    <col min="1539" max="1539" width="16.5" style="194" customWidth="1"/>
    <col min="1540" max="1540" width="17" style="194" customWidth="1"/>
    <col min="1541" max="1541" width="15" style="194" customWidth="1"/>
    <col min="1542" max="1542" width="15.1640625" style="194" bestFit="1" customWidth="1"/>
    <col min="1543" max="1544" width="16.5" style="194" customWidth="1"/>
    <col min="1545" max="1546" width="20.83203125" style="194" bestFit="1" customWidth="1"/>
    <col min="1547" max="1648" width="10.1640625" style="194"/>
    <col min="1649" max="1649" width="69.1640625" style="194" bestFit="1" customWidth="1"/>
    <col min="1650" max="1650" width="15.5" style="194" customWidth="1"/>
    <col min="1651" max="1652" width="18.1640625" style="194" customWidth="1"/>
    <col min="1653" max="1653" width="16.5" style="194" bestFit="1" customWidth="1"/>
    <col min="1654" max="1654" width="17.5" style="194" bestFit="1" customWidth="1"/>
    <col min="1655" max="1655" width="13.83203125" style="194" bestFit="1" customWidth="1"/>
    <col min="1656" max="1656" width="17.5" style="194" bestFit="1" customWidth="1"/>
    <col min="1657" max="1657" width="13.83203125" style="194" bestFit="1" customWidth="1"/>
    <col min="1658" max="1658" width="17.5" style="194" bestFit="1" customWidth="1"/>
    <col min="1659" max="1659" width="14.1640625" style="194" bestFit="1" customWidth="1"/>
    <col min="1660" max="1782" width="10.1640625" style="194"/>
    <col min="1783" max="1783" width="71.1640625" style="194" customWidth="1"/>
    <col min="1784" max="1789" width="5.1640625" style="194" customWidth="1"/>
    <col min="1790" max="1790" width="32" style="194" bestFit="1" customWidth="1"/>
    <col min="1791" max="1791" width="12.5" style="194" customWidth="1"/>
    <col min="1792" max="1792" width="14.83203125" style="194" customWidth="1"/>
    <col min="1793" max="1793" width="18.1640625" style="194" customWidth="1"/>
    <col min="1794" max="1794" width="20.83203125" style="194" customWidth="1"/>
    <col min="1795" max="1795" width="16.5" style="194" customWidth="1"/>
    <col min="1796" max="1796" width="17" style="194" customWidth="1"/>
    <col min="1797" max="1797" width="15" style="194" customWidth="1"/>
    <col min="1798" max="1798" width="15.1640625" style="194" bestFit="1" customWidth="1"/>
    <col min="1799" max="1800" width="16.5" style="194" customWidth="1"/>
    <col min="1801" max="1802" width="20.83203125" style="194" bestFit="1" customWidth="1"/>
    <col min="1803" max="1904" width="10.1640625" style="194"/>
    <col min="1905" max="1905" width="69.1640625" style="194" bestFit="1" customWidth="1"/>
    <col min="1906" max="1906" width="15.5" style="194" customWidth="1"/>
    <col min="1907" max="1908" width="18.1640625" style="194" customWidth="1"/>
    <col min="1909" max="1909" width="16.5" style="194" bestFit="1" customWidth="1"/>
    <col min="1910" max="1910" width="17.5" style="194" bestFit="1" customWidth="1"/>
    <col min="1911" max="1911" width="13.83203125" style="194" bestFit="1" customWidth="1"/>
    <col min="1912" max="1912" width="17.5" style="194" bestFit="1" customWidth="1"/>
    <col min="1913" max="1913" width="13.83203125" style="194" bestFit="1" customWidth="1"/>
    <col min="1914" max="1914" width="17.5" style="194" bestFit="1" customWidth="1"/>
    <col min="1915" max="1915" width="14.1640625" style="194" bestFit="1" customWidth="1"/>
    <col min="1916" max="2038" width="10.1640625" style="194"/>
    <col min="2039" max="2039" width="71.1640625" style="194" customWidth="1"/>
    <col min="2040" max="2045" width="5.1640625" style="194" customWidth="1"/>
    <col min="2046" max="2046" width="32" style="194" bestFit="1" customWidth="1"/>
    <col min="2047" max="2047" width="12.5" style="194" customWidth="1"/>
    <col min="2048" max="2048" width="14.83203125" style="194" customWidth="1"/>
    <col min="2049" max="2049" width="18.1640625" style="194" customWidth="1"/>
    <col min="2050" max="2050" width="20.83203125" style="194" customWidth="1"/>
    <col min="2051" max="2051" width="16.5" style="194" customWidth="1"/>
    <col min="2052" max="2052" width="17" style="194" customWidth="1"/>
    <col min="2053" max="2053" width="15" style="194" customWidth="1"/>
    <col min="2054" max="2054" width="15.1640625" style="194" bestFit="1" customWidth="1"/>
    <col min="2055" max="2056" width="16.5" style="194" customWidth="1"/>
    <col min="2057" max="2058" width="20.83203125" style="194" bestFit="1" customWidth="1"/>
    <col min="2059" max="2160" width="10.1640625" style="194"/>
    <col min="2161" max="2161" width="69.1640625" style="194" bestFit="1" customWidth="1"/>
    <col min="2162" max="2162" width="15.5" style="194" customWidth="1"/>
    <col min="2163" max="2164" width="18.1640625" style="194" customWidth="1"/>
    <col min="2165" max="2165" width="16.5" style="194" bestFit="1" customWidth="1"/>
    <col min="2166" max="2166" width="17.5" style="194" bestFit="1" customWidth="1"/>
    <col min="2167" max="2167" width="13.83203125" style="194" bestFit="1" customWidth="1"/>
    <col min="2168" max="2168" width="17.5" style="194" bestFit="1" customWidth="1"/>
    <col min="2169" max="2169" width="13.83203125" style="194" bestFit="1" customWidth="1"/>
    <col min="2170" max="2170" width="17.5" style="194" bestFit="1" customWidth="1"/>
    <col min="2171" max="2171" width="14.1640625" style="194" bestFit="1" customWidth="1"/>
    <col min="2172" max="2294" width="10.1640625" style="194"/>
    <col min="2295" max="2295" width="71.1640625" style="194" customWidth="1"/>
    <col min="2296" max="2301" width="5.1640625" style="194" customWidth="1"/>
    <col min="2302" max="2302" width="32" style="194" bestFit="1" customWidth="1"/>
    <col min="2303" max="2303" width="12.5" style="194" customWidth="1"/>
    <col min="2304" max="2304" width="14.83203125" style="194" customWidth="1"/>
    <col min="2305" max="2305" width="18.1640625" style="194" customWidth="1"/>
    <col min="2306" max="2306" width="20.83203125" style="194" customWidth="1"/>
    <col min="2307" max="2307" width="16.5" style="194" customWidth="1"/>
    <col min="2308" max="2308" width="17" style="194" customWidth="1"/>
    <col min="2309" max="2309" width="15" style="194" customWidth="1"/>
    <col min="2310" max="2310" width="15.1640625" style="194" bestFit="1" customWidth="1"/>
    <col min="2311" max="2312" width="16.5" style="194" customWidth="1"/>
    <col min="2313" max="2314" width="20.83203125" style="194" bestFit="1" customWidth="1"/>
    <col min="2315" max="2416" width="10.1640625" style="194"/>
    <col min="2417" max="2417" width="69.1640625" style="194" bestFit="1" customWidth="1"/>
    <col min="2418" max="2418" width="15.5" style="194" customWidth="1"/>
    <col min="2419" max="2420" width="18.1640625" style="194" customWidth="1"/>
    <col min="2421" max="2421" width="16.5" style="194" bestFit="1" customWidth="1"/>
    <col min="2422" max="2422" width="17.5" style="194" bestFit="1" customWidth="1"/>
    <col min="2423" max="2423" width="13.83203125" style="194" bestFit="1" customWidth="1"/>
    <col min="2424" max="2424" width="17.5" style="194" bestFit="1" customWidth="1"/>
    <col min="2425" max="2425" width="13.83203125" style="194" bestFit="1" customWidth="1"/>
    <col min="2426" max="2426" width="17.5" style="194" bestFit="1" customWidth="1"/>
    <col min="2427" max="2427" width="14.1640625" style="194" bestFit="1" customWidth="1"/>
    <col min="2428" max="2550" width="10.1640625" style="194"/>
    <col min="2551" max="2551" width="71.1640625" style="194" customWidth="1"/>
    <col min="2552" max="2557" width="5.1640625" style="194" customWidth="1"/>
    <col min="2558" max="2558" width="32" style="194" bestFit="1" customWidth="1"/>
    <col min="2559" max="2559" width="12.5" style="194" customWidth="1"/>
    <col min="2560" max="2560" width="14.83203125" style="194" customWidth="1"/>
    <col min="2561" max="2561" width="18.1640625" style="194" customWidth="1"/>
    <col min="2562" max="2562" width="20.83203125" style="194" customWidth="1"/>
    <col min="2563" max="2563" width="16.5" style="194" customWidth="1"/>
    <col min="2564" max="2564" width="17" style="194" customWidth="1"/>
    <col min="2565" max="2565" width="15" style="194" customWidth="1"/>
    <col min="2566" max="2566" width="15.1640625" style="194" bestFit="1" customWidth="1"/>
    <col min="2567" max="2568" width="16.5" style="194" customWidth="1"/>
    <col min="2569" max="2570" width="20.83203125" style="194" bestFit="1" customWidth="1"/>
    <col min="2571" max="2672" width="10.1640625" style="194"/>
    <col min="2673" max="2673" width="69.1640625" style="194" bestFit="1" customWidth="1"/>
    <col min="2674" max="2674" width="15.5" style="194" customWidth="1"/>
    <col min="2675" max="2676" width="18.1640625" style="194" customWidth="1"/>
    <col min="2677" max="2677" width="16.5" style="194" bestFit="1" customWidth="1"/>
    <col min="2678" max="2678" width="17.5" style="194" bestFit="1" customWidth="1"/>
    <col min="2679" max="2679" width="13.83203125" style="194" bestFit="1" customWidth="1"/>
    <col min="2680" max="2680" width="17.5" style="194" bestFit="1" customWidth="1"/>
    <col min="2681" max="2681" width="13.83203125" style="194" bestFit="1" customWidth="1"/>
    <col min="2682" max="2682" width="17.5" style="194" bestFit="1" customWidth="1"/>
    <col min="2683" max="2683" width="14.1640625" style="194" bestFit="1" customWidth="1"/>
    <col min="2684" max="2806" width="10.1640625" style="194"/>
    <col min="2807" max="2807" width="71.1640625" style="194" customWidth="1"/>
    <col min="2808" max="2813" width="5.1640625" style="194" customWidth="1"/>
    <col min="2814" max="2814" width="32" style="194" bestFit="1" customWidth="1"/>
    <col min="2815" max="2815" width="12.5" style="194" customWidth="1"/>
    <col min="2816" max="2816" width="14.83203125" style="194" customWidth="1"/>
    <col min="2817" max="2817" width="18.1640625" style="194" customWidth="1"/>
    <col min="2818" max="2818" width="20.83203125" style="194" customWidth="1"/>
    <col min="2819" max="2819" width="16.5" style="194" customWidth="1"/>
    <col min="2820" max="2820" width="17" style="194" customWidth="1"/>
    <col min="2821" max="2821" width="15" style="194" customWidth="1"/>
    <col min="2822" max="2822" width="15.1640625" style="194" bestFit="1" customWidth="1"/>
    <col min="2823" max="2824" width="16.5" style="194" customWidth="1"/>
    <col min="2825" max="2826" width="20.83203125" style="194" bestFit="1" customWidth="1"/>
    <col min="2827" max="2928" width="10.1640625" style="194"/>
    <col min="2929" max="2929" width="69.1640625" style="194" bestFit="1" customWidth="1"/>
    <col min="2930" max="2930" width="15.5" style="194" customWidth="1"/>
    <col min="2931" max="2932" width="18.1640625" style="194" customWidth="1"/>
    <col min="2933" max="2933" width="16.5" style="194" bestFit="1" customWidth="1"/>
    <col min="2934" max="2934" width="17.5" style="194" bestFit="1" customWidth="1"/>
    <col min="2935" max="2935" width="13.83203125" style="194" bestFit="1" customWidth="1"/>
    <col min="2936" max="2936" width="17.5" style="194" bestFit="1" customWidth="1"/>
    <col min="2937" max="2937" width="13.83203125" style="194" bestFit="1" customWidth="1"/>
    <col min="2938" max="2938" width="17.5" style="194" bestFit="1" customWidth="1"/>
    <col min="2939" max="2939" width="14.1640625" style="194" bestFit="1" customWidth="1"/>
    <col min="2940" max="3062" width="10.1640625" style="194"/>
    <col min="3063" max="3063" width="71.1640625" style="194" customWidth="1"/>
    <col min="3064" max="3069" width="5.1640625" style="194" customWidth="1"/>
    <col min="3070" max="3070" width="32" style="194" bestFit="1" customWidth="1"/>
    <col min="3071" max="3071" width="12.5" style="194" customWidth="1"/>
    <col min="3072" max="3072" width="14.83203125" style="194" customWidth="1"/>
    <col min="3073" max="3073" width="18.1640625" style="194" customWidth="1"/>
    <col min="3074" max="3074" width="20.83203125" style="194" customWidth="1"/>
    <col min="3075" max="3075" width="16.5" style="194" customWidth="1"/>
    <col min="3076" max="3076" width="17" style="194" customWidth="1"/>
    <col min="3077" max="3077" width="15" style="194" customWidth="1"/>
    <col min="3078" max="3078" width="15.1640625" style="194" bestFit="1" customWidth="1"/>
    <col min="3079" max="3080" width="16.5" style="194" customWidth="1"/>
    <col min="3081" max="3082" width="20.83203125" style="194" bestFit="1" customWidth="1"/>
    <col min="3083" max="3184" width="10.1640625" style="194"/>
    <col min="3185" max="3185" width="69.1640625" style="194" bestFit="1" customWidth="1"/>
    <col min="3186" max="3186" width="15.5" style="194" customWidth="1"/>
    <col min="3187" max="3188" width="18.1640625" style="194" customWidth="1"/>
    <col min="3189" max="3189" width="16.5" style="194" bestFit="1" customWidth="1"/>
    <col min="3190" max="3190" width="17.5" style="194" bestFit="1" customWidth="1"/>
    <col min="3191" max="3191" width="13.83203125" style="194" bestFit="1" customWidth="1"/>
    <col min="3192" max="3192" width="17.5" style="194" bestFit="1" customWidth="1"/>
    <col min="3193" max="3193" width="13.83203125" style="194" bestFit="1" customWidth="1"/>
    <col min="3194" max="3194" width="17.5" style="194" bestFit="1" customWidth="1"/>
    <col min="3195" max="3195" width="14.1640625" style="194" bestFit="1" customWidth="1"/>
    <col min="3196" max="3318" width="10.1640625" style="194"/>
    <col min="3319" max="3319" width="71.1640625" style="194" customWidth="1"/>
    <col min="3320" max="3325" width="5.1640625" style="194" customWidth="1"/>
    <col min="3326" max="3326" width="32" style="194" bestFit="1" customWidth="1"/>
    <col min="3327" max="3327" width="12.5" style="194" customWidth="1"/>
    <col min="3328" max="3328" width="14.83203125" style="194" customWidth="1"/>
    <col min="3329" max="3329" width="18.1640625" style="194" customWidth="1"/>
    <col min="3330" max="3330" width="20.83203125" style="194" customWidth="1"/>
    <col min="3331" max="3331" width="16.5" style="194" customWidth="1"/>
    <col min="3332" max="3332" width="17" style="194" customWidth="1"/>
    <col min="3333" max="3333" width="15" style="194" customWidth="1"/>
    <col min="3334" max="3334" width="15.1640625" style="194" bestFit="1" customWidth="1"/>
    <col min="3335" max="3336" width="16.5" style="194" customWidth="1"/>
    <col min="3337" max="3338" width="20.83203125" style="194" bestFit="1" customWidth="1"/>
    <col min="3339" max="3440" width="10.1640625" style="194"/>
    <col min="3441" max="3441" width="69.1640625" style="194" bestFit="1" customWidth="1"/>
    <col min="3442" max="3442" width="15.5" style="194" customWidth="1"/>
    <col min="3443" max="3444" width="18.1640625" style="194" customWidth="1"/>
    <col min="3445" max="3445" width="16.5" style="194" bestFit="1" customWidth="1"/>
    <col min="3446" max="3446" width="17.5" style="194" bestFit="1" customWidth="1"/>
    <col min="3447" max="3447" width="13.83203125" style="194" bestFit="1" customWidth="1"/>
    <col min="3448" max="3448" width="17.5" style="194" bestFit="1" customWidth="1"/>
    <col min="3449" max="3449" width="13.83203125" style="194" bestFit="1" customWidth="1"/>
    <col min="3450" max="3450" width="17.5" style="194" bestFit="1" customWidth="1"/>
    <col min="3451" max="3451" width="14.1640625" style="194" bestFit="1" customWidth="1"/>
    <col min="3452" max="3574" width="10.1640625" style="194"/>
    <col min="3575" max="3575" width="71.1640625" style="194" customWidth="1"/>
    <col min="3576" max="3581" width="5.1640625" style="194" customWidth="1"/>
    <col min="3582" max="3582" width="32" style="194" bestFit="1" customWidth="1"/>
    <col min="3583" max="3583" width="12.5" style="194" customWidth="1"/>
    <col min="3584" max="3584" width="14.83203125" style="194" customWidth="1"/>
    <col min="3585" max="3585" width="18.1640625" style="194" customWidth="1"/>
    <col min="3586" max="3586" width="20.83203125" style="194" customWidth="1"/>
    <col min="3587" max="3587" width="16.5" style="194" customWidth="1"/>
    <col min="3588" max="3588" width="17" style="194" customWidth="1"/>
    <col min="3589" max="3589" width="15" style="194" customWidth="1"/>
    <col min="3590" max="3590" width="15.1640625" style="194" bestFit="1" customWidth="1"/>
    <col min="3591" max="3592" width="16.5" style="194" customWidth="1"/>
    <col min="3593" max="3594" width="20.83203125" style="194" bestFit="1" customWidth="1"/>
    <col min="3595" max="3696" width="10.1640625" style="194"/>
    <col min="3697" max="3697" width="69.1640625" style="194" bestFit="1" customWidth="1"/>
    <col min="3698" max="3698" width="15.5" style="194" customWidth="1"/>
    <col min="3699" max="3700" width="18.1640625" style="194" customWidth="1"/>
    <col min="3701" max="3701" width="16.5" style="194" bestFit="1" customWidth="1"/>
    <col min="3702" max="3702" width="17.5" style="194" bestFit="1" customWidth="1"/>
    <col min="3703" max="3703" width="13.83203125" style="194" bestFit="1" customWidth="1"/>
    <col min="3704" max="3704" width="17.5" style="194" bestFit="1" customWidth="1"/>
    <col min="3705" max="3705" width="13.83203125" style="194" bestFit="1" customWidth="1"/>
    <col min="3706" max="3706" width="17.5" style="194" bestFit="1" customWidth="1"/>
    <col min="3707" max="3707" width="14.1640625" style="194" bestFit="1" customWidth="1"/>
    <col min="3708" max="3830" width="10.1640625" style="194"/>
    <col min="3831" max="3831" width="71.1640625" style="194" customWidth="1"/>
    <col min="3832" max="3837" width="5.1640625" style="194" customWidth="1"/>
    <col min="3838" max="3838" width="32" style="194" bestFit="1" customWidth="1"/>
    <col min="3839" max="3839" width="12.5" style="194" customWidth="1"/>
    <col min="3840" max="3840" width="14.83203125" style="194" customWidth="1"/>
    <col min="3841" max="3841" width="18.1640625" style="194" customWidth="1"/>
    <col min="3842" max="3842" width="20.83203125" style="194" customWidth="1"/>
    <col min="3843" max="3843" width="16.5" style="194" customWidth="1"/>
    <col min="3844" max="3844" width="17" style="194" customWidth="1"/>
    <col min="3845" max="3845" width="15" style="194" customWidth="1"/>
    <col min="3846" max="3846" width="15.1640625" style="194" bestFit="1" customWidth="1"/>
    <col min="3847" max="3848" width="16.5" style="194" customWidth="1"/>
    <col min="3849" max="3850" width="20.83203125" style="194" bestFit="1" customWidth="1"/>
    <col min="3851" max="3952" width="10.1640625" style="194"/>
    <col min="3953" max="3953" width="69.1640625" style="194" bestFit="1" customWidth="1"/>
    <col min="3954" max="3954" width="15.5" style="194" customWidth="1"/>
    <col min="3955" max="3956" width="18.1640625" style="194" customWidth="1"/>
    <col min="3957" max="3957" width="16.5" style="194" bestFit="1" customWidth="1"/>
    <col min="3958" max="3958" width="17.5" style="194" bestFit="1" customWidth="1"/>
    <col min="3959" max="3959" width="13.83203125" style="194" bestFit="1" customWidth="1"/>
    <col min="3960" max="3960" width="17.5" style="194" bestFit="1" customWidth="1"/>
    <col min="3961" max="3961" width="13.83203125" style="194" bestFit="1" customWidth="1"/>
    <col min="3962" max="3962" width="17.5" style="194" bestFit="1" customWidth="1"/>
    <col min="3963" max="3963" width="14.1640625" style="194" bestFit="1" customWidth="1"/>
    <col min="3964" max="4086" width="10.1640625" style="194"/>
    <col min="4087" max="4087" width="71.1640625" style="194" customWidth="1"/>
    <col min="4088" max="4093" width="5.1640625" style="194" customWidth="1"/>
    <col min="4094" max="4094" width="32" style="194" bestFit="1" customWidth="1"/>
    <col min="4095" max="4095" width="12.5" style="194" customWidth="1"/>
    <col min="4096" max="4096" width="14.83203125" style="194" customWidth="1"/>
    <col min="4097" max="4097" width="18.1640625" style="194" customWidth="1"/>
    <col min="4098" max="4098" width="20.83203125" style="194" customWidth="1"/>
    <col min="4099" max="4099" width="16.5" style="194" customWidth="1"/>
    <col min="4100" max="4100" width="17" style="194" customWidth="1"/>
    <col min="4101" max="4101" width="15" style="194" customWidth="1"/>
    <col min="4102" max="4102" width="15.1640625" style="194" bestFit="1" customWidth="1"/>
    <col min="4103" max="4104" width="16.5" style="194" customWidth="1"/>
    <col min="4105" max="4106" width="20.83203125" style="194" bestFit="1" customWidth="1"/>
    <col min="4107" max="4208" width="10.1640625" style="194"/>
    <col min="4209" max="4209" width="69.1640625" style="194" bestFit="1" customWidth="1"/>
    <col min="4210" max="4210" width="15.5" style="194" customWidth="1"/>
    <col min="4211" max="4212" width="18.1640625" style="194" customWidth="1"/>
    <col min="4213" max="4213" width="16.5" style="194" bestFit="1" customWidth="1"/>
    <col min="4214" max="4214" width="17.5" style="194" bestFit="1" customWidth="1"/>
    <col min="4215" max="4215" width="13.83203125" style="194" bestFit="1" customWidth="1"/>
    <col min="4216" max="4216" width="17.5" style="194" bestFit="1" customWidth="1"/>
    <col min="4217" max="4217" width="13.83203125" style="194" bestFit="1" customWidth="1"/>
    <col min="4218" max="4218" width="17.5" style="194" bestFit="1" customWidth="1"/>
    <col min="4219" max="4219" width="14.1640625" style="194" bestFit="1" customWidth="1"/>
    <col min="4220" max="4342" width="10.1640625" style="194"/>
    <col min="4343" max="4343" width="71.1640625" style="194" customWidth="1"/>
    <col min="4344" max="4349" width="5.1640625" style="194" customWidth="1"/>
    <col min="4350" max="4350" width="32" style="194" bestFit="1" customWidth="1"/>
    <col min="4351" max="4351" width="12.5" style="194" customWidth="1"/>
    <col min="4352" max="4352" width="14.83203125" style="194" customWidth="1"/>
    <col min="4353" max="4353" width="18.1640625" style="194" customWidth="1"/>
    <col min="4354" max="4354" width="20.83203125" style="194" customWidth="1"/>
    <col min="4355" max="4355" width="16.5" style="194" customWidth="1"/>
    <col min="4356" max="4356" width="17" style="194" customWidth="1"/>
    <col min="4357" max="4357" width="15" style="194" customWidth="1"/>
    <col min="4358" max="4358" width="15.1640625" style="194" bestFit="1" customWidth="1"/>
    <col min="4359" max="4360" width="16.5" style="194" customWidth="1"/>
    <col min="4361" max="4362" width="20.83203125" style="194" bestFit="1" customWidth="1"/>
    <col min="4363" max="4464" width="10.1640625" style="194"/>
    <col min="4465" max="4465" width="69.1640625" style="194" bestFit="1" customWidth="1"/>
    <col min="4466" max="4466" width="15.5" style="194" customWidth="1"/>
    <col min="4467" max="4468" width="18.1640625" style="194" customWidth="1"/>
    <col min="4469" max="4469" width="16.5" style="194" bestFit="1" customWidth="1"/>
    <col min="4470" max="4470" width="17.5" style="194" bestFit="1" customWidth="1"/>
    <col min="4471" max="4471" width="13.83203125" style="194" bestFit="1" customWidth="1"/>
    <col min="4472" max="4472" width="17.5" style="194" bestFit="1" customWidth="1"/>
    <col min="4473" max="4473" width="13.83203125" style="194" bestFit="1" customWidth="1"/>
    <col min="4474" max="4474" width="17.5" style="194" bestFit="1" customWidth="1"/>
    <col min="4475" max="4475" width="14.1640625" style="194" bestFit="1" customWidth="1"/>
    <col min="4476" max="4598" width="10.1640625" style="194"/>
    <col min="4599" max="4599" width="71.1640625" style="194" customWidth="1"/>
    <col min="4600" max="4605" width="5.1640625" style="194" customWidth="1"/>
    <col min="4606" max="4606" width="32" style="194" bestFit="1" customWidth="1"/>
    <col min="4607" max="4607" width="12.5" style="194" customWidth="1"/>
    <col min="4608" max="4608" width="14.83203125" style="194" customWidth="1"/>
    <col min="4609" max="4609" width="18.1640625" style="194" customWidth="1"/>
    <col min="4610" max="4610" width="20.83203125" style="194" customWidth="1"/>
    <col min="4611" max="4611" width="16.5" style="194" customWidth="1"/>
    <col min="4612" max="4612" width="17" style="194" customWidth="1"/>
    <col min="4613" max="4613" width="15" style="194" customWidth="1"/>
    <col min="4614" max="4614" width="15.1640625" style="194" bestFit="1" customWidth="1"/>
    <col min="4615" max="4616" width="16.5" style="194" customWidth="1"/>
    <col min="4617" max="4618" width="20.83203125" style="194" bestFit="1" customWidth="1"/>
    <col min="4619" max="4720" width="10.1640625" style="194"/>
    <col min="4721" max="4721" width="69.1640625" style="194" bestFit="1" customWidth="1"/>
    <col min="4722" max="4722" width="15.5" style="194" customWidth="1"/>
    <col min="4723" max="4724" width="18.1640625" style="194" customWidth="1"/>
    <col min="4725" max="4725" width="16.5" style="194" bestFit="1" customWidth="1"/>
    <col min="4726" max="4726" width="17.5" style="194" bestFit="1" customWidth="1"/>
    <col min="4727" max="4727" width="13.83203125" style="194" bestFit="1" customWidth="1"/>
    <col min="4728" max="4728" width="17.5" style="194" bestFit="1" customWidth="1"/>
    <col min="4729" max="4729" width="13.83203125" style="194" bestFit="1" customWidth="1"/>
    <col min="4730" max="4730" width="17.5" style="194" bestFit="1" customWidth="1"/>
    <col min="4731" max="4731" width="14.1640625" style="194" bestFit="1" customWidth="1"/>
    <col min="4732" max="4854" width="10.1640625" style="194"/>
    <col min="4855" max="4855" width="71.1640625" style="194" customWidth="1"/>
    <col min="4856" max="4861" width="5.1640625" style="194" customWidth="1"/>
    <col min="4862" max="4862" width="32" style="194" bestFit="1" customWidth="1"/>
    <col min="4863" max="4863" width="12.5" style="194" customWidth="1"/>
    <col min="4864" max="4864" width="14.83203125" style="194" customWidth="1"/>
    <col min="4865" max="4865" width="18.1640625" style="194" customWidth="1"/>
    <col min="4866" max="4866" width="20.83203125" style="194" customWidth="1"/>
    <col min="4867" max="4867" width="16.5" style="194" customWidth="1"/>
    <col min="4868" max="4868" width="17" style="194" customWidth="1"/>
    <col min="4869" max="4869" width="15" style="194" customWidth="1"/>
    <col min="4870" max="4870" width="15.1640625" style="194" bestFit="1" customWidth="1"/>
    <col min="4871" max="4872" width="16.5" style="194" customWidth="1"/>
    <col min="4873" max="4874" width="20.83203125" style="194" bestFit="1" customWidth="1"/>
    <col min="4875" max="4976" width="10.1640625" style="194"/>
    <col min="4977" max="4977" width="69.1640625" style="194" bestFit="1" customWidth="1"/>
    <col min="4978" max="4978" width="15.5" style="194" customWidth="1"/>
    <col min="4979" max="4980" width="18.1640625" style="194" customWidth="1"/>
    <col min="4981" max="4981" width="16.5" style="194" bestFit="1" customWidth="1"/>
    <col min="4982" max="4982" width="17.5" style="194" bestFit="1" customWidth="1"/>
    <col min="4983" max="4983" width="13.83203125" style="194" bestFit="1" customWidth="1"/>
    <col min="4984" max="4984" width="17.5" style="194" bestFit="1" customWidth="1"/>
    <col min="4985" max="4985" width="13.83203125" style="194" bestFit="1" customWidth="1"/>
    <col min="4986" max="4986" width="17.5" style="194" bestFit="1" customWidth="1"/>
    <col min="4987" max="4987" width="14.1640625" style="194" bestFit="1" customWidth="1"/>
    <col min="4988" max="5110" width="10.1640625" style="194"/>
    <col min="5111" max="5111" width="71.1640625" style="194" customWidth="1"/>
    <col min="5112" max="5117" width="5.1640625" style="194" customWidth="1"/>
    <col min="5118" max="5118" width="32" style="194" bestFit="1" customWidth="1"/>
    <col min="5119" max="5119" width="12.5" style="194" customWidth="1"/>
    <col min="5120" max="5120" width="14.83203125" style="194" customWidth="1"/>
    <col min="5121" max="5121" width="18.1640625" style="194" customWidth="1"/>
    <col min="5122" max="5122" width="20.83203125" style="194" customWidth="1"/>
    <col min="5123" max="5123" width="16.5" style="194" customWidth="1"/>
    <col min="5124" max="5124" width="17" style="194" customWidth="1"/>
    <col min="5125" max="5125" width="15" style="194" customWidth="1"/>
    <col min="5126" max="5126" width="15.1640625" style="194" bestFit="1" customWidth="1"/>
    <col min="5127" max="5128" width="16.5" style="194" customWidth="1"/>
    <col min="5129" max="5130" width="20.83203125" style="194" bestFit="1" customWidth="1"/>
    <col min="5131" max="5232" width="10.1640625" style="194"/>
    <col min="5233" max="5233" width="69.1640625" style="194" bestFit="1" customWidth="1"/>
    <col min="5234" max="5234" width="15.5" style="194" customWidth="1"/>
    <col min="5235" max="5236" width="18.1640625" style="194" customWidth="1"/>
    <col min="5237" max="5237" width="16.5" style="194" bestFit="1" customWidth="1"/>
    <col min="5238" max="5238" width="17.5" style="194" bestFit="1" customWidth="1"/>
    <col min="5239" max="5239" width="13.83203125" style="194" bestFit="1" customWidth="1"/>
    <col min="5240" max="5240" width="17.5" style="194" bestFit="1" customWidth="1"/>
    <col min="5241" max="5241" width="13.83203125" style="194" bestFit="1" customWidth="1"/>
    <col min="5242" max="5242" width="17.5" style="194" bestFit="1" customWidth="1"/>
    <col min="5243" max="5243" width="14.1640625" style="194" bestFit="1" customWidth="1"/>
    <col min="5244" max="5366" width="10.1640625" style="194"/>
    <col min="5367" max="5367" width="71.1640625" style="194" customWidth="1"/>
    <col min="5368" max="5373" width="5.1640625" style="194" customWidth="1"/>
    <col min="5374" max="5374" width="32" style="194" bestFit="1" customWidth="1"/>
    <col min="5375" max="5375" width="12.5" style="194" customWidth="1"/>
    <col min="5376" max="5376" width="14.83203125" style="194" customWidth="1"/>
    <col min="5377" max="5377" width="18.1640625" style="194" customWidth="1"/>
    <col min="5378" max="5378" width="20.83203125" style="194" customWidth="1"/>
    <col min="5379" max="5379" width="16.5" style="194" customWidth="1"/>
    <col min="5380" max="5380" width="17" style="194" customWidth="1"/>
    <col min="5381" max="5381" width="15" style="194" customWidth="1"/>
    <col min="5382" max="5382" width="15.1640625" style="194" bestFit="1" customWidth="1"/>
    <col min="5383" max="5384" width="16.5" style="194" customWidth="1"/>
    <col min="5385" max="5386" width="20.83203125" style="194" bestFit="1" customWidth="1"/>
    <col min="5387" max="5488" width="10.1640625" style="194"/>
    <col min="5489" max="5489" width="69.1640625" style="194" bestFit="1" customWidth="1"/>
    <col min="5490" max="5490" width="15.5" style="194" customWidth="1"/>
    <col min="5491" max="5492" width="18.1640625" style="194" customWidth="1"/>
    <col min="5493" max="5493" width="16.5" style="194" bestFit="1" customWidth="1"/>
    <col min="5494" max="5494" width="17.5" style="194" bestFit="1" customWidth="1"/>
    <col min="5495" max="5495" width="13.83203125" style="194" bestFit="1" customWidth="1"/>
    <col min="5496" max="5496" width="17.5" style="194" bestFit="1" customWidth="1"/>
    <col min="5497" max="5497" width="13.83203125" style="194" bestFit="1" customWidth="1"/>
    <col min="5498" max="5498" width="17.5" style="194" bestFit="1" customWidth="1"/>
    <col min="5499" max="5499" width="14.1640625" style="194" bestFit="1" customWidth="1"/>
    <col min="5500" max="5622" width="10.1640625" style="194"/>
    <col min="5623" max="5623" width="71.1640625" style="194" customWidth="1"/>
    <col min="5624" max="5629" width="5.1640625" style="194" customWidth="1"/>
    <col min="5630" max="5630" width="32" style="194" bestFit="1" customWidth="1"/>
    <col min="5631" max="5631" width="12.5" style="194" customWidth="1"/>
    <col min="5632" max="5632" width="14.83203125" style="194" customWidth="1"/>
    <col min="5633" max="5633" width="18.1640625" style="194" customWidth="1"/>
    <col min="5634" max="5634" width="20.83203125" style="194" customWidth="1"/>
    <col min="5635" max="5635" width="16.5" style="194" customWidth="1"/>
    <col min="5636" max="5636" width="17" style="194" customWidth="1"/>
    <col min="5637" max="5637" width="15" style="194" customWidth="1"/>
    <col min="5638" max="5638" width="15.1640625" style="194" bestFit="1" customWidth="1"/>
    <col min="5639" max="5640" width="16.5" style="194" customWidth="1"/>
    <col min="5641" max="5642" width="20.83203125" style="194" bestFit="1" customWidth="1"/>
    <col min="5643" max="5744" width="10.1640625" style="194"/>
    <col min="5745" max="5745" width="69.1640625" style="194" bestFit="1" customWidth="1"/>
    <col min="5746" max="5746" width="15.5" style="194" customWidth="1"/>
    <col min="5747" max="5748" width="18.1640625" style="194" customWidth="1"/>
    <col min="5749" max="5749" width="16.5" style="194" bestFit="1" customWidth="1"/>
    <col min="5750" max="5750" width="17.5" style="194" bestFit="1" customWidth="1"/>
    <col min="5751" max="5751" width="13.83203125" style="194" bestFit="1" customWidth="1"/>
    <col min="5752" max="5752" width="17.5" style="194" bestFit="1" customWidth="1"/>
    <col min="5753" max="5753" width="13.83203125" style="194" bestFit="1" customWidth="1"/>
    <col min="5754" max="5754" width="17.5" style="194" bestFit="1" customWidth="1"/>
    <col min="5755" max="5755" width="14.1640625" style="194" bestFit="1" customWidth="1"/>
    <col min="5756" max="5878" width="10.1640625" style="194"/>
    <col min="5879" max="5879" width="71.1640625" style="194" customWidth="1"/>
    <col min="5880" max="5885" width="5.1640625" style="194" customWidth="1"/>
    <col min="5886" max="5886" width="32" style="194" bestFit="1" customWidth="1"/>
    <col min="5887" max="5887" width="12.5" style="194" customWidth="1"/>
    <col min="5888" max="5888" width="14.83203125" style="194" customWidth="1"/>
    <col min="5889" max="5889" width="18.1640625" style="194" customWidth="1"/>
    <col min="5890" max="5890" width="20.83203125" style="194" customWidth="1"/>
    <col min="5891" max="5891" width="16.5" style="194" customWidth="1"/>
    <col min="5892" max="5892" width="17" style="194" customWidth="1"/>
    <col min="5893" max="5893" width="15" style="194" customWidth="1"/>
    <col min="5894" max="5894" width="15.1640625" style="194" bestFit="1" customWidth="1"/>
    <col min="5895" max="5896" width="16.5" style="194" customWidth="1"/>
    <col min="5897" max="5898" width="20.83203125" style="194" bestFit="1" customWidth="1"/>
    <col min="5899" max="6000" width="10.1640625" style="194"/>
    <col min="6001" max="6001" width="69.1640625" style="194" bestFit="1" customWidth="1"/>
    <col min="6002" max="6002" width="15.5" style="194" customWidth="1"/>
    <col min="6003" max="6004" width="18.1640625" style="194" customWidth="1"/>
    <col min="6005" max="6005" width="16.5" style="194" bestFit="1" customWidth="1"/>
    <col min="6006" max="6006" width="17.5" style="194" bestFit="1" customWidth="1"/>
    <col min="6007" max="6007" width="13.83203125" style="194" bestFit="1" customWidth="1"/>
    <col min="6008" max="6008" width="17.5" style="194" bestFit="1" customWidth="1"/>
    <col min="6009" max="6009" width="13.83203125" style="194" bestFit="1" customWidth="1"/>
    <col min="6010" max="6010" width="17.5" style="194" bestFit="1" customWidth="1"/>
    <col min="6011" max="6011" width="14.1640625" style="194" bestFit="1" customWidth="1"/>
    <col min="6012" max="6134" width="10.1640625" style="194"/>
    <col min="6135" max="6135" width="71.1640625" style="194" customWidth="1"/>
    <col min="6136" max="6141" width="5.1640625" style="194" customWidth="1"/>
    <col min="6142" max="6142" width="32" style="194" bestFit="1" customWidth="1"/>
    <col min="6143" max="6143" width="12.5" style="194" customWidth="1"/>
    <col min="6144" max="6144" width="14.83203125" style="194" customWidth="1"/>
    <col min="6145" max="6145" width="18.1640625" style="194" customWidth="1"/>
    <col min="6146" max="6146" width="20.83203125" style="194" customWidth="1"/>
    <col min="6147" max="6147" width="16.5" style="194" customWidth="1"/>
    <col min="6148" max="6148" width="17" style="194" customWidth="1"/>
    <col min="6149" max="6149" width="15" style="194" customWidth="1"/>
    <col min="6150" max="6150" width="15.1640625" style="194" bestFit="1" customWidth="1"/>
    <col min="6151" max="6152" width="16.5" style="194" customWidth="1"/>
    <col min="6153" max="6154" width="20.83203125" style="194" bestFit="1" customWidth="1"/>
    <col min="6155" max="6256" width="10.1640625" style="194"/>
    <col min="6257" max="6257" width="69.1640625" style="194" bestFit="1" customWidth="1"/>
    <col min="6258" max="6258" width="15.5" style="194" customWidth="1"/>
    <col min="6259" max="6260" width="18.1640625" style="194" customWidth="1"/>
    <col min="6261" max="6261" width="16.5" style="194" bestFit="1" customWidth="1"/>
    <col min="6262" max="6262" width="17.5" style="194" bestFit="1" customWidth="1"/>
    <col min="6263" max="6263" width="13.83203125" style="194" bestFit="1" customWidth="1"/>
    <col min="6264" max="6264" width="17.5" style="194" bestFit="1" customWidth="1"/>
    <col min="6265" max="6265" width="13.83203125" style="194" bestFit="1" customWidth="1"/>
    <col min="6266" max="6266" width="17.5" style="194" bestFit="1" customWidth="1"/>
    <col min="6267" max="6267" width="14.1640625" style="194" bestFit="1" customWidth="1"/>
    <col min="6268" max="6390" width="10.1640625" style="194"/>
    <col min="6391" max="6391" width="71.1640625" style="194" customWidth="1"/>
    <col min="6392" max="6397" width="5.1640625" style="194" customWidth="1"/>
    <col min="6398" max="6398" width="32" style="194" bestFit="1" customWidth="1"/>
    <col min="6399" max="6399" width="12.5" style="194" customWidth="1"/>
    <col min="6400" max="6400" width="14.83203125" style="194" customWidth="1"/>
    <col min="6401" max="6401" width="18.1640625" style="194" customWidth="1"/>
    <col min="6402" max="6402" width="20.83203125" style="194" customWidth="1"/>
    <col min="6403" max="6403" width="16.5" style="194" customWidth="1"/>
    <col min="6404" max="6404" width="17" style="194" customWidth="1"/>
    <col min="6405" max="6405" width="15" style="194" customWidth="1"/>
    <col min="6406" max="6406" width="15.1640625" style="194" bestFit="1" customWidth="1"/>
    <col min="6407" max="6408" width="16.5" style="194" customWidth="1"/>
    <col min="6409" max="6410" width="20.83203125" style="194" bestFit="1" customWidth="1"/>
    <col min="6411" max="6512" width="10.1640625" style="194"/>
    <col min="6513" max="6513" width="69.1640625" style="194" bestFit="1" customWidth="1"/>
    <col min="6514" max="6514" width="15.5" style="194" customWidth="1"/>
    <col min="6515" max="6516" width="18.1640625" style="194" customWidth="1"/>
    <col min="6517" max="6517" width="16.5" style="194" bestFit="1" customWidth="1"/>
    <col min="6518" max="6518" width="17.5" style="194" bestFit="1" customWidth="1"/>
    <col min="6519" max="6519" width="13.83203125" style="194" bestFit="1" customWidth="1"/>
    <col min="6520" max="6520" width="17.5" style="194" bestFit="1" customWidth="1"/>
    <col min="6521" max="6521" width="13.83203125" style="194" bestFit="1" customWidth="1"/>
    <col min="6522" max="6522" width="17.5" style="194" bestFit="1" customWidth="1"/>
    <col min="6523" max="6523" width="14.1640625" style="194" bestFit="1" customWidth="1"/>
    <col min="6524" max="6646" width="10.1640625" style="194"/>
    <col min="6647" max="6647" width="71.1640625" style="194" customWidth="1"/>
    <col min="6648" max="6653" width="5.1640625" style="194" customWidth="1"/>
    <col min="6654" max="6654" width="32" style="194" bestFit="1" customWidth="1"/>
    <col min="6655" max="6655" width="12.5" style="194" customWidth="1"/>
    <col min="6656" max="6656" width="14.83203125" style="194" customWidth="1"/>
    <col min="6657" max="6657" width="18.1640625" style="194" customWidth="1"/>
    <col min="6658" max="6658" width="20.83203125" style="194" customWidth="1"/>
    <col min="6659" max="6659" width="16.5" style="194" customWidth="1"/>
    <col min="6660" max="6660" width="17" style="194" customWidth="1"/>
    <col min="6661" max="6661" width="15" style="194" customWidth="1"/>
    <col min="6662" max="6662" width="15.1640625" style="194" bestFit="1" customWidth="1"/>
    <col min="6663" max="6664" width="16.5" style="194" customWidth="1"/>
    <col min="6665" max="6666" width="20.83203125" style="194" bestFit="1" customWidth="1"/>
    <col min="6667" max="6768" width="10.1640625" style="194"/>
    <col min="6769" max="6769" width="69.1640625" style="194" bestFit="1" customWidth="1"/>
    <col min="6770" max="6770" width="15.5" style="194" customWidth="1"/>
    <col min="6771" max="6772" width="18.1640625" style="194" customWidth="1"/>
    <col min="6773" max="6773" width="16.5" style="194" bestFit="1" customWidth="1"/>
    <col min="6774" max="6774" width="17.5" style="194" bestFit="1" customWidth="1"/>
    <col min="6775" max="6775" width="13.83203125" style="194" bestFit="1" customWidth="1"/>
    <col min="6776" max="6776" width="17.5" style="194" bestFit="1" customWidth="1"/>
    <col min="6777" max="6777" width="13.83203125" style="194" bestFit="1" customWidth="1"/>
    <col min="6778" max="6778" width="17.5" style="194" bestFit="1" customWidth="1"/>
    <col min="6779" max="6779" width="14.1640625" style="194" bestFit="1" customWidth="1"/>
    <col min="6780" max="6902" width="10.1640625" style="194"/>
    <col min="6903" max="6903" width="71.1640625" style="194" customWidth="1"/>
    <col min="6904" max="6909" width="5.1640625" style="194" customWidth="1"/>
    <col min="6910" max="6910" width="32" style="194" bestFit="1" customWidth="1"/>
    <col min="6911" max="6911" width="12.5" style="194" customWidth="1"/>
    <col min="6912" max="6912" width="14.83203125" style="194" customWidth="1"/>
    <col min="6913" max="6913" width="18.1640625" style="194" customWidth="1"/>
    <col min="6914" max="6914" width="20.83203125" style="194" customWidth="1"/>
    <col min="6915" max="6915" width="16.5" style="194" customWidth="1"/>
    <col min="6916" max="6916" width="17" style="194" customWidth="1"/>
    <col min="6917" max="6917" width="15" style="194" customWidth="1"/>
    <col min="6918" max="6918" width="15.1640625" style="194" bestFit="1" customWidth="1"/>
    <col min="6919" max="6920" width="16.5" style="194" customWidth="1"/>
    <col min="6921" max="6922" width="20.83203125" style="194" bestFit="1" customWidth="1"/>
    <col min="6923" max="7024" width="10.1640625" style="194"/>
    <col min="7025" max="7025" width="69.1640625" style="194" bestFit="1" customWidth="1"/>
    <col min="7026" max="7026" width="15.5" style="194" customWidth="1"/>
    <col min="7027" max="7028" width="18.1640625" style="194" customWidth="1"/>
    <col min="7029" max="7029" width="16.5" style="194" bestFit="1" customWidth="1"/>
    <col min="7030" max="7030" width="17.5" style="194" bestFit="1" customWidth="1"/>
    <col min="7031" max="7031" width="13.83203125" style="194" bestFit="1" customWidth="1"/>
    <col min="7032" max="7032" width="17.5" style="194" bestFit="1" customWidth="1"/>
    <col min="7033" max="7033" width="13.83203125" style="194" bestFit="1" customWidth="1"/>
    <col min="7034" max="7034" width="17.5" style="194" bestFit="1" customWidth="1"/>
    <col min="7035" max="7035" width="14.1640625" style="194" bestFit="1" customWidth="1"/>
    <col min="7036" max="7158" width="10.1640625" style="194"/>
    <col min="7159" max="7159" width="71.1640625" style="194" customWidth="1"/>
    <col min="7160" max="7165" width="5.1640625" style="194" customWidth="1"/>
    <col min="7166" max="7166" width="32" style="194" bestFit="1" customWidth="1"/>
    <col min="7167" max="7167" width="12.5" style="194" customWidth="1"/>
    <col min="7168" max="7168" width="14.83203125" style="194" customWidth="1"/>
    <col min="7169" max="7169" width="18.1640625" style="194" customWidth="1"/>
    <col min="7170" max="7170" width="20.83203125" style="194" customWidth="1"/>
    <col min="7171" max="7171" width="16.5" style="194" customWidth="1"/>
    <col min="7172" max="7172" width="17" style="194" customWidth="1"/>
    <col min="7173" max="7173" width="15" style="194" customWidth="1"/>
    <col min="7174" max="7174" width="15.1640625" style="194" bestFit="1" customWidth="1"/>
    <col min="7175" max="7176" width="16.5" style="194" customWidth="1"/>
    <col min="7177" max="7178" width="20.83203125" style="194" bestFit="1" customWidth="1"/>
    <col min="7179" max="7280" width="10.1640625" style="194"/>
    <col min="7281" max="7281" width="69.1640625" style="194" bestFit="1" customWidth="1"/>
    <col min="7282" max="7282" width="15.5" style="194" customWidth="1"/>
    <col min="7283" max="7284" width="18.1640625" style="194" customWidth="1"/>
    <col min="7285" max="7285" width="16.5" style="194" bestFit="1" customWidth="1"/>
    <col min="7286" max="7286" width="17.5" style="194" bestFit="1" customWidth="1"/>
    <col min="7287" max="7287" width="13.83203125" style="194" bestFit="1" customWidth="1"/>
    <col min="7288" max="7288" width="17.5" style="194" bestFit="1" customWidth="1"/>
    <col min="7289" max="7289" width="13.83203125" style="194" bestFit="1" customWidth="1"/>
    <col min="7290" max="7290" width="17.5" style="194" bestFit="1" customWidth="1"/>
    <col min="7291" max="7291" width="14.1640625" style="194" bestFit="1" customWidth="1"/>
    <col min="7292" max="7414" width="10.1640625" style="194"/>
    <col min="7415" max="7415" width="71.1640625" style="194" customWidth="1"/>
    <col min="7416" max="7421" width="5.1640625" style="194" customWidth="1"/>
    <col min="7422" max="7422" width="32" style="194" bestFit="1" customWidth="1"/>
    <col min="7423" max="7423" width="12.5" style="194" customWidth="1"/>
    <col min="7424" max="7424" width="14.83203125" style="194" customWidth="1"/>
    <col min="7425" max="7425" width="18.1640625" style="194" customWidth="1"/>
    <col min="7426" max="7426" width="20.83203125" style="194" customWidth="1"/>
    <col min="7427" max="7427" width="16.5" style="194" customWidth="1"/>
    <col min="7428" max="7428" width="17" style="194" customWidth="1"/>
    <col min="7429" max="7429" width="15" style="194" customWidth="1"/>
    <col min="7430" max="7430" width="15.1640625" style="194" bestFit="1" customWidth="1"/>
    <col min="7431" max="7432" width="16.5" style="194" customWidth="1"/>
    <col min="7433" max="7434" width="20.83203125" style="194" bestFit="1" customWidth="1"/>
    <col min="7435" max="7536" width="10.1640625" style="194"/>
    <col min="7537" max="7537" width="69.1640625" style="194" bestFit="1" customWidth="1"/>
    <col min="7538" max="7538" width="15.5" style="194" customWidth="1"/>
    <col min="7539" max="7540" width="18.1640625" style="194" customWidth="1"/>
    <col min="7541" max="7541" width="16.5" style="194" bestFit="1" customWidth="1"/>
    <col min="7542" max="7542" width="17.5" style="194" bestFit="1" customWidth="1"/>
    <col min="7543" max="7543" width="13.83203125" style="194" bestFit="1" customWidth="1"/>
    <col min="7544" max="7544" width="17.5" style="194" bestFit="1" customWidth="1"/>
    <col min="7545" max="7545" width="13.83203125" style="194" bestFit="1" customWidth="1"/>
    <col min="7546" max="7546" width="17.5" style="194" bestFit="1" customWidth="1"/>
    <col min="7547" max="7547" width="14.1640625" style="194" bestFit="1" customWidth="1"/>
    <col min="7548" max="7670" width="10.1640625" style="194"/>
    <col min="7671" max="7671" width="71.1640625" style="194" customWidth="1"/>
    <col min="7672" max="7677" width="5.1640625" style="194" customWidth="1"/>
    <col min="7678" max="7678" width="32" style="194" bestFit="1" customWidth="1"/>
    <col min="7679" max="7679" width="12.5" style="194" customWidth="1"/>
    <col min="7680" max="7680" width="14.83203125" style="194" customWidth="1"/>
    <col min="7681" max="7681" width="18.1640625" style="194" customWidth="1"/>
    <col min="7682" max="7682" width="20.83203125" style="194" customWidth="1"/>
    <col min="7683" max="7683" width="16.5" style="194" customWidth="1"/>
    <col min="7684" max="7684" width="17" style="194" customWidth="1"/>
    <col min="7685" max="7685" width="15" style="194" customWidth="1"/>
    <col min="7686" max="7686" width="15.1640625" style="194" bestFit="1" customWidth="1"/>
    <col min="7687" max="7688" width="16.5" style="194" customWidth="1"/>
    <col min="7689" max="7690" width="20.83203125" style="194" bestFit="1" customWidth="1"/>
    <col min="7691" max="7792" width="10.1640625" style="194"/>
    <col min="7793" max="7793" width="69.1640625" style="194" bestFit="1" customWidth="1"/>
    <col min="7794" max="7794" width="15.5" style="194" customWidth="1"/>
    <col min="7795" max="7796" width="18.1640625" style="194" customWidth="1"/>
    <col min="7797" max="7797" width="16.5" style="194" bestFit="1" customWidth="1"/>
    <col min="7798" max="7798" width="17.5" style="194" bestFit="1" customWidth="1"/>
    <col min="7799" max="7799" width="13.83203125" style="194" bestFit="1" customWidth="1"/>
    <col min="7800" max="7800" width="17.5" style="194" bestFit="1" customWidth="1"/>
    <col min="7801" max="7801" width="13.83203125" style="194" bestFit="1" customWidth="1"/>
    <col min="7802" max="7802" width="17.5" style="194" bestFit="1" customWidth="1"/>
    <col min="7803" max="7803" width="14.1640625" style="194" bestFit="1" customWidth="1"/>
    <col min="7804" max="7926" width="10.1640625" style="194"/>
    <col min="7927" max="7927" width="71.1640625" style="194" customWidth="1"/>
    <col min="7928" max="7933" width="5.1640625" style="194" customWidth="1"/>
    <col min="7934" max="7934" width="32" style="194" bestFit="1" customWidth="1"/>
    <col min="7935" max="7935" width="12.5" style="194" customWidth="1"/>
    <col min="7936" max="7936" width="14.83203125" style="194" customWidth="1"/>
    <col min="7937" max="7937" width="18.1640625" style="194" customWidth="1"/>
    <col min="7938" max="7938" width="20.83203125" style="194" customWidth="1"/>
    <col min="7939" max="7939" width="16.5" style="194" customWidth="1"/>
    <col min="7940" max="7940" width="17" style="194" customWidth="1"/>
    <col min="7941" max="7941" width="15" style="194" customWidth="1"/>
    <col min="7942" max="7942" width="15.1640625" style="194" bestFit="1" customWidth="1"/>
    <col min="7943" max="7944" width="16.5" style="194" customWidth="1"/>
    <col min="7945" max="7946" width="20.83203125" style="194" bestFit="1" customWidth="1"/>
    <col min="7947" max="8048" width="10.1640625" style="194"/>
    <col min="8049" max="8049" width="69.1640625" style="194" bestFit="1" customWidth="1"/>
    <col min="8050" max="8050" width="15.5" style="194" customWidth="1"/>
    <col min="8051" max="8052" width="18.1640625" style="194" customWidth="1"/>
    <col min="8053" max="8053" width="16.5" style="194" bestFit="1" customWidth="1"/>
    <col min="8054" max="8054" width="17.5" style="194" bestFit="1" customWidth="1"/>
    <col min="8055" max="8055" width="13.83203125" style="194" bestFit="1" customWidth="1"/>
    <col min="8056" max="8056" width="17.5" style="194" bestFit="1" customWidth="1"/>
    <col min="8057" max="8057" width="13.83203125" style="194" bestFit="1" customWidth="1"/>
    <col min="8058" max="8058" width="17.5" style="194" bestFit="1" customWidth="1"/>
    <col min="8059" max="8059" width="14.1640625" style="194" bestFit="1" customWidth="1"/>
    <col min="8060" max="8182" width="10.1640625" style="194"/>
    <col min="8183" max="8183" width="71.1640625" style="194" customWidth="1"/>
    <col min="8184" max="8189" width="5.1640625" style="194" customWidth="1"/>
    <col min="8190" max="8190" width="32" style="194" bestFit="1" customWidth="1"/>
    <col min="8191" max="8191" width="12.5" style="194" customWidth="1"/>
    <col min="8192" max="8192" width="14.83203125" style="194" customWidth="1"/>
    <col min="8193" max="8193" width="18.1640625" style="194" customWidth="1"/>
    <col min="8194" max="8194" width="20.83203125" style="194" customWidth="1"/>
    <col min="8195" max="8195" width="16.5" style="194" customWidth="1"/>
    <col min="8196" max="8196" width="17" style="194" customWidth="1"/>
    <col min="8197" max="8197" width="15" style="194" customWidth="1"/>
    <col min="8198" max="8198" width="15.1640625" style="194" bestFit="1" customWidth="1"/>
    <col min="8199" max="8200" width="16.5" style="194" customWidth="1"/>
    <col min="8201" max="8202" width="20.83203125" style="194" bestFit="1" customWidth="1"/>
    <col min="8203" max="8304" width="10.1640625" style="194"/>
    <col min="8305" max="8305" width="69.1640625" style="194" bestFit="1" customWidth="1"/>
    <col min="8306" max="8306" width="15.5" style="194" customWidth="1"/>
    <col min="8307" max="8308" width="18.1640625" style="194" customWidth="1"/>
    <col min="8309" max="8309" width="16.5" style="194" bestFit="1" customWidth="1"/>
    <col min="8310" max="8310" width="17.5" style="194" bestFit="1" customWidth="1"/>
    <col min="8311" max="8311" width="13.83203125" style="194" bestFit="1" customWidth="1"/>
    <col min="8312" max="8312" width="17.5" style="194" bestFit="1" customWidth="1"/>
    <col min="8313" max="8313" width="13.83203125" style="194" bestFit="1" customWidth="1"/>
    <col min="8314" max="8314" width="17.5" style="194" bestFit="1" customWidth="1"/>
    <col min="8315" max="8315" width="14.1640625" style="194" bestFit="1" customWidth="1"/>
    <col min="8316" max="8438" width="10.1640625" style="194"/>
    <col min="8439" max="8439" width="71.1640625" style="194" customWidth="1"/>
    <col min="8440" max="8445" width="5.1640625" style="194" customWidth="1"/>
    <col min="8446" max="8446" width="32" style="194" bestFit="1" customWidth="1"/>
    <col min="8447" max="8447" width="12.5" style="194" customWidth="1"/>
    <col min="8448" max="8448" width="14.83203125" style="194" customWidth="1"/>
    <col min="8449" max="8449" width="18.1640625" style="194" customWidth="1"/>
    <col min="8450" max="8450" width="20.83203125" style="194" customWidth="1"/>
    <col min="8451" max="8451" width="16.5" style="194" customWidth="1"/>
    <col min="8452" max="8452" width="17" style="194" customWidth="1"/>
    <col min="8453" max="8453" width="15" style="194" customWidth="1"/>
    <col min="8454" max="8454" width="15.1640625" style="194" bestFit="1" customWidth="1"/>
    <col min="8455" max="8456" width="16.5" style="194" customWidth="1"/>
    <col min="8457" max="8458" width="20.83203125" style="194" bestFit="1" customWidth="1"/>
    <col min="8459" max="8560" width="10.1640625" style="194"/>
    <col min="8561" max="8561" width="69.1640625" style="194" bestFit="1" customWidth="1"/>
    <col min="8562" max="8562" width="15.5" style="194" customWidth="1"/>
    <col min="8563" max="8564" width="18.1640625" style="194" customWidth="1"/>
    <col min="8565" max="8565" width="16.5" style="194" bestFit="1" customWidth="1"/>
    <col min="8566" max="8566" width="17.5" style="194" bestFit="1" customWidth="1"/>
    <col min="8567" max="8567" width="13.83203125" style="194" bestFit="1" customWidth="1"/>
    <col min="8568" max="8568" width="17.5" style="194" bestFit="1" customWidth="1"/>
    <col min="8569" max="8569" width="13.83203125" style="194" bestFit="1" customWidth="1"/>
    <col min="8570" max="8570" width="17.5" style="194" bestFit="1" customWidth="1"/>
    <col min="8571" max="8571" width="14.1640625" style="194" bestFit="1" customWidth="1"/>
    <col min="8572" max="8694" width="10.1640625" style="194"/>
    <col min="8695" max="8695" width="71.1640625" style="194" customWidth="1"/>
    <col min="8696" max="8701" width="5.1640625" style="194" customWidth="1"/>
    <col min="8702" max="8702" width="32" style="194" bestFit="1" customWidth="1"/>
    <col min="8703" max="8703" width="12.5" style="194" customWidth="1"/>
    <col min="8704" max="8704" width="14.83203125" style="194" customWidth="1"/>
    <col min="8705" max="8705" width="18.1640625" style="194" customWidth="1"/>
    <col min="8706" max="8706" width="20.83203125" style="194" customWidth="1"/>
    <col min="8707" max="8707" width="16.5" style="194" customWidth="1"/>
    <col min="8708" max="8708" width="17" style="194" customWidth="1"/>
    <col min="8709" max="8709" width="15" style="194" customWidth="1"/>
    <col min="8710" max="8710" width="15.1640625" style="194" bestFit="1" customWidth="1"/>
    <col min="8711" max="8712" width="16.5" style="194" customWidth="1"/>
    <col min="8713" max="8714" width="20.83203125" style="194" bestFit="1" customWidth="1"/>
    <col min="8715" max="8816" width="10.1640625" style="194"/>
    <col min="8817" max="8817" width="69.1640625" style="194" bestFit="1" customWidth="1"/>
    <col min="8818" max="8818" width="15.5" style="194" customWidth="1"/>
    <col min="8819" max="8820" width="18.1640625" style="194" customWidth="1"/>
    <col min="8821" max="8821" width="16.5" style="194" bestFit="1" customWidth="1"/>
    <col min="8822" max="8822" width="17.5" style="194" bestFit="1" customWidth="1"/>
    <col min="8823" max="8823" width="13.83203125" style="194" bestFit="1" customWidth="1"/>
    <col min="8824" max="8824" width="17.5" style="194" bestFit="1" customWidth="1"/>
    <col min="8825" max="8825" width="13.83203125" style="194" bestFit="1" customWidth="1"/>
    <col min="8826" max="8826" width="17.5" style="194" bestFit="1" customWidth="1"/>
    <col min="8827" max="8827" width="14.1640625" style="194" bestFit="1" customWidth="1"/>
    <col min="8828" max="8950" width="10.1640625" style="194"/>
    <col min="8951" max="8951" width="71.1640625" style="194" customWidth="1"/>
    <col min="8952" max="8957" width="5.1640625" style="194" customWidth="1"/>
    <col min="8958" max="8958" width="32" style="194" bestFit="1" customWidth="1"/>
    <col min="8959" max="8959" width="12.5" style="194" customWidth="1"/>
    <col min="8960" max="8960" width="14.83203125" style="194" customWidth="1"/>
    <col min="8961" max="8961" width="18.1640625" style="194" customWidth="1"/>
    <col min="8962" max="8962" width="20.83203125" style="194" customWidth="1"/>
    <col min="8963" max="8963" width="16.5" style="194" customWidth="1"/>
    <col min="8964" max="8964" width="17" style="194" customWidth="1"/>
    <col min="8965" max="8965" width="15" style="194" customWidth="1"/>
    <col min="8966" max="8966" width="15.1640625" style="194" bestFit="1" customWidth="1"/>
    <col min="8967" max="8968" width="16.5" style="194" customWidth="1"/>
    <col min="8969" max="8970" width="20.83203125" style="194" bestFit="1" customWidth="1"/>
    <col min="8971" max="9072" width="10.1640625" style="194"/>
    <col min="9073" max="9073" width="69.1640625" style="194" bestFit="1" customWidth="1"/>
    <col min="9074" max="9074" width="15.5" style="194" customWidth="1"/>
    <col min="9075" max="9076" width="18.1640625" style="194" customWidth="1"/>
    <col min="9077" max="9077" width="16.5" style="194" bestFit="1" customWidth="1"/>
    <col min="9078" max="9078" width="17.5" style="194" bestFit="1" customWidth="1"/>
    <col min="9079" max="9079" width="13.83203125" style="194" bestFit="1" customWidth="1"/>
    <col min="9080" max="9080" width="17.5" style="194" bestFit="1" customWidth="1"/>
    <col min="9081" max="9081" width="13.83203125" style="194" bestFit="1" customWidth="1"/>
    <col min="9082" max="9082" width="17.5" style="194" bestFit="1" customWidth="1"/>
    <col min="9083" max="9083" width="14.1640625" style="194" bestFit="1" customWidth="1"/>
    <col min="9084" max="9206" width="10.1640625" style="194"/>
    <col min="9207" max="9207" width="71.1640625" style="194" customWidth="1"/>
    <col min="9208" max="9213" width="5.1640625" style="194" customWidth="1"/>
    <col min="9214" max="9214" width="32" style="194" bestFit="1" customWidth="1"/>
    <col min="9215" max="9215" width="12.5" style="194" customWidth="1"/>
    <col min="9216" max="9216" width="14.83203125" style="194" customWidth="1"/>
    <col min="9217" max="9217" width="18.1640625" style="194" customWidth="1"/>
    <col min="9218" max="9218" width="20.83203125" style="194" customWidth="1"/>
    <col min="9219" max="9219" width="16.5" style="194" customWidth="1"/>
    <col min="9220" max="9220" width="17" style="194" customWidth="1"/>
    <col min="9221" max="9221" width="15" style="194" customWidth="1"/>
    <col min="9222" max="9222" width="15.1640625" style="194" bestFit="1" customWidth="1"/>
    <col min="9223" max="9224" width="16.5" style="194" customWidth="1"/>
    <col min="9225" max="9226" width="20.83203125" style="194" bestFit="1" customWidth="1"/>
    <col min="9227" max="9328" width="10.1640625" style="194"/>
    <col min="9329" max="9329" width="69.1640625" style="194" bestFit="1" customWidth="1"/>
    <col min="9330" max="9330" width="15.5" style="194" customWidth="1"/>
    <col min="9331" max="9332" width="18.1640625" style="194" customWidth="1"/>
    <col min="9333" max="9333" width="16.5" style="194" bestFit="1" customWidth="1"/>
    <col min="9334" max="9334" width="17.5" style="194" bestFit="1" customWidth="1"/>
    <col min="9335" max="9335" width="13.83203125" style="194" bestFit="1" customWidth="1"/>
    <col min="9336" max="9336" width="17.5" style="194" bestFit="1" customWidth="1"/>
    <col min="9337" max="9337" width="13.83203125" style="194" bestFit="1" customWidth="1"/>
    <col min="9338" max="9338" width="17.5" style="194" bestFit="1" customWidth="1"/>
    <col min="9339" max="9339" width="14.1640625" style="194" bestFit="1" customWidth="1"/>
    <col min="9340" max="9462" width="10.1640625" style="194"/>
    <col min="9463" max="9463" width="71.1640625" style="194" customWidth="1"/>
    <col min="9464" max="9469" width="5.1640625" style="194" customWidth="1"/>
    <col min="9470" max="9470" width="32" style="194" bestFit="1" customWidth="1"/>
    <col min="9471" max="9471" width="12.5" style="194" customWidth="1"/>
    <col min="9472" max="9472" width="14.83203125" style="194" customWidth="1"/>
    <col min="9473" max="9473" width="18.1640625" style="194" customWidth="1"/>
    <col min="9474" max="9474" width="20.83203125" style="194" customWidth="1"/>
    <col min="9475" max="9475" width="16.5" style="194" customWidth="1"/>
    <col min="9476" max="9476" width="17" style="194" customWidth="1"/>
    <col min="9477" max="9477" width="15" style="194" customWidth="1"/>
    <col min="9478" max="9478" width="15.1640625" style="194" bestFit="1" customWidth="1"/>
    <col min="9479" max="9480" width="16.5" style="194" customWidth="1"/>
    <col min="9481" max="9482" width="20.83203125" style="194" bestFit="1" customWidth="1"/>
    <col min="9483" max="9584" width="10.1640625" style="194"/>
    <col min="9585" max="9585" width="69.1640625" style="194" bestFit="1" customWidth="1"/>
    <col min="9586" max="9586" width="15.5" style="194" customWidth="1"/>
    <col min="9587" max="9588" width="18.1640625" style="194" customWidth="1"/>
    <col min="9589" max="9589" width="16.5" style="194" bestFit="1" customWidth="1"/>
    <col min="9590" max="9590" width="17.5" style="194" bestFit="1" customWidth="1"/>
    <col min="9591" max="9591" width="13.83203125" style="194" bestFit="1" customWidth="1"/>
    <col min="9592" max="9592" width="17.5" style="194" bestFit="1" customWidth="1"/>
    <col min="9593" max="9593" width="13.83203125" style="194" bestFit="1" customWidth="1"/>
    <col min="9594" max="9594" width="17.5" style="194" bestFit="1" customWidth="1"/>
    <col min="9595" max="9595" width="14.1640625" style="194" bestFit="1" customWidth="1"/>
    <col min="9596" max="9718" width="10.1640625" style="194"/>
    <col min="9719" max="9719" width="71.1640625" style="194" customWidth="1"/>
    <col min="9720" max="9725" width="5.1640625" style="194" customWidth="1"/>
    <col min="9726" max="9726" width="32" style="194" bestFit="1" customWidth="1"/>
    <col min="9727" max="9727" width="12.5" style="194" customWidth="1"/>
    <col min="9728" max="9728" width="14.83203125" style="194" customWidth="1"/>
    <col min="9729" max="9729" width="18.1640625" style="194" customWidth="1"/>
    <col min="9730" max="9730" width="20.83203125" style="194" customWidth="1"/>
    <col min="9731" max="9731" width="16.5" style="194" customWidth="1"/>
    <col min="9732" max="9732" width="17" style="194" customWidth="1"/>
    <col min="9733" max="9733" width="15" style="194" customWidth="1"/>
    <col min="9734" max="9734" width="15.1640625" style="194" bestFit="1" customWidth="1"/>
    <col min="9735" max="9736" width="16.5" style="194" customWidth="1"/>
    <col min="9737" max="9738" width="20.83203125" style="194" bestFit="1" customWidth="1"/>
    <col min="9739" max="9840" width="10.1640625" style="194"/>
    <col min="9841" max="9841" width="69.1640625" style="194" bestFit="1" customWidth="1"/>
    <col min="9842" max="9842" width="15.5" style="194" customWidth="1"/>
    <col min="9843" max="9844" width="18.1640625" style="194" customWidth="1"/>
    <col min="9845" max="9845" width="16.5" style="194" bestFit="1" customWidth="1"/>
    <col min="9846" max="9846" width="17.5" style="194" bestFit="1" customWidth="1"/>
    <col min="9847" max="9847" width="13.83203125" style="194" bestFit="1" customWidth="1"/>
    <col min="9848" max="9848" width="17.5" style="194" bestFit="1" customWidth="1"/>
    <col min="9849" max="9849" width="13.83203125" style="194" bestFit="1" customWidth="1"/>
    <col min="9850" max="9850" width="17.5" style="194" bestFit="1" customWidth="1"/>
    <col min="9851" max="9851" width="14.1640625" style="194" bestFit="1" customWidth="1"/>
    <col min="9852" max="9974" width="10.1640625" style="194"/>
    <col min="9975" max="9975" width="71.1640625" style="194" customWidth="1"/>
    <col min="9976" max="9981" width="5.1640625" style="194" customWidth="1"/>
    <col min="9982" max="9982" width="32" style="194" bestFit="1" customWidth="1"/>
    <col min="9983" max="9983" width="12.5" style="194" customWidth="1"/>
    <col min="9984" max="9984" width="14.83203125" style="194" customWidth="1"/>
    <col min="9985" max="9985" width="18.1640625" style="194" customWidth="1"/>
    <col min="9986" max="9986" width="20.83203125" style="194" customWidth="1"/>
    <col min="9987" max="9987" width="16.5" style="194" customWidth="1"/>
    <col min="9988" max="9988" width="17" style="194" customWidth="1"/>
    <col min="9989" max="9989" width="15" style="194" customWidth="1"/>
    <col min="9990" max="9990" width="15.1640625" style="194" bestFit="1" customWidth="1"/>
    <col min="9991" max="9992" width="16.5" style="194" customWidth="1"/>
    <col min="9993" max="9994" width="20.83203125" style="194" bestFit="1" customWidth="1"/>
    <col min="9995" max="10096" width="10.1640625" style="194"/>
    <col min="10097" max="10097" width="69.1640625" style="194" bestFit="1" customWidth="1"/>
    <col min="10098" max="10098" width="15.5" style="194" customWidth="1"/>
    <col min="10099" max="10100" width="18.1640625" style="194" customWidth="1"/>
    <col min="10101" max="10101" width="16.5" style="194" bestFit="1" customWidth="1"/>
    <col min="10102" max="10102" width="17.5" style="194" bestFit="1" customWidth="1"/>
    <col min="10103" max="10103" width="13.83203125" style="194" bestFit="1" customWidth="1"/>
    <col min="10104" max="10104" width="17.5" style="194" bestFit="1" customWidth="1"/>
    <col min="10105" max="10105" width="13.83203125" style="194" bestFit="1" customWidth="1"/>
    <col min="10106" max="10106" width="17.5" style="194" bestFit="1" customWidth="1"/>
    <col min="10107" max="10107" width="14.1640625" style="194" bestFit="1" customWidth="1"/>
    <col min="10108" max="10230" width="10.1640625" style="194"/>
    <col min="10231" max="10231" width="71.1640625" style="194" customWidth="1"/>
    <col min="10232" max="10237" width="5.1640625" style="194" customWidth="1"/>
    <col min="10238" max="10238" width="32" style="194" bestFit="1" customWidth="1"/>
    <col min="10239" max="10239" width="12.5" style="194" customWidth="1"/>
    <col min="10240" max="10240" width="14.83203125" style="194" customWidth="1"/>
    <col min="10241" max="10241" width="18.1640625" style="194" customWidth="1"/>
    <col min="10242" max="10242" width="20.83203125" style="194" customWidth="1"/>
    <col min="10243" max="10243" width="16.5" style="194" customWidth="1"/>
    <col min="10244" max="10244" width="17" style="194" customWidth="1"/>
    <col min="10245" max="10245" width="15" style="194" customWidth="1"/>
    <col min="10246" max="10246" width="15.1640625" style="194" bestFit="1" customWidth="1"/>
    <col min="10247" max="10248" width="16.5" style="194" customWidth="1"/>
    <col min="10249" max="10250" width="20.83203125" style="194" bestFit="1" customWidth="1"/>
    <col min="10251" max="10352" width="10.1640625" style="194"/>
    <col min="10353" max="10353" width="69.1640625" style="194" bestFit="1" customWidth="1"/>
    <col min="10354" max="10354" width="15.5" style="194" customWidth="1"/>
    <col min="10355" max="10356" width="18.1640625" style="194" customWidth="1"/>
    <col min="10357" max="10357" width="16.5" style="194" bestFit="1" customWidth="1"/>
    <col min="10358" max="10358" width="17.5" style="194" bestFit="1" customWidth="1"/>
    <col min="10359" max="10359" width="13.83203125" style="194" bestFit="1" customWidth="1"/>
    <col min="10360" max="10360" width="17.5" style="194" bestFit="1" customWidth="1"/>
    <col min="10361" max="10361" width="13.83203125" style="194" bestFit="1" customWidth="1"/>
    <col min="10362" max="10362" width="17.5" style="194" bestFit="1" customWidth="1"/>
    <col min="10363" max="10363" width="14.1640625" style="194" bestFit="1" customWidth="1"/>
    <col min="10364" max="10486" width="10.1640625" style="194"/>
    <col min="10487" max="10487" width="71.1640625" style="194" customWidth="1"/>
    <col min="10488" max="10493" width="5.1640625" style="194" customWidth="1"/>
    <col min="10494" max="10494" width="32" style="194" bestFit="1" customWidth="1"/>
    <col min="10495" max="10495" width="12.5" style="194" customWidth="1"/>
    <col min="10496" max="10496" width="14.83203125" style="194" customWidth="1"/>
    <col min="10497" max="10497" width="18.1640625" style="194" customWidth="1"/>
    <col min="10498" max="10498" width="20.83203125" style="194" customWidth="1"/>
    <col min="10499" max="10499" width="16.5" style="194" customWidth="1"/>
    <col min="10500" max="10500" width="17" style="194" customWidth="1"/>
    <col min="10501" max="10501" width="15" style="194" customWidth="1"/>
    <col min="10502" max="10502" width="15.1640625" style="194" bestFit="1" customWidth="1"/>
    <col min="10503" max="10504" width="16.5" style="194" customWidth="1"/>
    <col min="10505" max="10506" width="20.83203125" style="194" bestFit="1" customWidth="1"/>
    <col min="10507" max="10608" width="10.1640625" style="194"/>
    <col min="10609" max="10609" width="69.1640625" style="194" bestFit="1" customWidth="1"/>
    <col min="10610" max="10610" width="15.5" style="194" customWidth="1"/>
    <col min="10611" max="10612" width="18.1640625" style="194" customWidth="1"/>
    <col min="10613" max="10613" width="16.5" style="194" bestFit="1" customWidth="1"/>
    <col min="10614" max="10614" width="17.5" style="194" bestFit="1" customWidth="1"/>
    <col min="10615" max="10615" width="13.83203125" style="194" bestFit="1" customWidth="1"/>
    <col min="10616" max="10616" width="17.5" style="194" bestFit="1" customWidth="1"/>
    <col min="10617" max="10617" width="13.83203125" style="194" bestFit="1" customWidth="1"/>
    <col min="10618" max="10618" width="17.5" style="194" bestFit="1" customWidth="1"/>
    <col min="10619" max="10619" width="14.1640625" style="194" bestFit="1" customWidth="1"/>
    <col min="10620" max="10742" width="10.1640625" style="194"/>
    <col min="10743" max="10743" width="71.1640625" style="194" customWidth="1"/>
    <col min="10744" max="10749" width="5.1640625" style="194" customWidth="1"/>
    <col min="10750" max="10750" width="32" style="194" bestFit="1" customWidth="1"/>
    <col min="10751" max="10751" width="12.5" style="194" customWidth="1"/>
    <col min="10752" max="10752" width="14.83203125" style="194" customWidth="1"/>
    <col min="10753" max="10753" width="18.1640625" style="194" customWidth="1"/>
    <col min="10754" max="10754" width="20.83203125" style="194" customWidth="1"/>
    <col min="10755" max="10755" width="16.5" style="194" customWidth="1"/>
    <col min="10756" max="10756" width="17" style="194" customWidth="1"/>
    <col min="10757" max="10757" width="15" style="194" customWidth="1"/>
    <col min="10758" max="10758" width="15.1640625" style="194" bestFit="1" customWidth="1"/>
    <col min="10759" max="10760" width="16.5" style="194" customWidth="1"/>
    <col min="10761" max="10762" width="20.83203125" style="194" bestFit="1" customWidth="1"/>
    <col min="10763" max="10864" width="10.1640625" style="194"/>
    <col min="10865" max="10865" width="69.1640625" style="194" bestFit="1" customWidth="1"/>
    <col min="10866" max="10866" width="15.5" style="194" customWidth="1"/>
    <col min="10867" max="10868" width="18.1640625" style="194" customWidth="1"/>
    <col min="10869" max="10869" width="16.5" style="194" bestFit="1" customWidth="1"/>
    <col min="10870" max="10870" width="17.5" style="194" bestFit="1" customWidth="1"/>
    <col min="10871" max="10871" width="13.83203125" style="194" bestFit="1" customWidth="1"/>
    <col min="10872" max="10872" width="17.5" style="194" bestFit="1" customWidth="1"/>
    <col min="10873" max="10873" width="13.83203125" style="194" bestFit="1" customWidth="1"/>
    <col min="10874" max="10874" width="17.5" style="194" bestFit="1" customWidth="1"/>
    <col min="10875" max="10875" width="14.1640625" style="194" bestFit="1" customWidth="1"/>
    <col min="10876" max="10998" width="10.1640625" style="194"/>
    <col min="10999" max="10999" width="71.1640625" style="194" customWidth="1"/>
    <col min="11000" max="11005" width="5.1640625" style="194" customWidth="1"/>
    <col min="11006" max="11006" width="32" style="194" bestFit="1" customWidth="1"/>
    <col min="11007" max="11007" width="12.5" style="194" customWidth="1"/>
    <col min="11008" max="11008" width="14.83203125" style="194" customWidth="1"/>
    <col min="11009" max="11009" width="18.1640625" style="194" customWidth="1"/>
    <col min="11010" max="11010" width="20.83203125" style="194" customWidth="1"/>
    <col min="11011" max="11011" width="16.5" style="194" customWidth="1"/>
    <col min="11012" max="11012" width="17" style="194" customWidth="1"/>
    <col min="11013" max="11013" width="15" style="194" customWidth="1"/>
    <col min="11014" max="11014" width="15.1640625" style="194" bestFit="1" customWidth="1"/>
    <col min="11015" max="11016" width="16.5" style="194" customWidth="1"/>
    <col min="11017" max="11018" width="20.83203125" style="194" bestFit="1" customWidth="1"/>
    <col min="11019" max="11120" width="10.1640625" style="194"/>
    <col min="11121" max="11121" width="69.1640625" style="194" bestFit="1" customWidth="1"/>
    <col min="11122" max="11122" width="15.5" style="194" customWidth="1"/>
    <col min="11123" max="11124" width="18.1640625" style="194" customWidth="1"/>
    <col min="11125" max="11125" width="16.5" style="194" bestFit="1" customWidth="1"/>
    <col min="11126" max="11126" width="17.5" style="194" bestFit="1" customWidth="1"/>
    <col min="11127" max="11127" width="13.83203125" style="194" bestFit="1" customWidth="1"/>
    <col min="11128" max="11128" width="17.5" style="194" bestFit="1" customWidth="1"/>
    <col min="11129" max="11129" width="13.83203125" style="194" bestFit="1" customWidth="1"/>
    <col min="11130" max="11130" width="17.5" style="194" bestFit="1" customWidth="1"/>
    <col min="11131" max="11131" width="14.1640625" style="194" bestFit="1" customWidth="1"/>
    <col min="11132" max="11254" width="10.1640625" style="194"/>
    <col min="11255" max="11255" width="71.1640625" style="194" customWidth="1"/>
    <col min="11256" max="11261" width="5.1640625" style="194" customWidth="1"/>
    <col min="11262" max="11262" width="32" style="194" bestFit="1" customWidth="1"/>
    <col min="11263" max="11263" width="12.5" style="194" customWidth="1"/>
    <col min="11264" max="11264" width="14.83203125" style="194" customWidth="1"/>
    <col min="11265" max="11265" width="18.1640625" style="194" customWidth="1"/>
    <col min="11266" max="11266" width="20.83203125" style="194" customWidth="1"/>
    <col min="11267" max="11267" width="16.5" style="194" customWidth="1"/>
    <col min="11268" max="11268" width="17" style="194" customWidth="1"/>
    <col min="11269" max="11269" width="15" style="194" customWidth="1"/>
    <col min="11270" max="11270" width="15.1640625" style="194" bestFit="1" customWidth="1"/>
    <col min="11271" max="11272" width="16.5" style="194" customWidth="1"/>
    <col min="11273" max="11274" width="20.83203125" style="194" bestFit="1" customWidth="1"/>
    <col min="11275" max="11376" width="10.1640625" style="194"/>
    <col min="11377" max="11377" width="69.1640625" style="194" bestFit="1" customWidth="1"/>
    <col min="11378" max="11378" width="15.5" style="194" customWidth="1"/>
    <col min="11379" max="11380" width="18.1640625" style="194" customWidth="1"/>
    <col min="11381" max="11381" width="16.5" style="194" bestFit="1" customWidth="1"/>
    <col min="11382" max="11382" width="17.5" style="194" bestFit="1" customWidth="1"/>
    <col min="11383" max="11383" width="13.83203125" style="194" bestFit="1" customWidth="1"/>
    <col min="11384" max="11384" width="17.5" style="194" bestFit="1" customWidth="1"/>
    <col min="11385" max="11385" width="13.83203125" style="194" bestFit="1" customWidth="1"/>
    <col min="11386" max="11386" width="17.5" style="194" bestFit="1" customWidth="1"/>
    <col min="11387" max="11387" width="14.1640625" style="194" bestFit="1" customWidth="1"/>
    <col min="11388" max="11510" width="10.1640625" style="194"/>
    <col min="11511" max="11511" width="71.1640625" style="194" customWidth="1"/>
    <col min="11512" max="11517" width="5.1640625" style="194" customWidth="1"/>
    <col min="11518" max="11518" width="32" style="194" bestFit="1" customWidth="1"/>
    <col min="11519" max="11519" width="12.5" style="194" customWidth="1"/>
    <col min="11520" max="11520" width="14.83203125" style="194" customWidth="1"/>
    <col min="11521" max="11521" width="18.1640625" style="194" customWidth="1"/>
    <col min="11522" max="11522" width="20.83203125" style="194" customWidth="1"/>
    <col min="11523" max="11523" width="16.5" style="194" customWidth="1"/>
    <col min="11524" max="11524" width="17" style="194" customWidth="1"/>
    <col min="11525" max="11525" width="15" style="194" customWidth="1"/>
    <col min="11526" max="11526" width="15.1640625" style="194" bestFit="1" customWidth="1"/>
    <col min="11527" max="11528" width="16.5" style="194" customWidth="1"/>
    <col min="11529" max="11530" width="20.83203125" style="194" bestFit="1" customWidth="1"/>
    <col min="11531" max="11632" width="10.1640625" style="194"/>
    <col min="11633" max="11633" width="69.1640625" style="194" bestFit="1" customWidth="1"/>
    <col min="11634" max="11634" width="15.5" style="194" customWidth="1"/>
    <col min="11635" max="11636" width="18.1640625" style="194" customWidth="1"/>
    <col min="11637" max="11637" width="16.5" style="194" bestFit="1" customWidth="1"/>
    <col min="11638" max="11638" width="17.5" style="194" bestFit="1" customWidth="1"/>
    <col min="11639" max="11639" width="13.83203125" style="194" bestFit="1" customWidth="1"/>
    <col min="11640" max="11640" width="17.5" style="194" bestFit="1" customWidth="1"/>
    <col min="11641" max="11641" width="13.83203125" style="194" bestFit="1" customWidth="1"/>
    <col min="11642" max="11642" width="17.5" style="194" bestFit="1" customWidth="1"/>
    <col min="11643" max="11643" width="14.1640625" style="194" bestFit="1" customWidth="1"/>
    <col min="11644" max="11766" width="10.1640625" style="194"/>
    <col min="11767" max="11767" width="71.1640625" style="194" customWidth="1"/>
    <col min="11768" max="11773" width="5.1640625" style="194" customWidth="1"/>
    <col min="11774" max="11774" width="32" style="194" bestFit="1" customWidth="1"/>
    <col min="11775" max="11775" width="12.5" style="194" customWidth="1"/>
    <col min="11776" max="11776" width="14.83203125" style="194" customWidth="1"/>
    <col min="11777" max="11777" width="18.1640625" style="194" customWidth="1"/>
    <col min="11778" max="11778" width="20.83203125" style="194" customWidth="1"/>
    <col min="11779" max="11779" width="16.5" style="194" customWidth="1"/>
    <col min="11780" max="11780" width="17" style="194" customWidth="1"/>
    <col min="11781" max="11781" width="15" style="194" customWidth="1"/>
    <col min="11782" max="11782" width="15.1640625" style="194" bestFit="1" customWidth="1"/>
    <col min="11783" max="11784" width="16.5" style="194" customWidth="1"/>
    <col min="11785" max="11786" width="20.83203125" style="194" bestFit="1" customWidth="1"/>
    <col min="11787" max="11888" width="10.1640625" style="194"/>
    <col min="11889" max="11889" width="69.1640625" style="194" bestFit="1" customWidth="1"/>
    <col min="11890" max="11890" width="15.5" style="194" customWidth="1"/>
    <col min="11891" max="11892" width="18.1640625" style="194" customWidth="1"/>
    <col min="11893" max="11893" width="16.5" style="194" bestFit="1" customWidth="1"/>
    <col min="11894" max="11894" width="17.5" style="194" bestFit="1" customWidth="1"/>
    <col min="11895" max="11895" width="13.83203125" style="194" bestFit="1" customWidth="1"/>
    <col min="11896" max="11896" width="17.5" style="194" bestFit="1" customWidth="1"/>
    <col min="11897" max="11897" width="13.83203125" style="194" bestFit="1" customWidth="1"/>
    <col min="11898" max="11898" width="17.5" style="194" bestFit="1" customWidth="1"/>
    <col min="11899" max="11899" width="14.1640625" style="194" bestFit="1" customWidth="1"/>
    <col min="11900" max="12022" width="10.1640625" style="194"/>
    <col min="12023" max="12023" width="71.1640625" style="194" customWidth="1"/>
    <col min="12024" max="12029" width="5.1640625" style="194" customWidth="1"/>
    <col min="12030" max="12030" width="32" style="194" bestFit="1" customWidth="1"/>
    <col min="12031" max="12031" width="12.5" style="194" customWidth="1"/>
    <col min="12032" max="12032" width="14.83203125" style="194" customWidth="1"/>
    <col min="12033" max="12033" width="18.1640625" style="194" customWidth="1"/>
    <col min="12034" max="12034" width="20.83203125" style="194" customWidth="1"/>
    <col min="12035" max="12035" width="16.5" style="194" customWidth="1"/>
    <col min="12036" max="12036" width="17" style="194" customWidth="1"/>
    <col min="12037" max="12037" width="15" style="194" customWidth="1"/>
    <col min="12038" max="12038" width="15.1640625" style="194" bestFit="1" customWidth="1"/>
    <col min="12039" max="12040" width="16.5" style="194" customWidth="1"/>
    <col min="12041" max="12042" width="20.83203125" style="194" bestFit="1" customWidth="1"/>
    <col min="12043" max="12144" width="10.1640625" style="194"/>
    <col min="12145" max="12145" width="69.1640625" style="194" bestFit="1" customWidth="1"/>
    <col min="12146" max="12146" width="15.5" style="194" customWidth="1"/>
    <col min="12147" max="12148" width="18.1640625" style="194" customWidth="1"/>
    <col min="12149" max="12149" width="16.5" style="194" bestFit="1" customWidth="1"/>
    <col min="12150" max="12150" width="17.5" style="194" bestFit="1" customWidth="1"/>
    <col min="12151" max="12151" width="13.83203125" style="194" bestFit="1" customWidth="1"/>
    <col min="12152" max="12152" width="17.5" style="194" bestFit="1" customWidth="1"/>
    <col min="12153" max="12153" width="13.83203125" style="194" bestFit="1" customWidth="1"/>
    <col min="12154" max="12154" width="17.5" style="194" bestFit="1" customWidth="1"/>
    <col min="12155" max="12155" width="14.1640625" style="194" bestFit="1" customWidth="1"/>
    <col min="12156" max="12278" width="10.1640625" style="194"/>
    <col min="12279" max="12279" width="71.1640625" style="194" customWidth="1"/>
    <col min="12280" max="12285" width="5.1640625" style="194" customWidth="1"/>
    <col min="12286" max="12286" width="32" style="194" bestFit="1" customWidth="1"/>
    <col min="12287" max="12287" width="12.5" style="194" customWidth="1"/>
    <col min="12288" max="12288" width="14.83203125" style="194" customWidth="1"/>
    <col min="12289" max="12289" width="18.1640625" style="194" customWidth="1"/>
    <col min="12290" max="12290" width="20.83203125" style="194" customWidth="1"/>
    <col min="12291" max="12291" width="16.5" style="194" customWidth="1"/>
    <col min="12292" max="12292" width="17" style="194" customWidth="1"/>
    <col min="12293" max="12293" width="15" style="194" customWidth="1"/>
    <col min="12294" max="12294" width="15.1640625" style="194" bestFit="1" customWidth="1"/>
    <col min="12295" max="12296" width="16.5" style="194" customWidth="1"/>
    <col min="12297" max="12298" width="20.83203125" style="194" bestFit="1" customWidth="1"/>
    <col min="12299" max="12400" width="10.1640625" style="194"/>
    <col min="12401" max="12401" width="69.1640625" style="194" bestFit="1" customWidth="1"/>
    <col min="12402" max="12402" width="15.5" style="194" customWidth="1"/>
    <col min="12403" max="12404" width="18.1640625" style="194" customWidth="1"/>
    <col min="12405" max="12405" width="16.5" style="194" bestFit="1" customWidth="1"/>
    <col min="12406" max="12406" width="17.5" style="194" bestFit="1" customWidth="1"/>
    <col min="12407" max="12407" width="13.83203125" style="194" bestFit="1" customWidth="1"/>
    <col min="12408" max="12408" width="17.5" style="194" bestFit="1" customWidth="1"/>
    <col min="12409" max="12409" width="13.83203125" style="194" bestFit="1" customWidth="1"/>
    <col min="12410" max="12410" width="17.5" style="194" bestFit="1" customWidth="1"/>
    <col min="12411" max="12411" width="14.1640625" style="194" bestFit="1" customWidth="1"/>
    <col min="12412" max="12534" width="10.1640625" style="194"/>
    <col min="12535" max="12535" width="71.1640625" style="194" customWidth="1"/>
    <col min="12536" max="12541" width="5.1640625" style="194" customWidth="1"/>
    <col min="12542" max="12542" width="32" style="194" bestFit="1" customWidth="1"/>
    <col min="12543" max="12543" width="12.5" style="194" customWidth="1"/>
    <col min="12544" max="12544" width="14.83203125" style="194" customWidth="1"/>
    <col min="12545" max="12545" width="18.1640625" style="194" customWidth="1"/>
    <col min="12546" max="12546" width="20.83203125" style="194" customWidth="1"/>
    <col min="12547" max="12547" width="16.5" style="194" customWidth="1"/>
    <col min="12548" max="12548" width="17" style="194" customWidth="1"/>
    <col min="12549" max="12549" width="15" style="194" customWidth="1"/>
    <col min="12550" max="12550" width="15.1640625" style="194" bestFit="1" customWidth="1"/>
    <col min="12551" max="12552" width="16.5" style="194" customWidth="1"/>
    <col min="12553" max="12554" width="20.83203125" style="194" bestFit="1" customWidth="1"/>
    <col min="12555" max="12656" width="10.1640625" style="194"/>
    <col min="12657" max="12657" width="69.1640625" style="194" bestFit="1" customWidth="1"/>
    <col min="12658" max="12658" width="15.5" style="194" customWidth="1"/>
    <col min="12659" max="12660" width="18.1640625" style="194" customWidth="1"/>
    <col min="12661" max="12661" width="16.5" style="194" bestFit="1" customWidth="1"/>
    <col min="12662" max="12662" width="17.5" style="194" bestFit="1" customWidth="1"/>
    <col min="12663" max="12663" width="13.83203125" style="194" bestFit="1" customWidth="1"/>
    <col min="12664" max="12664" width="17.5" style="194" bestFit="1" customWidth="1"/>
    <col min="12665" max="12665" width="13.83203125" style="194" bestFit="1" customWidth="1"/>
    <col min="12666" max="12666" width="17.5" style="194" bestFit="1" customWidth="1"/>
    <col min="12667" max="12667" width="14.1640625" style="194" bestFit="1" customWidth="1"/>
    <col min="12668" max="12790" width="10.1640625" style="194"/>
    <col min="12791" max="12791" width="71.1640625" style="194" customWidth="1"/>
    <col min="12792" max="12797" width="5.1640625" style="194" customWidth="1"/>
    <col min="12798" max="12798" width="32" style="194" bestFit="1" customWidth="1"/>
    <col min="12799" max="12799" width="12.5" style="194" customWidth="1"/>
    <col min="12800" max="12800" width="14.83203125" style="194" customWidth="1"/>
    <col min="12801" max="12801" width="18.1640625" style="194" customWidth="1"/>
    <col min="12802" max="12802" width="20.83203125" style="194" customWidth="1"/>
    <col min="12803" max="12803" width="16.5" style="194" customWidth="1"/>
    <col min="12804" max="12804" width="17" style="194" customWidth="1"/>
    <col min="12805" max="12805" width="15" style="194" customWidth="1"/>
    <col min="12806" max="12806" width="15.1640625" style="194" bestFit="1" customWidth="1"/>
    <col min="12807" max="12808" width="16.5" style="194" customWidth="1"/>
    <col min="12809" max="12810" width="20.83203125" style="194" bestFit="1" customWidth="1"/>
    <col min="12811" max="12912" width="10.1640625" style="194"/>
    <col min="12913" max="12913" width="69.1640625" style="194" bestFit="1" customWidth="1"/>
    <col min="12914" max="12914" width="15.5" style="194" customWidth="1"/>
    <col min="12915" max="12916" width="18.1640625" style="194" customWidth="1"/>
    <col min="12917" max="12917" width="16.5" style="194" bestFit="1" customWidth="1"/>
    <col min="12918" max="12918" width="17.5" style="194" bestFit="1" customWidth="1"/>
    <col min="12919" max="12919" width="13.83203125" style="194" bestFit="1" customWidth="1"/>
    <col min="12920" max="12920" width="17.5" style="194" bestFit="1" customWidth="1"/>
    <col min="12921" max="12921" width="13.83203125" style="194" bestFit="1" customWidth="1"/>
    <col min="12922" max="12922" width="17.5" style="194" bestFit="1" customWidth="1"/>
    <col min="12923" max="12923" width="14.1640625" style="194" bestFit="1" customWidth="1"/>
    <col min="12924" max="13046" width="10.1640625" style="194"/>
    <col min="13047" max="13047" width="71.1640625" style="194" customWidth="1"/>
    <col min="13048" max="13053" width="5.1640625" style="194" customWidth="1"/>
    <col min="13054" max="13054" width="32" style="194" bestFit="1" customWidth="1"/>
    <col min="13055" max="13055" width="12.5" style="194" customWidth="1"/>
    <col min="13056" max="13056" width="14.83203125" style="194" customWidth="1"/>
    <col min="13057" max="13057" width="18.1640625" style="194" customWidth="1"/>
    <col min="13058" max="13058" width="20.83203125" style="194" customWidth="1"/>
    <col min="13059" max="13059" width="16.5" style="194" customWidth="1"/>
    <col min="13060" max="13060" width="17" style="194" customWidth="1"/>
    <col min="13061" max="13061" width="15" style="194" customWidth="1"/>
    <col min="13062" max="13062" width="15.1640625" style="194" bestFit="1" customWidth="1"/>
    <col min="13063" max="13064" width="16.5" style="194" customWidth="1"/>
    <col min="13065" max="13066" width="20.83203125" style="194" bestFit="1" customWidth="1"/>
    <col min="13067" max="13168" width="10.1640625" style="194"/>
    <col min="13169" max="13169" width="69.1640625" style="194" bestFit="1" customWidth="1"/>
    <col min="13170" max="13170" width="15.5" style="194" customWidth="1"/>
    <col min="13171" max="13172" width="18.1640625" style="194" customWidth="1"/>
    <col min="13173" max="13173" width="16.5" style="194" bestFit="1" customWidth="1"/>
    <col min="13174" max="13174" width="17.5" style="194" bestFit="1" customWidth="1"/>
    <col min="13175" max="13175" width="13.83203125" style="194" bestFit="1" customWidth="1"/>
    <col min="13176" max="13176" width="17.5" style="194" bestFit="1" customWidth="1"/>
    <col min="13177" max="13177" width="13.83203125" style="194" bestFit="1" customWidth="1"/>
    <col min="13178" max="13178" width="17.5" style="194" bestFit="1" customWidth="1"/>
    <col min="13179" max="13179" width="14.1640625" style="194" bestFit="1" customWidth="1"/>
    <col min="13180" max="13302" width="10.1640625" style="194"/>
    <col min="13303" max="13303" width="71.1640625" style="194" customWidth="1"/>
    <col min="13304" max="13309" width="5.1640625" style="194" customWidth="1"/>
    <col min="13310" max="13310" width="32" style="194" bestFit="1" customWidth="1"/>
    <col min="13311" max="13311" width="12.5" style="194" customWidth="1"/>
    <col min="13312" max="13312" width="14.83203125" style="194" customWidth="1"/>
    <col min="13313" max="13313" width="18.1640625" style="194" customWidth="1"/>
    <col min="13314" max="13314" width="20.83203125" style="194" customWidth="1"/>
    <col min="13315" max="13315" width="16.5" style="194" customWidth="1"/>
    <col min="13316" max="13316" width="17" style="194" customWidth="1"/>
    <col min="13317" max="13317" width="15" style="194" customWidth="1"/>
    <col min="13318" max="13318" width="15.1640625" style="194" bestFit="1" customWidth="1"/>
    <col min="13319" max="13320" width="16.5" style="194" customWidth="1"/>
    <col min="13321" max="13322" width="20.83203125" style="194" bestFit="1" customWidth="1"/>
    <col min="13323" max="13424" width="10.1640625" style="194"/>
    <col min="13425" max="13425" width="69.1640625" style="194" bestFit="1" customWidth="1"/>
    <col min="13426" max="13426" width="15.5" style="194" customWidth="1"/>
    <col min="13427" max="13428" width="18.1640625" style="194" customWidth="1"/>
    <col min="13429" max="13429" width="16.5" style="194" bestFit="1" customWidth="1"/>
    <col min="13430" max="13430" width="17.5" style="194" bestFit="1" customWidth="1"/>
    <col min="13431" max="13431" width="13.83203125" style="194" bestFit="1" customWidth="1"/>
    <col min="13432" max="13432" width="17.5" style="194" bestFit="1" customWidth="1"/>
    <col min="13433" max="13433" width="13.83203125" style="194" bestFit="1" customWidth="1"/>
    <col min="13434" max="13434" width="17.5" style="194" bestFit="1" customWidth="1"/>
    <col min="13435" max="13435" width="14.1640625" style="194" bestFit="1" customWidth="1"/>
    <col min="13436" max="13558" width="10.1640625" style="194"/>
    <col min="13559" max="13559" width="71.1640625" style="194" customWidth="1"/>
    <col min="13560" max="13565" width="5.1640625" style="194" customWidth="1"/>
    <col min="13566" max="13566" width="32" style="194" bestFit="1" customWidth="1"/>
    <col min="13567" max="13567" width="12.5" style="194" customWidth="1"/>
    <col min="13568" max="13568" width="14.83203125" style="194" customWidth="1"/>
    <col min="13569" max="13569" width="18.1640625" style="194" customWidth="1"/>
    <col min="13570" max="13570" width="20.83203125" style="194" customWidth="1"/>
    <col min="13571" max="13571" width="16.5" style="194" customWidth="1"/>
    <col min="13572" max="13572" width="17" style="194" customWidth="1"/>
    <col min="13573" max="13573" width="15" style="194" customWidth="1"/>
    <col min="13574" max="13574" width="15.1640625" style="194" bestFit="1" customWidth="1"/>
    <col min="13575" max="13576" width="16.5" style="194" customWidth="1"/>
    <col min="13577" max="13578" width="20.83203125" style="194" bestFit="1" customWidth="1"/>
    <col min="13579" max="13680" width="10.1640625" style="194"/>
    <col min="13681" max="13681" width="69.1640625" style="194" bestFit="1" customWidth="1"/>
    <col min="13682" max="13682" width="15.5" style="194" customWidth="1"/>
    <col min="13683" max="13684" width="18.1640625" style="194" customWidth="1"/>
    <col min="13685" max="13685" width="16.5" style="194" bestFit="1" customWidth="1"/>
    <col min="13686" max="13686" width="17.5" style="194" bestFit="1" customWidth="1"/>
    <col min="13687" max="13687" width="13.83203125" style="194" bestFit="1" customWidth="1"/>
    <col min="13688" max="13688" width="17.5" style="194" bestFit="1" customWidth="1"/>
    <col min="13689" max="13689" width="13.83203125" style="194" bestFit="1" customWidth="1"/>
    <col min="13690" max="13690" width="17.5" style="194" bestFit="1" customWidth="1"/>
    <col min="13691" max="13691" width="14.1640625" style="194" bestFit="1" customWidth="1"/>
    <col min="13692" max="13814" width="10.1640625" style="194"/>
    <col min="13815" max="13815" width="71.1640625" style="194" customWidth="1"/>
    <col min="13816" max="13821" width="5.1640625" style="194" customWidth="1"/>
    <col min="13822" max="13822" width="32" style="194" bestFit="1" customWidth="1"/>
    <col min="13823" max="13823" width="12.5" style="194" customWidth="1"/>
    <col min="13824" max="13824" width="14.83203125" style="194" customWidth="1"/>
    <col min="13825" max="13825" width="18.1640625" style="194" customWidth="1"/>
    <col min="13826" max="13826" width="20.83203125" style="194" customWidth="1"/>
    <col min="13827" max="13827" width="16.5" style="194" customWidth="1"/>
    <col min="13828" max="13828" width="17" style="194" customWidth="1"/>
    <col min="13829" max="13829" width="15" style="194" customWidth="1"/>
    <col min="13830" max="13830" width="15.1640625" style="194" bestFit="1" customWidth="1"/>
    <col min="13831" max="13832" width="16.5" style="194" customWidth="1"/>
    <col min="13833" max="13834" width="20.83203125" style="194" bestFit="1" customWidth="1"/>
    <col min="13835" max="13936" width="10.1640625" style="194"/>
    <col min="13937" max="13937" width="69.1640625" style="194" bestFit="1" customWidth="1"/>
    <col min="13938" max="13938" width="15.5" style="194" customWidth="1"/>
    <col min="13939" max="13940" width="18.1640625" style="194" customWidth="1"/>
    <col min="13941" max="13941" width="16.5" style="194" bestFit="1" customWidth="1"/>
    <col min="13942" max="13942" width="17.5" style="194" bestFit="1" customWidth="1"/>
    <col min="13943" max="13943" width="13.83203125" style="194" bestFit="1" customWidth="1"/>
    <col min="13944" max="13944" width="17.5" style="194" bestFit="1" customWidth="1"/>
    <col min="13945" max="13945" width="13.83203125" style="194" bestFit="1" customWidth="1"/>
    <col min="13946" max="13946" width="17.5" style="194" bestFit="1" customWidth="1"/>
    <col min="13947" max="13947" width="14.1640625" style="194" bestFit="1" customWidth="1"/>
    <col min="13948" max="14070" width="10.1640625" style="194"/>
    <col min="14071" max="14071" width="71.1640625" style="194" customWidth="1"/>
    <col min="14072" max="14077" width="5.1640625" style="194" customWidth="1"/>
    <col min="14078" max="14078" width="32" style="194" bestFit="1" customWidth="1"/>
    <col min="14079" max="14079" width="12.5" style="194" customWidth="1"/>
    <col min="14080" max="14080" width="14.83203125" style="194" customWidth="1"/>
    <col min="14081" max="14081" width="18.1640625" style="194" customWidth="1"/>
    <col min="14082" max="14082" width="20.83203125" style="194" customWidth="1"/>
    <col min="14083" max="14083" width="16.5" style="194" customWidth="1"/>
    <col min="14084" max="14084" width="17" style="194" customWidth="1"/>
    <col min="14085" max="14085" width="15" style="194" customWidth="1"/>
    <col min="14086" max="14086" width="15.1640625" style="194" bestFit="1" customWidth="1"/>
    <col min="14087" max="14088" width="16.5" style="194" customWidth="1"/>
    <col min="14089" max="14090" width="20.83203125" style="194" bestFit="1" customWidth="1"/>
    <col min="14091" max="14192" width="10.1640625" style="194"/>
    <col min="14193" max="14193" width="69.1640625" style="194" bestFit="1" customWidth="1"/>
    <col min="14194" max="14194" width="15.5" style="194" customWidth="1"/>
    <col min="14195" max="14196" width="18.1640625" style="194" customWidth="1"/>
    <col min="14197" max="14197" width="16.5" style="194" bestFit="1" customWidth="1"/>
    <col min="14198" max="14198" width="17.5" style="194" bestFit="1" customWidth="1"/>
    <col min="14199" max="14199" width="13.83203125" style="194" bestFit="1" customWidth="1"/>
    <col min="14200" max="14200" width="17.5" style="194" bestFit="1" customWidth="1"/>
    <col min="14201" max="14201" width="13.83203125" style="194" bestFit="1" customWidth="1"/>
    <col min="14202" max="14202" width="17.5" style="194" bestFit="1" customWidth="1"/>
    <col min="14203" max="14203" width="14.1640625" style="194" bestFit="1" customWidth="1"/>
    <col min="14204" max="14326" width="10.1640625" style="194"/>
    <col min="14327" max="14327" width="71.1640625" style="194" customWidth="1"/>
    <col min="14328" max="14333" width="5.1640625" style="194" customWidth="1"/>
    <col min="14334" max="14334" width="32" style="194" bestFit="1" customWidth="1"/>
    <col min="14335" max="14335" width="12.5" style="194" customWidth="1"/>
    <col min="14336" max="14336" width="14.83203125" style="194" customWidth="1"/>
    <col min="14337" max="14337" width="18.1640625" style="194" customWidth="1"/>
    <col min="14338" max="14338" width="20.83203125" style="194" customWidth="1"/>
    <col min="14339" max="14339" width="16.5" style="194" customWidth="1"/>
    <col min="14340" max="14340" width="17" style="194" customWidth="1"/>
    <col min="14341" max="14341" width="15" style="194" customWidth="1"/>
    <col min="14342" max="14342" width="15.1640625" style="194" bestFit="1" customWidth="1"/>
    <col min="14343" max="14344" width="16.5" style="194" customWidth="1"/>
    <col min="14345" max="14346" width="20.83203125" style="194" bestFit="1" customWidth="1"/>
    <col min="14347" max="14448" width="10.1640625" style="194"/>
    <col min="14449" max="14449" width="69.1640625" style="194" bestFit="1" customWidth="1"/>
    <col min="14450" max="14450" width="15.5" style="194" customWidth="1"/>
    <col min="14451" max="14452" width="18.1640625" style="194" customWidth="1"/>
    <col min="14453" max="14453" width="16.5" style="194" bestFit="1" customWidth="1"/>
    <col min="14454" max="14454" width="17.5" style="194" bestFit="1" customWidth="1"/>
    <col min="14455" max="14455" width="13.83203125" style="194" bestFit="1" customWidth="1"/>
    <col min="14456" max="14456" width="17.5" style="194" bestFit="1" customWidth="1"/>
    <col min="14457" max="14457" width="13.83203125" style="194" bestFit="1" customWidth="1"/>
    <col min="14458" max="14458" width="17.5" style="194" bestFit="1" customWidth="1"/>
    <col min="14459" max="14459" width="14.1640625" style="194" bestFit="1" customWidth="1"/>
    <col min="14460" max="14582" width="10.1640625" style="194"/>
    <col min="14583" max="14583" width="71.1640625" style="194" customWidth="1"/>
    <col min="14584" max="14589" width="5.1640625" style="194" customWidth="1"/>
    <col min="14590" max="14590" width="32" style="194" bestFit="1" customWidth="1"/>
    <col min="14591" max="14591" width="12.5" style="194" customWidth="1"/>
    <col min="14592" max="14592" width="14.83203125" style="194" customWidth="1"/>
    <col min="14593" max="14593" width="18.1640625" style="194" customWidth="1"/>
    <col min="14594" max="14594" width="20.83203125" style="194" customWidth="1"/>
    <col min="14595" max="14595" width="16.5" style="194" customWidth="1"/>
    <col min="14596" max="14596" width="17" style="194" customWidth="1"/>
    <col min="14597" max="14597" width="15" style="194" customWidth="1"/>
    <col min="14598" max="14598" width="15.1640625" style="194" bestFit="1" customWidth="1"/>
    <col min="14599" max="14600" width="16.5" style="194" customWidth="1"/>
    <col min="14601" max="14602" width="20.83203125" style="194" bestFit="1" customWidth="1"/>
    <col min="14603" max="14704" width="10.1640625" style="194"/>
    <col min="14705" max="14705" width="69.1640625" style="194" bestFit="1" customWidth="1"/>
    <col min="14706" max="14706" width="15.5" style="194" customWidth="1"/>
    <col min="14707" max="14708" width="18.1640625" style="194" customWidth="1"/>
    <col min="14709" max="14709" width="16.5" style="194" bestFit="1" customWidth="1"/>
    <col min="14710" max="14710" width="17.5" style="194" bestFit="1" customWidth="1"/>
    <col min="14711" max="14711" width="13.83203125" style="194" bestFit="1" customWidth="1"/>
    <col min="14712" max="14712" width="17.5" style="194" bestFit="1" customWidth="1"/>
    <col min="14713" max="14713" width="13.83203125" style="194" bestFit="1" customWidth="1"/>
    <col min="14714" max="14714" width="17.5" style="194" bestFit="1" customWidth="1"/>
    <col min="14715" max="14715" width="14.1640625" style="194" bestFit="1" customWidth="1"/>
    <col min="14716" max="14838" width="10.1640625" style="194"/>
    <col min="14839" max="14839" width="71.1640625" style="194" customWidth="1"/>
    <col min="14840" max="14845" width="5.1640625" style="194" customWidth="1"/>
    <col min="14846" max="14846" width="32" style="194" bestFit="1" customWidth="1"/>
    <col min="14847" max="14847" width="12.5" style="194" customWidth="1"/>
    <col min="14848" max="14848" width="14.83203125" style="194" customWidth="1"/>
    <col min="14849" max="14849" width="18.1640625" style="194" customWidth="1"/>
    <col min="14850" max="14850" width="20.83203125" style="194" customWidth="1"/>
    <col min="14851" max="14851" width="16.5" style="194" customWidth="1"/>
    <col min="14852" max="14852" width="17" style="194" customWidth="1"/>
    <col min="14853" max="14853" width="15" style="194" customWidth="1"/>
    <col min="14854" max="14854" width="15.1640625" style="194" bestFit="1" customWidth="1"/>
    <col min="14855" max="14856" width="16.5" style="194" customWidth="1"/>
    <col min="14857" max="14858" width="20.83203125" style="194" bestFit="1" customWidth="1"/>
    <col min="14859" max="14960" width="10.1640625" style="194"/>
    <col min="14961" max="14961" width="69.1640625" style="194" bestFit="1" customWidth="1"/>
    <col min="14962" max="14962" width="15.5" style="194" customWidth="1"/>
    <col min="14963" max="14964" width="18.1640625" style="194" customWidth="1"/>
    <col min="14965" max="14965" width="16.5" style="194" bestFit="1" customWidth="1"/>
    <col min="14966" max="14966" width="17.5" style="194" bestFit="1" customWidth="1"/>
    <col min="14967" max="14967" width="13.83203125" style="194" bestFit="1" customWidth="1"/>
    <col min="14968" max="14968" width="17.5" style="194" bestFit="1" customWidth="1"/>
    <col min="14969" max="14969" width="13.83203125" style="194" bestFit="1" customWidth="1"/>
    <col min="14970" max="14970" width="17.5" style="194" bestFit="1" customWidth="1"/>
    <col min="14971" max="14971" width="14.1640625" style="194" bestFit="1" customWidth="1"/>
    <col min="14972" max="15094" width="10.1640625" style="194"/>
    <col min="15095" max="15095" width="71.1640625" style="194" customWidth="1"/>
    <col min="15096" max="15101" width="5.1640625" style="194" customWidth="1"/>
    <col min="15102" max="15102" width="32" style="194" bestFit="1" customWidth="1"/>
    <col min="15103" max="15103" width="12.5" style="194" customWidth="1"/>
    <col min="15104" max="15104" width="14.83203125" style="194" customWidth="1"/>
    <col min="15105" max="15105" width="18.1640625" style="194" customWidth="1"/>
    <col min="15106" max="15106" width="20.83203125" style="194" customWidth="1"/>
    <col min="15107" max="15107" width="16.5" style="194" customWidth="1"/>
    <col min="15108" max="15108" width="17" style="194" customWidth="1"/>
    <col min="15109" max="15109" width="15" style="194" customWidth="1"/>
    <col min="15110" max="15110" width="15.1640625" style="194" bestFit="1" customWidth="1"/>
    <col min="15111" max="15112" width="16.5" style="194" customWidth="1"/>
    <col min="15113" max="15114" width="20.83203125" style="194" bestFit="1" customWidth="1"/>
    <col min="15115" max="15216" width="10.1640625" style="194"/>
    <col min="15217" max="15217" width="69.1640625" style="194" bestFit="1" customWidth="1"/>
    <col min="15218" max="15218" width="15.5" style="194" customWidth="1"/>
    <col min="15219" max="15220" width="18.1640625" style="194" customWidth="1"/>
    <col min="15221" max="15221" width="16.5" style="194" bestFit="1" customWidth="1"/>
    <col min="15222" max="15222" width="17.5" style="194" bestFit="1" customWidth="1"/>
    <col min="15223" max="15223" width="13.83203125" style="194" bestFit="1" customWidth="1"/>
    <col min="15224" max="15224" width="17.5" style="194" bestFit="1" customWidth="1"/>
    <col min="15225" max="15225" width="13.83203125" style="194" bestFit="1" customWidth="1"/>
    <col min="15226" max="15226" width="17.5" style="194" bestFit="1" customWidth="1"/>
    <col min="15227" max="15227" width="14.1640625" style="194" bestFit="1" customWidth="1"/>
    <col min="15228" max="15350" width="10.1640625" style="194"/>
    <col min="15351" max="15351" width="71.1640625" style="194" customWidth="1"/>
    <col min="15352" max="15357" width="5.1640625" style="194" customWidth="1"/>
    <col min="15358" max="15358" width="32" style="194" bestFit="1" customWidth="1"/>
    <col min="15359" max="15359" width="12.5" style="194" customWidth="1"/>
    <col min="15360" max="15360" width="14.83203125" style="194" customWidth="1"/>
    <col min="15361" max="15361" width="18.1640625" style="194" customWidth="1"/>
    <col min="15362" max="15362" width="20.83203125" style="194" customWidth="1"/>
    <col min="15363" max="15363" width="16.5" style="194" customWidth="1"/>
    <col min="15364" max="15364" width="17" style="194" customWidth="1"/>
    <col min="15365" max="15365" width="15" style="194" customWidth="1"/>
    <col min="15366" max="15366" width="15.1640625" style="194" bestFit="1" customWidth="1"/>
    <col min="15367" max="15368" width="16.5" style="194" customWidth="1"/>
    <col min="15369" max="15370" width="20.83203125" style="194" bestFit="1" customWidth="1"/>
    <col min="15371" max="15472" width="10.1640625" style="194"/>
    <col min="15473" max="15473" width="69.1640625" style="194" bestFit="1" customWidth="1"/>
    <col min="15474" max="15474" width="15.5" style="194" customWidth="1"/>
    <col min="15475" max="15476" width="18.1640625" style="194" customWidth="1"/>
    <col min="15477" max="15477" width="16.5" style="194" bestFit="1" customWidth="1"/>
    <col min="15478" max="15478" width="17.5" style="194" bestFit="1" customWidth="1"/>
    <col min="15479" max="15479" width="13.83203125" style="194" bestFit="1" customWidth="1"/>
    <col min="15480" max="15480" width="17.5" style="194" bestFit="1" customWidth="1"/>
    <col min="15481" max="15481" width="13.83203125" style="194" bestFit="1" customWidth="1"/>
    <col min="15482" max="15482" width="17.5" style="194" bestFit="1" customWidth="1"/>
    <col min="15483" max="15483" width="14.1640625" style="194" bestFit="1" customWidth="1"/>
    <col min="15484" max="15606" width="10.1640625" style="194"/>
    <col min="15607" max="15607" width="71.1640625" style="194" customWidth="1"/>
    <col min="15608" max="15613" width="5.1640625" style="194" customWidth="1"/>
    <col min="15614" max="15614" width="32" style="194" bestFit="1" customWidth="1"/>
    <col min="15615" max="15615" width="12.5" style="194" customWidth="1"/>
    <col min="15616" max="15616" width="14.83203125" style="194" customWidth="1"/>
    <col min="15617" max="15617" width="18.1640625" style="194" customWidth="1"/>
    <col min="15618" max="15618" width="20.83203125" style="194" customWidth="1"/>
    <col min="15619" max="15619" width="16.5" style="194" customWidth="1"/>
    <col min="15620" max="15620" width="17" style="194" customWidth="1"/>
    <col min="15621" max="15621" width="15" style="194" customWidth="1"/>
    <col min="15622" max="15622" width="15.1640625" style="194" bestFit="1" customWidth="1"/>
    <col min="15623" max="15624" width="16.5" style="194" customWidth="1"/>
    <col min="15625" max="15626" width="20.83203125" style="194" bestFit="1" customWidth="1"/>
    <col min="15627" max="15728" width="10.1640625" style="194"/>
    <col min="15729" max="15729" width="69.1640625" style="194" bestFit="1" customWidth="1"/>
    <col min="15730" max="15730" width="15.5" style="194" customWidth="1"/>
    <col min="15731" max="15732" width="18.1640625" style="194" customWidth="1"/>
    <col min="15733" max="15733" width="16.5" style="194" bestFit="1" customWidth="1"/>
    <col min="15734" max="15734" width="17.5" style="194" bestFit="1" customWidth="1"/>
    <col min="15735" max="15735" width="13.83203125" style="194" bestFit="1" customWidth="1"/>
    <col min="15736" max="15736" width="17.5" style="194" bestFit="1" customWidth="1"/>
    <col min="15737" max="15737" width="13.83203125" style="194" bestFit="1" customWidth="1"/>
    <col min="15738" max="15738" width="17.5" style="194" bestFit="1" customWidth="1"/>
    <col min="15739" max="15739" width="14.1640625" style="194" bestFit="1" customWidth="1"/>
    <col min="15740" max="15862" width="10.1640625" style="194"/>
    <col min="15863" max="15863" width="71.1640625" style="194" customWidth="1"/>
    <col min="15864" max="15869" width="5.1640625" style="194" customWidth="1"/>
    <col min="15870" max="15870" width="32" style="194" bestFit="1" customWidth="1"/>
    <col min="15871" max="15871" width="12.5" style="194" customWidth="1"/>
    <col min="15872" max="15872" width="14.83203125" style="194" customWidth="1"/>
    <col min="15873" max="15873" width="18.1640625" style="194" customWidth="1"/>
    <col min="15874" max="15874" width="20.83203125" style="194" customWidth="1"/>
    <col min="15875" max="15875" width="16.5" style="194" customWidth="1"/>
    <col min="15876" max="15876" width="17" style="194" customWidth="1"/>
    <col min="15877" max="15877" width="15" style="194" customWidth="1"/>
    <col min="15878" max="15878" width="15.1640625" style="194" bestFit="1" customWidth="1"/>
    <col min="15879" max="15880" width="16.5" style="194" customWidth="1"/>
    <col min="15881" max="15882" width="20.83203125" style="194" bestFit="1" customWidth="1"/>
    <col min="15883" max="15984" width="10.1640625" style="194"/>
    <col min="15985" max="15985" width="69.1640625" style="194" bestFit="1" customWidth="1"/>
    <col min="15986" max="15986" width="15.5" style="194" customWidth="1"/>
    <col min="15987" max="15988" width="18.1640625" style="194" customWidth="1"/>
    <col min="15989" max="15989" width="16.5" style="194" bestFit="1" customWidth="1"/>
    <col min="15990" max="15990" width="17.5" style="194" bestFit="1" customWidth="1"/>
    <col min="15991" max="15991" width="13.83203125" style="194" bestFit="1" customWidth="1"/>
    <col min="15992" max="15992" width="17.5" style="194" bestFit="1" customWidth="1"/>
    <col min="15993" max="15993" width="13.83203125" style="194" bestFit="1" customWidth="1"/>
    <col min="15994" max="15994" width="17.5" style="194" bestFit="1" customWidth="1"/>
    <col min="15995" max="15995" width="14.1640625" style="194" bestFit="1" customWidth="1"/>
    <col min="15996" max="16118" width="10.1640625" style="194"/>
    <col min="16119" max="16119" width="71.1640625" style="194" customWidth="1"/>
    <col min="16120" max="16125" width="5.1640625" style="194" customWidth="1"/>
    <col min="16126" max="16126" width="32" style="194" bestFit="1" customWidth="1"/>
    <col min="16127" max="16127" width="12.5" style="194" customWidth="1"/>
    <col min="16128" max="16128" width="14.83203125" style="194" customWidth="1"/>
    <col min="16129" max="16129" width="18.1640625" style="194" customWidth="1"/>
    <col min="16130" max="16130" width="20.83203125" style="194" customWidth="1"/>
    <col min="16131" max="16131" width="16.5" style="194" customWidth="1"/>
    <col min="16132" max="16132" width="17" style="194" customWidth="1"/>
    <col min="16133" max="16133" width="15" style="194" customWidth="1"/>
    <col min="16134" max="16134" width="15.1640625" style="194" bestFit="1" customWidth="1"/>
    <col min="16135" max="16136" width="16.5" style="194" customWidth="1"/>
    <col min="16137" max="16138" width="20.83203125" style="194" bestFit="1" customWidth="1"/>
    <col min="16139" max="16240" width="10.1640625" style="194"/>
    <col min="16241" max="16241" width="69.1640625" style="194" bestFit="1" customWidth="1"/>
    <col min="16242" max="16242" width="15.5" style="194" customWidth="1"/>
    <col min="16243" max="16244" width="18.1640625" style="194" customWidth="1"/>
    <col min="16245" max="16245" width="16.5" style="194" bestFit="1" customWidth="1"/>
    <col min="16246" max="16246" width="17.5" style="194" bestFit="1" customWidth="1"/>
    <col min="16247" max="16247" width="13.83203125" style="194" bestFit="1" customWidth="1"/>
    <col min="16248" max="16248" width="17.5" style="194" bestFit="1" customWidth="1"/>
    <col min="16249" max="16249" width="13.83203125" style="194" bestFit="1" customWidth="1"/>
    <col min="16250" max="16250" width="17.5" style="194" bestFit="1" customWidth="1"/>
    <col min="16251" max="16251" width="14.1640625" style="194" bestFit="1" customWidth="1"/>
    <col min="16252" max="16384" width="10.1640625" style="194"/>
  </cols>
  <sheetData>
    <row r="1" spans="1:10" ht="31.5" customHeight="1" x14ac:dyDescent="0.2">
      <c r="A1" s="812" t="s">
        <v>605</v>
      </c>
      <c r="B1" s="813"/>
      <c r="C1" s="813"/>
      <c r="D1" s="813"/>
      <c r="E1" s="813"/>
      <c r="F1" s="813"/>
      <c r="G1" s="813"/>
      <c r="H1" s="813"/>
      <c r="I1" s="813"/>
      <c r="J1" s="414"/>
    </row>
    <row r="2" spans="1:10" ht="6" customHeight="1" x14ac:dyDescent="0.2">
      <c r="A2" s="195"/>
      <c r="G2" s="79"/>
    </row>
    <row r="3" spans="1:10" ht="21" customHeight="1" x14ac:dyDescent="0.2">
      <c r="A3" s="803" t="s">
        <v>606</v>
      </c>
      <c r="B3" s="798" t="s">
        <v>266</v>
      </c>
      <c r="C3" s="798" t="s">
        <v>267</v>
      </c>
      <c r="D3" s="798" t="s">
        <v>268</v>
      </c>
      <c r="E3" s="798" t="s">
        <v>269</v>
      </c>
      <c r="F3" s="798" t="s">
        <v>270</v>
      </c>
      <c r="G3" s="799" t="s">
        <v>271</v>
      </c>
      <c r="H3" s="806" t="s">
        <v>565</v>
      </c>
      <c r="I3" s="814" t="s">
        <v>607</v>
      </c>
      <c r="J3" s="78">
        <v>15.7</v>
      </c>
    </row>
    <row r="4" spans="1:10" ht="21" customHeight="1" x14ac:dyDescent="0.2">
      <c r="A4" s="803"/>
      <c r="B4" s="798"/>
      <c r="C4" s="798"/>
      <c r="D4" s="798"/>
      <c r="E4" s="798"/>
      <c r="F4" s="798"/>
      <c r="G4" s="799"/>
      <c r="H4" s="807"/>
      <c r="I4" s="815"/>
      <c r="J4" s="200"/>
    </row>
    <row r="5" spans="1:10" ht="17" x14ac:dyDescent="0.2">
      <c r="A5" s="206" t="s">
        <v>608</v>
      </c>
      <c r="B5" s="207" t="s">
        <v>609</v>
      </c>
      <c r="C5" s="207">
        <v>6</v>
      </c>
      <c r="D5" s="207">
        <v>1</v>
      </c>
      <c r="E5" s="208">
        <v>25000</v>
      </c>
      <c r="F5" s="208">
        <f>C5*D5*E5</f>
        <v>150000</v>
      </c>
      <c r="G5" s="209">
        <f>F5/$J$3</f>
        <v>9554.1401273885349</v>
      </c>
      <c r="H5" s="217">
        <f>G5/C5*3</f>
        <v>4777.0700636942674</v>
      </c>
      <c r="I5" s="419">
        <f>G5/C5*4</f>
        <v>6369.4267515923566</v>
      </c>
      <c r="J5" s="200"/>
    </row>
    <row r="6" spans="1:10" ht="17" x14ac:dyDescent="0.2">
      <c r="A6" s="206" t="s">
        <v>610</v>
      </c>
      <c r="B6" s="207" t="s">
        <v>292</v>
      </c>
      <c r="C6" s="207">
        <v>2</v>
      </c>
      <c r="D6" s="207">
        <v>1</v>
      </c>
      <c r="E6" s="208">
        <v>60000</v>
      </c>
      <c r="F6" s="208">
        <f>C6*D6*E6</f>
        <v>120000</v>
      </c>
      <c r="G6" s="209">
        <f>F6/$J$3</f>
        <v>7643.3121019108285</v>
      </c>
      <c r="H6" s="217">
        <f>G6/C6*1</f>
        <v>3821.6560509554142</v>
      </c>
      <c r="I6" s="419">
        <f>G6/C6*1</f>
        <v>3821.6560509554142</v>
      </c>
      <c r="J6" s="200"/>
    </row>
    <row r="7" spans="1:10" x14ac:dyDescent="0.2">
      <c r="A7" s="206"/>
      <c r="B7" s="207"/>
      <c r="C7" s="207"/>
      <c r="D7" s="207"/>
      <c r="E7" s="208"/>
      <c r="F7" s="208">
        <f>C7*D7*E7</f>
        <v>0</v>
      </c>
      <c r="G7" s="209">
        <f>F7/$J$3</f>
        <v>0</v>
      </c>
      <c r="H7" s="217">
        <f t="shared" ref="H7:H8" si="0">G7</f>
        <v>0</v>
      </c>
      <c r="I7" s="207"/>
      <c r="J7" s="200"/>
    </row>
    <row r="8" spans="1:10" x14ac:dyDescent="0.2">
      <c r="A8" s="206"/>
      <c r="B8" s="207"/>
      <c r="C8" s="207"/>
      <c r="D8" s="207"/>
      <c r="E8" s="208"/>
      <c r="F8" s="208">
        <f>C8*D8*E8</f>
        <v>0</v>
      </c>
      <c r="G8" s="209">
        <f>F8/$J$3</f>
        <v>0</v>
      </c>
      <c r="H8" s="217">
        <f t="shared" si="0"/>
        <v>0</v>
      </c>
      <c r="I8" s="207"/>
      <c r="J8" s="200"/>
    </row>
    <row r="9" spans="1:10" s="205" customFormat="1" ht="17" x14ac:dyDescent="0.2">
      <c r="A9" s="210" t="s">
        <v>238</v>
      </c>
      <c r="B9" s="211"/>
      <c r="C9" s="211"/>
      <c r="D9" s="211"/>
      <c r="E9" s="212"/>
      <c r="F9" s="213">
        <f>SUM(F5:F8)</f>
        <v>270000</v>
      </c>
      <c r="G9" s="214">
        <f>SUM(G5:G8)</f>
        <v>17197.452229299364</v>
      </c>
      <c r="H9" s="214">
        <f>SUM(H5:H8)</f>
        <v>8598.7261146496821</v>
      </c>
      <c r="I9" s="215">
        <f>SUM(I5:I8)</f>
        <v>10191.082802547771</v>
      </c>
      <c r="J9" s="204"/>
    </row>
  </sheetData>
  <mergeCells count="10">
    <mergeCell ref="A1:I1"/>
    <mergeCell ref="I3:I4"/>
    <mergeCell ref="A3:A4"/>
    <mergeCell ref="B3:B4"/>
    <mergeCell ref="C3:C4"/>
    <mergeCell ref="D3:D4"/>
    <mergeCell ref="E3:E4"/>
    <mergeCell ref="F3:F4"/>
    <mergeCell ref="G3:G4"/>
    <mergeCell ref="H3:H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3"/>
  <sheetViews>
    <sheetView tabSelected="1" view="pageBreakPreview" zoomScale="55" zoomScaleNormal="55" zoomScaleSheetLayoutView="55" workbookViewId="0">
      <pane ySplit="5" topLeftCell="A178" activePane="bottomLeft" state="frozen"/>
      <selection pane="bottomLeft" activeCell="G177" sqref="G177"/>
    </sheetView>
  </sheetViews>
  <sheetFormatPr baseColWidth="10" defaultColWidth="9.1640625" defaultRowHeight="15" x14ac:dyDescent="0.2"/>
  <cols>
    <col min="1" max="1" width="3.1640625" style="12" customWidth="1"/>
    <col min="2" max="2" width="30.83203125" style="12" customWidth="1"/>
    <col min="3" max="3" width="63.83203125" style="12" customWidth="1"/>
    <col min="4" max="4" width="24.1640625" style="12" customWidth="1"/>
    <col min="5" max="6" width="23.1640625" style="12" customWidth="1"/>
    <col min="7" max="7" width="20.6640625" style="12" bestFit="1" customWidth="1"/>
    <col min="8" max="8" width="31.5" style="12" customWidth="1"/>
    <col min="9" max="9" width="28.1640625" style="670" customWidth="1"/>
    <col min="10" max="10" width="85.5" style="577" customWidth="1"/>
    <col min="11" max="11" width="31.5" style="12" customWidth="1"/>
    <col min="12" max="12" width="18.83203125" style="12" customWidth="1"/>
    <col min="13" max="13" width="9.1640625" style="12"/>
    <col min="14" max="14" width="17.83203125" style="12" customWidth="1"/>
    <col min="15" max="15" width="26.5" style="12" customWidth="1"/>
    <col min="16" max="16" width="22.5" style="12" customWidth="1"/>
    <col min="17" max="17" width="29.83203125" style="12" customWidth="1"/>
    <col min="18" max="18" width="23.5" style="12" customWidth="1"/>
    <col min="19" max="19" width="18.5" style="12" customWidth="1"/>
    <col min="20" max="20" width="17.5" style="12" customWidth="1"/>
    <col min="21" max="21" width="25.1640625" style="12" customWidth="1"/>
    <col min="22" max="16384" width="9.1640625" style="12"/>
  </cols>
  <sheetData>
    <row r="1" spans="2:12" ht="30" customHeight="1" x14ac:dyDescent="0.55000000000000004">
      <c r="B1" s="704" t="s">
        <v>3</v>
      </c>
      <c r="C1" s="704"/>
      <c r="D1" s="704"/>
      <c r="E1" s="704"/>
      <c r="F1" s="10"/>
      <c r="G1" s="10"/>
      <c r="H1" s="11"/>
      <c r="I1" s="669"/>
      <c r="J1" s="576"/>
      <c r="K1" s="11"/>
    </row>
    <row r="2" spans="2:12" ht="17" x14ac:dyDescent="0.2">
      <c r="B2" s="72" t="s">
        <v>1</v>
      </c>
    </row>
    <row r="3" spans="2:12" ht="19" x14ac:dyDescent="0.25">
      <c r="B3" s="718" t="s">
        <v>4</v>
      </c>
      <c r="C3" s="718"/>
      <c r="D3" s="718"/>
      <c r="E3" s="718"/>
    </row>
    <row r="4" spans="2:12" ht="19" x14ac:dyDescent="0.25">
      <c r="B4" s="592"/>
      <c r="C4" s="592"/>
      <c r="D4" s="592"/>
      <c r="E4" s="592"/>
    </row>
    <row r="5" spans="2:12" ht="99.75" customHeight="1" x14ac:dyDescent="0.2">
      <c r="B5" s="397" t="s">
        <v>5</v>
      </c>
      <c r="C5" s="397" t="s">
        <v>6</v>
      </c>
      <c r="D5" s="396" t="s">
        <v>7</v>
      </c>
      <c r="E5" s="397" t="s">
        <v>8</v>
      </c>
      <c r="F5" s="397" t="s">
        <v>9</v>
      </c>
      <c r="G5" s="397" t="s">
        <v>10</v>
      </c>
      <c r="H5" s="397" t="s">
        <v>11</v>
      </c>
      <c r="I5" s="671" t="s">
        <v>969</v>
      </c>
      <c r="J5" s="397" t="s">
        <v>12</v>
      </c>
      <c r="K5" s="397" t="s">
        <v>13</v>
      </c>
      <c r="L5" s="398"/>
    </row>
    <row r="6" spans="2:12" ht="51" customHeight="1" x14ac:dyDescent="0.2">
      <c r="B6" s="566" t="s">
        <v>14</v>
      </c>
      <c r="C6" s="717" t="s">
        <v>15</v>
      </c>
      <c r="D6" s="717"/>
      <c r="E6" s="717"/>
      <c r="F6" s="717"/>
      <c r="G6" s="717"/>
      <c r="H6" s="717"/>
      <c r="I6" s="710"/>
      <c r="J6" s="710"/>
      <c r="K6" s="717"/>
      <c r="L6" s="564"/>
    </row>
    <row r="7" spans="2:12" ht="51" customHeight="1" x14ac:dyDescent="0.2">
      <c r="B7" s="566" t="s">
        <v>16</v>
      </c>
      <c r="C7" s="717" t="s">
        <v>17</v>
      </c>
      <c r="D7" s="717"/>
      <c r="E7" s="717"/>
      <c r="F7" s="717"/>
      <c r="G7" s="717"/>
      <c r="H7" s="717"/>
      <c r="I7" s="710"/>
      <c r="J7" s="710"/>
      <c r="K7" s="717"/>
      <c r="L7" s="560"/>
    </row>
    <row r="8" spans="2:12" ht="86.5" customHeight="1" x14ac:dyDescent="0.2">
      <c r="B8" s="559" t="s">
        <v>18</v>
      </c>
      <c r="C8" s="571" t="s">
        <v>273</v>
      </c>
      <c r="D8" s="579">
        <v>19942.67515923567</v>
      </c>
      <c r="E8" s="579"/>
      <c r="F8" s="579"/>
      <c r="G8" s="556">
        <f t="shared" ref="G8:G15" si="0">D8</f>
        <v>19942.67515923567</v>
      </c>
      <c r="H8" s="553">
        <v>0.5</v>
      </c>
      <c r="I8" s="672"/>
      <c r="J8" s="573"/>
      <c r="K8" s="565"/>
      <c r="L8" s="563"/>
    </row>
    <row r="9" spans="2:12" ht="85" x14ac:dyDescent="0.2">
      <c r="B9" s="559" t="s">
        <v>19</v>
      </c>
      <c r="C9" s="571" t="s">
        <v>289</v>
      </c>
      <c r="D9" s="579">
        <v>10350.318471337579</v>
      </c>
      <c r="E9" s="579"/>
      <c r="F9" s="579"/>
      <c r="G9" s="556">
        <f t="shared" si="0"/>
        <v>10350.318471337579</v>
      </c>
      <c r="H9" s="553"/>
      <c r="I9" s="672"/>
      <c r="J9" s="573"/>
      <c r="K9" s="565"/>
      <c r="L9" s="563"/>
    </row>
    <row r="10" spans="2:12" ht="46.25" customHeight="1" x14ac:dyDescent="0.2">
      <c r="B10" s="559" t="s">
        <v>20</v>
      </c>
      <c r="C10" s="517" t="s">
        <v>297</v>
      </c>
      <c r="D10" s="579">
        <v>2929.9363057324845</v>
      </c>
      <c r="E10" s="579"/>
      <c r="F10" s="579"/>
      <c r="G10" s="556">
        <f t="shared" si="0"/>
        <v>2929.9363057324845</v>
      </c>
      <c r="H10" s="553"/>
      <c r="I10" s="672"/>
      <c r="J10" s="573"/>
      <c r="K10" s="565"/>
      <c r="L10" s="563"/>
    </row>
    <row r="11" spans="2:12" ht="51" x14ac:dyDescent="0.2">
      <c r="B11" s="559" t="s">
        <v>21</v>
      </c>
      <c r="C11" s="702" t="s">
        <v>968</v>
      </c>
      <c r="D11" s="579">
        <v>4140.127388535032</v>
      </c>
      <c r="E11" s="579"/>
      <c r="F11" s="579"/>
      <c r="G11" s="556">
        <f t="shared" si="0"/>
        <v>4140.127388535032</v>
      </c>
      <c r="H11" s="553">
        <v>0.5</v>
      </c>
      <c r="I11" s="672">
        <v>1457.4</v>
      </c>
      <c r="J11" s="692" t="s">
        <v>978</v>
      </c>
      <c r="K11" s="565"/>
      <c r="L11" s="563"/>
    </row>
    <row r="12" spans="2:12" ht="51" x14ac:dyDescent="0.2">
      <c r="B12" s="559" t="s">
        <v>22</v>
      </c>
      <c r="C12" s="517" t="s">
        <v>314</v>
      </c>
      <c r="D12" s="579">
        <v>2292.9936305732485</v>
      </c>
      <c r="E12" s="579"/>
      <c r="F12" s="579"/>
      <c r="G12" s="556">
        <f t="shared" si="0"/>
        <v>2292.9936305732485</v>
      </c>
      <c r="H12" s="553">
        <v>0.5</v>
      </c>
      <c r="I12" s="672"/>
      <c r="J12" s="692"/>
      <c r="K12" s="565"/>
      <c r="L12" s="563"/>
    </row>
    <row r="13" spans="2:12" ht="17" x14ac:dyDescent="0.2">
      <c r="B13" s="559" t="s">
        <v>23</v>
      </c>
      <c r="C13" s="571"/>
      <c r="D13" s="579"/>
      <c r="E13" s="579"/>
      <c r="F13" s="579"/>
      <c r="G13" s="556">
        <f t="shared" si="0"/>
        <v>0</v>
      </c>
      <c r="H13" s="553"/>
      <c r="I13" s="672"/>
      <c r="J13" s="573"/>
      <c r="K13" s="565"/>
      <c r="L13" s="563"/>
    </row>
    <row r="14" spans="2:12" ht="17" x14ac:dyDescent="0.2">
      <c r="B14" s="559" t="s">
        <v>24</v>
      </c>
      <c r="C14" s="571"/>
      <c r="D14" s="420"/>
      <c r="E14" s="420"/>
      <c r="F14" s="420"/>
      <c r="G14" s="556">
        <f t="shared" si="0"/>
        <v>0</v>
      </c>
      <c r="H14" s="562"/>
      <c r="I14" s="673"/>
      <c r="J14" s="573"/>
      <c r="K14" s="558"/>
      <c r="L14" s="563"/>
    </row>
    <row r="15" spans="2:12" ht="17" x14ac:dyDescent="0.2">
      <c r="B15" s="559" t="s">
        <v>25</v>
      </c>
      <c r="C15" s="571"/>
      <c r="D15" s="420"/>
      <c r="E15" s="420"/>
      <c r="F15" s="420"/>
      <c r="G15" s="556">
        <f t="shared" si="0"/>
        <v>0</v>
      </c>
      <c r="H15" s="562"/>
      <c r="I15" s="673"/>
      <c r="J15" s="574"/>
      <c r="K15" s="558"/>
    </row>
    <row r="16" spans="2:12" ht="17" x14ac:dyDescent="0.2">
      <c r="C16" s="566" t="s">
        <v>26</v>
      </c>
      <c r="D16" s="554">
        <f>SUM(D8:D15)</f>
        <v>39656.050955414015</v>
      </c>
      <c r="E16" s="554">
        <f>SUM(E8:E15)</f>
        <v>0</v>
      </c>
      <c r="F16" s="554">
        <f>SUM(F8:F15)</f>
        <v>0</v>
      </c>
      <c r="G16" s="554">
        <f>SUM(G8:G15)</f>
        <v>39656.050955414015</v>
      </c>
      <c r="H16" s="554">
        <f>(H8*G8)+(H9*G9)+(H10*G10)+(H11*G11)+(H12*G12)+(H13*G13)+(H14*G14)+(H15*G15)</f>
        <v>13187.898089171975</v>
      </c>
      <c r="I16" s="674">
        <f>SUM(I8:I15)</f>
        <v>1457.4</v>
      </c>
      <c r="J16" s="578"/>
      <c r="K16" s="558"/>
      <c r="L16" s="561"/>
    </row>
    <row r="17" spans="1:12" ht="51" customHeight="1" x14ac:dyDescent="0.2">
      <c r="B17" s="566" t="s">
        <v>27</v>
      </c>
      <c r="C17" s="709" t="s">
        <v>28</v>
      </c>
      <c r="D17" s="709"/>
      <c r="E17" s="709"/>
      <c r="F17" s="709"/>
      <c r="G17" s="709"/>
      <c r="H17" s="709"/>
      <c r="I17" s="710"/>
      <c r="J17" s="710"/>
      <c r="K17" s="709"/>
      <c r="L17" s="560"/>
    </row>
    <row r="18" spans="1:12" ht="68" x14ac:dyDescent="0.2">
      <c r="B18" s="559" t="s">
        <v>29</v>
      </c>
      <c r="C18" s="593" t="s">
        <v>319</v>
      </c>
      <c r="D18" s="557">
        <v>2261.1464968152868</v>
      </c>
      <c r="E18" s="579"/>
      <c r="F18" s="579"/>
      <c r="G18" s="556">
        <f t="shared" ref="G18:G25" si="1">D18</f>
        <v>2261.1464968152868</v>
      </c>
      <c r="H18" s="553"/>
      <c r="I18" s="672">
        <v>8176.4518901210904</v>
      </c>
      <c r="J18" s="692" t="s">
        <v>979</v>
      </c>
      <c r="K18" s="565"/>
      <c r="L18" s="563"/>
    </row>
    <row r="19" spans="1:12" ht="68" x14ac:dyDescent="0.2">
      <c r="B19" s="559" t="s">
        <v>30</v>
      </c>
      <c r="C19" s="593" t="s">
        <v>328</v>
      </c>
      <c r="D19" s="557">
        <v>9394.9044585987249</v>
      </c>
      <c r="E19" s="579"/>
      <c r="F19" s="579"/>
      <c r="G19" s="556">
        <f t="shared" si="1"/>
        <v>9394.9044585987249</v>
      </c>
      <c r="H19" s="553">
        <v>0.5</v>
      </c>
      <c r="I19" s="672">
        <v>2850.1</v>
      </c>
      <c r="J19" s="692" t="s">
        <v>982</v>
      </c>
      <c r="K19" s="565"/>
      <c r="L19" s="563"/>
    </row>
    <row r="20" spans="1:12" ht="34" x14ac:dyDescent="0.2">
      <c r="B20" s="559" t="s">
        <v>31</v>
      </c>
      <c r="C20" s="593" t="s">
        <v>337</v>
      </c>
      <c r="D20" s="557">
        <v>6433.1210191082801</v>
      </c>
      <c r="E20" s="579"/>
      <c r="F20" s="579"/>
      <c r="G20" s="556">
        <f t="shared" si="1"/>
        <v>6433.1210191082801</v>
      </c>
      <c r="H20" s="553">
        <v>0.5</v>
      </c>
      <c r="I20" s="672"/>
      <c r="J20" s="575"/>
      <c r="K20" s="565"/>
      <c r="L20" s="563"/>
    </row>
    <row r="21" spans="1:12" ht="17" x14ac:dyDescent="0.2">
      <c r="B21" s="559" t="s">
        <v>33</v>
      </c>
      <c r="C21" s="593" t="s">
        <v>340</v>
      </c>
      <c r="D21" s="557">
        <v>8662.4203821656047</v>
      </c>
      <c r="E21" s="579"/>
      <c r="F21" s="579"/>
      <c r="G21" s="556">
        <f t="shared" si="1"/>
        <v>8662.4203821656047</v>
      </c>
      <c r="H21" s="553"/>
      <c r="I21" s="672"/>
      <c r="J21" s="575"/>
      <c r="K21" s="565"/>
      <c r="L21" s="563"/>
    </row>
    <row r="22" spans="1:12" ht="17" x14ac:dyDescent="0.2">
      <c r="B22" s="559" t="s">
        <v>34</v>
      </c>
      <c r="C22" s="593" t="s">
        <v>349</v>
      </c>
      <c r="D22" s="557">
        <v>2324.8407643312103</v>
      </c>
      <c r="E22" s="579"/>
      <c r="F22" s="579"/>
      <c r="G22" s="556">
        <f t="shared" si="1"/>
        <v>2324.8407643312103</v>
      </c>
      <c r="H22" s="553"/>
      <c r="I22" s="672"/>
      <c r="J22" s="575"/>
      <c r="K22" s="565"/>
      <c r="L22" s="563"/>
    </row>
    <row r="23" spans="1:12" ht="17" x14ac:dyDescent="0.2">
      <c r="B23" s="559" t="s">
        <v>35</v>
      </c>
      <c r="C23" s="571"/>
      <c r="D23" s="579"/>
      <c r="E23" s="579"/>
      <c r="F23" s="579"/>
      <c r="G23" s="556">
        <f t="shared" si="1"/>
        <v>0</v>
      </c>
      <c r="H23" s="553"/>
      <c r="I23" s="672"/>
      <c r="J23" s="575"/>
      <c r="K23" s="565"/>
      <c r="L23" s="563"/>
    </row>
    <row r="24" spans="1:12" ht="17" x14ac:dyDescent="0.2">
      <c r="B24" s="559" t="s">
        <v>36</v>
      </c>
      <c r="C24" s="571"/>
      <c r="D24" s="420"/>
      <c r="E24" s="420"/>
      <c r="F24" s="420"/>
      <c r="G24" s="556">
        <f t="shared" si="1"/>
        <v>0</v>
      </c>
      <c r="H24" s="562"/>
      <c r="I24" s="673"/>
      <c r="J24" s="574"/>
      <c r="K24" s="558"/>
      <c r="L24" s="563"/>
    </row>
    <row r="25" spans="1:12" ht="17" x14ac:dyDescent="0.2">
      <c r="B25" s="559" t="s">
        <v>37</v>
      </c>
      <c r="C25" s="571"/>
      <c r="D25" s="420"/>
      <c r="E25" s="420"/>
      <c r="F25" s="420"/>
      <c r="G25" s="556">
        <f t="shared" si="1"/>
        <v>0</v>
      </c>
      <c r="H25" s="562"/>
      <c r="I25" s="673"/>
      <c r="J25" s="420"/>
      <c r="K25" s="558"/>
      <c r="L25" s="563"/>
    </row>
    <row r="26" spans="1:12" ht="17" x14ac:dyDescent="0.2">
      <c r="C26" s="566" t="s">
        <v>26</v>
      </c>
      <c r="D26" s="58">
        <f>SUM(D18:D25)</f>
        <v>29076.433121019105</v>
      </c>
      <c r="E26" s="58">
        <f t="shared" ref="E26:G26" si="2">SUM(E18:E25)</f>
        <v>0</v>
      </c>
      <c r="F26" s="58">
        <f t="shared" si="2"/>
        <v>0</v>
      </c>
      <c r="G26" s="58">
        <f t="shared" si="2"/>
        <v>29076.433121019105</v>
      </c>
      <c r="H26" s="554">
        <f>(H18*G18)+(H19*G19)+(H20*G20)+(H21*G21)+(H22*G22)+(H23*G23)+(H24*G24)+(H25*G25)</f>
        <v>7914.012738853502</v>
      </c>
      <c r="I26" s="674">
        <f>SUM(I18:I25)</f>
        <v>11026.551890121091</v>
      </c>
      <c r="J26" s="578"/>
      <c r="K26" s="558"/>
      <c r="L26" s="561"/>
    </row>
    <row r="27" spans="1:12" ht="51" customHeight="1" x14ac:dyDescent="0.2">
      <c r="B27" s="566" t="s">
        <v>38</v>
      </c>
      <c r="C27" s="709" t="s">
        <v>39</v>
      </c>
      <c r="D27" s="709"/>
      <c r="E27" s="709"/>
      <c r="F27" s="709"/>
      <c r="G27" s="709"/>
      <c r="H27" s="709"/>
      <c r="I27" s="710"/>
      <c r="J27" s="710"/>
      <c r="K27" s="709"/>
      <c r="L27" s="560"/>
    </row>
    <row r="28" spans="1:12" ht="85" x14ac:dyDescent="0.2">
      <c r="B28" s="559" t="s">
        <v>40</v>
      </c>
      <c r="C28" s="571" t="s">
        <v>353</v>
      </c>
      <c r="D28" s="579">
        <v>23343.949044585988</v>
      </c>
      <c r="E28" s="579"/>
      <c r="F28" s="579"/>
      <c r="G28" s="556">
        <f t="shared" ref="G28:G35" si="3">D28</f>
        <v>23343.949044585988</v>
      </c>
      <c r="H28" s="553"/>
      <c r="I28" s="672"/>
      <c r="J28" s="573"/>
      <c r="K28" s="565"/>
      <c r="L28" s="563"/>
    </row>
    <row r="29" spans="1:12" ht="34" x14ac:dyDescent="0.2">
      <c r="B29" s="559" t="s">
        <v>41</v>
      </c>
      <c r="C29" s="571" t="s">
        <v>361</v>
      </c>
      <c r="D29" s="579">
        <v>66114.649681528666</v>
      </c>
      <c r="E29" s="579"/>
      <c r="F29" s="579"/>
      <c r="G29" s="556">
        <f t="shared" si="3"/>
        <v>66114.649681528666</v>
      </c>
      <c r="H29" s="553">
        <v>1</v>
      </c>
      <c r="I29" s="672">
        <v>4536.3500000000004</v>
      </c>
      <c r="J29" s="692" t="s">
        <v>983</v>
      </c>
      <c r="K29" s="565"/>
      <c r="L29" s="563"/>
    </row>
    <row r="30" spans="1:12" ht="34" x14ac:dyDescent="0.2">
      <c r="B30" s="559" t="s">
        <v>42</v>
      </c>
      <c r="C30" s="571" t="s">
        <v>366</v>
      </c>
      <c r="D30" s="579">
        <v>66624.203821656047</v>
      </c>
      <c r="E30" s="579"/>
      <c r="F30" s="579"/>
      <c r="G30" s="556">
        <f t="shared" si="3"/>
        <v>66624.203821656047</v>
      </c>
      <c r="H30" s="553">
        <v>0.5</v>
      </c>
      <c r="I30" s="672"/>
      <c r="J30" s="573"/>
      <c r="K30" s="565"/>
      <c r="L30" s="563"/>
    </row>
    <row r="31" spans="1:12" ht="68" x14ac:dyDescent="0.2">
      <c r="B31" s="559" t="s">
        <v>43</v>
      </c>
      <c r="C31" s="571" t="s">
        <v>367</v>
      </c>
      <c r="D31" s="579">
        <v>66624.203821656047</v>
      </c>
      <c r="E31" s="579"/>
      <c r="F31" s="579"/>
      <c r="G31" s="556">
        <f t="shared" si="3"/>
        <v>66624.203821656047</v>
      </c>
      <c r="H31" s="553">
        <v>1</v>
      </c>
      <c r="I31" s="672"/>
      <c r="J31" s="573"/>
      <c r="K31" s="565"/>
      <c r="L31" s="563"/>
    </row>
    <row r="32" spans="1:12" s="594" customFormat="1" ht="34" x14ac:dyDescent="0.2">
      <c r="A32" s="12"/>
      <c r="B32" s="559" t="s">
        <v>44</v>
      </c>
      <c r="C32" s="571" t="s">
        <v>368</v>
      </c>
      <c r="D32" s="579">
        <v>7898.0891719745232</v>
      </c>
      <c r="E32" s="579"/>
      <c r="F32" s="579"/>
      <c r="G32" s="556">
        <f t="shared" si="3"/>
        <v>7898.0891719745232</v>
      </c>
      <c r="H32" s="553"/>
      <c r="I32" s="672"/>
      <c r="J32" s="589"/>
      <c r="K32" s="565"/>
      <c r="L32" s="563"/>
    </row>
    <row r="33" spans="1:12" s="594" customFormat="1" ht="51" x14ac:dyDescent="0.2">
      <c r="A33" s="12"/>
      <c r="B33" s="559" t="s">
        <v>45</v>
      </c>
      <c r="C33" s="571" t="s">
        <v>372</v>
      </c>
      <c r="D33" s="579">
        <v>51974.522292993628</v>
      </c>
      <c r="E33" s="579"/>
      <c r="F33" s="579"/>
      <c r="G33" s="556">
        <f t="shared" si="3"/>
        <v>51974.522292993628</v>
      </c>
      <c r="H33" s="553"/>
      <c r="I33" s="672"/>
      <c r="J33" s="575"/>
      <c r="K33" s="565"/>
      <c r="L33" s="563"/>
    </row>
    <row r="34" spans="1:12" s="594" customFormat="1" ht="17" x14ac:dyDescent="0.2">
      <c r="A34" s="12"/>
      <c r="B34" s="559" t="s">
        <v>46</v>
      </c>
      <c r="C34" s="572">
        <v>0</v>
      </c>
      <c r="D34" s="420">
        <v>0</v>
      </c>
      <c r="E34" s="420"/>
      <c r="F34" s="420"/>
      <c r="G34" s="556">
        <f t="shared" si="3"/>
        <v>0</v>
      </c>
      <c r="H34" s="562"/>
      <c r="I34" s="673"/>
      <c r="J34" s="420"/>
      <c r="K34" s="558"/>
      <c r="L34" s="563"/>
    </row>
    <row r="35" spans="1:12" ht="17" x14ac:dyDescent="0.2">
      <c r="B35" s="559" t="s">
        <v>47</v>
      </c>
      <c r="C35" s="572">
        <v>0</v>
      </c>
      <c r="D35" s="420">
        <v>0</v>
      </c>
      <c r="E35" s="420"/>
      <c r="F35" s="420"/>
      <c r="G35" s="556">
        <f t="shared" si="3"/>
        <v>0</v>
      </c>
      <c r="H35" s="562"/>
      <c r="I35" s="673"/>
      <c r="J35" s="420"/>
      <c r="K35" s="558"/>
      <c r="L35" s="563"/>
    </row>
    <row r="36" spans="1:12" ht="17" x14ac:dyDescent="0.2">
      <c r="C36" s="566" t="s">
        <v>26</v>
      </c>
      <c r="D36" s="58">
        <f>SUM(D28:D35)</f>
        <v>282579.61783439486</v>
      </c>
      <c r="E36" s="58">
        <f t="shared" ref="E36:G36" si="4">SUM(E28:E35)</f>
        <v>0</v>
      </c>
      <c r="F36" s="58">
        <f t="shared" si="4"/>
        <v>0</v>
      </c>
      <c r="G36" s="58">
        <f t="shared" si="4"/>
        <v>282579.61783439486</v>
      </c>
      <c r="H36" s="554">
        <f>(H28*G28)+(H29*G29)+(H30*G30)+(H31*G31)+(H32*G32)+(H33*G33)+(H34*G34)+(H35*G35)</f>
        <v>166050.95541401271</v>
      </c>
      <c r="I36" s="674">
        <f>SUM(I28:I35)</f>
        <v>4536.3500000000004</v>
      </c>
      <c r="J36" s="578"/>
      <c r="K36" s="558"/>
      <c r="L36" s="561"/>
    </row>
    <row r="37" spans="1:12" ht="51" customHeight="1" x14ac:dyDescent="0.2">
      <c r="B37" s="566" t="s">
        <v>48</v>
      </c>
      <c r="C37" s="711"/>
      <c r="D37" s="711"/>
      <c r="E37" s="711"/>
      <c r="F37" s="711"/>
      <c r="G37" s="711"/>
      <c r="H37" s="711"/>
      <c r="I37" s="712"/>
      <c r="J37" s="712"/>
      <c r="K37" s="711"/>
      <c r="L37" s="560"/>
    </row>
    <row r="38" spans="1:12" ht="17" x14ac:dyDescent="0.2">
      <c r="B38" s="559" t="s">
        <v>49</v>
      </c>
      <c r="C38" s="571"/>
      <c r="D38" s="579">
        <v>0</v>
      </c>
      <c r="E38" s="579"/>
      <c r="F38" s="579"/>
      <c r="G38" s="556">
        <f t="shared" ref="G38:G45" si="5">D38</f>
        <v>0</v>
      </c>
      <c r="H38" s="553"/>
      <c r="I38" s="672"/>
      <c r="J38" s="579"/>
      <c r="K38" s="565"/>
      <c r="L38" s="563"/>
    </row>
    <row r="39" spans="1:12" ht="17" x14ac:dyDescent="0.2">
      <c r="B39" s="559" t="s">
        <v>50</v>
      </c>
      <c r="C39" s="571"/>
      <c r="D39" s="579">
        <v>0</v>
      </c>
      <c r="E39" s="579"/>
      <c r="F39" s="579"/>
      <c r="G39" s="556">
        <f t="shared" si="5"/>
        <v>0</v>
      </c>
      <c r="H39" s="553"/>
      <c r="I39" s="672"/>
      <c r="J39" s="579"/>
      <c r="K39" s="565"/>
      <c r="L39" s="563"/>
    </row>
    <row r="40" spans="1:12" ht="17" x14ac:dyDescent="0.2">
      <c r="B40" s="559" t="s">
        <v>51</v>
      </c>
      <c r="C40" s="571"/>
      <c r="D40" s="579">
        <v>0</v>
      </c>
      <c r="E40" s="579"/>
      <c r="F40" s="579"/>
      <c r="G40" s="556">
        <f t="shared" si="5"/>
        <v>0</v>
      </c>
      <c r="H40" s="553"/>
      <c r="I40" s="672"/>
      <c r="J40" s="579"/>
      <c r="K40" s="565"/>
      <c r="L40" s="563"/>
    </row>
    <row r="41" spans="1:12" ht="17" x14ac:dyDescent="0.2">
      <c r="B41" s="559" t="s">
        <v>52</v>
      </c>
      <c r="C41" s="571"/>
      <c r="D41" s="579">
        <v>0</v>
      </c>
      <c r="E41" s="579"/>
      <c r="F41" s="579"/>
      <c r="G41" s="556">
        <f t="shared" si="5"/>
        <v>0</v>
      </c>
      <c r="H41" s="553"/>
      <c r="I41" s="672"/>
      <c r="J41" s="579"/>
      <c r="K41" s="565"/>
      <c r="L41" s="563"/>
    </row>
    <row r="42" spans="1:12" ht="17" x14ac:dyDescent="0.2">
      <c r="B42" s="559" t="s">
        <v>53</v>
      </c>
      <c r="C42" s="571"/>
      <c r="D42" s="579">
        <v>0</v>
      </c>
      <c r="E42" s="579"/>
      <c r="F42" s="579"/>
      <c r="G42" s="556">
        <f t="shared" si="5"/>
        <v>0</v>
      </c>
      <c r="H42" s="553"/>
      <c r="I42" s="672"/>
      <c r="J42" s="579"/>
      <c r="K42" s="565"/>
      <c r="L42" s="563"/>
    </row>
    <row r="43" spans="1:12" ht="17" x14ac:dyDescent="0.2">
      <c r="B43" s="559" t="s">
        <v>54</v>
      </c>
      <c r="C43" s="571"/>
      <c r="D43" s="579">
        <v>0</v>
      </c>
      <c r="E43" s="579"/>
      <c r="F43" s="579"/>
      <c r="G43" s="556">
        <f t="shared" si="5"/>
        <v>0</v>
      </c>
      <c r="H43" s="553"/>
      <c r="I43" s="672"/>
      <c r="J43" s="579"/>
      <c r="K43" s="565"/>
      <c r="L43" s="563"/>
    </row>
    <row r="44" spans="1:12" s="594" customFormat="1" ht="17" x14ac:dyDescent="0.2">
      <c r="A44" s="12"/>
      <c r="B44" s="559" t="s">
        <v>55</v>
      </c>
      <c r="C44" s="572"/>
      <c r="D44" s="420">
        <v>0</v>
      </c>
      <c r="E44" s="420"/>
      <c r="F44" s="420"/>
      <c r="G44" s="556">
        <f t="shared" si="5"/>
        <v>0</v>
      </c>
      <c r="H44" s="562"/>
      <c r="I44" s="673"/>
      <c r="J44" s="420"/>
      <c r="K44" s="558"/>
      <c r="L44" s="563"/>
    </row>
    <row r="45" spans="1:12" ht="17" x14ac:dyDescent="0.2">
      <c r="B45" s="559" t="s">
        <v>56</v>
      </c>
      <c r="C45" s="572"/>
      <c r="D45" s="420">
        <v>0</v>
      </c>
      <c r="E45" s="420"/>
      <c r="F45" s="420"/>
      <c r="G45" s="556">
        <f t="shared" si="5"/>
        <v>0</v>
      </c>
      <c r="H45" s="562"/>
      <c r="I45" s="673"/>
      <c r="J45" s="420"/>
      <c r="K45" s="558"/>
      <c r="L45" s="563"/>
    </row>
    <row r="46" spans="1:12" ht="17" x14ac:dyDescent="0.2">
      <c r="C46" s="566" t="s">
        <v>26</v>
      </c>
      <c r="D46" s="554">
        <f>SUM(D38:D45)</f>
        <v>0</v>
      </c>
      <c r="E46" s="554">
        <f t="shared" ref="E46:G46" si="6">SUM(E38:E45)</f>
        <v>0</v>
      </c>
      <c r="F46" s="554">
        <f t="shared" si="6"/>
        <v>0</v>
      </c>
      <c r="G46" s="554">
        <f t="shared" si="6"/>
        <v>0</v>
      </c>
      <c r="H46" s="554">
        <f>(H38*G38)+(H39*G39)+(H40*G40)+(H41*G41)+(H42*G42)+(H43*G43)+(H44*G44)+(H45*G45)</f>
        <v>0</v>
      </c>
      <c r="I46" s="674">
        <f>SUM(I38:I45)</f>
        <v>0</v>
      </c>
      <c r="J46" s="578"/>
      <c r="K46" s="558"/>
      <c r="L46" s="561"/>
    </row>
    <row r="47" spans="1:12" ht="16" x14ac:dyDescent="0.2">
      <c r="B47" s="595"/>
      <c r="C47" s="596"/>
      <c r="D47" s="580"/>
      <c r="E47" s="580"/>
      <c r="F47" s="580"/>
      <c r="G47" s="580"/>
      <c r="H47" s="580"/>
      <c r="I47" s="675"/>
      <c r="J47" s="580"/>
      <c r="K47" s="580"/>
      <c r="L47" s="563"/>
    </row>
    <row r="48" spans="1:12" ht="51" customHeight="1" x14ac:dyDescent="0.2">
      <c r="B48" s="566" t="s">
        <v>57</v>
      </c>
      <c r="C48" s="709" t="s">
        <v>58</v>
      </c>
      <c r="D48" s="709"/>
      <c r="E48" s="709"/>
      <c r="F48" s="709"/>
      <c r="G48" s="709"/>
      <c r="H48" s="709"/>
      <c r="I48" s="710"/>
      <c r="J48" s="710"/>
      <c r="K48" s="709"/>
      <c r="L48" s="564"/>
    </row>
    <row r="49" spans="1:12" ht="51" customHeight="1" x14ac:dyDescent="0.2">
      <c r="B49" s="566" t="s">
        <v>59</v>
      </c>
      <c r="C49" s="709" t="s">
        <v>60</v>
      </c>
      <c r="D49" s="709"/>
      <c r="E49" s="709"/>
      <c r="F49" s="709"/>
      <c r="G49" s="709"/>
      <c r="H49" s="709"/>
      <c r="I49" s="710"/>
      <c r="J49" s="710"/>
      <c r="K49" s="709"/>
      <c r="L49" s="560"/>
    </row>
    <row r="50" spans="1:12" ht="111" customHeight="1" x14ac:dyDescent="0.2">
      <c r="B50" s="559" t="s">
        <v>61</v>
      </c>
      <c r="C50" s="571" t="s">
        <v>382</v>
      </c>
      <c r="D50" s="579">
        <v>24777.070063694267</v>
      </c>
      <c r="E50" s="579"/>
      <c r="F50" s="579"/>
      <c r="G50" s="556">
        <f t="shared" ref="G50:G57" si="7">D50</f>
        <v>24777.070063694267</v>
      </c>
      <c r="H50" s="553"/>
      <c r="I50" s="672">
        <v>7955.49</v>
      </c>
      <c r="J50" s="689" t="s">
        <v>977</v>
      </c>
      <c r="K50" s="565"/>
      <c r="L50" s="563"/>
    </row>
    <row r="51" spans="1:12" ht="83" customHeight="1" x14ac:dyDescent="0.2">
      <c r="B51" s="559" t="s">
        <v>62</v>
      </c>
      <c r="C51" s="571" t="s">
        <v>384</v>
      </c>
      <c r="D51" s="579">
        <v>45987.261146496814</v>
      </c>
      <c r="E51" s="579"/>
      <c r="F51" s="579"/>
      <c r="G51" s="556">
        <f t="shared" si="7"/>
        <v>45987.261146496814</v>
      </c>
      <c r="H51" s="553"/>
      <c r="I51" s="672">
        <v>22706.3</v>
      </c>
      <c r="J51" s="689" t="s">
        <v>976</v>
      </c>
      <c r="K51" s="565"/>
      <c r="L51" s="563"/>
    </row>
    <row r="52" spans="1:12" ht="68.5" customHeight="1" x14ac:dyDescent="0.2">
      <c r="B52" s="559" t="s">
        <v>63</v>
      </c>
      <c r="C52" s="571" t="s">
        <v>388</v>
      </c>
      <c r="D52" s="579">
        <v>17356.687898089171</v>
      </c>
      <c r="E52" s="579"/>
      <c r="F52" s="579"/>
      <c r="G52" s="556">
        <f t="shared" si="7"/>
        <v>17356.687898089171</v>
      </c>
      <c r="H52" s="553">
        <v>1</v>
      </c>
      <c r="I52" s="672"/>
      <c r="J52" s="589"/>
      <c r="K52" s="565"/>
      <c r="L52" s="563"/>
    </row>
    <row r="53" spans="1:12" ht="17" x14ac:dyDescent="0.2">
      <c r="B53" s="559" t="s">
        <v>65</v>
      </c>
      <c r="C53" s="518"/>
      <c r="D53" s="579"/>
      <c r="E53" s="579"/>
      <c r="F53" s="579"/>
      <c r="G53" s="556">
        <f t="shared" si="7"/>
        <v>0</v>
      </c>
      <c r="H53" s="553"/>
      <c r="I53" s="672"/>
      <c r="J53" s="589"/>
      <c r="K53" s="565"/>
      <c r="L53" s="563"/>
    </row>
    <row r="54" spans="1:12" ht="17" x14ac:dyDescent="0.2">
      <c r="B54" s="559" t="s">
        <v>66</v>
      </c>
      <c r="C54" s="518"/>
      <c r="D54" s="579"/>
      <c r="E54" s="579"/>
      <c r="F54" s="579"/>
      <c r="G54" s="556">
        <f t="shared" si="7"/>
        <v>0</v>
      </c>
      <c r="H54" s="553"/>
      <c r="I54" s="672"/>
      <c r="J54" s="589"/>
      <c r="K54" s="565"/>
      <c r="L54" s="563"/>
    </row>
    <row r="55" spans="1:12" ht="17" x14ac:dyDescent="0.2">
      <c r="B55" s="559" t="s">
        <v>67</v>
      </c>
      <c r="C55" s="518"/>
      <c r="D55" s="579"/>
      <c r="E55" s="579"/>
      <c r="F55" s="579"/>
      <c r="G55" s="556">
        <f t="shared" si="7"/>
        <v>0</v>
      </c>
      <c r="H55" s="553"/>
      <c r="I55" s="672"/>
      <c r="J55" s="589"/>
      <c r="K55" s="565"/>
      <c r="L55" s="563"/>
    </row>
    <row r="56" spans="1:12" ht="17" x14ac:dyDescent="0.2">
      <c r="B56" s="559" t="s">
        <v>68</v>
      </c>
      <c r="C56" s="519"/>
      <c r="D56" s="420"/>
      <c r="E56" s="420"/>
      <c r="F56" s="420"/>
      <c r="G56" s="556">
        <f t="shared" si="7"/>
        <v>0</v>
      </c>
      <c r="H56" s="562"/>
      <c r="I56" s="673"/>
      <c r="J56" s="590"/>
      <c r="K56" s="558"/>
      <c r="L56" s="563"/>
    </row>
    <row r="57" spans="1:12" s="594" customFormat="1" ht="17" x14ac:dyDescent="0.2">
      <c r="A57" s="12"/>
      <c r="B57" s="559" t="s">
        <v>69</v>
      </c>
      <c r="C57" s="519"/>
      <c r="D57" s="420"/>
      <c r="E57" s="420"/>
      <c r="F57" s="420"/>
      <c r="G57" s="556">
        <f t="shared" si="7"/>
        <v>0</v>
      </c>
      <c r="H57" s="562"/>
      <c r="I57" s="673"/>
      <c r="J57" s="420"/>
      <c r="K57" s="558"/>
      <c r="L57" s="563"/>
    </row>
    <row r="58" spans="1:12" s="594" customFormat="1" ht="17" x14ac:dyDescent="0.2">
      <c r="A58" s="12"/>
      <c r="B58" s="12"/>
      <c r="C58" s="566" t="s">
        <v>26</v>
      </c>
      <c r="D58" s="554">
        <f>SUM(D50:D57)</f>
        <v>88121.019108280248</v>
      </c>
      <c r="E58" s="554">
        <f t="shared" ref="E58:G58" si="8">SUM(E50:E57)</f>
        <v>0</v>
      </c>
      <c r="F58" s="554">
        <f t="shared" si="8"/>
        <v>0</v>
      </c>
      <c r="G58" s="58">
        <f t="shared" si="8"/>
        <v>88121.019108280248</v>
      </c>
      <c r="H58" s="554">
        <f>(H50*G50)+(H51*G51)+(H52*G52)+(H53*G53)+(H54*G54)+(H55*G55)+(H56*G56)+(H57*G57)</f>
        <v>17356.687898089171</v>
      </c>
      <c r="I58" s="674">
        <f>SUM(I50:I57)</f>
        <v>30661.79</v>
      </c>
      <c r="J58" s="578"/>
      <c r="K58" s="558"/>
      <c r="L58" s="561"/>
    </row>
    <row r="59" spans="1:12" ht="51" customHeight="1" x14ac:dyDescent="0.2">
      <c r="B59" s="566" t="s">
        <v>70</v>
      </c>
      <c r="C59" s="709" t="s">
        <v>71</v>
      </c>
      <c r="D59" s="709"/>
      <c r="E59" s="709"/>
      <c r="F59" s="709"/>
      <c r="G59" s="709"/>
      <c r="H59" s="709"/>
      <c r="I59" s="710"/>
      <c r="J59" s="710"/>
      <c r="K59" s="709"/>
      <c r="L59" s="560"/>
    </row>
    <row r="60" spans="1:12" ht="69.5" customHeight="1" x14ac:dyDescent="0.2">
      <c r="B60" s="559" t="s">
        <v>72</v>
      </c>
      <c r="C60" s="571" t="s">
        <v>392</v>
      </c>
      <c r="D60" s="579">
        <v>10350.318471337579</v>
      </c>
      <c r="E60" s="579"/>
      <c r="F60" s="579"/>
      <c r="G60" s="556">
        <f t="shared" ref="G60:G67" si="9">D60</f>
        <v>10350.318471337579</v>
      </c>
      <c r="H60" s="553"/>
      <c r="I60" s="672">
        <v>649.27</v>
      </c>
      <c r="J60" s="691" t="s">
        <v>975</v>
      </c>
      <c r="K60" s="565"/>
      <c r="L60" s="563"/>
    </row>
    <row r="61" spans="1:12" ht="42" customHeight="1" x14ac:dyDescent="0.2">
      <c r="B61" s="559" t="s">
        <v>73</v>
      </c>
      <c r="C61" s="571" t="s">
        <v>394</v>
      </c>
      <c r="D61" s="579">
        <v>6687.8980891719748</v>
      </c>
      <c r="E61" s="579"/>
      <c r="F61" s="579"/>
      <c r="G61" s="556">
        <f t="shared" si="9"/>
        <v>6687.8980891719748</v>
      </c>
      <c r="H61" s="553"/>
      <c r="I61" s="672"/>
      <c r="J61" s="575"/>
      <c r="K61" s="565"/>
      <c r="L61" s="563"/>
    </row>
    <row r="62" spans="1:12" ht="17" x14ac:dyDescent="0.2">
      <c r="B62" s="559" t="s">
        <v>75</v>
      </c>
      <c r="C62" s="571" t="s">
        <v>400</v>
      </c>
      <c r="D62" s="579">
        <v>9171.9745222929942</v>
      </c>
      <c r="E62" s="579"/>
      <c r="F62" s="579"/>
      <c r="G62" s="556">
        <f t="shared" si="9"/>
        <v>9171.9745222929942</v>
      </c>
      <c r="H62" s="553">
        <v>1</v>
      </c>
      <c r="I62" s="672"/>
      <c r="J62" s="575"/>
      <c r="K62" s="565"/>
      <c r="L62" s="563"/>
    </row>
    <row r="63" spans="1:12" ht="41" customHeight="1" x14ac:dyDescent="0.2">
      <c r="B63" s="559" t="s">
        <v>77</v>
      </c>
      <c r="C63" s="571" t="s">
        <v>401</v>
      </c>
      <c r="D63" s="579">
        <v>5732.4840764331211</v>
      </c>
      <c r="E63" s="579"/>
      <c r="F63" s="579"/>
      <c r="G63" s="556">
        <f t="shared" si="9"/>
        <v>5732.4840764331211</v>
      </c>
      <c r="H63" s="553">
        <v>1</v>
      </c>
      <c r="I63" s="672">
        <v>3192.07</v>
      </c>
      <c r="J63" s="689" t="s">
        <v>974</v>
      </c>
      <c r="K63" s="565"/>
      <c r="L63" s="563"/>
    </row>
    <row r="64" spans="1:12" ht="17" x14ac:dyDescent="0.2">
      <c r="B64" s="559" t="s">
        <v>78</v>
      </c>
      <c r="C64" s="518"/>
      <c r="D64" s="579"/>
      <c r="E64" s="579"/>
      <c r="F64" s="579"/>
      <c r="G64" s="556">
        <f t="shared" si="9"/>
        <v>0</v>
      </c>
      <c r="H64" s="553"/>
      <c r="I64" s="672"/>
      <c r="J64" s="575"/>
      <c r="K64" s="565"/>
      <c r="L64" s="563"/>
    </row>
    <row r="65" spans="1:12" ht="17" x14ac:dyDescent="0.2">
      <c r="B65" s="559" t="s">
        <v>79</v>
      </c>
      <c r="C65" s="518"/>
      <c r="D65" s="579"/>
      <c r="E65" s="579"/>
      <c r="F65" s="579"/>
      <c r="G65" s="556">
        <f t="shared" si="9"/>
        <v>0</v>
      </c>
      <c r="H65" s="553"/>
      <c r="I65" s="672"/>
      <c r="J65" s="575"/>
      <c r="K65" s="565"/>
      <c r="L65" s="563"/>
    </row>
    <row r="66" spans="1:12" ht="17" x14ac:dyDescent="0.2">
      <c r="B66" s="559" t="s">
        <v>80</v>
      </c>
      <c r="C66" s="519"/>
      <c r="D66" s="420"/>
      <c r="E66" s="420"/>
      <c r="F66" s="420"/>
      <c r="G66" s="556">
        <f t="shared" si="9"/>
        <v>0</v>
      </c>
      <c r="H66" s="562"/>
      <c r="I66" s="673"/>
      <c r="J66" s="574"/>
      <c r="K66" s="558"/>
      <c r="L66" s="563"/>
    </row>
    <row r="67" spans="1:12" ht="17" x14ac:dyDescent="0.2">
      <c r="B67" s="559" t="s">
        <v>81</v>
      </c>
      <c r="C67" s="572"/>
      <c r="D67" s="420"/>
      <c r="E67" s="420"/>
      <c r="F67" s="420"/>
      <c r="G67" s="556">
        <f t="shared" si="9"/>
        <v>0</v>
      </c>
      <c r="H67" s="562"/>
      <c r="I67" s="673"/>
      <c r="J67" s="574"/>
      <c r="K67" s="558"/>
      <c r="L67" s="563"/>
    </row>
    <row r="68" spans="1:12" ht="17" x14ac:dyDescent="0.2">
      <c r="C68" s="566" t="s">
        <v>26</v>
      </c>
      <c r="D68" s="58">
        <f>SUM(D60:D67)</f>
        <v>31942.67515923567</v>
      </c>
      <c r="E68" s="58">
        <f t="shared" ref="E68:G68" si="10">SUM(E60:E67)</f>
        <v>0</v>
      </c>
      <c r="F68" s="58">
        <f t="shared" si="10"/>
        <v>0</v>
      </c>
      <c r="G68" s="58">
        <f t="shared" si="10"/>
        <v>31942.67515923567</v>
      </c>
      <c r="H68" s="554">
        <f>(H60*G60)+(H61*G61)+(H62*G62)+(H63*G63)+(H64*G64)+(H65*G65)+(H66*G66)+(H67*G67)</f>
        <v>14904.458598726116</v>
      </c>
      <c r="I68" s="674">
        <f>SUM(I60:I67)</f>
        <v>3841.34</v>
      </c>
      <c r="J68" s="578"/>
      <c r="K68" s="558"/>
      <c r="L68" s="561"/>
    </row>
    <row r="69" spans="1:12" ht="51" customHeight="1" x14ac:dyDescent="0.2">
      <c r="B69" s="566" t="s">
        <v>82</v>
      </c>
      <c r="C69" s="709" t="s">
        <v>83</v>
      </c>
      <c r="D69" s="709"/>
      <c r="E69" s="709"/>
      <c r="F69" s="709"/>
      <c r="G69" s="709"/>
      <c r="H69" s="709"/>
      <c r="I69" s="710"/>
      <c r="J69" s="710"/>
      <c r="K69" s="709"/>
      <c r="L69" s="560"/>
    </row>
    <row r="70" spans="1:12" ht="85" x14ac:dyDescent="0.2">
      <c r="B70" s="559" t="s">
        <v>84</v>
      </c>
      <c r="C70" s="571" t="s">
        <v>403</v>
      </c>
      <c r="D70" s="579">
        <v>18668.789808917198</v>
      </c>
      <c r="E70" s="579"/>
      <c r="F70" s="579"/>
      <c r="G70" s="556">
        <f t="shared" ref="G70:G77" si="11">D70</f>
        <v>18668.789808917198</v>
      </c>
      <c r="H70" s="553">
        <v>0.5</v>
      </c>
      <c r="I70" s="672"/>
      <c r="J70" s="589"/>
      <c r="K70" s="565"/>
      <c r="L70" s="563"/>
    </row>
    <row r="71" spans="1:12" ht="85" x14ac:dyDescent="0.2">
      <c r="B71" s="559" t="s">
        <v>86</v>
      </c>
      <c r="C71" s="571" t="s">
        <v>404</v>
      </c>
      <c r="D71" s="579">
        <v>107324.84076433121</v>
      </c>
      <c r="E71" s="579"/>
      <c r="F71" s="579"/>
      <c r="G71" s="556">
        <f t="shared" si="11"/>
        <v>107324.84076433121</v>
      </c>
      <c r="H71" s="553">
        <v>0.5</v>
      </c>
      <c r="I71" s="687"/>
      <c r="J71" s="589"/>
      <c r="K71" s="565"/>
      <c r="L71" s="563"/>
    </row>
    <row r="72" spans="1:12" ht="37.25" customHeight="1" x14ac:dyDescent="0.2">
      <c r="B72" s="559" t="s">
        <v>88</v>
      </c>
      <c r="C72" s="571" t="s">
        <v>408</v>
      </c>
      <c r="D72" s="579">
        <v>11503.184713375796</v>
      </c>
      <c r="E72" s="579"/>
      <c r="F72" s="579"/>
      <c r="G72" s="556">
        <f t="shared" si="11"/>
        <v>11503.184713375796</v>
      </c>
      <c r="H72" s="553"/>
      <c r="I72" s="687">
        <v>14434.169522182699</v>
      </c>
      <c r="J72" s="690" t="s">
        <v>973</v>
      </c>
      <c r="K72" s="565"/>
      <c r="L72" s="563"/>
    </row>
    <row r="73" spans="1:12" ht="42.5" customHeight="1" x14ac:dyDescent="0.2">
      <c r="B73" s="559" t="s">
        <v>89</v>
      </c>
      <c r="C73" s="571" t="s">
        <v>970</v>
      </c>
      <c r="D73" s="579">
        <v>4777.0700636942674</v>
      </c>
      <c r="E73" s="579"/>
      <c r="F73" s="579"/>
      <c r="G73" s="556">
        <f t="shared" si="11"/>
        <v>4777.0700636942674</v>
      </c>
      <c r="H73" s="553"/>
      <c r="I73" s="687">
        <v>8047.95</v>
      </c>
      <c r="J73" s="689" t="s">
        <v>971</v>
      </c>
      <c r="K73" s="565"/>
      <c r="L73" s="563"/>
    </row>
    <row r="74" spans="1:12" s="594" customFormat="1" ht="34" x14ac:dyDescent="0.2">
      <c r="A74" s="12"/>
      <c r="B74" s="559" t="s">
        <v>90</v>
      </c>
      <c r="C74" s="571" t="s">
        <v>413</v>
      </c>
      <c r="D74" s="579">
        <v>2866.2420382165606</v>
      </c>
      <c r="E74" s="579"/>
      <c r="F74" s="579"/>
      <c r="G74" s="556">
        <f t="shared" si="11"/>
        <v>2866.2420382165606</v>
      </c>
      <c r="H74" s="553"/>
      <c r="I74" s="687"/>
      <c r="J74" s="575"/>
      <c r="K74" s="565"/>
      <c r="L74" s="563"/>
    </row>
    <row r="75" spans="1:12" ht="34" x14ac:dyDescent="0.2">
      <c r="B75" s="559" t="s">
        <v>91</v>
      </c>
      <c r="C75" s="571" t="s">
        <v>414</v>
      </c>
      <c r="D75" s="579">
        <v>8407.6433121019109</v>
      </c>
      <c r="E75" s="579"/>
      <c r="F75" s="579"/>
      <c r="G75" s="556">
        <f t="shared" si="11"/>
        <v>8407.6433121019109</v>
      </c>
      <c r="H75" s="553">
        <v>1</v>
      </c>
      <c r="I75" s="687">
        <v>8757.4979647414293</v>
      </c>
      <c r="J75" s="689" t="s">
        <v>972</v>
      </c>
      <c r="K75" s="565"/>
      <c r="L75" s="563"/>
    </row>
    <row r="76" spans="1:12" ht="17" x14ac:dyDescent="0.2">
      <c r="B76" s="559" t="s">
        <v>92</v>
      </c>
      <c r="C76" s="572"/>
      <c r="D76" s="420">
        <v>0</v>
      </c>
      <c r="E76" s="420"/>
      <c r="F76" s="420"/>
      <c r="G76" s="556">
        <f t="shared" si="11"/>
        <v>0</v>
      </c>
      <c r="H76" s="562"/>
      <c r="I76" s="673"/>
      <c r="J76" s="420"/>
      <c r="K76" s="558"/>
      <c r="L76" s="563"/>
    </row>
    <row r="77" spans="1:12" ht="17" x14ac:dyDescent="0.2">
      <c r="B77" s="559" t="s">
        <v>93</v>
      </c>
      <c r="C77" s="572"/>
      <c r="D77" s="420">
        <v>0</v>
      </c>
      <c r="E77" s="420"/>
      <c r="F77" s="420"/>
      <c r="G77" s="556">
        <f t="shared" si="11"/>
        <v>0</v>
      </c>
      <c r="H77" s="562"/>
      <c r="I77" s="673"/>
      <c r="J77" s="420"/>
      <c r="K77" s="558"/>
      <c r="L77" s="563"/>
    </row>
    <row r="78" spans="1:12" ht="17" x14ac:dyDescent="0.2">
      <c r="C78" s="566" t="s">
        <v>26</v>
      </c>
      <c r="D78" s="58">
        <f>SUM(D70:D77)</f>
        <v>153547.77070063693</v>
      </c>
      <c r="E78" s="58">
        <f t="shared" ref="E78:G78" si="12">SUM(E70:E77)</f>
        <v>0</v>
      </c>
      <c r="F78" s="58">
        <f t="shared" si="12"/>
        <v>0</v>
      </c>
      <c r="G78" s="58">
        <f t="shared" si="12"/>
        <v>153547.77070063693</v>
      </c>
      <c r="H78" s="554">
        <f>(H70*G70)+(H71*G71)+(H72*G72)+(H73*G73)+(H74*G74)+(H75*G75)+(H76*G76)+(H77*G77)</f>
        <v>71404.458598726109</v>
      </c>
      <c r="I78" s="674">
        <f>SUM(I70:I77)</f>
        <v>31239.617486924129</v>
      </c>
      <c r="J78" s="578"/>
      <c r="K78" s="558"/>
      <c r="L78" s="561"/>
    </row>
    <row r="79" spans="1:12" ht="51" customHeight="1" x14ac:dyDescent="0.2">
      <c r="B79" s="566" t="s">
        <v>94</v>
      </c>
      <c r="C79" s="711"/>
      <c r="D79" s="711"/>
      <c r="E79" s="711"/>
      <c r="F79" s="711"/>
      <c r="G79" s="711"/>
      <c r="H79" s="711"/>
      <c r="I79" s="712"/>
      <c r="J79" s="712"/>
      <c r="K79" s="711"/>
      <c r="L79" s="560"/>
    </row>
    <row r="80" spans="1:12" ht="17" x14ac:dyDescent="0.2">
      <c r="B80" s="559" t="s">
        <v>95</v>
      </c>
      <c r="C80" s="571">
        <v>0</v>
      </c>
      <c r="D80" s="579">
        <v>0</v>
      </c>
      <c r="E80" s="579"/>
      <c r="F80" s="579"/>
      <c r="G80" s="556">
        <f t="shared" ref="G80:G87" si="13">D80</f>
        <v>0</v>
      </c>
      <c r="H80" s="553"/>
      <c r="I80" s="672"/>
      <c r="J80" s="579"/>
      <c r="K80" s="565"/>
      <c r="L80" s="563"/>
    </row>
    <row r="81" spans="2:12" ht="17" x14ac:dyDescent="0.2">
      <c r="B81" s="559" t="s">
        <v>96</v>
      </c>
      <c r="C81" s="571" t="s">
        <v>416</v>
      </c>
      <c r="D81" s="579">
        <v>0</v>
      </c>
      <c r="E81" s="579"/>
      <c r="F81" s="579"/>
      <c r="G81" s="556">
        <f t="shared" si="13"/>
        <v>0</v>
      </c>
      <c r="H81" s="553"/>
      <c r="I81" s="672"/>
      <c r="J81" s="579"/>
      <c r="K81" s="565"/>
      <c r="L81" s="563"/>
    </row>
    <row r="82" spans="2:12" ht="17" x14ac:dyDescent="0.2">
      <c r="B82" s="559" t="s">
        <v>97</v>
      </c>
      <c r="C82" s="571" t="s">
        <v>417</v>
      </c>
      <c r="D82" s="579">
        <v>0</v>
      </c>
      <c r="E82" s="579"/>
      <c r="F82" s="579"/>
      <c r="G82" s="556">
        <f t="shared" si="13"/>
        <v>0</v>
      </c>
      <c r="H82" s="553"/>
      <c r="I82" s="672"/>
      <c r="J82" s="579"/>
      <c r="K82" s="565"/>
      <c r="L82" s="563"/>
    </row>
    <row r="83" spans="2:12" ht="17" x14ac:dyDescent="0.2">
      <c r="B83" s="559" t="s">
        <v>98</v>
      </c>
      <c r="C83" s="571" t="s">
        <v>418</v>
      </c>
      <c r="D83" s="579">
        <v>0</v>
      </c>
      <c r="E83" s="579"/>
      <c r="F83" s="579"/>
      <c r="G83" s="556">
        <f t="shared" si="13"/>
        <v>0</v>
      </c>
      <c r="H83" s="553"/>
      <c r="I83" s="672"/>
      <c r="J83" s="579"/>
      <c r="K83" s="565"/>
      <c r="L83" s="563"/>
    </row>
    <row r="84" spans="2:12" ht="17" x14ac:dyDescent="0.2">
      <c r="B84" s="559" t="s">
        <v>99</v>
      </c>
      <c r="C84" s="571" t="s">
        <v>419</v>
      </c>
      <c r="D84" s="579">
        <v>0</v>
      </c>
      <c r="E84" s="579"/>
      <c r="F84" s="579"/>
      <c r="G84" s="556">
        <f t="shared" si="13"/>
        <v>0</v>
      </c>
      <c r="H84" s="553"/>
      <c r="I84" s="672"/>
      <c r="J84" s="579"/>
      <c r="K84" s="565"/>
      <c r="L84" s="563"/>
    </row>
    <row r="85" spans="2:12" ht="17" x14ac:dyDescent="0.2">
      <c r="B85" s="559" t="s">
        <v>100</v>
      </c>
      <c r="C85" s="571" t="s">
        <v>420</v>
      </c>
      <c r="D85" s="579">
        <v>0</v>
      </c>
      <c r="E85" s="579"/>
      <c r="F85" s="579"/>
      <c r="G85" s="556">
        <f t="shared" si="13"/>
        <v>0</v>
      </c>
      <c r="H85" s="553"/>
      <c r="I85" s="672"/>
      <c r="J85" s="579"/>
      <c r="K85" s="565"/>
      <c r="L85" s="563"/>
    </row>
    <row r="86" spans="2:12" ht="17" x14ac:dyDescent="0.2">
      <c r="B86" s="559" t="s">
        <v>101</v>
      </c>
      <c r="C86" s="572" t="s">
        <v>421</v>
      </c>
      <c r="D86" s="420">
        <v>0</v>
      </c>
      <c r="E86" s="420"/>
      <c r="F86" s="420"/>
      <c r="G86" s="556">
        <f t="shared" si="13"/>
        <v>0</v>
      </c>
      <c r="H86" s="562"/>
      <c r="I86" s="673"/>
      <c r="J86" s="420"/>
      <c r="K86" s="558"/>
      <c r="L86" s="563"/>
    </row>
    <row r="87" spans="2:12" ht="17" x14ac:dyDescent="0.2">
      <c r="B87" s="559" t="s">
        <v>102</v>
      </c>
      <c r="C87" s="572" t="s">
        <v>422</v>
      </c>
      <c r="D87" s="420">
        <v>0</v>
      </c>
      <c r="E87" s="420"/>
      <c r="F87" s="420"/>
      <c r="G87" s="556">
        <f t="shared" si="13"/>
        <v>0</v>
      </c>
      <c r="H87" s="562"/>
      <c r="I87" s="673"/>
      <c r="J87" s="420"/>
      <c r="K87" s="558"/>
      <c r="L87" s="563"/>
    </row>
    <row r="88" spans="2:12" ht="17" x14ac:dyDescent="0.2">
      <c r="C88" s="566" t="s">
        <v>26</v>
      </c>
      <c r="D88" s="554">
        <f>SUM(D80:D87)</f>
        <v>0</v>
      </c>
      <c r="E88" s="554">
        <f t="shared" ref="E88:G88" si="14">SUM(E80:E87)</f>
        <v>0</v>
      </c>
      <c r="F88" s="554">
        <f t="shared" si="14"/>
        <v>0</v>
      </c>
      <c r="G88" s="554">
        <f t="shared" si="14"/>
        <v>0</v>
      </c>
      <c r="H88" s="554">
        <f>(H80*G80)+(H81*G81)+(H82*G82)+(H83*G83)+(H84*G84)+(H85*G85)+(H86*G86)+(H87*G87)</f>
        <v>0</v>
      </c>
      <c r="I88" s="674">
        <f>SUM(I80:I87)</f>
        <v>0</v>
      </c>
      <c r="J88" s="578"/>
      <c r="K88" s="558"/>
      <c r="L88" s="561"/>
    </row>
    <row r="89" spans="2:12" ht="15.75" customHeight="1" x14ac:dyDescent="0.2">
      <c r="B89" s="597"/>
      <c r="C89" s="595"/>
      <c r="D89" s="421"/>
      <c r="E89" s="421"/>
      <c r="F89" s="421"/>
      <c r="G89" s="421"/>
      <c r="H89" s="421"/>
      <c r="I89" s="676"/>
      <c r="J89" s="421"/>
      <c r="K89" s="595"/>
      <c r="L89" s="598"/>
    </row>
    <row r="90" spans="2:12" ht="51" customHeight="1" x14ac:dyDescent="0.2">
      <c r="B90" s="566" t="s">
        <v>103</v>
      </c>
      <c r="C90" s="709" t="s">
        <v>104</v>
      </c>
      <c r="D90" s="709"/>
      <c r="E90" s="709"/>
      <c r="F90" s="709"/>
      <c r="G90" s="709"/>
      <c r="H90" s="709"/>
      <c r="I90" s="710"/>
      <c r="J90" s="710"/>
      <c r="K90" s="709"/>
      <c r="L90" s="564"/>
    </row>
    <row r="91" spans="2:12" ht="51" customHeight="1" x14ac:dyDescent="0.2">
      <c r="B91" s="566" t="s">
        <v>105</v>
      </c>
      <c r="C91" s="709" t="s">
        <v>106</v>
      </c>
      <c r="D91" s="709"/>
      <c r="E91" s="709"/>
      <c r="F91" s="709"/>
      <c r="G91" s="709"/>
      <c r="H91" s="709"/>
      <c r="I91" s="710"/>
      <c r="J91" s="710"/>
      <c r="K91" s="709"/>
      <c r="L91" s="560"/>
    </row>
    <row r="92" spans="2:12" ht="34" x14ac:dyDescent="0.2">
      <c r="B92" s="559" t="s">
        <v>107</v>
      </c>
      <c r="C92" s="571" t="s">
        <v>425</v>
      </c>
      <c r="D92" s="579">
        <v>81528.66242038217</v>
      </c>
      <c r="E92" s="579"/>
      <c r="F92" s="579"/>
      <c r="G92" s="556">
        <f t="shared" ref="G92:G99" si="15">D92</f>
        <v>81528.66242038217</v>
      </c>
      <c r="H92" s="553">
        <v>0.5</v>
      </c>
      <c r="I92" s="672"/>
      <c r="J92" s="575"/>
      <c r="K92" s="565"/>
      <c r="L92" s="563"/>
    </row>
    <row r="93" spans="2:12" ht="85" x14ac:dyDescent="0.2">
      <c r="B93" s="559" t="s">
        <v>109</v>
      </c>
      <c r="C93" s="571" t="s">
        <v>433</v>
      </c>
      <c r="D93" s="579">
        <v>71464.968152866233</v>
      </c>
      <c r="E93" s="579"/>
      <c r="F93" s="579"/>
      <c r="G93" s="556">
        <f t="shared" si="15"/>
        <v>71464.968152866233</v>
      </c>
      <c r="H93" s="553">
        <v>1</v>
      </c>
      <c r="I93" s="672"/>
      <c r="J93" s="575"/>
      <c r="K93" s="565"/>
      <c r="L93" s="563"/>
    </row>
    <row r="94" spans="2:12" ht="17" x14ac:dyDescent="0.2">
      <c r="B94" s="559" t="s">
        <v>110</v>
      </c>
      <c r="C94" s="518"/>
      <c r="D94" s="579"/>
      <c r="E94" s="579"/>
      <c r="F94" s="579"/>
      <c r="G94" s="556">
        <f t="shared" si="15"/>
        <v>0</v>
      </c>
      <c r="H94" s="553"/>
      <c r="I94" s="672"/>
      <c r="J94" s="575"/>
      <c r="K94" s="565"/>
      <c r="L94" s="563"/>
    </row>
    <row r="95" spans="2:12" ht="17" x14ac:dyDescent="0.2">
      <c r="B95" s="559" t="s">
        <v>111</v>
      </c>
      <c r="C95" s="518"/>
      <c r="D95" s="579"/>
      <c r="E95" s="579"/>
      <c r="F95" s="579"/>
      <c r="G95" s="556">
        <f t="shared" si="15"/>
        <v>0</v>
      </c>
      <c r="H95" s="553"/>
      <c r="I95" s="672"/>
      <c r="J95" s="575"/>
      <c r="K95" s="565"/>
      <c r="L95" s="563"/>
    </row>
    <row r="96" spans="2:12" ht="17" x14ac:dyDescent="0.2">
      <c r="B96" s="559" t="s">
        <v>112</v>
      </c>
      <c r="C96" s="518"/>
      <c r="D96" s="579"/>
      <c r="E96" s="579"/>
      <c r="F96" s="579"/>
      <c r="G96" s="556">
        <f t="shared" si="15"/>
        <v>0</v>
      </c>
      <c r="H96" s="553"/>
      <c r="I96" s="672"/>
      <c r="J96" s="575"/>
      <c r="K96" s="565"/>
      <c r="L96" s="563"/>
    </row>
    <row r="97" spans="2:12" ht="17" x14ac:dyDescent="0.2">
      <c r="B97" s="559" t="s">
        <v>113</v>
      </c>
      <c r="C97" s="571"/>
      <c r="D97" s="579"/>
      <c r="E97" s="579"/>
      <c r="F97" s="579"/>
      <c r="G97" s="556">
        <f t="shared" si="15"/>
        <v>0</v>
      </c>
      <c r="H97" s="553"/>
      <c r="I97" s="672"/>
      <c r="J97" s="575"/>
      <c r="K97" s="565"/>
      <c r="L97" s="563"/>
    </row>
    <row r="98" spans="2:12" ht="17" x14ac:dyDescent="0.2">
      <c r="B98" s="559" t="s">
        <v>114</v>
      </c>
      <c r="C98" s="572"/>
      <c r="D98" s="420"/>
      <c r="E98" s="420"/>
      <c r="F98" s="420"/>
      <c r="G98" s="556">
        <f t="shared" si="15"/>
        <v>0</v>
      </c>
      <c r="H98" s="562"/>
      <c r="I98" s="673"/>
      <c r="J98" s="420"/>
      <c r="K98" s="558"/>
      <c r="L98" s="563"/>
    </row>
    <row r="99" spans="2:12" ht="17" x14ac:dyDescent="0.2">
      <c r="B99" s="559" t="s">
        <v>115</v>
      </c>
      <c r="C99" s="572"/>
      <c r="D99" s="420"/>
      <c r="E99" s="420"/>
      <c r="F99" s="420"/>
      <c r="G99" s="556">
        <f t="shared" si="15"/>
        <v>0</v>
      </c>
      <c r="H99" s="562"/>
      <c r="I99" s="673"/>
      <c r="J99" s="420"/>
      <c r="K99" s="558"/>
      <c r="L99" s="563"/>
    </row>
    <row r="100" spans="2:12" ht="17" x14ac:dyDescent="0.2">
      <c r="C100" s="566" t="s">
        <v>26</v>
      </c>
      <c r="D100" s="554">
        <f>SUM(D92:D99)</f>
        <v>152993.6305732484</v>
      </c>
      <c r="E100" s="554">
        <f t="shared" ref="E100:G100" si="16">SUM(E92:E99)</f>
        <v>0</v>
      </c>
      <c r="F100" s="554">
        <f t="shared" si="16"/>
        <v>0</v>
      </c>
      <c r="G100" s="58">
        <f t="shared" si="16"/>
        <v>152993.6305732484</v>
      </c>
      <c r="H100" s="554">
        <f>(H92*G92)+(H93*G93)+(H94*G94)+(H95*G95)+(H96*G96)+(H97*G97)+(H98*G98)+(H99*G99)</f>
        <v>112229.29936305732</v>
      </c>
      <c r="I100" s="674">
        <f>SUM(I92:I99)</f>
        <v>0</v>
      </c>
      <c r="J100" s="578"/>
      <c r="K100" s="558"/>
      <c r="L100" s="561"/>
    </row>
    <row r="101" spans="2:12" ht="51" customHeight="1" x14ac:dyDescent="0.2">
      <c r="B101" s="566" t="s">
        <v>116</v>
      </c>
      <c r="C101" s="709" t="s">
        <v>117</v>
      </c>
      <c r="D101" s="709"/>
      <c r="E101" s="709"/>
      <c r="F101" s="709"/>
      <c r="G101" s="709"/>
      <c r="H101" s="709"/>
      <c r="I101" s="710"/>
      <c r="J101" s="710"/>
      <c r="K101" s="709"/>
      <c r="L101" s="560"/>
    </row>
    <row r="102" spans="2:12" ht="85" x14ac:dyDescent="0.2">
      <c r="B102" s="559" t="s">
        <v>118</v>
      </c>
      <c r="C102" s="571" t="s">
        <v>441</v>
      </c>
      <c r="D102" s="579">
        <v>11401.27388535032</v>
      </c>
      <c r="E102" s="579"/>
      <c r="F102" s="579"/>
      <c r="G102" s="556">
        <f t="shared" ref="G102:G109" si="17">D102</f>
        <v>11401.27388535032</v>
      </c>
      <c r="H102" s="553">
        <v>1</v>
      </c>
      <c r="I102" s="672"/>
      <c r="J102" s="579"/>
      <c r="K102" s="565"/>
      <c r="L102" s="563"/>
    </row>
    <row r="103" spans="2:12" ht="17" x14ac:dyDescent="0.2">
      <c r="B103" s="559" t="s">
        <v>119</v>
      </c>
      <c r="C103" s="571"/>
      <c r="D103" s="579">
        <v>0</v>
      </c>
      <c r="E103" s="579"/>
      <c r="F103" s="579"/>
      <c r="G103" s="556">
        <f t="shared" si="17"/>
        <v>0</v>
      </c>
      <c r="H103" s="553"/>
      <c r="I103" s="672"/>
      <c r="J103" s="579"/>
      <c r="K103" s="565"/>
      <c r="L103" s="563"/>
    </row>
    <row r="104" spans="2:12" ht="17" x14ac:dyDescent="0.2">
      <c r="B104" s="559" t="s">
        <v>120</v>
      </c>
      <c r="C104" s="571"/>
      <c r="D104" s="579">
        <v>0</v>
      </c>
      <c r="E104" s="579"/>
      <c r="F104" s="579"/>
      <c r="G104" s="556">
        <f t="shared" si="17"/>
        <v>0</v>
      </c>
      <c r="H104" s="553"/>
      <c r="I104" s="672"/>
      <c r="J104" s="579"/>
      <c r="K104" s="565"/>
      <c r="L104" s="563"/>
    </row>
    <row r="105" spans="2:12" ht="17" x14ac:dyDescent="0.2">
      <c r="B105" s="559" t="s">
        <v>121</v>
      </c>
      <c r="C105" s="571"/>
      <c r="D105" s="579">
        <v>0</v>
      </c>
      <c r="E105" s="579"/>
      <c r="F105" s="579"/>
      <c r="G105" s="556">
        <f t="shared" si="17"/>
        <v>0</v>
      </c>
      <c r="H105" s="553"/>
      <c r="I105" s="672"/>
      <c r="J105" s="579"/>
      <c r="K105" s="565"/>
      <c r="L105" s="563"/>
    </row>
    <row r="106" spans="2:12" ht="17" x14ac:dyDescent="0.2">
      <c r="B106" s="559" t="s">
        <v>122</v>
      </c>
      <c r="C106" s="571"/>
      <c r="D106" s="579">
        <v>0</v>
      </c>
      <c r="E106" s="579"/>
      <c r="F106" s="579"/>
      <c r="G106" s="556">
        <f t="shared" si="17"/>
        <v>0</v>
      </c>
      <c r="H106" s="553"/>
      <c r="I106" s="672"/>
      <c r="J106" s="579"/>
      <c r="K106" s="565"/>
      <c r="L106" s="563"/>
    </row>
    <row r="107" spans="2:12" ht="17" x14ac:dyDescent="0.2">
      <c r="B107" s="559" t="s">
        <v>123</v>
      </c>
      <c r="C107" s="571"/>
      <c r="D107" s="579">
        <v>0</v>
      </c>
      <c r="E107" s="579"/>
      <c r="F107" s="579"/>
      <c r="G107" s="556">
        <f t="shared" si="17"/>
        <v>0</v>
      </c>
      <c r="H107" s="553"/>
      <c r="I107" s="672"/>
      <c r="J107" s="579"/>
      <c r="K107" s="565"/>
      <c r="L107" s="563"/>
    </row>
    <row r="108" spans="2:12" ht="17" x14ac:dyDescent="0.2">
      <c r="B108" s="559" t="s">
        <v>124</v>
      </c>
      <c r="C108" s="572"/>
      <c r="D108" s="420">
        <v>0</v>
      </c>
      <c r="E108" s="420"/>
      <c r="F108" s="420"/>
      <c r="G108" s="556">
        <f t="shared" si="17"/>
        <v>0</v>
      </c>
      <c r="H108" s="562"/>
      <c r="I108" s="673"/>
      <c r="J108" s="420"/>
      <c r="K108" s="558"/>
      <c r="L108" s="563"/>
    </row>
    <row r="109" spans="2:12" ht="17" x14ac:dyDescent="0.2">
      <c r="B109" s="559" t="s">
        <v>125</v>
      </c>
      <c r="C109" s="572"/>
      <c r="D109" s="420">
        <v>0</v>
      </c>
      <c r="E109" s="420"/>
      <c r="F109" s="420"/>
      <c r="G109" s="556">
        <f t="shared" si="17"/>
        <v>0</v>
      </c>
      <c r="H109" s="562"/>
      <c r="I109" s="673"/>
      <c r="J109" s="420"/>
      <c r="K109" s="558"/>
      <c r="L109" s="563"/>
    </row>
    <row r="110" spans="2:12" ht="17" x14ac:dyDescent="0.2">
      <c r="C110" s="566" t="s">
        <v>26</v>
      </c>
      <c r="D110" s="58">
        <f>SUM(D102:D109)</f>
        <v>11401.27388535032</v>
      </c>
      <c r="E110" s="58">
        <f t="shared" ref="E110:G110" si="18">SUM(E102:E109)</f>
        <v>0</v>
      </c>
      <c r="F110" s="58">
        <f t="shared" si="18"/>
        <v>0</v>
      </c>
      <c r="G110" s="58">
        <f t="shared" si="18"/>
        <v>11401.27388535032</v>
      </c>
      <c r="H110" s="554">
        <f>(H102*G102)+(H103*G103)+(H104*G104)+(H105*G105)+(H106*G106)+(H107*G107)+(H108*G108)+(H109*G109)</f>
        <v>11401.27388535032</v>
      </c>
      <c r="I110" s="674">
        <f>SUM(I102:I109)</f>
        <v>0</v>
      </c>
      <c r="J110" s="578"/>
      <c r="K110" s="558"/>
      <c r="L110" s="561"/>
    </row>
    <row r="111" spans="2:12" ht="51" customHeight="1" x14ac:dyDescent="0.2">
      <c r="B111" s="566" t="s">
        <v>126</v>
      </c>
      <c r="C111" s="709" t="s">
        <v>127</v>
      </c>
      <c r="D111" s="709"/>
      <c r="E111" s="709"/>
      <c r="F111" s="709"/>
      <c r="G111" s="709"/>
      <c r="H111" s="709"/>
      <c r="I111" s="710"/>
      <c r="J111" s="710"/>
      <c r="K111" s="709"/>
      <c r="L111" s="560"/>
    </row>
    <row r="112" spans="2:12" ht="50" customHeight="1" x14ac:dyDescent="0.2">
      <c r="B112" s="559" t="s">
        <v>128</v>
      </c>
      <c r="C112" s="571" t="s">
        <v>443</v>
      </c>
      <c r="D112" s="579">
        <v>11783.43949044586</v>
      </c>
      <c r="E112" s="579"/>
      <c r="F112" s="579"/>
      <c r="G112" s="556">
        <f t="shared" ref="G112:G119" si="19">D112</f>
        <v>11783.43949044586</v>
      </c>
      <c r="H112" s="553">
        <v>1</v>
      </c>
      <c r="I112" s="672"/>
      <c r="J112" s="579"/>
      <c r="K112" s="565"/>
      <c r="L112" s="563"/>
    </row>
    <row r="113" spans="2:12" ht="17" x14ac:dyDescent="0.2">
      <c r="B113" s="559" t="s">
        <v>129</v>
      </c>
      <c r="C113" s="571" t="s">
        <v>446</v>
      </c>
      <c r="D113" s="579">
        <v>4777.0700636942674</v>
      </c>
      <c r="E113" s="579"/>
      <c r="F113" s="579"/>
      <c r="G113" s="556">
        <f t="shared" si="19"/>
        <v>4777.0700636942674</v>
      </c>
      <c r="H113" s="553">
        <v>0.5</v>
      </c>
      <c r="I113" s="672"/>
      <c r="J113" s="575"/>
      <c r="K113" s="565"/>
      <c r="L113" s="563"/>
    </row>
    <row r="114" spans="2:12" ht="17" x14ac:dyDescent="0.2">
      <c r="B114" s="559" t="s">
        <v>130</v>
      </c>
      <c r="C114" s="571"/>
      <c r="D114" s="579">
        <v>0</v>
      </c>
      <c r="E114" s="579"/>
      <c r="F114" s="579"/>
      <c r="G114" s="556">
        <f t="shared" si="19"/>
        <v>0</v>
      </c>
      <c r="H114" s="553"/>
      <c r="I114" s="672"/>
      <c r="J114" s="579"/>
      <c r="K114" s="565"/>
      <c r="L114" s="563"/>
    </row>
    <row r="115" spans="2:12" ht="17" x14ac:dyDescent="0.2">
      <c r="B115" s="559" t="s">
        <v>131</v>
      </c>
      <c r="C115" s="571"/>
      <c r="D115" s="579">
        <v>0</v>
      </c>
      <c r="E115" s="579"/>
      <c r="F115" s="579"/>
      <c r="G115" s="556">
        <f t="shared" si="19"/>
        <v>0</v>
      </c>
      <c r="H115" s="553"/>
      <c r="I115" s="672"/>
      <c r="J115" s="579"/>
      <c r="K115" s="565"/>
      <c r="L115" s="563"/>
    </row>
    <row r="116" spans="2:12" ht="17" x14ac:dyDescent="0.2">
      <c r="B116" s="559" t="s">
        <v>132</v>
      </c>
      <c r="C116" s="571"/>
      <c r="D116" s="579">
        <v>0</v>
      </c>
      <c r="E116" s="579"/>
      <c r="F116" s="579"/>
      <c r="G116" s="556">
        <f t="shared" si="19"/>
        <v>0</v>
      </c>
      <c r="H116" s="553"/>
      <c r="I116" s="672"/>
      <c r="J116" s="579"/>
      <c r="K116" s="565"/>
      <c r="L116" s="563"/>
    </row>
    <row r="117" spans="2:12" ht="17" x14ac:dyDescent="0.2">
      <c r="B117" s="559" t="s">
        <v>133</v>
      </c>
      <c r="C117" s="571"/>
      <c r="D117" s="579">
        <v>0</v>
      </c>
      <c r="E117" s="579"/>
      <c r="F117" s="579"/>
      <c r="G117" s="556">
        <f t="shared" si="19"/>
        <v>0</v>
      </c>
      <c r="H117" s="553"/>
      <c r="I117" s="672"/>
      <c r="J117" s="579"/>
      <c r="K117" s="565"/>
      <c r="L117" s="563"/>
    </row>
    <row r="118" spans="2:12" ht="17" x14ac:dyDescent="0.2">
      <c r="B118" s="559" t="s">
        <v>134</v>
      </c>
      <c r="C118" s="572"/>
      <c r="D118" s="420">
        <v>0</v>
      </c>
      <c r="E118" s="420"/>
      <c r="F118" s="420"/>
      <c r="G118" s="556">
        <f t="shared" si="19"/>
        <v>0</v>
      </c>
      <c r="H118" s="562"/>
      <c r="I118" s="673"/>
      <c r="J118" s="420"/>
      <c r="K118" s="558"/>
      <c r="L118" s="563"/>
    </row>
    <row r="119" spans="2:12" ht="17" x14ac:dyDescent="0.2">
      <c r="B119" s="559" t="s">
        <v>135</v>
      </c>
      <c r="C119" s="572"/>
      <c r="D119" s="420">
        <v>0</v>
      </c>
      <c r="E119" s="420"/>
      <c r="F119" s="420"/>
      <c r="G119" s="556">
        <f t="shared" si="19"/>
        <v>0</v>
      </c>
      <c r="H119" s="562"/>
      <c r="I119" s="673"/>
      <c r="J119" s="420"/>
      <c r="K119" s="558"/>
      <c r="L119" s="563"/>
    </row>
    <row r="120" spans="2:12" ht="17" x14ac:dyDescent="0.2">
      <c r="C120" s="566" t="s">
        <v>26</v>
      </c>
      <c r="D120" s="58">
        <f>SUM(D112:D119)</f>
        <v>16560.509554140128</v>
      </c>
      <c r="E120" s="58">
        <f t="shared" ref="E120:G120" si="20">SUM(E112:E119)</f>
        <v>0</v>
      </c>
      <c r="F120" s="58">
        <f t="shared" si="20"/>
        <v>0</v>
      </c>
      <c r="G120" s="58">
        <f t="shared" si="20"/>
        <v>16560.509554140128</v>
      </c>
      <c r="H120" s="554">
        <f>(H112*G112)+(H113*G113)+(H114*G114)+(H115*G115)+(H116*G116)+(H117*G117)+(H118*G118)+(H119*G119)</f>
        <v>14171.974522292994</v>
      </c>
      <c r="I120" s="674">
        <f>SUM(I112:I119)</f>
        <v>0</v>
      </c>
      <c r="J120" s="578"/>
      <c r="K120" s="558"/>
      <c r="L120" s="561"/>
    </row>
    <row r="121" spans="2:12" ht="51" hidden="1" customHeight="1" x14ac:dyDescent="0.2">
      <c r="B121" s="566" t="s">
        <v>136</v>
      </c>
      <c r="C121" s="711"/>
      <c r="D121" s="711"/>
      <c r="E121" s="711"/>
      <c r="F121" s="711"/>
      <c r="G121" s="711"/>
      <c r="H121" s="711"/>
      <c r="I121" s="712"/>
      <c r="J121" s="712"/>
      <c r="K121" s="711"/>
      <c r="L121" s="560"/>
    </row>
    <row r="122" spans="2:12" ht="17" hidden="1" x14ac:dyDescent="0.2">
      <c r="B122" s="559" t="s">
        <v>137</v>
      </c>
      <c r="C122" s="571">
        <f>'Outcom 3'!A202</f>
        <v>0</v>
      </c>
      <c r="D122" s="579">
        <f>'Outcom 3'!H210</f>
        <v>0</v>
      </c>
      <c r="E122" s="579"/>
      <c r="F122" s="579"/>
      <c r="G122" s="556">
        <f t="shared" ref="G122:G129" si="21">D122</f>
        <v>0</v>
      </c>
      <c r="H122" s="553"/>
      <c r="I122" s="672"/>
      <c r="J122" s="579"/>
      <c r="K122" s="565"/>
      <c r="L122" s="563"/>
    </row>
    <row r="123" spans="2:12" ht="17" hidden="1" x14ac:dyDescent="0.2">
      <c r="B123" s="559" t="s">
        <v>138</v>
      </c>
      <c r="C123" s="571">
        <f>'Outcom 3'!A211</f>
        <v>0</v>
      </c>
      <c r="D123" s="579">
        <f>'Outcom 3'!H219</f>
        <v>0</v>
      </c>
      <c r="E123" s="579"/>
      <c r="F123" s="579"/>
      <c r="G123" s="556">
        <f t="shared" si="21"/>
        <v>0</v>
      </c>
      <c r="H123" s="553"/>
      <c r="I123" s="672"/>
      <c r="J123" s="579"/>
      <c r="K123" s="565"/>
      <c r="L123" s="563"/>
    </row>
    <row r="124" spans="2:12" ht="17" hidden="1" x14ac:dyDescent="0.2">
      <c r="B124" s="559" t="s">
        <v>139</v>
      </c>
      <c r="C124" s="571">
        <f>'Outcom 3'!A220</f>
        <v>0</v>
      </c>
      <c r="D124" s="579">
        <f>'Outcom 3'!H228</f>
        <v>0</v>
      </c>
      <c r="E124" s="579"/>
      <c r="F124" s="579"/>
      <c r="G124" s="556">
        <f t="shared" si="21"/>
        <v>0</v>
      </c>
      <c r="H124" s="553"/>
      <c r="I124" s="672"/>
      <c r="J124" s="579"/>
      <c r="K124" s="565"/>
      <c r="L124" s="563"/>
    </row>
    <row r="125" spans="2:12" ht="17" hidden="1" x14ac:dyDescent="0.2">
      <c r="B125" s="559" t="s">
        <v>140</v>
      </c>
      <c r="C125" s="571">
        <f>'Outcom 3'!A229</f>
        <v>0</v>
      </c>
      <c r="D125" s="579">
        <f>'Outcom 3'!H237</f>
        <v>0</v>
      </c>
      <c r="E125" s="579"/>
      <c r="F125" s="579"/>
      <c r="G125" s="556">
        <f t="shared" si="21"/>
        <v>0</v>
      </c>
      <c r="H125" s="553"/>
      <c r="I125" s="672"/>
      <c r="J125" s="579"/>
      <c r="K125" s="565"/>
      <c r="L125" s="563"/>
    </row>
    <row r="126" spans="2:12" ht="17" hidden="1" x14ac:dyDescent="0.2">
      <c r="B126" s="559" t="s">
        <v>141</v>
      </c>
      <c r="C126" s="571">
        <f>'Outcom 3'!A238</f>
        <v>0</v>
      </c>
      <c r="D126" s="579">
        <f>'Outcom 3'!H246</f>
        <v>0</v>
      </c>
      <c r="E126" s="579"/>
      <c r="F126" s="579"/>
      <c r="G126" s="556">
        <f t="shared" si="21"/>
        <v>0</v>
      </c>
      <c r="H126" s="553"/>
      <c r="I126" s="672"/>
      <c r="J126" s="579"/>
      <c r="K126" s="565"/>
      <c r="L126" s="563"/>
    </row>
    <row r="127" spans="2:12" ht="17" hidden="1" x14ac:dyDescent="0.2">
      <c r="B127" s="559" t="s">
        <v>142</v>
      </c>
      <c r="C127" s="571">
        <f>'Outcom 3'!A247</f>
        <v>0</v>
      </c>
      <c r="D127" s="579">
        <f>'Outcom 3'!H255</f>
        <v>0</v>
      </c>
      <c r="E127" s="579"/>
      <c r="F127" s="579"/>
      <c r="G127" s="556">
        <f t="shared" si="21"/>
        <v>0</v>
      </c>
      <c r="H127" s="553"/>
      <c r="I127" s="672"/>
      <c r="J127" s="579"/>
      <c r="K127" s="565"/>
      <c r="L127" s="563"/>
    </row>
    <row r="128" spans="2:12" ht="17" hidden="1" x14ac:dyDescent="0.2">
      <c r="B128" s="559" t="s">
        <v>143</v>
      </c>
      <c r="C128" s="572">
        <f>'Outcom 3'!A256</f>
        <v>0</v>
      </c>
      <c r="D128" s="420">
        <f>'Outcom 3'!H264</f>
        <v>0</v>
      </c>
      <c r="E128" s="420"/>
      <c r="F128" s="420"/>
      <c r="G128" s="556">
        <f t="shared" si="21"/>
        <v>0</v>
      </c>
      <c r="H128" s="562"/>
      <c r="I128" s="673"/>
      <c r="J128" s="420"/>
      <c r="K128" s="558"/>
      <c r="L128" s="563"/>
    </row>
    <row r="129" spans="2:12" ht="17" hidden="1" x14ac:dyDescent="0.2">
      <c r="B129" s="559" t="s">
        <v>144</v>
      </c>
      <c r="C129" s="572">
        <f>'Outcom 3'!A265</f>
        <v>0</v>
      </c>
      <c r="D129" s="420">
        <f>'Outcom 3'!H273</f>
        <v>0</v>
      </c>
      <c r="E129" s="420"/>
      <c r="F129" s="420"/>
      <c r="G129" s="556">
        <f t="shared" si="21"/>
        <v>0</v>
      </c>
      <c r="H129" s="562"/>
      <c r="I129" s="673"/>
      <c r="J129" s="420"/>
      <c r="K129" s="558"/>
      <c r="L129" s="563"/>
    </row>
    <row r="130" spans="2:12" ht="17" hidden="1" x14ac:dyDescent="0.2">
      <c r="C130" s="566" t="s">
        <v>26</v>
      </c>
      <c r="D130" s="554">
        <f>SUM(D122:D129)</f>
        <v>0</v>
      </c>
      <c r="E130" s="554">
        <f t="shared" ref="E130:G130" si="22">SUM(E122:E129)</f>
        <v>0</v>
      </c>
      <c r="F130" s="554">
        <f t="shared" si="22"/>
        <v>0</v>
      </c>
      <c r="G130" s="554">
        <f t="shared" si="22"/>
        <v>0</v>
      </c>
      <c r="H130" s="554">
        <f>(H122*G122)+(H123*G123)+(H124*G124)+(H125*G125)+(H126*G126)+(H127*G127)+(H128*G128)+(H129*G129)</f>
        <v>0</v>
      </c>
      <c r="I130" s="674">
        <f>SUM(I122:I129)</f>
        <v>0</v>
      </c>
      <c r="J130" s="578"/>
      <c r="K130" s="558"/>
      <c r="L130" s="561"/>
    </row>
    <row r="131" spans="2:12" ht="15.75" hidden="1" customHeight="1" x14ac:dyDescent="0.2">
      <c r="B131" s="597"/>
      <c r="C131" s="595"/>
      <c r="D131" s="421"/>
      <c r="E131" s="421"/>
      <c r="F131" s="421"/>
      <c r="G131" s="421"/>
      <c r="H131" s="421"/>
      <c r="I131" s="676"/>
      <c r="J131" s="421"/>
      <c r="K131" s="599"/>
      <c r="L131" s="598"/>
    </row>
    <row r="132" spans="2:12" ht="51" hidden="1" customHeight="1" x14ac:dyDescent="0.2">
      <c r="B132" s="566" t="s">
        <v>145</v>
      </c>
      <c r="C132" s="709"/>
      <c r="D132" s="709"/>
      <c r="E132" s="709"/>
      <c r="F132" s="709"/>
      <c r="G132" s="709"/>
      <c r="H132" s="709"/>
      <c r="I132" s="710"/>
      <c r="J132" s="710"/>
      <c r="K132" s="709"/>
      <c r="L132" s="564"/>
    </row>
    <row r="133" spans="2:12" ht="51" hidden="1" customHeight="1" x14ac:dyDescent="0.2">
      <c r="B133" s="566" t="s">
        <v>146</v>
      </c>
      <c r="C133" s="711"/>
      <c r="D133" s="711"/>
      <c r="E133" s="711"/>
      <c r="F133" s="711"/>
      <c r="G133" s="711"/>
      <c r="H133" s="711"/>
      <c r="I133" s="712"/>
      <c r="J133" s="712"/>
      <c r="K133" s="711"/>
      <c r="L133" s="560"/>
    </row>
    <row r="134" spans="2:12" ht="17" hidden="1" x14ac:dyDescent="0.2">
      <c r="B134" s="559" t="s">
        <v>147</v>
      </c>
      <c r="C134" s="571"/>
      <c r="D134" s="579"/>
      <c r="E134" s="579"/>
      <c r="F134" s="579"/>
      <c r="G134" s="556">
        <f t="shared" ref="G134:G141" si="23">D134</f>
        <v>0</v>
      </c>
      <c r="H134" s="553"/>
      <c r="I134" s="672"/>
      <c r="J134" s="579"/>
      <c r="K134" s="565"/>
      <c r="L134" s="563"/>
    </row>
    <row r="135" spans="2:12" ht="17" hidden="1" x14ac:dyDescent="0.2">
      <c r="B135" s="559" t="s">
        <v>148</v>
      </c>
      <c r="C135" s="571"/>
      <c r="D135" s="579"/>
      <c r="E135" s="579"/>
      <c r="F135" s="579"/>
      <c r="G135" s="556">
        <f t="shared" si="23"/>
        <v>0</v>
      </c>
      <c r="H135" s="553"/>
      <c r="I135" s="672"/>
      <c r="J135" s="579"/>
      <c r="K135" s="565"/>
      <c r="L135" s="563"/>
    </row>
    <row r="136" spans="2:12" ht="17" hidden="1" x14ac:dyDescent="0.2">
      <c r="B136" s="559" t="s">
        <v>149</v>
      </c>
      <c r="C136" s="571"/>
      <c r="D136" s="579"/>
      <c r="E136" s="579"/>
      <c r="F136" s="579"/>
      <c r="G136" s="556">
        <f t="shared" si="23"/>
        <v>0</v>
      </c>
      <c r="H136" s="553"/>
      <c r="I136" s="672"/>
      <c r="J136" s="579"/>
      <c r="K136" s="565"/>
      <c r="L136" s="563"/>
    </row>
    <row r="137" spans="2:12" ht="17" hidden="1" x14ac:dyDescent="0.2">
      <c r="B137" s="559" t="s">
        <v>150</v>
      </c>
      <c r="C137" s="571"/>
      <c r="D137" s="579"/>
      <c r="E137" s="579"/>
      <c r="F137" s="579"/>
      <c r="G137" s="556">
        <f t="shared" si="23"/>
        <v>0</v>
      </c>
      <c r="H137" s="553"/>
      <c r="I137" s="672"/>
      <c r="J137" s="579"/>
      <c r="K137" s="565"/>
      <c r="L137" s="563"/>
    </row>
    <row r="138" spans="2:12" ht="17" hidden="1" x14ac:dyDescent="0.2">
      <c r="B138" s="559" t="s">
        <v>151</v>
      </c>
      <c r="C138" s="571"/>
      <c r="D138" s="579"/>
      <c r="E138" s="579"/>
      <c r="F138" s="579"/>
      <c r="G138" s="556">
        <f t="shared" si="23"/>
        <v>0</v>
      </c>
      <c r="H138" s="553"/>
      <c r="I138" s="672"/>
      <c r="J138" s="579"/>
      <c r="K138" s="565"/>
      <c r="L138" s="563"/>
    </row>
    <row r="139" spans="2:12" ht="17" hidden="1" x14ac:dyDescent="0.2">
      <c r="B139" s="559" t="s">
        <v>152</v>
      </c>
      <c r="C139" s="571"/>
      <c r="D139" s="579"/>
      <c r="E139" s="579"/>
      <c r="F139" s="579"/>
      <c r="G139" s="556">
        <f t="shared" si="23"/>
        <v>0</v>
      </c>
      <c r="H139" s="553"/>
      <c r="I139" s="672"/>
      <c r="J139" s="579"/>
      <c r="K139" s="565"/>
      <c r="L139" s="563"/>
    </row>
    <row r="140" spans="2:12" ht="17" hidden="1" x14ac:dyDescent="0.2">
      <c r="B140" s="559" t="s">
        <v>153</v>
      </c>
      <c r="C140" s="572"/>
      <c r="D140" s="420"/>
      <c r="E140" s="420"/>
      <c r="F140" s="420"/>
      <c r="G140" s="556">
        <f t="shared" si="23"/>
        <v>0</v>
      </c>
      <c r="H140" s="562"/>
      <c r="I140" s="673"/>
      <c r="J140" s="420"/>
      <c r="K140" s="558"/>
      <c r="L140" s="563"/>
    </row>
    <row r="141" spans="2:12" ht="17" hidden="1" x14ac:dyDescent="0.2">
      <c r="B141" s="559" t="s">
        <v>154</v>
      </c>
      <c r="C141" s="572"/>
      <c r="D141" s="420"/>
      <c r="E141" s="420"/>
      <c r="F141" s="420"/>
      <c r="G141" s="556">
        <f t="shared" si="23"/>
        <v>0</v>
      </c>
      <c r="H141" s="562"/>
      <c r="I141" s="673"/>
      <c r="J141" s="420"/>
      <c r="K141" s="558"/>
      <c r="L141" s="563"/>
    </row>
    <row r="142" spans="2:12" ht="17" hidden="1" x14ac:dyDescent="0.2">
      <c r="C142" s="566" t="s">
        <v>26</v>
      </c>
      <c r="D142" s="554">
        <f>SUM(D134:D141)</f>
        <v>0</v>
      </c>
      <c r="E142" s="554">
        <f t="shared" ref="E142:G142" si="24">SUM(E134:E141)</f>
        <v>0</v>
      </c>
      <c r="F142" s="554">
        <f t="shared" si="24"/>
        <v>0</v>
      </c>
      <c r="G142" s="58">
        <f t="shared" si="24"/>
        <v>0</v>
      </c>
      <c r="H142" s="554">
        <f>(H134*G134)+(H135*G135)+(H136*G136)+(H137*G137)+(H138*G138)+(H139*G139)+(H140*G140)+(H141*G141)</f>
        <v>0</v>
      </c>
      <c r="I142" s="674">
        <f>SUM(I134:I141)</f>
        <v>0</v>
      </c>
      <c r="J142" s="578"/>
      <c r="K142" s="558"/>
      <c r="L142" s="561"/>
    </row>
    <row r="143" spans="2:12" ht="51" hidden="1" customHeight="1" x14ac:dyDescent="0.2">
      <c r="B143" s="566" t="s">
        <v>155</v>
      </c>
      <c r="C143" s="711" t="s">
        <v>156</v>
      </c>
      <c r="D143" s="711"/>
      <c r="E143" s="711"/>
      <c r="F143" s="711"/>
      <c r="G143" s="711"/>
      <c r="H143" s="711"/>
      <c r="I143" s="712"/>
      <c r="J143" s="712"/>
      <c r="K143" s="711"/>
      <c r="L143" s="560"/>
    </row>
    <row r="144" spans="2:12" ht="17" hidden="1" x14ac:dyDescent="0.2">
      <c r="B144" s="559" t="s">
        <v>157</v>
      </c>
      <c r="C144" s="571"/>
      <c r="D144" s="579"/>
      <c r="E144" s="579"/>
      <c r="F144" s="579"/>
      <c r="G144" s="556">
        <f t="shared" ref="G144:G151" si="25">D144</f>
        <v>0</v>
      </c>
      <c r="H144" s="553"/>
      <c r="I144" s="672"/>
      <c r="J144" s="579"/>
      <c r="K144" s="565"/>
      <c r="L144" s="563"/>
    </row>
    <row r="145" spans="2:12" ht="17" hidden="1" x14ac:dyDescent="0.2">
      <c r="B145" s="559" t="s">
        <v>158</v>
      </c>
      <c r="C145" s="571"/>
      <c r="D145" s="579"/>
      <c r="E145" s="579"/>
      <c r="F145" s="579"/>
      <c r="G145" s="556">
        <f t="shared" si="25"/>
        <v>0</v>
      </c>
      <c r="H145" s="553"/>
      <c r="I145" s="672"/>
      <c r="J145" s="579"/>
      <c r="K145" s="565"/>
      <c r="L145" s="563"/>
    </row>
    <row r="146" spans="2:12" ht="17" hidden="1" x14ac:dyDescent="0.2">
      <c r="B146" s="559" t="s">
        <v>159</v>
      </c>
      <c r="C146" s="571"/>
      <c r="D146" s="579"/>
      <c r="E146" s="579"/>
      <c r="F146" s="579"/>
      <c r="G146" s="556">
        <f t="shared" si="25"/>
        <v>0</v>
      </c>
      <c r="H146" s="553"/>
      <c r="I146" s="672"/>
      <c r="J146" s="579"/>
      <c r="K146" s="565"/>
      <c r="L146" s="563"/>
    </row>
    <row r="147" spans="2:12" ht="17" hidden="1" x14ac:dyDescent="0.2">
      <c r="B147" s="559" t="s">
        <v>160</v>
      </c>
      <c r="C147" s="571"/>
      <c r="D147" s="579"/>
      <c r="E147" s="579"/>
      <c r="F147" s="579"/>
      <c r="G147" s="556">
        <f t="shared" si="25"/>
        <v>0</v>
      </c>
      <c r="H147" s="553"/>
      <c r="I147" s="672"/>
      <c r="J147" s="579"/>
      <c r="K147" s="565"/>
      <c r="L147" s="563"/>
    </row>
    <row r="148" spans="2:12" ht="17" hidden="1" x14ac:dyDescent="0.2">
      <c r="B148" s="559" t="s">
        <v>161</v>
      </c>
      <c r="C148" s="571"/>
      <c r="D148" s="579"/>
      <c r="E148" s="579"/>
      <c r="F148" s="579"/>
      <c r="G148" s="556">
        <f t="shared" si="25"/>
        <v>0</v>
      </c>
      <c r="H148" s="553"/>
      <c r="I148" s="672"/>
      <c r="J148" s="579"/>
      <c r="K148" s="565"/>
      <c r="L148" s="563"/>
    </row>
    <row r="149" spans="2:12" ht="17" hidden="1" x14ac:dyDescent="0.2">
      <c r="B149" s="559" t="s">
        <v>162</v>
      </c>
      <c r="C149" s="571"/>
      <c r="D149" s="579"/>
      <c r="E149" s="579"/>
      <c r="F149" s="579"/>
      <c r="G149" s="556">
        <f t="shared" si="25"/>
        <v>0</v>
      </c>
      <c r="H149" s="553"/>
      <c r="I149" s="672"/>
      <c r="J149" s="579"/>
      <c r="K149" s="565"/>
      <c r="L149" s="563"/>
    </row>
    <row r="150" spans="2:12" ht="17" hidden="1" x14ac:dyDescent="0.2">
      <c r="B150" s="559" t="s">
        <v>163</v>
      </c>
      <c r="C150" s="572"/>
      <c r="D150" s="420"/>
      <c r="E150" s="420"/>
      <c r="F150" s="420"/>
      <c r="G150" s="556">
        <f t="shared" si="25"/>
        <v>0</v>
      </c>
      <c r="H150" s="562"/>
      <c r="I150" s="673"/>
      <c r="J150" s="420"/>
      <c r="K150" s="558"/>
      <c r="L150" s="563"/>
    </row>
    <row r="151" spans="2:12" ht="17" hidden="1" x14ac:dyDescent="0.2">
      <c r="B151" s="559" t="s">
        <v>164</v>
      </c>
      <c r="C151" s="572"/>
      <c r="D151" s="420"/>
      <c r="E151" s="420"/>
      <c r="F151" s="420"/>
      <c r="G151" s="556">
        <f t="shared" si="25"/>
        <v>0</v>
      </c>
      <c r="H151" s="562"/>
      <c r="I151" s="673"/>
      <c r="J151" s="420"/>
      <c r="K151" s="558"/>
      <c r="L151" s="563"/>
    </row>
    <row r="152" spans="2:12" ht="17" hidden="1" x14ac:dyDescent="0.2">
      <c r="C152" s="566" t="s">
        <v>26</v>
      </c>
      <c r="D152" s="58">
        <f>SUM(D144:D151)</f>
        <v>0</v>
      </c>
      <c r="E152" s="58">
        <f t="shared" ref="E152:G152" si="26">SUM(E144:E151)</f>
        <v>0</v>
      </c>
      <c r="F152" s="58">
        <f t="shared" si="26"/>
        <v>0</v>
      </c>
      <c r="G152" s="58">
        <f t="shared" si="26"/>
        <v>0</v>
      </c>
      <c r="H152" s="554">
        <f>(H144*G144)+(H145*G145)+(H146*G146)+(H147*G147)+(H148*G148)+(H149*G149)+(H150*G150)+(H151*G151)</f>
        <v>0</v>
      </c>
      <c r="I152" s="674">
        <f>SUM(I144:I151)</f>
        <v>0</v>
      </c>
      <c r="J152" s="578"/>
      <c r="K152" s="558"/>
      <c r="L152" s="561"/>
    </row>
    <row r="153" spans="2:12" ht="51" hidden="1" customHeight="1" x14ac:dyDescent="0.2">
      <c r="B153" s="566" t="s">
        <v>165</v>
      </c>
      <c r="C153" s="711" t="s">
        <v>156</v>
      </c>
      <c r="D153" s="711"/>
      <c r="E153" s="711"/>
      <c r="F153" s="711"/>
      <c r="G153" s="711"/>
      <c r="H153" s="711"/>
      <c r="I153" s="712"/>
      <c r="J153" s="712"/>
      <c r="K153" s="711"/>
      <c r="L153" s="560"/>
    </row>
    <row r="154" spans="2:12" ht="17" hidden="1" x14ac:dyDescent="0.2">
      <c r="B154" s="559" t="s">
        <v>166</v>
      </c>
      <c r="C154" s="571"/>
      <c r="D154" s="579"/>
      <c r="E154" s="579"/>
      <c r="F154" s="579"/>
      <c r="G154" s="556">
        <f t="shared" ref="G154:G161" si="27">D154</f>
        <v>0</v>
      </c>
      <c r="H154" s="553"/>
      <c r="I154" s="672"/>
      <c r="J154" s="579"/>
      <c r="K154" s="565"/>
      <c r="L154" s="563"/>
    </row>
    <row r="155" spans="2:12" ht="17" hidden="1" x14ac:dyDescent="0.2">
      <c r="B155" s="559" t="s">
        <v>167</v>
      </c>
      <c r="C155" s="571"/>
      <c r="D155" s="579"/>
      <c r="E155" s="579"/>
      <c r="F155" s="579"/>
      <c r="G155" s="556">
        <f t="shared" si="27"/>
        <v>0</v>
      </c>
      <c r="H155" s="553"/>
      <c r="I155" s="672"/>
      <c r="J155" s="579"/>
      <c r="K155" s="565"/>
      <c r="L155" s="563"/>
    </row>
    <row r="156" spans="2:12" ht="17" hidden="1" x14ac:dyDescent="0.2">
      <c r="B156" s="559" t="s">
        <v>168</v>
      </c>
      <c r="C156" s="571"/>
      <c r="D156" s="579"/>
      <c r="E156" s="579"/>
      <c r="F156" s="579"/>
      <c r="G156" s="556">
        <f t="shared" si="27"/>
        <v>0</v>
      </c>
      <c r="H156" s="553"/>
      <c r="I156" s="672"/>
      <c r="J156" s="579"/>
      <c r="K156" s="565"/>
      <c r="L156" s="563"/>
    </row>
    <row r="157" spans="2:12" ht="17" hidden="1" x14ac:dyDescent="0.2">
      <c r="B157" s="559" t="s">
        <v>169</v>
      </c>
      <c r="C157" s="571"/>
      <c r="D157" s="579"/>
      <c r="E157" s="579"/>
      <c r="F157" s="579"/>
      <c r="G157" s="556">
        <f t="shared" si="27"/>
        <v>0</v>
      </c>
      <c r="H157" s="553"/>
      <c r="I157" s="672"/>
      <c r="J157" s="579"/>
      <c r="K157" s="565"/>
      <c r="L157" s="563"/>
    </row>
    <row r="158" spans="2:12" ht="17" hidden="1" x14ac:dyDescent="0.2">
      <c r="B158" s="559" t="s">
        <v>170</v>
      </c>
      <c r="C158" s="571"/>
      <c r="D158" s="579"/>
      <c r="E158" s="579"/>
      <c r="F158" s="579"/>
      <c r="G158" s="556">
        <f t="shared" si="27"/>
        <v>0</v>
      </c>
      <c r="H158" s="553"/>
      <c r="I158" s="672"/>
      <c r="J158" s="579"/>
      <c r="K158" s="565"/>
      <c r="L158" s="563"/>
    </row>
    <row r="159" spans="2:12" ht="17" hidden="1" x14ac:dyDescent="0.2">
      <c r="B159" s="559" t="s">
        <v>171</v>
      </c>
      <c r="C159" s="571"/>
      <c r="D159" s="579"/>
      <c r="E159" s="579"/>
      <c r="F159" s="579"/>
      <c r="G159" s="556">
        <f t="shared" si="27"/>
        <v>0</v>
      </c>
      <c r="H159" s="553"/>
      <c r="I159" s="672"/>
      <c r="J159" s="579"/>
      <c r="K159" s="565"/>
      <c r="L159" s="563"/>
    </row>
    <row r="160" spans="2:12" ht="17" hidden="1" x14ac:dyDescent="0.2">
      <c r="B160" s="559" t="s">
        <v>172</v>
      </c>
      <c r="C160" s="572"/>
      <c r="D160" s="420"/>
      <c r="E160" s="420"/>
      <c r="F160" s="420"/>
      <c r="G160" s="556">
        <f t="shared" si="27"/>
        <v>0</v>
      </c>
      <c r="H160" s="562"/>
      <c r="I160" s="673"/>
      <c r="J160" s="420"/>
      <c r="K160" s="558"/>
      <c r="L160" s="563"/>
    </row>
    <row r="161" spans="2:12" ht="17" hidden="1" x14ac:dyDescent="0.2">
      <c r="B161" s="559" t="s">
        <v>173</v>
      </c>
      <c r="C161" s="572"/>
      <c r="D161" s="420"/>
      <c r="E161" s="420"/>
      <c r="F161" s="420"/>
      <c r="G161" s="556">
        <f t="shared" si="27"/>
        <v>0</v>
      </c>
      <c r="H161" s="562"/>
      <c r="I161" s="673"/>
      <c r="J161" s="420"/>
      <c r="K161" s="558"/>
      <c r="L161" s="563"/>
    </row>
    <row r="162" spans="2:12" ht="17" hidden="1" x14ac:dyDescent="0.2">
      <c r="C162" s="566" t="s">
        <v>26</v>
      </c>
      <c r="D162" s="58">
        <f>SUM(D154:D161)</f>
        <v>0</v>
      </c>
      <c r="E162" s="58">
        <f t="shared" ref="E162:G162" si="28">SUM(E154:E161)</f>
        <v>0</v>
      </c>
      <c r="F162" s="58">
        <f t="shared" si="28"/>
        <v>0</v>
      </c>
      <c r="G162" s="58">
        <f t="shared" si="28"/>
        <v>0</v>
      </c>
      <c r="H162" s="554">
        <f>(H154*G154)+(H155*G155)+(H156*G156)+(H157*G157)+(H158*G158)+(H159*G159)+(H160*G160)+(H161*G161)</f>
        <v>0</v>
      </c>
      <c r="I162" s="674">
        <f>SUM(I154:I161)</f>
        <v>0</v>
      </c>
      <c r="J162" s="578"/>
      <c r="K162" s="558"/>
      <c r="L162" s="561"/>
    </row>
    <row r="163" spans="2:12" ht="51" hidden="1" customHeight="1" x14ac:dyDescent="0.2">
      <c r="B163" s="566" t="s">
        <v>174</v>
      </c>
      <c r="C163" s="711"/>
      <c r="D163" s="711"/>
      <c r="E163" s="711"/>
      <c r="F163" s="711"/>
      <c r="G163" s="711"/>
      <c r="H163" s="711"/>
      <c r="I163" s="712"/>
      <c r="J163" s="712"/>
      <c r="K163" s="711"/>
      <c r="L163" s="560"/>
    </row>
    <row r="164" spans="2:12" ht="17" hidden="1" x14ac:dyDescent="0.2">
      <c r="B164" s="559" t="s">
        <v>175</v>
      </c>
      <c r="C164" s="571"/>
      <c r="D164" s="579"/>
      <c r="E164" s="579"/>
      <c r="F164" s="579"/>
      <c r="G164" s="556">
        <f t="shared" ref="G164:G171" si="29">D164</f>
        <v>0</v>
      </c>
      <c r="H164" s="553"/>
      <c r="I164" s="672"/>
      <c r="J164" s="579"/>
      <c r="K164" s="565"/>
      <c r="L164" s="563"/>
    </row>
    <row r="165" spans="2:12" ht="17" hidden="1" x14ac:dyDescent="0.2">
      <c r="B165" s="559" t="s">
        <v>176</v>
      </c>
      <c r="C165" s="571"/>
      <c r="D165" s="579"/>
      <c r="E165" s="579"/>
      <c r="F165" s="579"/>
      <c r="G165" s="556">
        <f t="shared" si="29"/>
        <v>0</v>
      </c>
      <c r="H165" s="553"/>
      <c r="I165" s="672"/>
      <c r="J165" s="579"/>
      <c r="K165" s="565"/>
      <c r="L165" s="563"/>
    </row>
    <row r="166" spans="2:12" ht="17" hidden="1" x14ac:dyDescent="0.2">
      <c r="B166" s="559" t="s">
        <v>177</v>
      </c>
      <c r="C166" s="571"/>
      <c r="D166" s="579"/>
      <c r="E166" s="579"/>
      <c r="F166" s="579"/>
      <c r="G166" s="556">
        <f t="shared" si="29"/>
        <v>0</v>
      </c>
      <c r="H166" s="553"/>
      <c r="I166" s="672"/>
      <c r="J166" s="579"/>
      <c r="K166" s="565"/>
      <c r="L166" s="563"/>
    </row>
    <row r="167" spans="2:12" ht="17" hidden="1" x14ac:dyDescent="0.2">
      <c r="B167" s="559" t="s">
        <v>178</v>
      </c>
      <c r="C167" s="571"/>
      <c r="D167" s="579"/>
      <c r="E167" s="579"/>
      <c r="F167" s="579"/>
      <c r="G167" s="556">
        <f t="shared" si="29"/>
        <v>0</v>
      </c>
      <c r="H167" s="553"/>
      <c r="I167" s="672"/>
      <c r="J167" s="579"/>
      <c r="K167" s="565"/>
      <c r="L167" s="563"/>
    </row>
    <row r="168" spans="2:12" ht="17" hidden="1" x14ac:dyDescent="0.2">
      <c r="B168" s="559" t="s">
        <v>179</v>
      </c>
      <c r="C168" s="571"/>
      <c r="D168" s="579"/>
      <c r="E168" s="579"/>
      <c r="F168" s="579"/>
      <c r="G168" s="556">
        <f t="shared" si="29"/>
        <v>0</v>
      </c>
      <c r="H168" s="553"/>
      <c r="I168" s="672"/>
      <c r="J168" s="579"/>
      <c r="K168" s="565"/>
      <c r="L168" s="563"/>
    </row>
    <row r="169" spans="2:12" ht="17" hidden="1" x14ac:dyDescent="0.2">
      <c r="B169" s="559" t="s">
        <v>180</v>
      </c>
      <c r="C169" s="571"/>
      <c r="D169" s="579"/>
      <c r="E169" s="579"/>
      <c r="F169" s="579"/>
      <c r="G169" s="556">
        <f t="shared" si="29"/>
        <v>0</v>
      </c>
      <c r="H169" s="553"/>
      <c r="I169" s="672"/>
      <c r="J169" s="579"/>
      <c r="K169" s="565"/>
      <c r="L169" s="563"/>
    </row>
    <row r="170" spans="2:12" ht="17" hidden="1" x14ac:dyDescent="0.2">
      <c r="B170" s="559" t="s">
        <v>181</v>
      </c>
      <c r="C170" s="572"/>
      <c r="D170" s="420"/>
      <c r="E170" s="420"/>
      <c r="F170" s="420"/>
      <c r="G170" s="556">
        <f t="shared" si="29"/>
        <v>0</v>
      </c>
      <c r="H170" s="562"/>
      <c r="I170" s="673"/>
      <c r="J170" s="420"/>
      <c r="K170" s="558"/>
      <c r="L170" s="563"/>
    </row>
    <row r="171" spans="2:12" ht="17" hidden="1" x14ac:dyDescent="0.2">
      <c r="B171" s="559" t="s">
        <v>182</v>
      </c>
      <c r="C171" s="572"/>
      <c r="D171" s="420"/>
      <c r="E171" s="420"/>
      <c r="F171" s="420"/>
      <c r="G171" s="556">
        <f t="shared" si="29"/>
        <v>0</v>
      </c>
      <c r="H171" s="562"/>
      <c r="I171" s="673"/>
      <c r="J171" s="420"/>
      <c r="K171" s="558"/>
      <c r="L171" s="563"/>
    </row>
    <row r="172" spans="2:12" ht="17" hidden="1" x14ac:dyDescent="0.2">
      <c r="C172" s="566" t="s">
        <v>26</v>
      </c>
      <c r="D172" s="554">
        <f>SUM(D164:D171)</f>
        <v>0</v>
      </c>
      <c r="E172" s="554">
        <f t="shared" ref="E172:G172" si="30">SUM(E164:E171)</f>
        <v>0</v>
      </c>
      <c r="F172" s="554">
        <f t="shared" si="30"/>
        <v>0</v>
      </c>
      <c r="G172" s="554">
        <f t="shared" si="30"/>
        <v>0</v>
      </c>
      <c r="H172" s="554">
        <f>(H164*G164)+(H165*G165)+(H166*G166)+(H167*G167)+(H168*G168)+(H169*G169)+(H170*G170)+(H171*G171)</f>
        <v>0</v>
      </c>
      <c r="I172" s="674">
        <f>SUM(I164:I171)</f>
        <v>0</v>
      </c>
      <c r="J172" s="578"/>
      <c r="K172" s="558"/>
      <c r="L172" s="561"/>
    </row>
    <row r="173" spans="2:12" ht="15.75" customHeight="1" x14ac:dyDescent="0.2">
      <c r="B173" s="597"/>
      <c r="C173" s="595"/>
      <c r="D173" s="421"/>
      <c r="E173" s="421"/>
      <c r="F173" s="421"/>
      <c r="G173" s="421"/>
      <c r="H173" s="421"/>
      <c r="I173" s="676"/>
      <c r="J173" s="421"/>
      <c r="K173" s="595"/>
      <c r="L173" s="598"/>
    </row>
    <row r="174" spans="2:12" ht="15.75" customHeight="1" x14ac:dyDescent="0.2">
      <c r="B174" s="597"/>
      <c r="C174" s="595"/>
      <c r="D174" s="421"/>
      <c r="E174" s="421"/>
      <c r="F174" s="421"/>
      <c r="G174" s="421"/>
      <c r="H174" s="421"/>
      <c r="I174" s="676"/>
      <c r="J174" s="421"/>
      <c r="K174" s="595"/>
      <c r="L174" s="598"/>
    </row>
    <row r="175" spans="2:12" customFormat="1" ht="31.25" customHeight="1" x14ac:dyDescent="0.2">
      <c r="B175" s="693" t="s">
        <v>183</v>
      </c>
      <c r="C175" s="694" t="s">
        <v>184</v>
      </c>
      <c r="D175" s="695">
        <v>373757.96724884666</v>
      </c>
      <c r="E175" s="695"/>
      <c r="F175" s="695"/>
      <c r="G175" s="696">
        <f>D175</f>
        <v>373757.96724884666</v>
      </c>
      <c r="H175" s="697"/>
      <c r="I175" s="698">
        <v>40176.433775963756</v>
      </c>
      <c r="J175" s="699" t="s">
        <v>981</v>
      </c>
      <c r="K175" s="700"/>
      <c r="L175" s="701"/>
    </row>
    <row r="176" spans="2:12" ht="34" x14ac:dyDescent="0.2">
      <c r="B176" s="566" t="s">
        <v>185</v>
      </c>
      <c r="C176" s="600" t="s">
        <v>186</v>
      </c>
      <c r="D176" s="589">
        <v>523369.70143688447</v>
      </c>
      <c r="E176" s="589"/>
      <c r="F176" s="589"/>
      <c r="G176" s="601">
        <f>D176</f>
        <v>523369.70143688447</v>
      </c>
      <c r="H176" s="602"/>
      <c r="I176" s="686">
        <v>77316.701435892217</v>
      </c>
      <c r="J176" s="688" t="s">
        <v>980</v>
      </c>
      <c r="K176" s="603"/>
      <c r="L176" s="561"/>
    </row>
    <row r="177" spans="2:12" ht="85" x14ac:dyDescent="0.2">
      <c r="B177" s="566" t="s">
        <v>187</v>
      </c>
      <c r="C177" s="600" t="s">
        <v>188</v>
      </c>
      <c r="D177" s="589">
        <v>40000</v>
      </c>
      <c r="E177" s="589"/>
      <c r="F177" s="589"/>
      <c r="G177" s="601">
        <f>D177</f>
        <v>40000</v>
      </c>
      <c r="H177" s="602"/>
      <c r="I177" s="686">
        <v>25413.585940038105</v>
      </c>
      <c r="J177" s="688" t="s">
        <v>985</v>
      </c>
      <c r="K177" s="603"/>
      <c r="L177" s="561"/>
    </row>
    <row r="178" spans="2:12" ht="38.5" customHeight="1" x14ac:dyDescent="0.2">
      <c r="B178" s="566" t="s">
        <v>189</v>
      </c>
      <c r="C178" s="600" t="s">
        <v>190</v>
      </c>
      <c r="D178" s="589">
        <v>25000</v>
      </c>
      <c r="E178" s="589"/>
      <c r="F178" s="589"/>
      <c r="G178" s="601">
        <f>D178</f>
        <v>25000</v>
      </c>
      <c r="H178" s="602"/>
      <c r="I178" s="686">
        <v>435.55555555555497</v>
      </c>
      <c r="J178" s="688" t="s">
        <v>984</v>
      </c>
      <c r="K178" s="603"/>
      <c r="L178" s="561"/>
    </row>
    <row r="179" spans="2:12" ht="38.5" customHeight="1" x14ac:dyDescent="0.2">
      <c r="B179" s="566" t="s">
        <v>191</v>
      </c>
      <c r="C179" s="600" t="s">
        <v>192</v>
      </c>
      <c r="D179" s="589">
        <v>25000</v>
      </c>
      <c r="E179" s="589"/>
      <c r="F179" s="589"/>
      <c r="G179" s="601"/>
      <c r="H179" s="602"/>
      <c r="I179" s="686"/>
      <c r="J179" s="591"/>
      <c r="K179" s="603"/>
      <c r="L179" s="561"/>
    </row>
    <row r="180" spans="2:12" ht="21.75" customHeight="1" x14ac:dyDescent="0.2">
      <c r="B180" s="597"/>
      <c r="C180" s="604" t="s">
        <v>193</v>
      </c>
      <c r="D180" s="605">
        <f>SUM(D175:D179)</f>
        <v>987127.66868573113</v>
      </c>
      <c r="E180" s="605">
        <f>SUM(E175:E178)</f>
        <v>0</v>
      </c>
      <c r="F180" s="605">
        <f>SUM(F175:F178)</f>
        <v>0</v>
      </c>
      <c r="G180" s="605">
        <f>SUM(G175:G178)</f>
        <v>962127.66868573113</v>
      </c>
      <c r="H180" s="554">
        <f>(H175*G175)+(H176*G176)+(H177*G177)+(H178*G178)+(H179*G179)</f>
        <v>0</v>
      </c>
      <c r="I180" s="674">
        <f>SUM(I175:I179)</f>
        <v>143342.27670744964</v>
      </c>
      <c r="J180" s="578"/>
      <c r="K180" s="600"/>
      <c r="L180" s="606"/>
    </row>
    <row r="181" spans="2:12" ht="15.75" customHeight="1" x14ac:dyDescent="0.2">
      <c r="B181" s="597"/>
      <c r="C181" s="595"/>
      <c r="D181" s="421"/>
      <c r="E181" s="421"/>
      <c r="F181" s="421"/>
      <c r="G181" s="421"/>
      <c r="H181" s="421"/>
      <c r="I181" s="676"/>
      <c r="J181" s="421"/>
      <c r="K181" s="595"/>
      <c r="L181" s="606"/>
    </row>
    <row r="182" spans="2:12" ht="15.75" customHeight="1" x14ac:dyDescent="0.2">
      <c r="B182" s="597"/>
      <c r="C182" s="595"/>
      <c r="D182" s="421"/>
      <c r="E182" s="421"/>
      <c r="F182" s="421"/>
      <c r="G182" s="421"/>
      <c r="H182" s="421"/>
      <c r="I182" s="676"/>
      <c r="J182" s="421"/>
      <c r="K182" s="595"/>
      <c r="L182" s="606"/>
    </row>
    <row r="183" spans="2:12" ht="15.75" customHeight="1" x14ac:dyDescent="0.2">
      <c r="B183" s="597"/>
      <c r="C183" s="595"/>
      <c r="D183" s="421"/>
      <c r="E183" s="421"/>
      <c r="F183" s="421"/>
      <c r="G183" s="421"/>
      <c r="H183" s="421"/>
      <c r="I183" s="676"/>
      <c r="J183" s="421"/>
      <c r="K183" s="595"/>
      <c r="L183" s="606"/>
    </row>
    <row r="184" spans="2:12" ht="15.75" customHeight="1" x14ac:dyDescent="0.2">
      <c r="B184" s="597"/>
      <c r="C184" s="595"/>
      <c r="D184" s="421"/>
      <c r="E184" s="421"/>
      <c r="F184" s="421"/>
      <c r="G184" s="421"/>
      <c r="H184" s="421"/>
      <c r="I184" s="676"/>
      <c r="J184" s="421"/>
      <c r="K184" s="595"/>
      <c r="L184" s="606"/>
    </row>
    <row r="185" spans="2:12" ht="15.75" customHeight="1" x14ac:dyDescent="0.2">
      <c r="B185" s="597"/>
      <c r="C185" s="595"/>
      <c r="D185" s="421"/>
      <c r="E185" s="421"/>
      <c r="F185" s="421"/>
      <c r="G185" s="421"/>
      <c r="H185" s="421"/>
      <c r="I185" s="676"/>
      <c r="J185" s="421"/>
      <c r="K185" s="595"/>
      <c r="L185" s="606"/>
    </row>
    <row r="186" spans="2:12" ht="15.75" customHeight="1" x14ac:dyDescent="0.2">
      <c r="B186" s="597"/>
      <c r="C186" s="595"/>
      <c r="D186" s="421"/>
      <c r="E186" s="421"/>
      <c r="F186" s="421"/>
      <c r="G186" s="421"/>
      <c r="H186" s="421"/>
      <c r="I186" s="676"/>
      <c r="J186" s="421"/>
      <c r="K186" s="595"/>
      <c r="L186" s="606"/>
    </row>
    <row r="187" spans="2:12" ht="15.75" customHeight="1" thickBot="1" x14ac:dyDescent="0.25">
      <c r="B187" s="597"/>
      <c r="C187" s="595"/>
      <c r="D187" s="421"/>
      <c r="E187" s="421"/>
      <c r="F187" s="421"/>
      <c r="G187" s="421"/>
      <c r="H187" s="421"/>
      <c r="I187" s="676"/>
      <c r="J187" s="421"/>
      <c r="K187" s="595"/>
      <c r="L187" s="606"/>
    </row>
    <row r="188" spans="2:12" ht="16" x14ac:dyDescent="0.2">
      <c r="B188" s="597"/>
      <c r="C188" s="713" t="s">
        <v>194</v>
      </c>
      <c r="D188" s="714"/>
      <c r="E188" s="607"/>
      <c r="F188" s="607"/>
      <c r="G188" s="703"/>
      <c r="H188" s="606"/>
      <c r="I188" s="677"/>
      <c r="J188" s="193"/>
      <c r="K188" s="606"/>
    </row>
    <row r="189" spans="2:12" ht="40.5" customHeight="1" x14ac:dyDescent="0.2">
      <c r="B189" s="597"/>
      <c r="C189" s="705"/>
      <c r="D189" s="715" t="str">
        <f>D5</f>
        <v>Recipient Organization</v>
      </c>
      <c r="E189" s="608" t="s">
        <v>195</v>
      </c>
      <c r="F189" s="554" t="s">
        <v>196</v>
      </c>
      <c r="G189" s="707" t="s">
        <v>10</v>
      </c>
      <c r="H189" s="595"/>
      <c r="I189" s="676"/>
      <c r="J189" s="421"/>
      <c r="K189" s="606"/>
    </row>
    <row r="190" spans="2:12" ht="24.75" customHeight="1" x14ac:dyDescent="0.2">
      <c r="B190" s="597"/>
      <c r="C190" s="706"/>
      <c r="D190" s="716"/>
      <c r="E190" s="609" t="e">
        <f>#REF!</f>
        <v>#REF!</v>
      </c>
      <c r="F190" s="610" t="e">
        <f>#REF!</f>
        <v>#REF!</v>
      </c>
      <c r="G190" s="708"/>
      <c r="H190" s="595"/>
      <c r="I190" s="676"/>
      <c r="J190" s="421"/>
      <c r="K190" s="606"/>
    </row>
    <row r="191" spans="2:12" ht="41.25" customHeight="1" x14ac:dyDescent="0.2">
      <c r="B191" s="611"/>
      <c r="C191" s="612" t="s">
        <v>197</v>
      </c>
      <c r="D191" s="613">
        <f>SUM(D16,D26,D36,D46,D58,D68,D78,D88,D100,D110,D120,D130,D142,D152,D162,D172,D175,D176,D177,D178,D179)</f>
        <v>1793006.6495774507</v>
      </c>
      <c r="E191" s="614">
        <f>SUM(E16,E26,E36,E46,E58,E68,E78,E88,E100,E110,E120,E130,E142,E152,E162,E172,E175,E176,E177)</f>
        <v>0</v>
      </c>
      <c r="F191" s="615">
        <f>SUM(F16,F26,F36,F46,F58,F68,F78,F88,F100,F110,F120,F130,F142,F152,F162,F172,F175,F176,F177)</f>
        <v>0</v>
      </c>
      <c r="G191" s="613">
        <f>SUM(D191:F191)</f>
        <v>1793006.6495774507</v>
      </c>
      <c r="H191" s="616"/>
      <c r="I191" s="676"/>
      <c r="J191" s="421"/>
      <c r="K191" s="611"/>
    </row>
    <row r="192" spans="2:12" ht="51.75" customHeight="1" x14ac:dyDescent="0.2">
      <c r="B192" s="617"/>
      <c r="C192" s="612" t="s">
        <v>198</v>
      </c>
      <c r="D192" s="613">
        <f>D191*0.07</f>
        <v>125510.46547042156</v>
      </c>
      <c r="E192" s="614">
        <f t="shared" ref="E192:F192" si="31">E191*0.07</f>
        <v>0</v>
      </c>
      <c r="F192" s="615">
        <f t="shared" si="31"/>
        <v>0</v>
      </c>
      <c r="G192" s="613">
        <f>G191*0.07</f>
        <v>125510.46547042156</v>
      </c>
      <c r="H192" s="618"/>
      <c r="I192" s="678"/>
      <c r="J192" s="581"/>
      <c r="K192" s="619"/>
    </row>
    <row r="193" spans="1:12" ht="51.75" customHeight="1" thickBot="1" x14ac:dyDescent="0.25">
      <c r="B193" s="617"/>
      <c r="C193" s="567" t="s">
        <v>10</v>
      </c>
      <c r="D193" s="620">
        <f>SUM(D191:D192)</f>
        <v>1918517.1150478723</v>
      </c>
      <c r="E193" s="621">
        <f t="shared" ref="E193:F193" si="32">SUM(E191:E192)</f>
        <v>0</v>
      </c>
      <c r="F193" s="622">
        <f t="shared" si="32"/>
        <v>0</v>
      </c>
      <c r="G193" s="620">
        <f>SUM(G191:G192)</f>
        <v>1918517.1150478723</v>
      </c>
      <c r="H193" s="617"/>
      <c r="I193" s="678"/>
      <c r="J193" s="581"/>
      <c r="K193" s="619"/>
    </row>
    <row r="194" spans="1:12" ht="42" customHeight="1" x14ac:dyDescent="0.2">
      <c r="B194" s="617"/>
      <c r="K194" s="598"/>
      <c r="L194" s="619"/>
    </row>
    <row r="195" spans="1:12" s="594" customFormat="1" ht="29.25" customHeight="1" thickBot="1" x14ac:dyDescent="0.25">
      <c r="A195" s="12"/>
      <c r="B195" s="595"/>
      <c r="C195" s="597"/>
      <c r="D195" s="9"/>
      <c r="E195" s="9"/>
      <c r="F195" s="9"/>
      <c r="G195" s="9"/>
      <c r="H195" s="9"/>
      <c r="I195" s="679"/>
      <c r="J195" s="582"/>
      <c r="K195" s="606"/>
      <c r="L195" s="611"/>
    </row>
    <row r="196" spans="1:12" ht="23.25" customHeight="1" x14ac:dyDescent="0.2">
      <c r="B196" s="619"/>
      <c r="C196" s="726" t="s">
        <v>199</v>
      </c>
      <c r="D196" s="727"/>
      <c r="E196" s="728"/>
      <c r="F196" s="728"/>
      <c r="G196" s="728"/>
      <c r="H196" s="729"/>
      <c r="I196" s="680"/>
      <c r="J196" s="583"/>
      <c r="K196" s="619"/>
    </row>
    <row r="197" spans="1:12" ht="41.25" customHeight="1" x14ac:dyDescent="0.2">
      <c r="B197" s="619"/>
      <c r="C197" s="570"/>
      <c r="D197" s="732" t="str">
        <f>D5</f>
        <v>Recipient Organization</v>
      </c>
      <c r="E197" s="568" t="s">
        <v>195</v>
      </c>
      <c r="F197" s="568" t="s">
        <v>196</v>
      </c>
      <c r="G197" s="719" t="s">
        <v>10</v>
      </c>
      <c r="H197" s="721" t="s">
        <v>200</v>
      </c>
      <c r="I197" s="680"/>
      <c r="J197" s="583"/>
      <c r="K197" s="619"/>
    </row>
    <row r="198" spans="1:12" ht="27.75" customHeight="1" x14ac:dyDescent="0.2">
      <c r="B198" s="619"/>
      <c r="C198" s="570"/>
      <c r="D198" s="733"/>
      <c r="E198" s="568" t="e">
        <f>#REF!</f>
        <v>#REF!</v>
      </c>
      <c r="F198" s="568" t="e">
        <f>#REF!</f>
        <v>#REF!</v>
      </c>
      <c r="G198" s="720"/>
      <c r="H198" s="722"/>
      <c r="I198" s="680"/>
      <c r="J198" s="583"/>
      <c r="K198" s="619"/>
    </row>
    <row r="199" spans="1:12" ht="55.5" customHeight="1" x14ac:dyDescent="0.2">
      <c r="B199" s="619"/>
      <c r="C199" s="569" t="s">
        <v>201</v>
      </c>
      <c r="D199" s="623">
        <f>D193*H199</f>
        <v>671480.99026675522</v>
      </c>
      <c r="E199" s="624">
        <f>SUM(E191:E192)*0.7</f>
        <v>0</v>
      </c>
      <c r="F199" s="624">
        <f>SUM(F191:F192)*0.7</f>
        <v>0</v>
      </c>
      <c r="G199" s="624"/>
      <c r="H199" s="625">
        <v>0.35</v>
      </c>
      <c r="I199" s="677"/>
      <c r="J199" s="193"/>
      <c r="K199" s="619"/>
    </row>
    <row r="200" spans="1:12" ht="57.75" customHeight="1" x14ac:dyDescent="0.2">
      <c r="B200" s="725"/>
      <c r="C200" s="626" t="s">
        <v>202</v>
      </c>
      <c r="D200" s="627">
        <f>D193*H200</f>
        <v>671480.99026675522</v>
      </c>
      <c r="E200" s="628">
        <f>SUM(E191:E192)*0.3</f>
        <v>0</v>
      </c>
      <c r="F200" s="628">
        <f>SUM(F191:F192)*0.3</f>
        <v>0</v>
      </c>
      <c r="G200" s="628"/>
      <c r="H200" s="629">
        <v>0.35</v>
      </c>
      <c r="I200" s="677"/>
      <c r="J200" s="193"/>
    </row>
    <row r="201" spans="1:12" ht="57.75" customHeight="1" x14ac:dyDescent="0.2">
      <c r="B201" s="725"/>
      <c r="C201" s="626" t="s">
        <v>203</v>
      </c>
      <c r="D201" s="627">
        <f>D193*H201</f>
        <v>575555.13451436162</v>
      </c>
      <c r="E201" s="628"/>
      <c r="F201" s="628"/>
      <c r="G201" s="628"/>
      <c r="H201" s="629">
        <v>0.3</v>
      </c>
      <c r="I201" s="677"/>
      <c r="J201" s="193"/>
    </row>
    <row r="202" spans="1:12" ht="38.25" customHeight="1" thickBot="1" x14ac:dyDescent="0.25">
      <c r="B202" s="725"/>
      <c r="C202" s="567" t="s">
        <v>204</v>
      </c>
      <c r="D202" s="622">
        <f>SUM(D199:D201)</f>
        <v>1918517.1150478721</v>
      </c>
      <c r="E202" s="622">
        <f t="shared" ref="E202:F202" si="33">SUM(E199:E200)</f>
        <v>0</v>
      </c>
      <c r="F202" s="622">
        <f t="shared" si="33"/>
        <v>0</v>
      </c>
      <c r="G202" s="630"/>
      <c r="H202" s="631"/>
      <c r="I202" s="681"/>
      <c r="J202" s="584"/>
    </row>
    <row r="203" spans="1:12" ht="21.75" customHeight="1" thickBot="1" x14ac:dyDescent="0.25">
      <c r="B203" s="725"/>
      <c r="C203" s="632"/>
      <c r="D203" s="633"/>
      <c r="E203" s="633"/>
      <c r="F203" s="633"/>
      <c r="G203" s="633"/>
      <c r="H203" s="633"/>
      <c r="I203" s="682"/>
      <c r="J203" s="585"/>
    </row>
    <row r="204" spans="1:12" ht="49.5" customHeight="1" x14ac:dyDescent="0.2">
      <c r="B204" s="725"/>
      <c r="C204" s="634" t="s">
        <v>205</v>
      </c>
      <c r="D204" s="635">
        <f>SUM(H16,H26,H36,H46,H58,H68,H78,H88,H100,H110,H120,H130,H142,H152,H162,H172,H180)*1.07</f>
        <v>458624.4904458599</v>
      </c>
      <c r="E204" s="9"/>
      <c r="F204" s="9"/>
      <c r="G204" s="9"/>
      <c r="H204" s="636" t="s">
        <v>206</v>
      </c>
      <c r="I204" s="683">
        <f>SUM(I180,I172,I162,I152,I142,I130,I120,I110,I100,I88,I78,I68,I58,I46,I36,I26,I16)</f>
        <v>226105.32608449488</v>
      </c>
      <c r="J204" s="586"/>
    </row>
    <row r="205" spans="1:12" ht="28.5" customHeight="1" thickBot="1" x14ac:dyDescent="0.25">
      <c r="B205" s="725"/>
      <c r="C205" s="637" t="s">
        <v>207</v>
      </c>
      <c r="D205" s="638">
        <f>D204/D193</f>
        <v>0.23905155020439625</v>
      </c>
      <c r="E205" s="639"/>
      <c r="F205" s="639"/>
      <c r="G205" s="639"/>
      <c r="H205" s="640" t="s">
        <v>208</v>
      </c>
      <c r="I205" s="684">
        <f>I204/D191</f>
        <v>0.1261040086704531</v>
      </c>
      <c r="J205" s="587"/>
    </row>
    <row r="206" spans="1:12" ht="28.5" customHeight="1" x14ac:dyDescent="0.2">
      <c r="B206" s="725"/>
      <c r="C206" s="723"/>
      <c r="D206" s="724"/>
      <c r="E206" s="641"/>
      <c r="F206" s="641"/>
      <c r="G206" s="641"/>
    </row>
    <row r="207" spans="1:12" ht="28.5" customHeight="1" x14ac:dyDescent="0.2">
      <c r="B207" s="725"/>
      <c r="C207" s="637" t="s">
        <v>209</v>
      </c>
      <c r="D207" s="642">
        <f>SUM(D177:F179)*1.07</f>
        <v>96300</v>
      </c>
      <c r="E207" s="643"/>
      <c r="F207" s="643"/>
      <c r="G207" s="643"/>
    </row>
    <row r="208" spans="1:12" ht="23.25" customHeight="1" x14ac:dyDescent="0.2">
      <c r="B208" s="725"/>
      <c r="C208" s="637" t="s">
        <v>210</v>
      </c>
      <c r="D208" s="650">
        <f>D207/D193</f>
        <v>5.0195017414581183E-2</v>
      </c>
      <c r="E208" s="643"/>
      <c r="F208" s="643"/>
      <c r="G208" s="643"/>
    </row>
    <row r="209" spans="2:12" ht="68.25" customHeight="1" thickBot="1" x14ac:dyDescent="0.25">
      <c r="B209" s="725"/>
      <c r="C209" s="730" t="s">
        <v>211</v>
      </c>
      <c r="D209" s="731"/>
      <c r="E209" s="644"/>
      <c r="F209" s="644"/>
      <c r="G209" s="644"/>
      <c r="I209" s="685"/>
      <c r="J209" s="588"/>
    </row>
    <row r="210" spans="2:12" ht="55.5" customHeight="1" x14ac:dyDescent="0.2">
      <c r="B210" s="725"/>
      <c r="L210" s="594"/>
    </row>
    <row r="211" spans="2:12" ht="42.75" customHeight="1" x14ac:dyDescent="0.2">
      <c r="B211" s="725"/>
    </row>
    <row r="212" spans="2:12" ht="21.75" customHeight="1" x14ac:dyDescent="0.2">
      <c r="B212" s="725"/>
    </row>
    <row r="213" spans="2:12" ht="21.75" customHeight="1" x14ac:dyDescent="0.2">
      <c r="B213" s="725"/>
    </row>
    <row r="214" spans="2:12" ht="23.25" customHeight="1" x14ac:dyDescent="0.2">
      <c r="B214" s="725"/>
    </row>
    <row r="215" spans="2:12" ht="23.25" customHeight="1" x14ac:dyDescent="0.2"/>
    <row r="216" spans="2:12" ht="21.75" customHeight="1" x14ac:dyDescent="0.2"/>
    <row r="217" spans="2:12" ht="16.5" customHeight="1" x14ac:dyDescent="0.2"/>
    <row r="218" spans="2:12" ht="29.25" customHeight="1" x14ac:dyDescent="0.2"/>
    <row r="219" spans="2:12" ht="24.75" customHeight="1" x14ac:dyDescent="0.2"/>
    <row r="220" spans="2:12" ht="33" customHeight="1" x14ac:dyDescent="0.2"/>
    <row r="222" spans="2:12" ht="15" customHeight="1" x14ac:dyDescent="0.2"/>
    <row r="223" spans="2:12" ht="25.5" customHeight="1" x14ac:dyDescent="0.2"/>
  </sheetData>
  <sheetProtection sheet="1" formatCells="0" formatColumns="0" formatRows="0"/>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conditionalFormatting sqref="D205">
    <cfRule type="cellIs" dxfId="40" priority="47" operator="lessThan">
      <formula>0.15</formula>
    </cfRule>
  </conditionalFormatting>
  <conditionalFormatting sqref="D208">
    <cfRule type="cellIs" dxfId="39"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E72508C7-C8DD-46A5-878C-E4FA07CAB6AF}"/>
    <dataValidation allowBlank="1" showInputMessage="1" showErrorMessage="1" prompt="M&amp;E Budget Cannot be Less than 5%_x000a_" sqref="D208:G208"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7:G207" xr:uid="{8C6643DA-1D03-44FB-AC1F-C4CB706ED3AA}"/>
  </dataValidations>
  <pageMargins left="0.7" right="0.7" top="0.75" bottom="0.75" header="0.3" footer="0.3"/>
  <pageSetup scale="33" orientation="landscape" horizontalDpi="4294967295" verticalDpi="4294967295" r:id="rId1"/>
  <rowBreaks count="3" manualBreakCount="3">
    <brk id="58" max="16383" man="1"/>
    <brk id="131" max="16383" man="1"/>
    <brk id="20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A9A3-55BB-463B-8990-E73D9F8A7E10}">
  <sheetPr>
    <tabColor rgb="FF00B050"/>
  </sheetPr>
  <dimension ref="Q1:AF14"/>
  <sheetViews>
    <sheetView topLeftCell="A8" workbookViewId="0">
      <selection activeCell="B9" sqref="B9"/>
    </sheetView>
  </sheetViews>
  <sheetFormatPr baseColWidth="10" defaultColWidth="8.83203125" defaultRowHeight="15" x14ac:dyDescent="0.2"/>
  <cols>
    <col min="1" max="16" width="8.83203125" style="344"/>
    <col min="17" max="17" width="23.5" style="344" customWidth="1"/>
    <col min="18" max="18" width="18.83203125" style="344" bestFit="1" customWidth="1"/>
    <col min="19" max="20" width="18.83203125" style="345" customWidth="1"/>
    <col min="21" max="22" width="8.83203125" style="344"/>
    <col min="23" max="23" width="14.83203125" style="344" bestFit="1" customWidth="1"/>
    <col min="24" max="24" width="0.83203125" style="344" customWidth="1"/>
    <col min="25" max="25" width="10.1640625" style="344" bestFit="1" customWidth="1"/>
    <col min="26" max="26" width="12" style="344" bestFit="1" customWidth="1"/>
    <col min="27" max="27" width="11.5" style="344" bestFit="1" customWidth="1"/>
    <col min="28" max="16384" width="8.83203125" style="344"/>
  </cols>
  <sheetData>
    <row r="1" spans="17:32" x14ac:dyDescent="0.2">
      <c r="Y1" s="346"/>
      <c r="Z1" s="347"/>
      <c r="AA1" s="348"/>
      <c r="AB1" s="348"/>
      <c r="AE1" s="344">
        <v>1.05</v>
      </c>
      <c r="AF1" s="349" t="s">
        <v>611</v>
      </c>
    </row>
    <row r="3" spans="17:32" ht="13" x14ac:dyDescent="0.15">
      <c r="S3" s="350"/>
      <c r="T3" s="350"/>
    </row>
    <row r="4" spans="17:32" x14ac:dyDescent="0.2">
      <c r="Y4" s="816" t="s">
        <v>580</v>
      </c>
      <c r="Z4" s="817"/>
    </row>
    <row r="5" spans="17:32" x14ac:dyDescent="0.2">
      <c r="R5" s="344" t="s">
        <v>612</v>
      </c>
      <c r="S5" s="345" t="s">
        <v>613</v>
      </c>
      <c r="T5" s="345" t="s">
        <v>267</v>
      </c>
      <c r="U5" s="344" t="s">
        <v>614</v>
      </c>
      <c r="V5" s="344" t="s">
        <v>269</v>
      </c>
      <c r="W5" s="349" t="s">
        <v>615</v>
      </c>
      <c r="Y5" s="344" t="s">
        <v>380</v>
      </c>
      <c r="Z5" s="344" t="s">
        <v>502</v>
      </c>
      <c r="AA5" s="344" t="s">
        <v>10</v>
      </c>
    </row>
    <row r="6" spans="17:32" x14ac:dyDescent="0.2">
      <c r="Q6" s="349" t="s">
        <v>616</v>
      </c>
      <c r="R6" s="349" t="s">
        <v>565</v>
      </c>
      <c r="S6" s="350" t="s">
        <v>617</v>
      </c>
      <c r="T6" s="345">
        <f>W14</f>
        <v>2229.6</v>
      </c>
      <c r="U6" s="344">
        <v>12</v>
      </c>
      <c r="V6" s="351">
        <v>1.1200000000000001</v>
      </c>
      <c r="W6" s="352">
        <f>T6*U6*V6</f>
        <v>29965.824000000001</v>
      </c>
      <c r="Y6" s="351">
        <f>W6</f>
        <v>29965.824000000001</v>
      </c>
      <c r="Z6" s="353">
        <f>Y6*$AE$1</f>
        <v>31464.1152</v>
      </c>
      <c r="AA6" s="354">
        <f>SUM(Y6:Z6)</f>
        <v>61429.939200000001</v>
      </c>
    </row>
    <row r="8" spans="17:32" x14ac:dyDescent="0.2">
      <c r="U8" s="349"/>
      <c r="V8" s="349"/>
      <c r="W8" s="349"/>
    </row>
    <row r="9" spans="17:32" x14ac:dyDescent="0.2">
      <c r="U9" s="344" t="s">
        <v>618</v>
      </c>
    </row>
    <row r="10" spans="17:32" x14ac:dyDescent="0.2">
      <c r="S10" s="345" t="s">
        <v>619</v>
      </c>
      <c r="T10" s="345">
        <f>308.8</f>
        <v>308.8</v>
      </c>
      <c r="U10" s="345">
        <v>75</v>
      </c>
      <c r="V10" s="344">
        <v>2</v>
      </c>
      <c r="W10" s="354">
        <f>(T10+U10)*V10</f>
        <v>767.6</v>
      </c>
    </row>
    <row r="11" spans="17:32" x14ac:dyDescent="0.2">
      <c r="S11" s="345" t="s">
        <v>620</v>
      </c>
      <c r="T11" s="345">
        <v>242</v>
      </c>
      <c r="U11" s="345">
        <v>75</v>
      </c>
      <c r="V11" s="344">
        <v>2</v>
      </c>
      <c r="W11" s="354">
        <f t="shared" ref="W11:W13" si="0">(T11+U11)*V11</f>
        <v>634</v>
      </c>
    </row>
    <row r="12" spans="17:32" x14ac:dyDescent="0.2">
      <c r="S12" s="345" t="s">
        <v>621</v>
      </c>
      <c r="T12" s="345">
        <v>189</v>
      </c>
      <c r="U12" s="345">
        <v>75</v>
      </c>
      <c r="V12" s="344">
        <v>2</v>
      </c>
      <c r="W12" s="354">
        <f t="shared" si="0"/>
        <v>528</v>
      </c>
    </row>
    <row r="13" spans="17:32" x14ac:dyDescent="0.2">
      <c r="S13" s="345" t="s">
        <v>622</v>
      </c>
      <c r="U13" s="345">
        <v>150</v>
      </c>
      <c r="V13" s="344">
        <v>2</v>
      </c>
      <c r="W13" s="354">
        <f t="shared" si="0"/>
        <v>300</v>
      </c>
    </row>
    <row r="14" spans="17:32" x14ac:dyDescent="0.2">
      <c r="T14" s="345">
        <f>SUM(T10:T13)</f>
        <v>739.8</v>
      </c>
      <c r="U14" s="345"/>
      <c r="W14" s="356">
        <f>SUM(W10:W13)</f>
        <v>2229.6</v>
      </c>
    </row>
  </sheetData>
  <mergeCells count="1">
    <mergeCell ref="Y4:Z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B87C3-48DD-46A1-B2F8-74C6E967BABE}">
  <sheetPr>
    <tabColor rgb="FF00B050"/>
  </sheetPr>
  <dimension ref="M1:AB9"/>
  <sheetViews>
    <sheetView workbookViewId="0">
      <selection activeCell="B9" sqref="B9"/>
    </sheetView>
  </sheetViews>
  <sheetFormatPr baseColWidth="10" defaultColWidth="8.83203125" defaultRowHeight="15" x14ac:dyDescent="0.2"/>
  <cols>
    <col min="1" max="12" width="8.83203125" style="344"/>
    <col min="13" max="13" width="30.1640625" style="344" customWidth="1"/>
    <col min="14" max="14" width="18.83203125" style="344" bestFit="1" customWidth="1"/>
    <col min="15" max="15" width="18.83203125" style="345" customWidth="1"/>
    <col min="16" max="16" width="8.1640625" style="345" customWidth="1"/>
    <col min="17" max="18" width="8.83203125" style="344"/>
    <col min="19" max="19" width="14.83203125" style="344" bestFit="1" customWidth="1"/>
    <col min="20" max="20" width="0.83203125" style="344" customWidth="1"/>
    <col min="21" max="21" width="11.1640625" style="344" bestFit="1" customWidth="1"/>
    <col min="22" max="22" width="12.83203125" style="344" bestFit="1" customWidth="1"/>
    <col min="23" max="23" width="11.1640625" style="344" bestFit="1" customWidth="1"/>
    <col min="24" max="16384" width="8.83203125" style="344"/>
  </cols>
  <sheetData>
    <row r="1" spans="13:28" x14ac:dyDescent="0.2">
      <c r="U1" s="346"/>
      <c r="V1" s="347"/>
      <c r="W1" s="348"/>
      <c r="X1" s="348"/>
      <c r="AA1" s="344">
        <v>1.05</v>
      </c>
      <c r="AB1" s="349" t="s">
        <v>611</v>
      </c>
    </row>
    <row r="3" spans="13:28" x14ac:dyDescent="0.2">
      <c r="O3" s="350"/>
      <c r="P3" s="350"/>
      <c r="R3" s="351">
        <v>745.186149632293</v>
      </c>
    </row>
    <row r="4" spans="13:28" x14ac:dyDescent="0.2">
      <c r="U4" s="816" t="s">
        <v>580</v>
      </c>
      <c r="V4" s="817"/>
    </row>
    <row r="5" spans="13:28" x14ac:dyDescent="0.2">
      <c r="N5" s="344" t="s">
        <v>612</v>
      </c>
      <c r="O5" s="345" t="s">
        <v>613</v>
      </c>
      <c r="P5" s="345" t="s">
        <v>267</v>
      </c>
      <c r="Q5" s="344" t="s">
        <v>614</v>
      </c>
      <c r="R5" s="344" t="s">
        <v>269</v>
      </c>
      <c r="S5" s="349" t="s">
        <v>615</v>
      </c>
      <c r="U5" s="344" t="s">
        <v>380</v>
      </c>
      <c r="V5" s="344" t="s">
        <v>502</v>
      </c>
      <c r="W5" s="344" t="s">
        <v>10</v>
      </c>
    </row>
    <row r="6" spans="13:28" x14ac:dyDescent="0.2">
      <c r="M6" s="349" t="s">
        <v>623</v>
      </c>
      <c r="N6" s="349" t="s">
        <v>565</v>
      </c>
      <c r="O6" s="350" t="s">
        <v>624</v>
      </c>
      <c r="P6" s="351">
        <v>7.2</v>
      </c>
      <c r="Q6" s="344">
        <v>12</v>
      </c>
      <c r="R6" s="351">
        <v>745.186149632293</v>
      </c>
      <c r="S6" s="352">
        <f>P6*Q6*R6</f>
        <v>64384.083328230117</v>
      </c>
      <c r="U6" s="351">
        <f>S6</f>
        <v>64384.083328230117</v>
      </c>
      <c r="V6" s="353">
        <f>U6*$AA$1</f>
        <v>67603.287494641627</v>
      </c>
      <c r="W6" s="354">
        <f>SUM(U6:V6)</f>
        <v>131987.37082287174</v>
      </c>
    </row>
    <row r="8" spans="13:28" x14ac:dyDescent="0.2">
      <c r="Q8" s="349"/>
      <c r="R8" s="349"/>
      <c r="S8" s="349"/>
    </row>
    <row r="9" spans="13:28" x14ac:dyDescent="0.2">
      <c r="M9" s="349" t="s">
        <v>625</v>
      </c>
    </row>
  </sheetData>
  <mergeCells count="1">
    <mergeCell ref="U4:V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12A7-3ADD-497E-B080-3739701633BA}">
  <sheetPr>
    <tabColor rgb="FF00B050"/>
  </sheetPr>
  <dimension ref="L1:AA13"/>
  <sheetViews>
    <sheetView topLeftCell="H1" workbookViewId="0">
      <selection activeCell="B9" sqref="B9"/>
    </sheetView>
  </sheetViews>
  <sheetFormatPr baseColWidth="10" defaultColWidth="8.83203125" defaultRowHeight="15" x14ac:dyDescent="0.2"/>
  <cols>
    <col min="1" max="11" width="8.83203125" style="344"/>
    <col min="12" max="12" width="35" style="344" customWidth="1"/>
    <col min="13" max="13" width="9.83203125" style="344" customWidth="1"/>
    <col min="14" max="14" width="10.83203125" style="345" customWidth="1"/>
    <col min="15" max="15" width="8" style="345" customWidth="1"/>
    <col min="16" max="16" width="8.83203125" style="344"/>
    <col min="17" max="17" width="10.1640625" style="344" customWidth="1"/>
    <col min="18" max="18" width="14.83203125" style="344" bestFit="1" customWidth="1"/>
    <col min="19" max="19" width="0.83203125" style="344" customWidth="1"/>
    <col min="20" max="21" width="12" style="344" bestFit="1" customWidth="1"/>
    <col min="22" max="22" width="15.5" style="344" customWidth="1"/>
    <col min="23" max="16384" width="8.83203125" style="344"/>
  </cols>
  <sheetData>
    <row r="1" spans="12:27" x14ac:dyDescent="0.2">
      <c r="T1" s="346"/>
      <c r="U1" s="347"/>
      <c r="V1" s="348"/>
      <c r="W1" s="348"/>
      <c r="Z1" s="344">
        <v>1.05</v>
      </c>
      <c r="AA1" s="349" t="s">
        <v>611</v>
      </c>
    </row>
    <row r="3" spans="12:27" ht="13" x14ac:dyDescent="0.15">
      <c r="N3" s="350"/>
      <c r="O3" s="350"/>
    </row>
    <row r="4" spans="12:27" x14ac:dyDescent="0.2">
      <c r="T4" s="816" t="s">
        <v>580</v>
      </c>
      <c r="U4" s="817"/>
    </row>
    <row r="5" spans="12:27" x14ac:dyDescent="0.2">
      <c r="M5" s="344" t="s">
        <v>612</v>
      </c>
      <c r="N5" s="345" t="s">
        <v>613</v>
      </c>
      <c r="O5" s="345" t="s">
        <v>267</v>
      </c>
      <c r="P5" s="344" t="s">
        <v>614</v>
      </c>
      <c r="Q5" s="344" t="s">
        <v>269</v>
      </c>
      <c r="R5" s="349" t="s">
        <v>615</v>
      </c>
      <c r="T5" s="344" t="s">
        <v>380</v>
      </c>
      <c r="U5" s="344" t="s">
        <v>502</v>
      </c>
      <c r="V5" s="344" t="s">
        <v>10</v>
      </c>
    </row>
    <row r="6" spans="12:27" x14ac:dyDescent="0.2">
      <c r="L6" s="349" t="s">
        <v>570</v>
      </c>
      <c r="M6" s="349" t="s">
        <v>565</v>
      </c>
      <c r="N6" s="350"/>
      <c r="O6" s="355">
        <v>1</v>
      </c>
      <c r="P6" s="344">
        <v>12</v>
      </c>
      <c r="Q6" s="351">
        <v>2306.61</v>
      </c>
      <c r="R6" s="352">
        <f t="shared" ref="R6:R11" si="0">O6*P6*Q6</f>
        <v>27679.32</v>
      </c>
      <c r="T6" s="351">
        <f>R6</f>
        <v>27679.32</v>
      </c>
      <c r="U6" s="353">
        <f t="shared" ref="U6:U10" si="1">T6*1.03</f>
        <v>28509.6996</v>
      </c>
      <c r="V6" s="354">
        <f>SUM(T6:U6)</f>
        <v>56189.0196</v>
      </c>
    </row>
    <row r="7" spans="12:27" x14ac:dyDescent="0.2">
      <c r="L7" s="349" t="s">
        <v>572</v>
      </c>
      <c r="M7" s="349" t="s">
        <v>565</v>
      </c>
      <c r="O7" s="358">
        <v>1</v>
      </c>
      <c r="P7" s="344">
        <v>12</v>
      </c>
      <c r="Q7" s="344">
        <v>1535</v>
      </c>
      <c r="R7" s="352">
        <f t="shared" si="0"/>
        <v>18420</v>
      </c>
      <c r="T7" s="351">
        <f t="shared" ref="T7:T10" si="2">R7</f>
        <v>18420</v>
      </c>
      <c r="U7" s="353">
        <f t="shared" si="1"/>
        <v>18972.600000000002</v>
      </c>
      <c r="V7" s="354">
        <f>SUM(T7:U7)</f>
        <v>37392.600000000006</v>
      </c>
    </row>
    <row r="8" spans="12:27" x14ac:dyDescent="0.2">
      <c r="L8" s="349" t="s">
        <v>573</v>
      </c>
      <c r="M8" s="349" t="s">
        <v>565</v>
      </c>
      <c r="O8" s="358">
        <v>1</v>
      </c>
      <c r="P8" s="349">
        <v>12</v>
      </c>
      <c r="Q8" s="349">
        <v>800</v>
      </c>
      <c r="R8" s="352">
        <f t="shared" si="0"/>
        <v>9600</v>
      </c>
      <c r="T8" s="351">
        <f t="shared" si="2"/>
        <v>9600</v>
      </c>
      <c r="U8" s="353">
        <f t="shared" si="1"/>
        <v>9888</v>
      </c>
      <c r="V8" s="354">
        <f>SUM(T8:U8)</f>
        <v>19488</v>
      </c>
    </row>
    <row r="9" spans="12:27" x14ac:dyDescent="0.2">
      <c r="L9" s="349" t="s">
        <v>574</v>
      </c>
      <c r="M9" s="349" t="s">
        <v>565</v>
      </c>
      <c r="O9" s="358">
        <v>1</v>
      </c>
      <c r="P9" s="349">
        <v>12</v>
      </c>
      <c r="Q9" s="349">
        <v>387.22</v>
      </c>
      <c r="R9" s="352">
        <f t="shared" si="0"/>
        <v>4646.6400000000003</v>
      </c>
      <c r="T9" s="351">
        <f t="shared" si="2"/>
        <v>4646.6400000000003</v>
      </c>
      <c r="U9" s="353">
        <f t="shared" si="1"/>
        <v>4786.0392000000002</v>
      </c>
      <c r="V9" s="354">
        <f>SUM(T9:U9)</f>
        <v>9432.6792000000005</v>
      </c>
    </row>
    <row r="10" spans="12:27" x14ac:dyDescent="0.2">
      <c r="L10" s="349" t="s">
        <v>575</v>
      </c>
      <c r="M10" s="349" t="s">
        <v>565</v>
      </c>
      <c r="O10" s="358">
        <v>1</v>
      </c>
      <c r="P10" s="349">
        <v>12</v>
      </c>
      <c r="Q10" s="349">
        <v>133.83000000000001</v>
      </c>
      <c r="R10" s="352">
        <f t="shared" si="0"/>
        <v>1605.96</v>
      </c>
      <c r="T10" s="351">
        <f t="shared" si="2"/>
        <v>1605.96</v>
      </c>
      <c r="U10" s="353">
        <f t="shared" si="1"/>
        <v>1654.1388000000002</v>
      </c>
      <c r="V10" s="354">
        <f>SUM(T10:U10)</f>
        <v>3260.0988000000002</v>
      </c>
    </row>
    <row r="11" spans="12:27" x14ac:dyDescent="0.2">
      <c r="L11" s="349" t="s">
        <v>576</v>
      </c>
      <c r="M11" s="349" t="s">
        <v>565</v>
      </c>
      <c r="R11" s="352">
        <f t="shared" si="0"/>
        <v>0</v>
      </c>
    </row>
    <row r="13" spans="12:27" x14ac:dyDescent="0.2">
      <c r="T13" s="354">
        <f>SUM(T6:T12)</f>
        <v>61951.92</v>
      </c>
      <c r="U13" s="354">
        <f>SUM(U6:U12)</f>
        <v>63810.477599999998</v>
      </c>
      <c r="V13" s="354">
        <f>SUM(V6:V12)</f>
        <v>125762.39760000001</v>
      </c>
    </row>
  </sheetData>
  <mergeCells count="1">
    <mergeCell ref="T4:U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workbookViewId="0"/>
  </sheetViews>
  <sheetFormatPr baseColWidth="10" defaultColWidth="8.83203125" defaultRowHeight="15" x14ac:dyDescent="0.2"/>
  <sheetData>
    <row r="1" spans="1:2" x14ac:dyDescent="0.2">
      <c r="A1" s="41" t="s">
        <v>626</v>
      </c>
      <c r="B1" s="42" t="s">
        <v>627</v>
      </c>
    </row>
    <row r="2" spans="1:2" x14ac:dyDescent="0.2">
      <c r="A2" s="43" t="s">
        <v>628</v>
      </c>
      <c r="B2" s="44" t="s">
        <v>629</v>
      </c>
    </row>
    <row r="3" spans="1:2" x14ac:dyDescent="0.2">
      <c r="A3" s="43" t="s">
        <v>630</v>
      </c>
      <c r="B3" s="44" t="s">
        <v>631</v>
      </c>
    </row>
    <row r="4" spans="1:2" x14ac:dyDescent="0.2">
      <c r="A4" s="43" t="s">
        <v>632</v>
      </c>
      <c r="B4" s="44" t="s">
        <v>633</v>
      </c>
    </row>
    <row r="5" spans="1:2" x14ac:dyDescent="0.2">
      <c r="A5" s="43" t="s">
        <v>634</v>
      </c>
      <c r="B5" s="44" t="s">
        <v>635</v>
      </c>
    </row>
    <row r="6" spans="1:2" x14ac:dyDescent="0.2">
      <c r="A6" s="43" t="s">
        <v>636</v>
      </c>
      <c r="B6" s="44" t="s">
        <v>637</v>
      </c>
    </row>
    <row r="7" spans="1:2" x14ac:dyDescent="0.2">
      <c r="A7" s="43" t="s">
        <v>638</v>
      </c>
      <c r="B7" s="44" t="s">
        <v>639</v>
      </c>
    </row>
    <row r="8" spans="1:2" x14ac:dyDescent="0.2">
      <c r="A8" s="43" t="s">
        <v>640</v>
      </c>
      <c r="B8" s="44" t="s">
        <v>641</v>
      </c>
    </row>
    <row r="9" spans="1:2" x14ac:dyDescent="0.2">
      <c r="A9" s="43" t="s">
        <v>642</v>
      </c>
      <c r="B9" s="44" t="s">
        <v>643</v>
      </c>
    </row>
    <row r="10" spans="1:2" x14ac:dyDescent="0.2">
      <c r="A10" s="43" t="s">
        <v>644</v>
      </c>
      <c r="B10" s="44" t="s">
        <v>645</v>
      </c>
    </row>
    <row r="11" spans="1:2" x14ac:dyDescent="0.2">
      <c r="A11" s="43" t="s">
        <v>646</v>
      </c>
      <c r="B11" s="44" t="s">
        <v>647</v>
      </c>
    </row>
    <row r="12" spans="1:2" x14ac:dyDescent="0.2">
      <c r="A12" s="43" t="s">
        <v>648</v>
      </c>
      <c r="B12" s="44" t="s">
        <v>649</v>
      </c>
    </row>
    <row r="13" spans="1:2" x14ac:dyDescent="0.2">
      <c r="A13" s="43" t="s">
        <v>650</v>
      </c>
      <c r="B13" s="44" t="s">
        <v>651</v>
      </c>
    </row>
    <row r="14" spans="1:2" x14ac:dyDescent="0.2">
      <c r="A14" s="43" t="s">
        <v>652</v>
      </c>
      <c r="B14" s="44" t="s">
        <v>653</v>
      </c>
    </row>
    <row r="15" spans="1:2" x14ac:dyDescent="0.2">
      <c r="A15" s="43" t="s">
        <v>654</v>
      </c>
      <c r="B15" s="44" t="s">
        <v>655</v>
      </c>
    </row>
    <row r="16" spans="1:2" x14ac:dyDescent="0.2">
      <c r="A16" s="43" t="s">
        <v>656</v>
      </c>
      <c r="B16" s="44" t="s">
        <v>657</v>
      </c>
    </row>
    <row r="17" spans="1:2" x14ac:dyDescent="0.2">
      <c r="A17" s="43" t="s">
        <v>658</v>
      </c>
      <c r="B17" s="44" t="s">
        <v>659</v>
      </c>
    </row>
    <row r="18" spans="1:2" x14ac:dyDescent="0.2">
      <c r="A18" s="43" t="s">
        <v>660</v>
      </c>
      <c r="B18" s="44" t="s">
        <v>661</v>
      </c>
    </row>
    <row r="19" spans="1:2" x14ac:dyDescent="0.2">
      <c r="A19" s="43" t="s">
        <v>662</v>
      </c>
      <c r="B19" s="44" t="s">
        <v>663</v>
      </c>
    </row>
    <row r="20" spans="1:2" x14ac:dyDescent="0.2">
      <c r="A20" s="43" t="s">
        <v>664</v>
      </c>
      <c r="B20" s="44" t="s">
        <v>665</v>
      </c>
    </row>
    <row r="21" spans="1:2" x14ac:dyDescent="0.2">
      <c r="A21" s="43" t="s">
        <v>666</v>
      </c>
      <c r="B21" s="44" t="s">
        <v>667</v>
      </c>
    </row>
    <row r="22" spans="1:2" x14ac:dyDescent="0.2">
      <c r="A22" s="43" t="s">
        <v>668</v>
      </c>
      <c r="B22" s="44" t="s">
        <v>669</v>
      </c>
    </row>
    <row r="23" spans="1:2" x14ac:dyDescent="0.2">
      <c r="A23" s="43" t="s">
        <v>670</v>
      </c>
      <c r="B23" s="44" t="s">
        <v>671</v>
      </c>
    </row>
    <row r="24" spans="1:2" x14ac:dyDescent="0.2">
      <c r="A24" s="43" t="s">
        <v>672</v>
      </c>
      <c r="B24" s="44" t="s">
        <v>673</v>
      </c>
    </row>
    <row r="25" spans="1:2" x14ac:dyDescent="0.2">
      <c r="A25" s="43" t="s">
        <v>674</v>
      </c>
      <c r="B25" s="44" t="s">
        <v>675</v>
      </c>
    </row>
    <row r="26" spans="1:2" x14ac:dyDescent="0.2">
      <c r="A26" s="43" t="s">
        <v>676</v>
      </c>
      <c r="B26" s="44" t="s">
        <v>677</v>
      </c>
    </row>
    <row r="27" spans="1:2" x14ac:dyDescent="0.2">
      <c r="A27" s="43" t="s">
        <v>678</v>
      </c>
      <c r="B27" s="44" t="s">
        <v>679</v>
      </c>
    </row>
    <row r="28" spans="1:2" x14ac:dyDescent="0.2">
      <c r="A28" s="43" t="s">
        <v>680</v>
      </c>
      <c r="B28" s="44" t="s">
        <v>681</v>
      </c>
    </row>
    <row r="29" spans="1:2" x14ac:dyDescent="0.2">
      <c r="A29" s="43" t="s">
        <v>682</v>
      </c>
      <c r="B29" s="44" t="s">
        <v>683</v>
      </c>
    </row>
    <row r="30" spans="1:2" x14ac:dyDescent="0.2">
      <c r="A30" s="43" t="s">
        <v>684</v>
      </c>
      <c r="B30" s="44" t="s">
        <v>685</v>
      </c>
    </row>
    <row r="31" spans="1:2" x14ac:dyDescent="0.2">
      <c r="A31" s="43" t="s">
        <v>686</v>
      </c>
      <c r="B31" s="44" t="s">
        <v>687</v>
      </c>
    </row>
    <row r="32" spans="1:2" x14ac:dyDescent="0.2">
      <c r="A32" s="43" t="s">
        <v>688</v>
      </c>
      <c r="B32" s="44" t="s">
        <v>689</v>
      </c>
    </row>
    <row r="33" spans="1:2" x14ac:dyDescent="0.2">
      <c r="A33" s="43" t="s">
        <v>690</v>
      </c>
      <c r="B33" s="44" t="s">
        <v>691</v>
      </c>
    </row>
    <row r="34" spans="1:2" x14ac:dyDescent="0.2">
      <c r="A34" s="43" t="s">
        <v>692</v>
      </c>
      <c r="B34" s="44" t="s">
        <v>693</v>
      </c>
    </row>
    <row r="35" spans="1:2" x14ac:dyDescent="0.2">
      <c r="A35" s="43" t="s">
        <v>694</v>
      </c>
      <c r="B35" s="44" t="s">
        <v>695</v>
      </c>
    </row>
    <row r="36" spans="1:2" x14ac:dyDescent="0.2">
      <c r="A36" s="43" t="s">
        <v>696</v>
      </c>
      <c r="B36" s="44" t="s">
        <v>697</v>
      </c>
    </row>
    <row r="37" spans="1:2" x14ac:dyDescent="0.2">
      <c r="A37" s="43" t="s">
        <v>698</v>
      </c>
      <c r="B37" s="44" t="s">
        <v>699</v>
      </c>
    </row>
    <row r="38" spans="1:2" x14ac:dyDescent="0.2">
      <c r="A38" s="43" t="s">
        <v>700</v>
      </c>
      <c r="B38" s="44" t="s">
        <v>701</v>
      </c>
    </row>
    <row r="39" spans="1:2" x14ac:dyDescent="0.2">
      <c r="A39" s="43" t="s">
        <v>702</v>
      </c>
      <c r="B39" s="44" t="s">
        <v>703</v>
      </c>
    </row>
    <row r="40" spans="1:2" x14ac:dyDescent="0.2">
      <c r="A40" s="43" t="s">
        <v>704</v>
      </c>
      <c r="B40" s="44" t="s">
        <v>705</v>
      </c>
    </row>
    <row r="41" spans="1:2" x14ac:dyDescent="0.2">
      <c r="A41" s="43" t="s">
        <v>706</v>
      </c>
      <c r="B41" s="44" t="s">
        <v>707</v>
      </c>
    </row>
    <row r="42" spans="1:2" x14ac:dyDescent="0.2">
      <c r="A42" s="43" t="s">
        <v>708</v>
      </c>
      <c r="B42" s="44" t="s">
        <v>709</v>
      </c>
    </row>
    <row r="43" spans="1:2" x14ac:dyDescent="0.2">
      <c r="A43" s="43" t="s">
        <v>710</v>
      </c>
      <c r="B43" s="44" t="s">
        <v>711</v>
      </c>
    </row>
    <row r="44" spans="1:2" x14ac:dyDescent="0.2">
      <c r="A44" s="43" t="s">
        <v>712</v>
      </c>
      <c r="B44" s="44" t="s">
        <v>713</v>
      </c>
    </row>
    <row r="45" spans="1:2" x14ac:dyDescent="0.2">
      <c r="A45" s="43" t="s">
        <v>714</v>
      </c>
      <c r="B45" s="44" t="s">
        <v>715</v>
      </c>
    </row>
    <row r="46" spans="1:2" x14ac:dyDescent="0.2">
      <c r="A46" s="43" t="s">
        <v>716</v>
      </c>
      <c r="B46" s="44" t="s">
        <v>717</v>
      </c>
    </row>
    <row r="47" spans="1:2" x14ac:dyDescent="0.2">
      <c r="A47" s="43" t="s">
        <v>718</v>
      </c>
      <c r="B47" s="44" t="s">
        <v>719</v>
      </c>
    </row>
    <row r="48" spans="1:2" x14ac:dyDescent="0.2">
      <c r="A48" s="43" t="s">
        <v>720</v>
      </c>
      <c r="B48" s="44" t="s">
        <v>721</v>
      </c>
    </row>
    <row r="49" spans="1:2" x14ac:dyDescent="0.2">
      <c r="A49" s="43" t="s">
        <v>722</v>
      </c>
      <c r="B49" s="44" t="s">
        <v>723</v>
      </c>
    </row>
    <row r="50" spans="1:2" x14ac:dyDescent="0.2">
      <c r="A50" s="43" t="s">
        <v>724</v>
      </c>
      <c r="B50" s="44" t="s">
        <v>725</v>
      </c>
    </row>
    <row r="51" spans="1:2" x14ac:dyDescent="0.2">
      <c r="A51" s="43" t="s">
        <v>726</v>
      </c>
      <c r="B51" s="44" t="s">
        <v>727</v>
      </c>
    </row>
    <row r="52" spans="1:2" x14ac:dyDescent="0.2">
      <c r="A52" s="43" t="s">
        <v>728</v>
      </c>
      <c r="B52" s="44" t="s">
        <v>729</v>
      </c>
    </row>
    <row r="53" spans="1:2" x14ac:dyDescent="0.2">
      <c r="A53" s="43" t="s">
        <v>730</v>
      </c>
      <c r="B53" s="44" t="s">
        <v>731</v>
      </c>
    </row>
    <row r="54" spans="1:2" x14ac:dyDescent="0.2">
      <c r="A54" s="43" t="s">
        <v>732</v>
      </c>
      <c r="B54" s="44" t="s">
        <v>733</v>
      </c>
    </row>
    <row r="55" spans="1:2" x14ac:dyDescent="0.2">
      <c r="A55" s="43" t="s">
        <v>734</v>
      </c>
      <c r="B55" s="44" t="s">
        <v>735</v>
      </c>
    </row>
    <row r="56" spans="1:2" x14ac:dyDescent="0.2">
      <c r="A56" s="43" t="s">
        <v>736</v>
      </c>
      <c r="B56" s="44" t="s">
        <v>737</v>
      </c>
    </row>
    <row r="57" spans="1:2" x14ac:dyDescent="0.2">
      <c r="A57" s="43" t="s">
        <v>738</v>
      </c>
      <c r="B57" s="44" t="s">
        <v>739</v>
      </c>
    </row>
    <row r="58" spans="1:2" x14ac:dyDescent="0.2">
      <c r="A58" s="43" t="s">
        <v>740</v>
      </c>
      <c r="B58" s="44" t="s">
        <v>741</v>
      </c>
    </row>
    <row r="59" spans="1:2" x14ac:dyDescent="0.2">
      <c r="A59" s="43" t="s">
        <v>742</v>
      </c>
      <c r="B59" s="44" t="s">
        <v>743</v>
      </c>
    </row>
    <row r="60" spans="1:2" x14ac:dyDescent="0.2">
      <c r="A60" s="43" t="s">
        <v>744</v>
      </c>
      <c r="B60" s="44" t="s">
        <v>745</v>
      </c>
    </row>
    <row r="61" spans="1:2" x14ac:dyDescent="0.2">
      <c r="A61" s="43" t="s">
        <v>746</v>
      </c>
      <c r="B61" s="44" t="s">
        <v>747</v>
      </c>
    </row>
    <row r="62" spans="1:2" x14ac:dyDescent="0.2">
      <c r="A62" s="43" t="s">
        <v>748</v>
      </c>
      <c r="B62" s="44" t="s">
        <v>749</v>
      </c>
    </row>
    <row r="63" spans="1:2" x14ac:dyDescent="0.2">
      <c r="A63" s="43" t="s">
        <v>750</v>
      </c>
      <c r="B63" s="44" t="s">
        <v>751</v>
      </c>
    </row>
    <row r="64" spans="1:2" x14ac:dyDescent="0.2">
      <c r="A64" s="43" t="s">
        <v>752</v>
      </c>
      <c r="B64" s="44" t="s">
        <v>753</v>
      </c>
    </row>
    <row r="65" spans="1:2" x14ac:dyDescent="0.2">
      <c r="A65" s="43" t="s">
        <v>754</v>
      </c>
      <c r="B65" s="44" t="s">
        <v>755</v>
      </c>
    </row>
    <row r="66" spans="1:2" x14ac:dyDescent="0.2">
      <c r="A66" s="43" t="s">
        <v>756</v>
      </c>
      <c r="B66" s="44" t="s">
        <v>757</v>
      </c>
    </row>
    <row r="67" spans="1:2" x14ac:dyDescent="0.2">
      <c r="A67" s="43" t="s">
        <v>758</v>
      </c>
      <c r="B67" s="44" t="s">
        <v>759</v>
      </c>
    </row>
    <row r="68" spans="1:2" x14ac:dyDescent="0.2">
      <c r="A68" s="43" t="s">
        <v>760</v>
      </c>
      <c r="B68" s="44" t="s">
        <v>761</v>
      </c>
    </row>
    <row r="69" spans="1:2" x14ac:dyDescent="0.2">
      <c r="A69" s="43" t="s">
        <v>762</v>
      </c>
      <c r="B69" s="44" t="s">
        <v>763</v>
      </c>
    </row>
    <row r="70" spans="1:2" x14ac:dyDescent="0.2">
      <c r="A70" s="43" t="s">
        <v>764</v>
      </c>
      <c r="B70" s="44" t="s">
        <v>765</v>
      </c>
    </row>
    <row r="71" spans="1:2" x14ac:dyDescent="0.2">
      <c r="A71" s="43" t="s">
        <v>766</v>
      </c>
      <c r="B71" s="44" t="s">
        <v>767</v>
      </c>
    </row>
    <row r="72" spans="1:2" x14ac:dyDescent="0.2">
      <c r="A72" s="43" t="s">
        <v>768</v>
      </c>
      <c r="B72" s="44" t="s">
        <v>769</v>
      </c>
    </row>
    <row r="73" spans="1:2" x14ac:dyDescent="0.2">
      <c r="A73" s="43" t="s">
        <v>770</v>
      </c>
      <c r="B73" s="44" t="s">
        <v>771</v>
      </c>
    </row>
    <row r="74" spans="1:2" x14ac:dyDescent="0.2">
      <c r="A74" s="43" t="s">
        <v>772</v>
      </c>
      <c r="B74" s="44" t="s">
        <v>773</v>
      </c>
    </row>
    <row r="75" spans="1:2" ht="16" x14ac:dyDescent="0.2">
      <c r="A75" s="43" t="s">
        <v>774</v>
      </c>
      <c r="B75" s="45" t="s">
        <v>775</v>
      </c>
    </row>
    <row r="76" spans="1:2" ht="16" x14ac:dyDescent="0.2">
      <c r="A76" s="43" t="s">
        <v>776</v>
      </c>
      <c r="B76" s="45" t="s">
        <v>777</v>
      </c>
    </row>
    <row r="77" spans="1:2" ht="16" x14ac:dyDescent="0.2">
      <c r="A77" s="43" t="s">
        <v>778</v>
      </c>
      <c r="B77" s="45" t="s">
        <v>779</v>
      </c>
    </row>
    <row r="78" spans="1:2" ht="16" x14ac:dyDescent="0.2">
      <c r="A78" s="43" t="s">
        <v>780</v>
      </c>
      <c r="B78" s="45" t="s">
        <v>781</v>
      </c>
    </row>
    <row r="79" spans="1:2" ht="16" x14ac:dyDescent="0.2">
      <c r="A79" s="43" t="s">
        <v>782</v>
      </c>
      <c r="B79" s="45" t="s">
        <v>783</v>
      </c>
    </row>
    <row r="80" spans="1:2" ht="16" x14ac:dyDescent="0.2">
      <c r="A80" s="43" t="s">
        <v>784</v>
      </c>
      <c r="B80" s="45" t="s">
        <v>785</v>
      </c>
    </row>
    <row r="81" spans="1:2" ht="16" x14ac:dyDescent="0.2">
      <c r="A81" s="43" t="s">
        <v>786</v>
      </c>
      <c r="B81" s="45" t="s">
        <v>787</v>
      </c>
    </row>
    <row r="82" spans="1:2" ht="16" x14ac:dyDescent="0.2">
      <c r="A82" s="43" t="s">
        <v>788</v>
      </c>
      <c r="B82" s="45" t="s">
        <v>789</v>
      </c>
    </row>
    <row r="83" spans="1:2" ht="16" x14ac:dyDescent="0.2">
      <c r="A83" s="43" t="s">
        <v>790</v>
      </c>
      <c r="B83" s="45" t="s">
        <v>791</v>
      </c>
    </row>
    <row r="84" spans="1:2" ht="16" x14ac:dyDescent="0.2">
      <c r="A84" s="43" t="s">
        <v>792</v>
      </c>
      <c r="B84" s="45" t="s">
        <v>793</v>
      </c>
    </row>
    <row r="85" spans="1:2" ht="16" x14ac:dyDescent="0.2">
      <c r="A85" s="43" t="s">
        <v>794</v>
      </c>
      <c r="B85" s="45" t="s">
        <v>795</v>
      </c>
    </row>
    <row r="86" spans="1:2" ht="16" x14ac:dyDescent="0.2">
      <c r="A86" s="43" t="s">
        <v>796</v>
      </c>
      <c r="B86" s="45" t="s">
        <v>797</v>
      </c>
    </row>
    <row r="87" spans="1:2" ht="16" x14ac:dyDescent="0.2">
      <c r="A87" s="43" t="s">
        <v>798</v>
      </c>
      <c r="B87" s="45" t="s">
        <v>799</v>
      </c>
    </row>
    <row r="88" spans="1:2" ht="16" x14ac:dyDescent="0.2">
      <c r="A88" s="43" t="s">
        <v>800</v>
      </c>
      <c r="B88" s="45" t="s">
        <v>801</v>
      </c>
    </row>
    <row r="89" spans="1:2" ht="16" x14ac:dyDescent="0.2">
      <c r="A89" s="43" t="s">
        <v>802</v>
      </c>
      <c r="B89" s="45" t="s">
        <v>803</v>
      </c>
    </row>
    <row r="90" spans="1:2" ht="16" x14ac:dyDescent="0.2">
      <c r="A90" s="43" t="s">
        <v>804</v>
      </c>
      <c r="B90" s="45" t="s">
        <v>805</v>
      </c>
    </row>
    <row r="91" spans="1:2" ht="16" x14ac:dyDescent="0.2">
      <c r="A91" s="43" t="s">
        <v>806</v>
      </c>
      <c r="B91" s="45" t="s">
        <v>807</v>
      </c>
    </row>
    <row r="92" spans="1:2" ht="16" x14ac:dyDescent="0.2">
      <c r="A92" s="43" t="s">
        <v>808</v>
      </c>
      <c r="B92" s="45" t="s">
        <v>809</v>
      </c>
    </row>
    <row r="93" spans="1:2" ht="16" x14ac:dyDescent="0.2">
      <c r="A93" s="43" t="s">
        <v>810</v>
      </c>
      <c r="B93" s="45" t="s">
        <v>811</v>
      </c>
    </row>
    <row r="94" spans="1:2" ht="16" x14ac:dyDescent="0.2">
      <c r="A94" s="43" t="s">
        <v>812</v>
      </c>
      <c r="B94" s="45" t="s">
        <v>813</v>
      </c>
    </row>
    <row r="95" spans="1:2" ht="16" x14ac:dyDescent="0.2">
      <c r="A95" s="43" t="s">
        <v>814</v>
      </c>
      <c r="B95" s="45" t="s">
        <v>815</v>
      </c>
    </row>
    <row r="96" spans="1:2" ht="16" x14ac:dyDescent="0.2">
      <c r="A96" s="43" t="s">
        <v>816</v>
      </c>
      <c r="B96" s="45" t="s">
        <v>817</v>
      </c>
    </row>
    <row r="97" spans="1:2" ht="16" x14ac:dyDescent="0.2">
      <c r="A97" s="43" t="s">
        <v>818</v>
      </c>
      <c r="B97" s="45" t="s">
        <v>819</v>
      </c>
    </row>
    <row r="98" spans="1:2" ht="16" x14ac:dyDescent="0.2">
      <c r="A98" s="43" t="s">
        <v>820</v>
      </c>
      <c r="B98" s="45" t="s">
        <v>821</v>
      </c>
    </row>
    <row r="99" spans="1:2" ht="16" x14ac:dyDescent="0.2">
      <c r="A99" s="43" t="s">
        <v>822</v>
      </c>
      <c r="B99" s="45" t="s">
        <v>823</v>
      </c>
    </row>
    <row r="100" spans="1:2" ht="16" x14ac:dyDescent="0.2">
      <c r="A100" s="43" t="s">
        <v>824</v>
      </c>
      <c r="B100" s="45" t="s">
        <v>825</v>
      </c>
    </row>
    <row r="101" spans="1:2" ht="16" x14ac:dyDescent="0.2">
      <c r="A101" s="43" t="s">
        <v>826</v>
      </c>
      <c r="B101" s="45" t="s">
        <v>827</v>
      </c>
    </row>
    <row r="102" spans="1:2" ht="16" x14ac:dyDescent="0.2">
      <c r="A102" s="43" t="s">
        <v>828</v>
      </c>
      <c r="B102" s="45" t="s">
        <v>829</v>
      </c>
    </row>
    <row r="103" spans="1:2" ht="16" x14ac:dyDescent="0.2">
      <c r="A103" s="43" t="s">
        <v>830</v>
      </c>
      <c r="B103" s="45" t="s">
        <v>831</v>
      </c>
    </row>
    <row r="104" spans="1:2" ht="16" x14ac:dyDescent="0.2">
      <c r="A104" s="43" t="s">
        <v>832</v>
      </c>
      <c r="B104" s="45" t="s">
        <v>833</v>
      </c>
    </row>
    <row r="105" spans="1:2" ht="16" x14ac:dyDescent="0.2">
      <c r="A105" s="43" t="s">
        <v>834</v>
      </c>
      <c r="B105" s="45" t="s">
        <v>835</v>
      </c>
    </row>
    <row r="106" spans="1:2" ht="16" x14ac:dyDescent="0.2">
      <c r="A106" s="43" t="s">
        <v>836</v>
      </c>
      <c r="B106" s="45" t="s">
        <v>837</v>
      </c>
    </row>
    <row r="107" spans="1:2" ht="16" x14ac:dyDescent="0.2">
      <c r="A107" s="43" t="s">
        <v>838</v>
      </c>
      <c r="B107" s="45" t="s">
        <v>839</v>
      </c>
    </row>
    <row r="108" spans="1:2" ht="16" x14ac:dyDescent="0.2">
      <c r="A108" s="43" t="s">
        <v>840</v>
      </c>
      <c r="B108" s="45" t="s">
        <v>841</v>
      </c>
    </row>
    <row r="109" spans="1:2" ht="16" x14ac:dyDescent="0.2">
      <c r="A109" s="43" t="s">
        <v>842</v>
      </c>
      <c r="B109" s="45" t="s">
        <v>843</v>
      </c>
    </row>
    <row r="110" spans="1:2" ht="16" x14ac:dyDescent="0.2">
      <c r="A110" s="43" t="s">
        <v>844</v>
      </c>
      <c r="B110" s="45" t="s">
        <v>845</v>
      </c>
    </row>
    <row r="111" spans="1:2" ht="16" x14ac:dyDescent="0.2">
      <c r="A111" s="43" t="s">
        <v>846</v>
      </c>
      <c r="B111" s="45" t="s">
        <v>847</v>
      </c>
    </row>
    <row r="112" spans="1:2" ht="16" x14ac:dyDescent="0.2">
      <c r="A112" s="43" t="s">
        <v>848</v>
      </c>
      <c r="B112" s="45" t="s">
        <v>849</v>
      </c>
    </row>
    <row r="113" spans="1:2" ht="16" x14ac:dyDescent="0.2">
      <c r="A113" s="43" t="s">
        <v>850</v>
      </c>
      <c r="B113" s="45" t="s">
        <v>851</v>
      </c>
    </row>
    <row r="114" spans="1:2" ht="16" x14ac:dyDescent="0.2">
      <c r="A114" s="43" t="s">
        <v>852</v>
      </c>
      <c r="B114" s="45" t="s">
        <v>853</v>
      </c>
    </row>
    <row r="115" spans="1:2" ht="16" x14ac:dyDescent="0.2">
      <c r="A115" s="43" t="s">
        <v>854</v>
      </c>
      <c r="B115" s="45" t="s">
        <v>855</v>
      </c>
    </row>
    <row r="116" spans="1:2" ht="16" x14ac:dyDescent="0.2">
      <c r="A116" s="43" t="s">
        <v>856</v>
      </c>
      <c r="B116" s="45" t="s">
        <v>857</v>
      </c>
    </row>
    <row r="117" spans="1:2" ht="16" x14ac:dyDescent="0.2">
      <c r="A117" s="43" t="s">
        <v>858</v>
      </c>
      <c r="B117" s="45" t="s">
        <v>859</v>
      </c>
    </row>
    <row r="118" spans="1:2" ht="16" x14ac:dyDescent="0.2">
      <c r="A118" s="43" t="s">
        <v>860</v>
      </c>
      <c r="B118" s="45" t="s">
        <v>861</v>
      </c>
    </row>
    <row r="119" spans="1:2" ht="16" x14ac:dyDescent="0.2">
      <c r="A119" s="43" t="s">
        <v>862</v>
      </c>
      <c r="B119" s="45" t="s">
        <v>863</v>
      </c>
    </row>
    <row r="120" spans="1:2" ht="16" x14ac:dyDescent="0.2">
      <c r="A120" s="43" t="s">
        <v>864</v>
      </c>
      <c r="B120" s="45" t="s">
        <v>865</v>
      </c>
    </row>
    <row r="121" spans="1:2" ht="16" x14ac:dyDescent="0.2">
      <c r="A121" s="43" t="s">
        <v>866</v>
      </c>
      <c r="B121" s="45" t="s">
        <v>867</v>
      </c>
    </row>
    <row r="122" spans="1:2" ht="16" x14ac:dyDescent="0.2">
      <c r="A122" s="43" t="s">
        <v>868</v>
      </c>
      <c r="B122" s="45" t="s">
        <v>869</v>
      </c>
    </row>
    <row r="123" spans="1:2" ht="16" x14ac:dyDescent="0.2">
      <c r="A123" s="43" t="s">
        <v>870</v>
      </c>
      <c r="B123" s="45" t="s">
        <v>871</v>
      </c>
    </row>
    <row r="124" spans="1:2" ht="16" x14ac:dyDescent="0.2">
      <c r="A124" s="43" t="s">
        <v>872</v>
      </c>
      <c r="B124" s="45" t="s">
        <v>873</v>
      </c>
    </row>
    <row r="125" spans="1:2" ht="16" x14ac:dyDescent="0.2">
      <c r="A125" s="43" t="s">
        <v>874</v>
      </c>
      <c r="B125" s="45" t="s">
        <v>875</v>
      </c>
    </row>
    <row r="126" spans="1:2" ht="16" x14ac:dyDescent="0.2">
      <c r="A126" s="43" t="s">
        <v>876</v>
      </c>
      <c r="B126" s="45" t="s">
        <v>877</v>
      </c>
    </row>
    <row r="127" spans="1:2" ht="16" x14ac:dyDescent="0.2">
      <c r="A127" s="43" t="s">
        <v>878</v>
      </c>
      <c r="B127" s="45" t="s">
        <v>879</v>
      </c>
    </row>
    <row r="128" spans="1:2" ht="16" x14ac:dyDescent="0.2">
      <c r="A128" s="43" t="s">
        <v>880</v>
      </c>
      <c r="B128" s="45" t="s">
        <v>881</v>
      </c>
    </row>
    <row r="129" spans="1:2" ht="16" x14ac:dyDescent="0.2">
      <c r="A129" s="43" t="s">
        <v>882</v>
      </c>
      <c r="B129" s="45" t="s">
        <v>883</v>
      </c>
    </row>
    <row r="130" spans="1:2" ht="16" x14ac:dyDescent="0.2">
      <c r="A130" s="43" t="s">
        <v>884</v>
      </c>
      <c r="B130" s="45" t="s">
        <v>885</v>
      </c>
    </row>
    <row r="131" spans="1:2" ht="16" x14ac:dyDescent="0.2">
      <c r="A131" s="43" t="s">
        <v>886</v>
      </c>
      <c r="B131" s="45" t="s">
        <v>887</v>
      </c>
    </row>
    <row r="132" spans="1:2" ht="16" x14ac:dyDescent="0.2">
      <c r="A132" s="43" t="s">
        <v>888</v>
      </c>
      <c r="B132" s="45" t="s">
        <v>889</v>
      </c>
    </row>
    <row r="133" spans="1:2" ht="16" x14ac:dyDescent="0.2">
      <c r="A133" s="43" t="s">
        <v>890</v>
      </c>
      <c r="B133" s="45" t="s">
        <v>891</v>
      </c>
    </row>
    <row r="134" spans="1:2" ht="16" x14ac:dyDescent="0.2">
      <c r="A134" s="43" t="s">
        <v>892</v>
      </c>
      <c r="B134" s="45" t="s">
        <v>893</v>
      </c>
    </row>
    <row r="135" spans="1:2" ht="16" x14ac:dyDescent="0.2">
      <c r="A135" s="43" t="s">
        <v>894</v>
      </c>
      <c r="B135" s="45" t="s">
        <v>895</v>
      </c>
    </row>
    <row r="136" spans="1:2" ht="16" x14ac:dyDescent="0.2">
      <c r="A136" s="43" t="s">
        <v>896</v>
      </c>
      <c r="B136" s="45" t="s">
        <v>897</v>
      </c>
    </row>
    <row r="137" spans="1:2" ht="16" x14ac:dyDescent="0.2">
      <c r="A137" s="43" t="s">
        <v>898</v>
      </c>
      <c r="B137" s="45" t="s">
        <v>899</v>
      </c>
    </row>
    <row r="138" spans="1:2" ht="16" x14ac:dyDescent="0.2">
      <c r="A138" s="43" t="s">
        <v>900</v>
      </c>
      <c r="B138" s="45" t="s">
        <v>901</v>
      </c>
    </row>
    <row r="139" spans="1:2" ht="16" x14ac:dyDescent="0.2">
      <c r="A139" s="43" t="s">
        <v>902</v>
      </c>
      <c r="B139" s="45" t="s">
        <v>903</v>
      </c>
    </row>
    <row r="140" spans="1:2" ht="16" x14ac:dyDescent="0.2">
      <c r="A140" s="43" t="s">
        <v>904</v>
      </c>
      <c r="B140" s="45" t="s">
        <v>905</v>
      </c>
    </row>
    <row r="141" spans="1:2" ht="16" x14ac:dyDescent="0.2">
      <c r="A141" s="43" t="s">
        <v>906</v>
      </c>
      <c r="B141" s="45" t="s">
        <v>907</v>
      </c>
    </row>
    <row r="142" spans="1:2" ht="16" x14ac:dyDescent="0.2">
      <c r="A142" s="43" t="s">
        <v>908</v>
      </c>
      <c r="B142" s="45" t="s">
        <v>909</v>
      </c>
    </row>
    <row r="143" spans="1:2" ht="16" x14ac:dyDescent="0.2">
      <c r="A143" s="43" t="s">
        <v>910</v>
      </c>
      <c r="B143" s="45" t="s">
        <v>911</v>
      </c>
    </row>
    <row r="144" spans="1:2" ht="16" x14ac:dyDescent="0.2">
      <c r="A144" s="43" t="s">
        <v>912</v>
      </c>
      <c r="B144" s="45" t="s">
        <v>913</v>
      </c>
    </row>
    <row r="145" spans="1:2" ht="16" x14ac:dyDescent="0.2">
      <c r="A145" s="43" t="s">
        <v>914</v>
      </c>
      <c r="B145" s="45" t="s">
        <v>915</v>
      </c>
    </row>
    <row r="146" spans="1:2" ht="16" x14ac:dyDescent="0.2">
      <c r="A146" s="43" t="s">
        <v>916</v>
      </c>
      <c r="B146" s="45" t="s">
        <v>917</v>
      </c>
    </row>
    <row r="147" spans="1:2" ht="16" x14ac:dyDescent="0.2">
      <c r="A147" s="43" t="s">
        <v>918</v>
      </c>
      <c r="B147" s="45" t="s">
        <v>919</v>
      </c>
    </row>
    <row r="148" spans="1:2" ht="16" x14ac:dyDescent="0.2">
      <c r="A148" s="43" t="s">
        <v>920</v>
      </c>
      <c r="B148" s="45" t="s">
        <v>921</v>
      </c>
    </row>
    <row r="149" spans="1:2" ht="16" x14ac:dyDescent="0.2">
      <c r="A149" s="43" t="s">
        <v>922</v>
      </c>
      <c r="B149" s="45" t="s">
        <v>923</v>
      </c>
    </row>
    <row r="150" spans="1:2" ht="16" x14ac:dyDescent="0.2">
      <c r="A150" s="43" t="s">
        <v>924</v>
      </c>
      <c r="B150" s="45" t="s">
        <v>925</v>
      </c>
    </row>
    <row r="151" spans="1:2" ht="16" x14ac:dyDescent="0.2">
      <c r="A151" s="43" t="s">
        <v>926</v>
      </c>
      <c r="B151" s="45" t="s">
        <v>927</v>
      </c>
    </row>
    <row r="152" spans="1:2" ht="16" x14ac:dyDescent="0.2">
      <c r="A152" s="43" t="s">
        <v>928</v>
      </c>
      <c r="B152" s="45" t="s">
        <v>929</v>
      </c>
    </row>
    <row r="153" spans="1:2" ht="16" x14ac:dyDescent="0.2">
      <c r="A153" s="43" t="s">
        <v>930</v>
      </c>
      <c r="B153" s="45" t="s">
        <v>931</v>
      </c>
    </row>
    <row r="154" spans="1:2" ht="16" x14ac:dyDescent="0.2">
      <c r="A154" s="43" t="s">
        <v>932</v>
      </c>
      <c r="B154" s="45" t="s">
        <v>933</v>
      </c>
    </row>
    <row r="155" spans="1:2" ht="16" x14ac:dyDescent="0.2">
      <c r="A155" s="43" t="s">
        <v>934</v>
      </c>
      <c r="B155" s="45" t="s">
        <v>935</v>
      </c>
    </row>
    <row r="156" spans="1:2" ht="16" x14ac:dyDescent="0.2">
      <c r="A156" s="43" t="s">
        <v>936</v>
      </c>
      <c r="B156" s="45" t="s">
        <v>937</v>
      </c>
    </row>
    <row r="157" spans="1:2" ht="16" x14ac:dyDescent="0.2">
      <c r="A157" s="43" t="s">
        <v>938</v>
      </c>
      <c r="B157" s="45" t="s">
        <v>939</v>
      </c>
    </row>
    <row r="158" spans="1:2" ht="16" x14ac:dyDescent="0.2">
      <c r="A158" s="43" t="s">
        <v>940</v>
      </c>
      <c r="B158" s="45" t="s">
        <v>941</v>
      </c>
    </row>
    <row r="159" spans="1:2" ht="16" x14ac:dyDescent="0.2">
      <c r="A159" s="43" t="s">
        <v>942</v>
      </c>
      <c r="B159" s="45" t="s">
        <v>943</v>
      </c>
    </row>
    <row r="160" spans="1:2" ht="16" x14ac:dyDescent="0.2">
      <c r="A160" s="43" t="s">
        <v>944</v>
      </c>
      <c r="B160" s="45" t="s">
        <v>945</v>
      </c>
    </row>
    <row r="161" spans="1:2" ht="16" x14ac:dyDescent="0.2">
      <c r="A161" s="43" t="s">
        <v>946</v>
      </c>
      <c r="B161" s="45" t="s">
        <v>947</v>
      </c>
    </row>
    <row r="162" spans="1:2" ht="16" x14ac:dyDescent="0.2">
      <c r="A162" s="43" t="s">
        <v>948</v>
      </c>
      <c r="B162" s="45" t="s">
        <v>949</v>
      </c>
    </row>
    <row r="163" spans="1:2" ht="16" x14ac:dyDescent="0.2">
      <c r="A163" s="43" t="s">
        <v>950</v>
      </c>
      <c r="B163" s="45" t="s">
        <v>951</v>
      </c>
    </row>
    <row r="164" spans="1:2" ht="16" x14ac:dyDescent="0.2">
      <c r="A164" s="43" t="s">
        <v>952</v>
      </c>
      <c r="B164" s="45" t="s">
        <v>953</v>
      </c>
    </row>
    <row r="165" spans="1:2" ht="16" x14ac:dyDescent="0.2">
      <c r="A165" s="43" t="s">
        <v>954</v>
      </c>
      <c r="B165" s="45" t="s">
        <v>955</v>
      </c>
    </row>
    <row r="166" spans="1:2" ht="16" x14ac:dyDescent="0.2">
      <c r="A166" s="43" t="s">
        <v>956</v>
      </c>
      <c r="B166" s="45" t="s">
        <v>957</v>
      </c>
    </row>
    <row r="167" spans="1:2" ht="16" x14ac:dyDescent="0.2">
      <c r="A167" s="43" t="s">
        <v>958</v>
      </c>
      <c r="B167" s="45" t="s">
        <v>959</v>
      </c>
    </row>
    <row r="168" spans="1:2" ht="16" x14ac:dyDescent="0.2">
      <c r="A168" s="43" t="s">
        <v>960</v>
      </c>
      <c r="B168" s="45" t="s">
        <v>961</v>
      </c>
    </row>
    <row r="169" spans="1:2" ht="16" x14ac:dyDescent="0.2">
      <c r="A169" s="43" t="s">
        <v>962</v>
      </c>
      <c r="B169" s="45" t="s">
        <v>963</v>
      </c>
    </row>
    <row r="170" spans="1:2" ht="16" x14ac:dyDescent="0.2">
      <c r="A170" s="43" t="s">
        <v>964</v>
      </c>
      <c r="B170" s="45" t="s">
        <v>965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pageSetUpPr fitToPage="1"/>
  </sheetPr>
  <dimension ref="B1:N249"/>
  <sheetViews>
    <sheetView zoomScale="55" zoomScaleNormal="55" workbookViewId="0">
      <selection activeCell="E26" sqref="E26"/>
    </sheetView>
  </sheetViews>
  <sheetFormatPr baseColWidth="10" defaultColWidth="9.1640625" defaultRowHeight="16" x14ac:dyDescent="0.2"/>
  <cols>
    <col min="1" max="1" width="4.5" style="17" customWidth="1"/>
    <col min="2" max="2" width="3.1640625" style="17" customWidth="1"/>
    <col min="3" max="3" width="51.5" style="17" customWidth="1"/>
    <col min="4" max="4" width="34.1640625" style="19" customWidth="1"/>
    <col min="5" max="5" width="35" style="19" customWidth="1"/>
    <col min="6" max="6" width="34" style="19" customWidth="1"/>
    <col min="7" max="7" width="25.83203125" style="17" customWidth="1"/>
    <col min="8" max="8" width="21.5" style="17" customWidth="1"/>
    <col min="9" max="9" width="16.83203125" style="17" customWidth="1"/>
    <col min="10" max="10" width="19.5" style="17" customWidth="1"/>
    <col min="11" max="11" width="19" style="17" customWidth="1"/>
    <col min="12" max="12" width="26" style="17" customWidth="1"/>
    <col min="13" max="13" width="21.1640625" style="17" customWidth="1"/>
    <col min="14" max="14" width="7" style="17" customWidth="1"/>
    <col min="15" max="15" width="24.1640625" style="17" customWidth="1"/>
    <col min="16" max="16" width="26.5" style="17" customWidth="1"/>
    <col min="17" max="17" width="30.1640625" style="17" customWidth="1"/>
    <col min="18" max="18" width="33" style="17" customWidth="1"/>
    <col min="19" max="20" width="22.83203125" style="17" customWidth="1"/>
    <col min="21" max="21" width="23.5" style="17" customWidth="1"/>
    <col min="22" max="22" width="32.1640625" style="17" customWidth="1"/>
    <col min="23" max="23" width="9.1640625" style="17"/>
    <col min="24" max="24" width="17.83203125" style="17" customWidth="1"/>
    <col min="25" max="25" width="26.5" style="17" customWidth="1"/>
    <col min="26" max="26" width="22.5" style="17" customWidth="1"/>
    <col min="27" max="27" width="29.83203125" style="17" customWidth="1"/>
    <col min="28" max="28" width="23.5" style="17" customWidth="1"/>
    <col min="29" max="29" width="18.5" style="17" customWidth="1"/>
    <col min="30" max="30" width="17.5" style="17" customWidth="1"/>
    <col min="31" max="31" width="25.1640625" style="17" customWidth="1"/>
    <col min="32" max="16384" width="9.1640625" style="17"/>
  </cols>
  <sheetData>
    <row r="1" spans="2:14" ht="24" customHeight="1" x14ac:dyDescent="0.2">
      <c r="B1" s="422"/>
      <c r="C1" s="422"/>
      <c r="D1" s="423"/>
      <c r="E1" s="423"/>
      <c r="F1" s="423"/>
      <c r="G1" s="422"/>
      <c r="H1" s="422"/>
      <c r="I1" s="422"/>
      <c r="J1" s="422"/>
      <c r="K1" s="422"/>
      <c r="L1" s="7"/>
      <c r="M1" s="1"/>
      <c r="N1" s="422"/>
    </row>
    <row r="2" spans="2:14" ht="26.25" customHeight="1" x14ac:dyDescent="0.55000000000000004">
      <c r="B2" s="422"/>
      <c r="C2" s="704" t="s">
        <v>0</v>
      </c>
      <c r="D2" s="704"/>
      <c r="E2" s="704"/>
      <c r="F2" s="704"/>
      <c r="G2" s="10"/>
      <c r="H2" s="11"/>
      <c r="I2" s="11"/>
      <c r="J2" s="422"/>
      <c r="K2" s="422"/>
      <c r="L2" s="7"/>
      <c r="M2" s="1"/>
      <c r="N2" s="422"/>
    </row>
    <row r="3" spans="2:14" ht="15" customHeight="1" x14ac:dyDescent="0.2">
      <c r="B3" s="422"/>
      <c r="C3" s="72" t="s">
        <v>1</v>
      </c>
      <c r="D3" s="12"/>
      <c r="E3" s="12"/>
      <c r="F3" s="12"/>
      <c r="G3" s="12"/>
      <c r="H3" s="12"/>
      <c r="I3" s="12"/>
      <c r="J3" s="422"/>
      <c r="K3" s="422"/>
      <c r="L3" s="7"/>
      <c r="M3" s="1"/>
      <c r="N3" s="422"/>
    </row>
    <row r="4" spans="2:14" ht="17.25" customHeight="1" x14ac:dyDescent="0.25">
      <c r="B4" s="422"/>
      <c r="C4" s="718" t="s">
        <v>212</v>
      </c>
      <c r="D4" s="718"/>
      <c r="E4" s="718"/>
      <c r="F4" s="12"/>
      <c r="G4" s="12"/>
      <c r="H4" s="12"/>
      <c r="I4" s="12"/>
      <c r="J4" s="422"/>
      <c r="K4" s="422"/>
      <c r="L4" s="7"/>
      <c r="M4" s="1"/>
      <c r="N4" s="422"/>
    </row>
    <row r="5" spans="2:14" ht="13.5" customHeight="1" x14ac:dyDescent="0.2">
      <c r="B5" s="422"/>
      <c r="C5" s="14"/>
      <c r="D5" s="14"/>
      <c r="E5" s="14"/>
      <c r="F5" s="14"/>
      <c r="G5" s="422"/>
      <c r="H5" s="422"/>
      <c r="I5" s="422"/>
      <c r="J5" s="422"/>
      <c r="K5" s="422"/>
      <c r="L5" s="7"/>
      <c r="M5" s="1"/>
      <c r="N5" s="422"/>
    </row>
    <row r="6" spans="2:14" ht="24" customHeight="1" x14ac:dyDescent="0.2">
      <c r="B6" s="422"/>
      <c r="C6" s="14"/>
      <c r="D6" s="58" t="str">
        <f>'1) Budget Tables'!D5</f>
        <v>Recipient Organization</v>
      </c>
      <c r="E6" s="58" t="s">
        <v>213</v>
      </c>
      <c r="F6" s="58" t="s">
        <v>214</v>
      </c>
      <c r="G6" s="73" t="s">
        <v>10</v>
      </c>
      <c r="H6" s="422"/>
      <c r="I6" s="422"/>
      <c r="J6" s="422"/>
      <c r="K6" s="422"/>
      <c r="L6" s="7"/>
      <c r="M6" s="1"/>
      <c r="N6" s="422"/>
    </row>
    <row r="7" spans="2:14" ht="24" customHeight="1" x14ac:dyDescent="0.2">
      <c r="B7" s="738" t="s">
        <v>215</v>
      </c>
      <c r="C7" s="738"/>
      <c r="D7" s="738"/>
      <c r="E7" s="738"/>
      <c r="F7" s="738"/>
      <c r="G7" s="738"/>
      <c r="H7" s="422"/>
      <c r="I7" s="422"/>
      <c r="J7" s="422"/>
      <c r="K7" s="422"/>
      <c r="L7" s="7"/>
      <c r="M7" s="1"/>
      <c r="N7" s="422"/>
    </row>
    <row r="8" spans="2:14" ht="22.5" customHeight="1" x14ac:dyDescent="0.2">
      <c r="B8" s="422"/>
      <c r="C8" s="738" t="s">
        <v>216</v>
      </c>
      <c r="D8" s="738"/>
      <c r="E8" s="738"/>
      <c r="F8" s="738"/>
      <c r="G8" s="738"/>
      <c r="H8" s="422"/>
      <c r="I8" s="422"/>
      <c r="J8" s="422"/>
      <c r="K8" s="422"/>
      <c r="L8" s="7"/>
      <c r="M8" s="1"/>
      <c r="N8" s="422"/>
    </row>
    <row r="9" spans="2:14" ht="24.75" customHeight="1" thickBot="1" x14ac:dyDescent="0.25">
      <c r="B9" s="422"/>
      <c r="C9" s="27" t="s">
        <v>217</v>
      </c>
      <c r="D9" s="28">
        <f>'1) Budget Tables'!D16</f>
        <v>39656.050955414015</v>
      </c>
      <c r="E9" s="28">
        <f>'1) Budget Tables'!E16</f>
        <v>0</v>
      </c>
      <c r="F9" s="28">
        <f>'1) Budget Tables'!F16</f>
        <v>0</v>
      </c>
      <c r="G9" s="29">
        <f>SUM(D9:F9)</f>
        <v>39656.050955414015</v>
      </c>
      <c r="H9" s="422"/>
      <c r="I9" s="422"/>
      <c r="J9" s="422"/>
      <c r="K9" s="422"/>
      <c r="L9" s="7"/>
      <c r="M9" s="1"/>
      <c r="N9" s="422"/>
    </row>
    <row r="10" spans="2:14" ht="21.75" customHeight="1" x14ac:dyDescent="0.2">
      <c r="B10" s="422"/>
      <c r="C10" s="25" t="s">
        <v>218</v>
      </c>
      <c r="D10" s="424"/>
      <c r="E10" s="425"/>
      <c r="F10" s="425"/>
      <c r="G10" s="26">
        <f t="shared" ref="G10:G17" si="0">SUM(D10:F10)</f>
        <v>0</v>
      </c>
      <c r="H10" s="422"/>
      <c r="I10" s="422"/>
      <c r="J10" s="422"/>
      <c r="K10" s="422"/>
      <c r="L10" s="422"/>
      <c r="M10" s="422"/>
      <c r="N10" s="422"/>
    </row>
    <row r="11" spans="2:14" ht="17" x14ac:dyDescent="0.2">
      <c r="B11" s="422"/>
      <c r="C11" s="15" t="s">
        <v>219</v>
      </c>
      <c r="D11" s="426"/>
      <c r="E11" s="420"/>
      <c r="F11" s="420"/>
      <c r="G11" s="24">
        <f t="shared" si="0"/>
        <v>0</v>
      </c>
      <c r="H11" s="422"/>
      <c r="I11" s="422"/>
      <c r="J11" s="422"/>
      <c r="K11" s="422"/>
      <c r="L11" s="422"/>
      <c r="M11" s="422"/>
      <c r="N11" s="422"/>
    </row>
    <row r="12" spans="2:14" ht="15.75" customHeight="1" x14ac:dyDescent="0.2">
      <c r="B12" s="422"/>
      <c r="C12" s="15" t="s">
        <v>220</v>
      </c>
      <c r="D12" s="426"/>
      <c r="E12" s="426"/>
      <c r="F12" s="426"/>
      <c r="G12" s="24">
        <f t="shared" si="0"/>
        <v>0</v>
      </c>
      <c r="H12" s="422"/>
      <c r="I12" s="422"/>
      <c r="J12" s="422"/>
      <c r="K12" s="422"/>
      <c r="L12" s="422"/>
      <c r="M12" s="422"/>
      <c r="N12" s="422"/>
    </row>
    <row r="13" spans="2:14" ht="17" x14ac:dyDescent="0.2">
      <c r="B13" s="422"/>
      <c r="C13" s="16" t="s">
        <v>221</v>
      </c>
      <c r="D13" s="426"/>
      <c r="E13" s="426"/>
      <c r="F13" s="426"/>
      <c r="G13" s="24">
        <f t="shared" si="0"/>
        <v>0</v>
      </c>
      <c r="H13" s="422"/>
      <c r="I13" s="422"/>
      <c r="J13" s="422"/>
      <c r="K13" s="422"/>
      <c r="L13" s="422"/>
      <c r="M13" s="422"/>
      <c r="N13" s="422"/>
    </row>
    <row r="14" spans="2:14" ht="17" x14ac:dyDescent="0.2">
      <c r="B14" s="422"/>
      <c r="C14" s="15" t="s">
        <v>222</v>
      </c>
      <c r="D14" s="426"/>
      <c r="E14" s="426"/>
      <c r="F14" s="426"/>
      <c r="G14" s="24">
        <f t="shared" si="0"/>
        <v>0</v>
      </c>
      <c r="H14" s="422"/>
      <c r="I14" s="422"/>
      <c r="J14" s="422"/>
      <c r="K14" s="422"/>
      <c r="L14" s="422"/>
      <c r="M14" s="422"/>
      <c r="N14" s="422"/>
    </row>
    <row r="15" spans="2:14" ht="21.75" customHeight="1" x14ac:dyDescent="0.2">
      <c r="B15" s="422"/>
      <c r="C15" s="15" t="s">
        <v>223</v>
      </c>
      <c r="D15" s="426">
        <f>D9</f>
        <v>39656.050955414015</v>
      </c>
      <c r="E15" s="426"/>
      <c r="F15" s="426"/>
      <c r="G15" s="24">
        <f t="shared" si="0"/>
        <v>39656.050955414015</v>
      </c>
      <c r="H15" s="422"/>
      <c r="I15" s="422"/>
      <c r="J15" s="422"/>
      <c r="K15" s="422"/>
      <c r="L15" s="422"/>
      <c r="M15" s="422"/>
      <c r="N15" s="422"/>
    </row>
    <row r="16" spans="2:14" ht="21.75" customHeight="1" x14ac:dyDescent="0.2">
      <c r="B16" s="422"/>
      <c r="C16" s="15" t="s">
        <v>224</v>
      </c>
      <c r="D16" s="426"/>
      <c r="E16" s="426"/>
      <c r="F16" s="426"/>
      <c r="G16" s="24">
        <f t="shared" si="0"/>
        <v>0</v>
      </c>
      <c r="H16" s="422"/>
      <c r="I16" s="422"/>
      <c r="J16" s="422"/>
      <c r="K16" s="422"/>
      <c r="L16" s="422"/>
      <c r="M16" s="422"/>
      <c r="N16" s="422"/>
    </row>
    <row r="17" spans="3:14" ht="15.75" customHeight="1" x14ac:dyDescent="0.2">
      <c r="C17" s="20" t="s">
        <v>225</v>
      </c>
      <c r="D17" s="30">
        <f>SUM(D10:D16)</f>
        <v>39656.050955414015</v>
      </c>
      <c r="E17" s="30">
        <f>SUM(E10:E16)</f>
        <v>0</v>
      </c>
      <c r="F17" s="30">
        <f t="shared" ref="F17" si="1">SUM(F10:F16)</f>
        <v>0</v>
      </c>
      <c r="G17" s="62">
        <f t="shared" si="0"/>
        <v>39656.050955414015</v>
      </c>
      <c r="H17" s="422"/>
      <c r="I17" s="422"/>
      <c r="J17" s="422"/>
      <c r="K17" s="422"/>
      <c r="L17" s="422"/>
      <c r="M17" s="422"/>
      <c r="N17" s="422"/>
    </row>
    <row r="18" spans="3:14" s="19" customFormat="1" x14ac:dyDescent="0.2">
      <c r="C18" s="31"/>
      <c r="D18" s="32"/>
      <c r="E18" s="32"/>
      <c r="F18" s="32"/>
      <c r="G18" s="63"/>
      <c r="H18" s="423"/>
      <c r="I18" s="423"/>
      <c r="J18" s="423"/>
      <c r="K18" s="423"/>
      <c r="L18" s="423"/>
      <c r="M18" s="423"/>
      <c r="N18" s="423"/>
    </row>
    <row r="19" spans="3:14" x14ac:dyDescent="0.2">
      <c r="C19" s="738" t="s">
        <v>226</v>
      </c>
      <c r="D19" s="738"/>
      <c r="E19" s="738"/>
      <c r="F19" s="738"/>
      <c r="G19" s="738"/>
      <c r="H19" s="422"/>
      <c r="I19" s="422"/>
      <c r="J19" s="422"/>
      <c r="K19" s="422"/>
      <c r="L19" s="422"/>
      <c r="M19" s="422"/>
      <c r="N19" s="422"/>
    </row>
    <row r="20" spans="3:14" ht="27" customHeight="1" thickBot="1" x14ac:dyDescent="0.25">
      <c r="C20" s="27" t="s">
        <v>217</v>
      </c>
      <c r="D20" s="28">
        <f>'1) Budget Tables'!D26</f>
        <v>29076.433121019105</v>
      </c>
      <c r="E20" s="28">
        <f>'1) Budget Tables'!E26</f>
        <v>0</v>
      </c>
      <c r="F20" s="28">
        <f>'1) Budget Tables'!F26</f>
        <v>0</v>
      </c>
      <c r="G20" s="29">
        <f t="shared" ref="G20:G28" si="2">SUM(D20:F20)</f>
        <v>29076.433121019105</v>
      </c>
      <c r="H20" s="422"/>
      <c r="I20" s="422"/>
      <c r="J20" s="422"/>
      <c r="K20" s="422"/>
      <c r="L20" s="422"/>
      <c r="M20" s="422"/>
      <c r="N20" s="422"/>
    </row>
    <row r="21" spans="3:14" ht="17" x14ac:dyDescent="0.2">
      <c r="C21" s="25" t="s">
        <v>218</v>
      </c>
      <c r="D21" s="424"/>
      <c r="E21" s="425"/>
      <c r="F21" s="425"/>
      <c r="G21" s="26">
        <f t="shared" si="2"/>
        <v>0</v>
      </c>
      <c r="H21" s="422"/>
      <c r="I21" s="422"/>
      <c r="J21" s="422"/>
      <c r="K21" s="422"/>
      <c r="L21" s="422"/>
      <c r="M21" s="422"/>
      <c r="N21" s="422"/>
    </row>
    <row r="22" spans="3:14" ht="17" x14ac:dyDescent="0.2">
      <c r="C22" s="15" t="s">
        <v>219</v>
      </c>
      <c r="D22" s="426"/>
      <c r="E22" s="420"/>
      <c r="F22" s="420"/>
      <c r="G22" s="24">
        <f t="shared" si="2"/>
        <v>0</v>
      </c>
      <c r="H22" s="422"/>
      <c r="I22" s="422"/>
      <c r="J22" s="422"/>
      <c r="K22" s="422"/>
      <c r="L22" s="422"/>
      <c r="M22" s="422"/>
      <c r="N22" s="422"/>
    </row>
    <row r="23" spans="3:14" ht="34" x14ac:dyDescent="0.2">
      <c r="C23" s="15" t="s">
        <v>220</v>
      </c>
      <c r="D23" s="426"/>
      <c r="E23" s="426"/>
      <c r="F23" s="426"/>
      <c r="G23" s="24">
        <f t="shared" si="2"/>
        <v>0</v>
      </c>
      <c r="H23" s="422"/>
      <c r="I23" s="422"/>
      <c r="J23" s="422"/>
      <c r="K23" s="422"/>
      <c r="L23" s="422"/>
      <c r="M23" s="422"/>
      <c r="N23" s="422"/>
    </row>
    <row r="24" spans="3:14" ht="17" x14ac:dyDescent="0.2">
      <c r="C24" s="16" t="s">
        <v>221</v>
      </c>
      <c r="D24" s="426"/>
      <c r="E24" s="426"/>
      <c r="F24" s="426"/>
      <c r="G24" s="24">
        <f t="shared" si="2"/>
        <v>0</v>
      </c>
      <c r="H24" s="422"/>
      <c r="I24" s="422"/>
      <c r="J24" s="422"/>
      <c r="K24" s="422"/>
      <c r="L24" s="422"/>
      <c r="M24" s="422"/>
      <c r="N24" s="422"/>
    </row>
    <row r="25" spans="3:14" ht="17" x14ac:dyDescent="0.2">
      <c r="C25" s="15" t="s">
        <v>222</v>
      </c>
      <c r="D25" s="426"/>
      <c r="E25" s="426"/>
      <c r="F25" s="426"/>
      <c r="G25" s="24">
        <f t="shared" si="2"/>
        <v>0</v>
      </c>
      <c r="H25" s="422"/>
      <c r="I25" s="422"/>
      <c r="J25" s="422"/>
      <c r="K25" s="422"/>
      <c r="L25" s="422"/>
      <c r="M25" s="422"/>
      <c r="N25" s="422"/>
    </row>
    <row r="26" spans="3:14" ht="17" x14ac:dyDescent="0.2">
      <c r="C26" s="15" t="s">
        <v>223</v>
      </c>
      <c r="D26" s="426">
        <f>D20</f>
        <v>29076.433121019105</v>
      </c>
      <c r="E26" s="426"/>
      <c r="F26" s="426"/>
      <c r="G26" s="24">
        <f t="shared" si="2"/>
        <v>29076.433121019105</v>
      </c>
      <c r="H26" s="422"/>
      <c r="I26" s="422"/>
      <c r="J26" s="422"/>
      <c r="K26" s="422"/>
      <c r="L26" s="422"/>
      <c r="M26" s="422"/>
      <c r="N26" s="422"/>
    </row>
    <row r="27" spans="3:14" ht="17" x14ac:dyDescent="0.2">
      <c r="C27" s="15" t="s">
        <v>224</v>
      </c>
      <c r="D27" s="426"/>
      <c r="E27" s="426"/>
      <c r="F27" s="426"/>
      <c r="G27" s="24">
        <f t="shared" si="2"/>
        <v>0</v>
      </c>
      <c r="H27" s="422"/>
      <c r="I27" s="422"/>
      <c r="J27" s="422"/>
      <c r="K27" s="422"/>
      <c r="L27" s="422"/>
      <c r="M27" s="422"/>
      <c r="N27" s="422"/>
    </row>
    <row r="28" spans="3:14" ht="17" x14ac:dyDescent="0.2">
      <c r="C28" s="20" t="s">
        <v>225</v>
      </c>
      <c r="D28" s="30">
        <f t="shared" ref="D28:E28" si="3">SUM(D21:D27)</f>
        <v>29076.433121019105</v>
      </c>
      <c r="E28" s="30">
        <f t="shared" si="3"/>
        <v>0</v>
      </c>
      <c r="F28" s="30">
        <f t="shared" ref="F28" si="4">SUM(F21:F27)</f>
        <v>0</v>
      </c>
      <c r="G28" s="24">
        <f t="shared" si="2"/>
        <v>29076.433121019105</v>
      </c>
      <c r="H28" s="422"/>
      <c r="I28" s="422"/>
      <c r="J28" s="422"/>
      <c r="K28" s="422"/>
      <c r="L28" s="422"/>
      <c r="M28" s="422"/>
      <c r="N28" s="422"/>
    </row>
    <row r="29" spans="3:14" s="19" customFormat="1" x14ac:dyDescent="0.2">
      <c r="C29" s="31"/>
      <c r="D29" s="32"/>
      <c r="E29" s="32"/>
      <c r="F29" s="32"/>
      <c r="G29" s="33"/>
      <c r="H29" s="423"/>
      <c r="I29" s="423"/>
      <c r="J29" s="423"/>
      <c r="K29" s="423"/>
      <c r="L29" s="423"/>
      <c r="M29" s="423"/>
      <c r="N29" s="423"/>
    </row>
    <row r="30" spans="3:14" x14ac:dyDescent="0.2">
      <c r="C30" s="735" t="s">
        <v>227</v>
      </c>
      <c r="D30" s="736"/>
      <c r="E30" s="736"/>
      <c r="F30" s="736"/>
      <c r="G30" s="737"/>
      <c r="H30" s="422"/>
      <c r="I30" s="422"/>
      <c r="J30" s="422"/>
      <c r="K30" s="422"/>
      <c r="L30" s="422"/>
      <c r="M30" s="422"/>
      <c r="N30" s="422"/>
    </row>
    <row r="31" spans="3:14" ht="21.75" customHeight="1" thickBot="1" x14ac:dyDescent="0.25">
      <c r="C31" s="27" t="s">
        <v>217</v>
      </c>
      <c r="D31" s="28">
        <f>'1) Budget Tables'!D36</f>
        <v>282579.61783439486</v>
      </c>
      <c r="E31" s="28">
        <f>'1) Budget Tables'!E36</f>
        <v>0</v>
      </c>
      <c r="F31" s="28">
        <f>'1) Budget Tables'!F36</f>
        <v>0</v>
      </c>
      <c r="G31" s="29">
        <f t="shared" ref="G31:G39" si="5">SUM(D31:F31)</f>
        <v>282579.61783439486</v>
      </c>
      <c r="H31" s="422"/>
      <c r="I31" s="422"/>
      <c r="J31" s="422"/>
      <c r="K31" s="422"/>
      <c r="L31" s="422"/>
      <c r="M31" s="422"/>
      <c r="N31" s="422"/>
    </row>
    <row r="32" spans="3:14" ht="17" x14ac:dyDescent="0.2">
      <c r="C32" s="25" t="s">
        <v>218</v>
      </c>
      <c r="D32" s="424"/>
      <c r="E32" s="425"/>
      <c r="F32" s="425"/>
      <c r="G32" s="26">
        <f t="shared" si="5"/>
        <v>0</v>
      </c>
      <c r="H32" s="422"/>
      <c r="I32" s="422"/>
      <c r="J32" s="422"/>
      <c r="K32" s="422"/>
      <c r="L32" s="422"/>
      <c r="M32" s="422"/>
      <c r="N32" s="422"/>
    </row>
    <row r="33" spans="3:14" s="19" customFormat="1" ht="15.75" customHeight="1" x14ac:dyDescent="0.2">
      <c r="C33" s="15" t="s">
        <v>219</v>
      </c>
      <c r="D33" s="426"/>
      <c r="E33" s="420"/>
      <c r="F33" s="420"/>
      <c r="G33" s="24">
        <f t="shared" si="5"/>
        <v>0</v>
      </c>
      <c r="H33" s="423"/>
      <c r="I33" s="423"/>
      <c r="J33" s="423"/>
      <c r="K33" s="423"/>
      <c r="L33" s="423"/>
      <c r="M33" s="423"/>
      <c r="N33" s="423"/>
    </row>
    <row r="34" spans="3:14" s="19" customFormat="1" ht="34" x14ac:dyDescent="0.2">
      <c r="C34" s="15" t="s">
        <v>220</v>
      </c>
      <c r="D34" s="426"/>
      <c r="E34" s="426"/>
      <c r="F34" s="426"/>
      <c r="G34" s="24">
        <f t="shared" si="5"/>
        <v>0</v>
      </c>
      <c r="H34" s="423"/>
      <c r="I34" s="423"/>
      <c r="J34" s="423"/>
      <c r="K34" s="423"/>
      <c r="L34" s="423"/>
      <c r="M34" s="423"/>
      <c r="N34" s="423"/>
    </row>
    <row r="35" spans="3:14" s="19" customFormat="1" ht="17" x14ac:dyDescent="0.2">
      <c r="C35" s="16" t="s">
        <v>221</v>
      </c>
      <c r="D35" s="426"/>
      <c r="E35" s="426"/>
      <c r="F35" s="426"/>
      <c r="G35" s="24">
        <f t="shared" si="5"/>
        <v>0</v>
      </c>
      <c r="H35" s="423"/>
      <c r="I35" s="423"/>
      <c r="J35" s="423"/>
      <c r="K35" s="423"/>
      <c r="L35" s="423"/>
      <c r="M35" s="423"/>
      <c r="N35" s="423"/>
    </row>
    <row r="36" spans="3:14" ht="17" x14ac:dyDescent="0.2">
      <c r="C36" s="15" t="s">
        <v>222</v>
      </c>
      <c r="D36" s="426"/>
      <c r="E36" s="426"/>
      <c r="F36" s="426"/>
      <c r="G36" s="24">
        <f t="shared" si="5"/>
        <v>0</v>
      </c>
      <c r="H36" s="422"/>
      <c r="I36" s="422"/>
      <c r="J36" s="422"/>
      <c r="K36" s="422"/>
      <c r="L36" s="422"/>
      <c r="M36" s="422"/>
      <c r="N36" s="422"/>
    </row>
    <row r="37" spans="3:14" ht="17" x14ac:dyDescent="0.2">
      <c r="C37" s="15" t="s">
        <v>223</v>
      </c>
      <c r="D37" s="426">
        <f>D31</f>
        <v>282579.61783439486</v>
      </c>
      <c r="E37" s="426"/>
      <c r="F37" s="426"/>
      <c r="G37" s="24">
        <f t="shared" si="5"/>
        <v>282579.61783439486</v>
      </c>
      <c r="H37" s="422"/>
      <c r="I37" s="422"/>
      <c r="J37" s="422"/>
      <c r="K37" s="422"/>
      <c r="L37" s="422"/>
      <c r="M37" s="422"/>
      <c r="N37" s="422"/>
    </row>
    <row r="38" spans="3:14" ht="17" x14ac:dyDescent="0.2">
      <c r="C38" s="15" t="s">
        <v>224</v>
      </c>
      <c r="D38" s="426"/>
      <c r="E38" s="426"/>
      <c r="F38" s="426"/>
      <c r="G38" s="24">
        <f t="shared" si="5"/>
        <v>0</v>
      </c>
      <c r="H38" s="422"/>
      <c r="I38" s="422"/>
      <c r="J38" s="422"/>
      <c r="K38" s="422"/>
      <c r="L38" s="422"/>
      <c r="M38" s="422"/>
      <c r="N38" s="422"/>
    </row>
    <row r="39" spans="3:14" ht="17" x14ac:dyDescent="0.2">
      <c r="C39" s="20" t="s">
        <v>225</v>
      </c>
      <c r="D39" s="30">
        <f t="shared" ref="D39:E39" si="6">SUM(D32:D38)</f>
        <v>282579.61783439486</v>
      </c>
      <c r="E39" s="30">
        <f t="shared" si="6"/>
        <v>0</v>
      </c>
      <c r="F39" s="30">
        <f t="shared" ref="F39" si="7">SUM(F32:F38)</f>
        <v>0</v>
      </c>
      <c r="G39" s="24">
        <f t="shared" si="5"/>
        <v>282579.61783439486</v>
      </c>
      <c r="H39" s="422"/>
      <c r="I39" s="422"/>
      <c r="J39" s="422"/>
      <c r="K39" s="422"/>
      <c r="L39" s="422"/>
      <c r="M39" s="422"/>
      <c r="N39" s="422"/>
    </row>
    <row r="40" spans="3:14" s="19" customFormat="1" x14ac:dyDescent="0.2">
      <c r="C40" s="31"/>
      <c r="D40" s="32"/>
      <c r="E40" s="32"/>
      <c r="F40" s="32"/>
      <c r="G40" s="33"/>
      <c r="H40" s="423"/>
      <c r="I40" s="423"/>
      <c r="J40" s="423"/>
      <c r="K40" s="423"/>
      <c r="L40" s="423"/>
      <c r="M40" s="423"/>
      <c r="N40" s="423"/>
    </row>
    <row r="41" spans="3:14" x14ac:dyDescent="0.2">
      <c r="C41" s="735" t="s">
        <v>228</v>
      </c>
      <c r="D41" s="736"/>
      <c r="E41" s="736"/>
      <c r="F41" s="736"/>
      <c r="G41" s="737"/>
      <c r="H41" s="422"/>
      <c r="I41" s="422"/>
      <c r="J41" s="422"/>
      <c r="K41" s="422"/>
      <c r="L41" s="422"/>
      <c r="M41" s="422"/>
      <c r="N41" s="422"/>
    </row>
    <row r="42" spans="3:14" ht="20.25" customHeight="1" thickBot="1" x14ac:dyDescent="0.25">
      <c r="C42" s="27" t="s">
        <v>217</v>
      </c>
      <c r="D42" s="28">
        <f>'1) Budget Tables'!D46</f>
        <v>0</v>
      </c>
      <c r="E42" s="28">
        <f>'1) Budget Tables'!E46</f>
        <v>0</v>
      </c>
      <c r="F42" s="28">
        <f>'1) Budget Tables'!F46</f>
        <v>0</v>
      </c>
      <c r="G42" s="29">
        <f t="shared" ref="G42:G50" si="8">SUM(D42:F42)</f>
        <v>0</v>
      </c>
      <c r="H42" s="422"/>
      <c r="I42" s="422"/>
      <c r="J42" s="422"/>
      <c r="K42" s="422"/>
      <c r="L42" s="422"/>
      <c r="M42" s="422"/>
      <c r="N42" s="422"/>
    </row>
    <row r="43" spans="3:14" ht="17" x14ac:dyDescent="0.2">
      <c r="C43" s="25" t="s">
        <v>218</v>
      </c>
      <c r="D43" s="424"/>
      <c r="E43" s="425"/>
      <c r="F43" s="425"/>
      <c r="G43" s="26">
        <f t="shared" si="8"/>
        <v>0</v>
      </c>
      <c r="H43" s="422"/>
      <c r="I43" s="422"/>
      <c r="J43" s="422"/>
      <c r="K43" s="422"/>
      <c r="L43" s="422"/>
      <c r="M43" s="422"/>
      <c r="N43" s="422"/>
    </row>
    <row r="44" spans="3:14" ht="15.75" customHeight="1" x14ac:dyDescent="0.2">
      <c r="C44" s="15" t="s">
        <v>219</v>
      </c>
      <c r="D44" s="426"/>
      <c r="E44" s="420"/>
      <c r="F44" s="420"/>
      <c r="G44" s="24">
        <f t="shared" si="8"/>
        <v>0</v>
      </c>
      <c r="H44" s="422"/>
      <c r="I44" s="422"/>
      <c r="J44" s="422"/>
      <c r="K44" s="422"/>
      <c r="L44" s="422"/>
      <c r="M44" s="422"/>
      <c r="N44" s="422"/>
    </row>
    <row r="45" spans="3:14" ht="32.25" customHeight="1" x14ac:dyDescent="0.2">
      <c r="C45" s="15" t="s">
        <v>220</v>
      </c>
      <c r="D45" s="426"/>
      <c r="E45" s="426"/>
      <c r="F45" s="426"/>
      <c r="G45" s="24">
        <f t="shared" si="8"/>
        <v>0</v>
      </c>
      <c r="H45" s="422"/>
      <c r="I45" s="422"/>
      <c r="J45" s="422"/>
      <c r="K45" s="422"/>
      <c r="L45" s="422"/>
      <c r="M45" s="422"/>
      <c r="N45" s="422"/>
    </row>
    <row r="46" spans="3:14" s="19" customFormat="1" ht="17" x14ac:dyDescent="0.2">
      <c r="C46" s="16" t="s">
        <v>221</v>
      </c>
      <c r="D46" s="426"/>
      <c r="E46" s="426"/>
      <c r="F46" s="426"/>
      <c r="G46" s="24">
        <f t="shared" si="8"/>
        <v>0</v>
      </c>
      <c r="H46" s="423"/>
      <c r="I46" s="423"/>
      <c r="J46" s="423"/>
      <c r="K46" s="423"/>
      <c r="L46" s="423"/>
      <c r="M46" s="423"/>
      <c r="N46" s="423"/>
    </row>
    <row r="47" spans="3:14" ht="17" x14ac:dyDescent="0.2">
      <c r="C47" s="15" t="s">
        <v>222</v>
      </c>
      <c r="D47" s="426"/>
      <c r="E47" s="426"/>
      <c r="F47" s="426"/>
      <c r="G47" s="24">
        <f t="shared" si="8"/>
        <v>0</v>
      </c>
      <c r="H47" s="422"/>
      <c r="I47" s="422"/>
      <c r="J47" s="422"/>
      <c r="K47" s="422"/>
      <c r="L47" s="422"/>
      <c r="M47" s="422"/>
      <c r="N47" s="422"/>
    </row>
    <row r="48" spans="3:14" ht="17" x14ac:dyDescent="0.2">
      <c r="C48" s="15" t="s">
        <v>223</v>
      </c>
      <c r="D48" s="426"/>
      <c r="E48" s="426"/>
      <c r="F48" s="426"/>
      <c r="G48" s="24">
        <f t="shared" si="8"/>
        <v>0</v>
      </c>
      <c r="H48" s="422"/>
      <c r="I48" s="422"/>
      <c r="J48" s="422"/>
      <c r="K48" s="422"/>
      <c r="L48" s="422"/>
      <c r="M48" s="422"/>
      <c r="N48" s="422"/>
    </row>
    <row r="49" spans="2:14" ht="17" x14ac:dyDescent="0.2">
      <c r="B49" s="422"/>
      <c r="C49" s="15" t="s">
        <v>224</v>
      </c>
      <c r="D49" s="426"/>
      <c r="E49" s="426"/>
      <c r="F49" s="426"/>
      <c r="G49" s="24">
        <f t="shared" si="8"/>
        <v>0</v>
      </c>
      <c r="H49" s="422"/>
      <c r="I49" s="422"/>
      <c r="J49" s="422"/>
      <c r="K49" s="422"/>
      <c r="L49" s="422"/>
      <c r="M49" s="422"/>
      <c r="N49" s="422"/>
    </row>
    <row r="50" spans="2:14" ht="21" customHeight="1" x14ac:dyDescent="0.2">
      <c r="B50" s="422"/>
      <c r="C50" s="20" t="s">
        <v>225</v>
      </c>
      <c r="D50" s="30">
        <f t="shared" ref="D50:E50" si="9">SUM(D43:D49)</f>
        <v>0</v>
      </c>
      <c r="E50" s="30">
        <f t="shared" si="9"/>
        <v>0</v>
      </c>
      <c r="F50" s="30">
        <f t="shared" ref="F50" si="10">SUM(F43:F49)</f>
        <v>0</v>
      </c>
      <c r="G50" s="24">
        <f t="shared" si="8"/>
        <v>0</v>
      </c>
      <c r="H50" s="422"/>
      <c r="I50" s="422"/>
      <c r="J50" s="422"/>
      <c r="K50" s="422"/>
      <c r="L50" s="422"/>
      <c r="M50" s="422"/>
      <c r="N50" s="422"/>
    </row>
    <row r="51" spans="2:14" s="19" customFormat="1" ht="22.5" customHeight="1" x14ac:dyDescent="0.2">
      <c r="B51" s="423"/>
      <c r="C51" s="34"/>
      <c r="D51" s="32"/>
      <c r="E51" s="32"/>
      <c r="F51" s="32"/>
      <c r="G51" s="33"/>
      <c r="H51" s="423"/>
      <c r="I51" s="423"/>
      <c r="J51" s="423"/>
      <c r="K51" s="423"/>
      <c r="L51" s="423"/>
      <c r="M51" s="423"/>
      <c r="N51" s="423"/>
    </row>
    <row r="52" spans="2:14" x14ac:dyDescent="0.2">
      <c r="B52" s="735" t="s">
        <v>229</v>
      </c>
      <c r="C52" s="736"/>
      <c r="D52" s="736"/>
      <c r="E52" s="736"/>
      <c r="F52" s="736"/>
      <c r="G52" s="737"/>
      <c r="H52" s="422"/>
      <c r="I52" s="422"/>
      <c r="J52" s="422"/>
      <c r="K52" s="422"/>
      <c r="L52" s="422"/>
      <c r="M52" s="422"/>
      <c r="N52" s="422"/>
    </row>
    <row r="53" spans="2:14" x14ac:dyDescent="0.2">
      <c r="B53" s="422"/>
      <c r="C53" s="735" t="s">
        <v>230</v>
      </c>
      <c r="D53" s="736"/>
      <c r="E53" s="736"/>
      <c r="F53" s="736"/>
      <c r="G53" s="737"/>
      <c r="H53" s="422"/>
      <c r="I53" s="422"/>
      <c r="J53" s="422"/>
      <c r="K53" s="422"/>
      <c r="L53" s="422"/>
      <c r="M53" s="422"/>
      <c r="N53" s="422"/>
    </row>
    <row r="54" spans="2:14" ht="24" customHeight="1" thickBot="1" x14ac:dyDescent="0.25">
      <c r="B54" s="422"/>
      <c r="C54" s="27" t="s">
        <v>217</v>
      </c>
      <c r="D54" s="28">
        <f>'1) Budget Tables'!D58</f>
        <v>88121.019108280248</v>
      </c>
      <c r="E54" s="28">
        <f>'1) Budget Tables'!E58</f>
        <v>0</v>
      </c>
      <c r="F54" s="28">
        <f>'1) Budget Tables'!F58</f>
        <v>0</v>
      </c>
      <c r="G54" s="29">
        <f>SUM(D54:F54)</f>
        <v>88121.019108280248</v>
      </c>
      <c r="H54" s="422"/>
      <c r="I54" s="422"/>
      <c r="J54" s="422"/>
      <c r="K54" s="422"/>
      <c r="L54" s="422"/>
      <c r="M54" s="422"/>
      <c r="N54" s="422"/>
    </row>
    <row r="55" spans="2:14" ht="15.75" customHeight="1" x14ac:dyDescent="0.2">
      <c r="B55" s="422"/>
      <c r="C55" s="25" t="s">
        <v>218</v>
      </c>
      <c r="D55" s="424"/>
      <c r="E55" s="425"/>
      <c r="F55" s="425"/>
      <c r="G55" s="26">
        <f t="shared" ref="G55:G62" si="11">SUM(D55:F55)</f>
        <v>0</v>
      </c>
      <c r="H55" s="422"/>
      <c r="I55" s="422"/>
      <c r="J55" s="422"/>
      <c r="K55" s="422"/>
      <c r="L55" s="422"/>
      <c r="M55" s="422"/>
      <c r="N55" s="422"/>
    </row>
    <row r="56" spans="2:14" ht="15.75" customHeight="1" x14ac:dyDescent="0.2">
      <c r="B56" s="422"/>
      <c r="C56" s="15" t="s">
        <v>219</v>
      </c>
      <c r="D56" s="426"/>
      <c r="E56" s="420"/>
      <c r="F56" s="420"/>
      <c r="G56" s="24">
        <f t="shared" si="11"/>
        <v>0</v>
      </c>
      <c r="H56" s="422"/>
      <c r="I56" s="422"/>
      <c r="J56" s="422"/>
      <c r="K56" s="422"/>
      <c r="L56" s="422"/>
      <c r="M56" s="422"/>
      <c r="N56" s="422"/>
    </row>
    <row r="57" spans="2:14" ht="15.75" customHeight="1" x14ac:dyDescent="0.2">
      <c r="B57" s="422"/>
      <c r="C57" s="15" t="s">
        <v>220</v>
      </c>
      <c r="D57" s="426"/>
      <c r="E57" s="426"/>
      <c r="F57" s="426"/>
      <c r="G57" s="24">
        <f t="shared" si="11"/>
        <v>0</v>
      </c>
      <c r="H57" s="422"/>
      <c r="I57" s="422"/>
      <c r="J57" s="422"/>
      <c r="K57" s="422"/>
      <c r="L57" s="422"/>
      <c r="M57" s="422"/>
      <c r="N57" s="422"/>
    </row>
    <row r="58" spans="2:14" ht="18.75" customHeight="1" x14ac:dyDescent="0.2">
      <c r="B58" s="422"/>
      <c r="C58" s="16" t="s">
        <v>221</v>
      </c>
      <c r="D58" s="426"/>
      <c r="E58" s="426"/>
      <c r="F58" s="426"/>
      <c r="G58" s="24">
        <f t="shared" si="11"/>
        <v>0</v>
      </c>
      <c r="H58" s="422"/>
      <c r="I58" s="422"/>
      <c r="J58" s="422"/>
      <c r="K58" s="422"/>
      <c r="L58" s="422"/>
      <c r="M58" s="422"/>
      <c r="N58" s="422"/>
    </row>
    <row r="59" spans="2:14" ht="17" x14ac:dyDescent="0.2">
      <c r="B59" s="422"/>
      <c r="C59" s="15" t="s">
        <v>222</v>
      </c>
      <c r="D59" s="426"/>
      <c r="E59" s="426"/>
      <c r="F59" s="426"/>
      <c r="G59" s="24">
        <f t="shared" si="11"/>
        <v>0</v>
      </c>
      <c r="H59" s="422"/>
      <c r="I59" s="422"/>
      <c r="J59" s="422"/>
      <c r="K59" s="422"/>
      <c r="L59" s="422"/>
      <c r="M59" s="422"/>
      <c r="N59" s="422"/>
    </row>
    <row r="60" spans="2:14" s="19" customFormat="1" ht="21.75" customHeight="1" x14ac:dyDescent="0.2">
      <c r="B60" s="422"/>
      <c r="C60" s="15" t="s">
        <v>223</v>
      </c>
      <c r="D60" s="426">
        <f>D54</f>
        <v>88121.019108280248</v>
      </c>
      <c r="E60" s="426"/>
      <c r="F60" s="426"/>
      <c r="G60" s="24">
        <f t="shared" si="11"/>
        <v>88121.019108280248</v>
      </c>
      <c r="H60" s="423"/>
      <c r="I60" s="423"/>
      <c r="J60" s="423"/>
      <c r="K60" s="423"/>
      <c r="L60" s="423"/>
      <c r="M60" s="423"/>
      <c r="N60" s="423"/>
    </row>
    <row r="61" spans="2:14" s="19" customFormat="1" ht="17" x14ac:dyDescent="0.2">
      <c r="B61" s="422"/>
      <c r="C61" s="15" t="s">
        <v>224</v>
      </c>
      <c r="D61" s="426"/>
      <c r="E61" s="426"/>
      <c r="F61" s="426"/>
      <c r="G61" s="24">
        <f t="shared" si="11"/>
        <v>0</v>
      </c>
      <c r="H61" s="423"/>
      <c r="I61" s="423"/>
      <c r="J61" s="423"/>
      <c r="K61" s="423"/>
      <c r="L61" s="423"/>
      <c r="M61" s="423"/>
      <c r="N61" s="423"/>
    </row>
    <row r="62" spans="2:14" ht="17" x14ac:dyDescent="0.2">
      <c r="B62" s="422"/>
      <c r="C62" s="20" t="s">
        <v>225</v>
      </c>
      <c r="D62" s="30">
        <f>SUM(D55:D61)</f>
        <v>88121.019108280248</v>
      </c>
      <c r="E62" s="30">
        <f>SUM(E55:E61)</f>
        <v>0</v>
      </c>
      <c r="F62" s="30">
        <f t="shared" ref="F62" si="12">SUM(F55:F61)</f>
        <v>0</v>
      </c>
      <c r="G62" s="24">
        <f t="shared" si="11"/>
        <v>88121.019108280248</v>
      </c>
      <c r="H62" s="422"/>
      <c r="I62" s="422"/>
      <c r="J62" s="422"/>
      <c r="K62" s="422"/>
      <c r="L62" s="422"/>
      <c r="M62" s="422"/>
      <c r="N62" s="422"/>
    </row>
    <row r="63" spans="2:14" s="19" customFormat="1" x14ac:dyDescent="0.2">
      <c r="B63" s="423"/>
      <c r="C63" s="31"/>
      <c r="D63" s="32"/>
      <c r="E63" s="32"/>
      <c r="F63" s="32"/>
      <c r="G63" s="33"/>
      <c r="H63" s="423"/>
      <c r="I63" s="423"/>
      <c r="J63" s="423"/>
      <c r="K63" s="423"/>
      <c r="L63" s="423"/>
      <c r="M63" s="423"/>
      <c r="N63" s="423"/>
    </row>
    <row r="64" spans="2:14" x14ac:dyDescent="0.2">
      <c r="B64" s="423"/>
      <c r="C64" s="735" t="s">
        <v>70</v>
      </c>
      <c r="D64" s="736"/>
      <c r="E64" s="736"/>
      <c r="F64" s="736"/>
      <c r="G64" s="737"/>
      <c r="H64" s="422"/>
      <c r="I64" s="422"/>
      <c r="J64" s="422"/>
      <c r="K64" s="422"/>
      <c r="L64" s="422"/>
      <c r="M64" s="422"/>
      <c r="N64" s="422"/>
    </row>
    <row r="65" spans="2:14" ht="21.75" customHeight="1" thickBot="1" x14ac:dyDescent="0.25">
      <c r="B65" s="422"/>
      <c r="C65" s="27" t="s">
        <v>217</v>
      </c>
      <c r="D65" s="28">
        <f>'1) Budget Tables'!D68</f>
        <v>31942.67515923567</v>
      </c>
      <c r="E65" s="28">
        <f>'1) Budget Tables'!E68</f>
        <v>0</v>
      </c>
      <c r="F65" s="28">
        <f>'1) Budget Tables'!F68</f>
        <v>0</v>
      </c>
      <c r="G65" s="29">
        <f t="shared" ref="G65:G73" si="13">SUM(D65:F65)</f>
        <v>31942.67515923567</v>
      </c>
      <c r="H65" s="422"/>
      <c r="I65" s="422"/>
      <c r="J65" s="422"/>
      <c r="K65" s="422"/>
      <c r="L65" s="422"/>
      <c r="M65" s="422"/>
      <c r="N65" s="422"/>
    </row>
    <row r="66" spans="2:14" ht="15.75" customHeight="1" x14ac:dyDescent="0.2">
      <c r="B66" s="422"/>
      <c r="C66" s="25" t="s">
        <v>218</v>
      </c>
      <c r="D66" s="424"/>
      <c r="E66" s="425"/>
      <c r="F66" s="425"/>
      <c r="G66" s="26">
        <f t="shared" si="13"/>
        <v>0</v>
      </c>
      <c r="H66" s="422"/>
      <c r="I66" s="422"/>
      <c r="J66" s="422"/>
      <c r="K66" s="422"/>
      <c r="L66" s="422"/>
      <c r="M66" s="422"/>
      <c r="N66" s="422"/>
    </row>
    <row r="67" spans="2:14" ht="15.75" customHeight="1" x14ac:dyDescent="0.2">
      <c r="B67" s="422"/>
      <c r="C67" s="15" t="s">
        <v>219</v>
      </c>
      <c r="D67" s="426"/>
      <c r="E67" s="420"/>
      <c r="F67" s="420"/>
      <c r="G67" s="24">
        <f t="shared" si="13"/>
        <v>0</v>
      </c>
      <c r="H67" s="422"/>
      <c r="I67" s="422"/>
      <c r="J67" s="422"/>
      <c r="K67" s="422"/>
      <c r="L67" s="422"/>
      <c r="M67" s="422"/>
      <c r="N67" s="422"/>
    </row>
    <row r="68" spans="2:14" ht="15.75" customHeight="1" x14ac:dyDescent="0.2">
      <c r="B68" s="422"/>
      <c r="C68" s="15" t="s">
        <v>220</v>
      </c>
      <c r="D68" s="426"/>
      <c r="E68" s="426"/>
      <c r="F68" s="426"/>
      <c r="G68" s="24">
        <f t="shared" si="13"/>
        <v>0</v>
      </c>
      <c r="H68" s="422"/>
      <c r="I68" s="422"/>
      <c r="J68" s="422"/>
      <c r="K68" s="422"/>
      <c r="L68" s="422"/>
      <c r="M68" s="422"/>
      <c r="N68" s="422"/>
    </row>
    <row r="69" spans="2:14" ht="17" x14ac:dyDescent="0.2">
      <c r="B69" s="422"/>
      <c r="C69" s="16" t="s">
        <v>221</v>
      </c>
      <c r="D69" s="426"/>
      <c r="E69" s="426"/>
      <c r="F69" s="426"/>
      <c r="G69" s="24">
        <f t="shared" si="13"/>
        <v>0</v>
      </c>
      <c r="H69" s="422"/>
      <c r="I69" s="422"/>
      <c r="J69" s="422"/>
      <c r="K69" s="422"/>
      <c r="L69" s="422"/>
      <c r="M69" s="422"/>
      <c r="N69" s="422"/>
    </row>
    <row r="70" spans="2:14" ht="17" x14ac:dyDescent="0.2">
      <c r="B70" s="422"/>
      <c r="C70" s="15" t="s">
        <v>222</v>
      </c>
      <c r="D70" s="426"/>
      <c r="E70" s="426"/>
      <c r="F70" s="426"/>
      <c r="G70" s="24">
        <f t="shared" si="13"/>
        <v>0</v>
      </c>
      <c r="H70" s="422"/>
      <c r="I70" s="422"/>
      <c r="J70" s="422"/>
      <c r="K70" s="422"/>
      <c r="L70" s="422"/>
      <c r="M70" s="422"/>
      <c r="N70" s="422"/>
    </row>
    <row r="71" spans="2:14" ht="17" x14ac:dyDescent="0.2">
      <c r="B71" s="422"/>
      <c r="C71" s="15" t="s">
        <v>223</v>
      </c>
      <c r="D71" s="426">
        <f>D65</f>
        <v>31942.67515923567</v>
      </c>
      <c r="E71" s="426"/>
      <c r="F71" s="426"/>
      <c r="G71" s="24">
        <f t="shared" si="13"/>
        <v>31942.67515923567</v>
      </c>
      <c r="H71" s="422"/>
      <c r="I71" s="422"/>
      <c r="J71" s="422"/>
      <c r="K71" s="422"/>
      <c r="L71" s="422"/>
      <c r="M71" s="422"/>
      <c r="N71" s="422"/>
    </row>
    <row r="72" spans="2:14" ht="17" x14ac:dyDescent="0.2">
      <c r="B72" s="422"/>
      <c r="C72" s="15" t="s">
        <v>224</v>
      </c>
      <c r="D72" s="426"/>
      <c r="E72" s="426"/>
      <c r="F72" s="426"/>
      <c r="G72" s="24">
        <f t="shared" si="13"/>
        <v>0</v>
      </c>
      <c r="H72" s="422"/>
      <c r="I72" s="422"/>
      <c r="J72" s="422"/>
      <c r="K72" s="422"/>
      <c r="L72" s="422"/>
      <c r="M72" s="422"/>
      <c r="N72" s="422"/>
    </row>
    <row r="73" spans="2:14" ht="17" x14ac:dyDescent="0.2">
      <c r="B73" s="422"/>
      <c r="C73" s="20" t="s">
        <v>225</v>
      </c>
      <c r="D73" s="30">
        <f t="shared" ref="D73:E73" si="14">SUM(D66:D72)</f>
        <v>31942.67515923567</v>
      </c>
      <c r="E73" s="30">
        <f t="shared" si="14"/>
        <v>0</v>
      </c>
      <c r="F73" s="30">
        <f t="shared" ref="F73" si="15">SUM(F66:F72)</f>
        <v>0</v>
      </c>
      <c r="G73" s="24">
        <f t="shared" si="13"/>
        <v>31942.67515923567</v>
      </c>
      <c r="H73" s="422"/>
      <c r="I73" s="422"/>
      <c r="J73" s="422"/>
      <c r="K73" s="422"/>
      <c r="L73" s="422"/>
      <c r="M73" s="422"/>
      <c r="N73" s="422"/>
    </row>
    <row r="74" spans="2:14" s="19" customFormat="1" x14ac:dyDescent="0.2">
      <c r="B74" s="423"/>
      <c r="C74" s="31"/>
      <c r="D74" s="32"/>
      <c r="E74" s="32"/>
      <c r="F74" s="32"/>
      <c r="G74" s="33"/>
      <c r="H74" s="423"/>
      <c r="I74" s="423"/>
      <c r="J74" s="423"/>
      <c r="K74" s="423"/>
      <c r="L74" s="423"/>
      <c r="M74" s="423"/>
      <c r="N74" s="423"/>
    </row>
    <row r="75" spans="2:14" x14ac:dyDescent="0.2">
      <c r="B75" s="422"/>
      <c r="C75" s="735" t="s">
        <v>82</v>
      </c>
      <c r="D75" s="736"/>
      <c r="E75" s="736"/>
      <c r="F75" s="736"/>
      <c r="G75" s="737"/>
      <c r="H75" s="422"/>
      <c r="I75" s="422"/>
      <c r="J75" s="422"/>
      <c r="K75" s="422"/>
      <c r="L75" s="422"/>
      <c r="M75" s="422"/>
      <c r="N75" s="422"/>
    </row>
    <row r="76" spans="2:14" ht="21.75" customHeight="1" thickBot="1" x14ac:dyDescent="0.25">
      <c r="B76" s="423"/>
      <c r="C76" s="27" t="s">
        <v>217</v>
      </c>
      <c r="D76" s="28">
        <f>'1) Budget Tables'!D78</f>
        <v>153547.77070063693</v>
      </c>
      <c r="E76" s="28">
        <f>'1) Budget Tables'!E78</f>
        <v>0</v>
      </c>
      <c r="F76" s="28">
        <f>'1) Budget Tables'!F78</f>
        <v>0</v>
      </c>
      <c r="G76" s="29">
        <f t="shared" ref="G76:G84" si="16">SUM(D76:F76)</f>
        <v>153547.77070063693</v>
      </c>
      <c r="H76" s="422"/>
      <c r="I76" s="422"/>
      <c r="J76" s="422"/>
      <c r="K76" s="422"/>
      <c r="L76" s="422"/>
      <c r="M76" s="422"/>
      <c r="N76" s="422"/>
    </row>
    <row r="77" spans="2:14" ht="18" customHeight="1" x14ac:dyDescent="0.2">
      <c r="B77" s="422"/>
      <c r="C77" s="25" t="s">
        <v>218</v>
      </c>
      <c r="D77" s="424"/>
      <c r="E77" s="425"/>
      <c r="F77" s="425"/>
      <c r="G77" s="26">
        <f t="shared" si="16"/>
        <v>0</v>
      </c>
      <c r="H77" s="422"/>
      <c r="I77" s="422"/>
      <c r="J77" s="422"/>
      <c r="K77" s="422"/>
      <c r="L77" s="422"/>
      <c r="M77" s="422"/>
      <c r="N77" s="422"/>
    </row>
    <row r="78" spans="2:14" ht="15.75" customHeight="1" x14ac:dyDescent="0.2">
      <c r="B78" s="422"/>
      <c r="C78" s="15" t="s">
        <v>219</v>
      </c>
      <c r="D78" s="426"/>
      <c r="E78" s="420"/>
      <c r="F78" s="420"/>
      <c r="G78" s="24">
        <f t="shared" si="16"/>
        <v>0</v>
      </c>
      <c r="H78" s="422"/>
      <c r="I78" s="422"/>
      <c r="J78" s="422"/>
      <c r="K78" s="422"/>
      <c r="L78" s="422"/>
      <c r="M78" s="422"/>
      <c r="N78" s="422"/>
    </row>
    <row r="79" spans="2:14" s="19" customFormat="1" ht="15.75" customHeight="1" x14ac:dyDescent="0.2">
      <c r="B79" s="422"/>
      <c r="C79" s="15" t="s">
        <v>220</v>
      </c>
      <c r="D79" s="426"/>
      <c r="E79" s="426"/>
      <c r="F79" s="426"/>
      <c r="G79" s="24">
        <f t="shared" si="16"/>
        <v>0</v>
      </c>
      <c r="H79" s="423"/>
      <c r="I79" s="423"/>
      <c r="J79" s="423"/>
      <c r="K79" s="423"/>
      <c r="L79" s="423"/>
      <c r="M79" s="423"/>
      <c r="N79" s="423"/>
    </row>
    <row r="80" spans="2:14" ht="17" x14ac:dyDescent="0.2">
      <c r="B80" s="423"/>
      <c r="C80" s="16" t="s">
        <v>221</v>
      </c>
      <c r="D80" s="426"/>
      <c r="E80" s="426"/>
      <c r="F80" s="426"/>
      <c r="G80" s="24">
        <f t="shared" si="16"/>
        <v>0</v>
      </c>
      <c r="H80" s="422"/>
      <c r="I80" s="422"/>
      <c r="J80" s="422"/>
      <c r="K80" s="422"/>
      <c r="L80" s="422"/>
      <c r="M80" s="422"/>
      <c r="N80" s="422"/>
    </row>
    <row r="81" spans="2:14" ht="17" x14ac:dyDescent="0.2">
      <c r="B81" s="423"/>
      <c r="C81" s="15" t="s">
        <v>222</v>
      </c>
      <c r="D81" s="426"/>
      <c r="E81" s="426"/>
      <c r="F81" s="426"/>
      <c r="G81" s="24">
        <f t="shared" si="16"/>
        <v>0</v>
      </c>
      <c r="H81" s="422"/>
      <c r="I81" s="422"/>
      <c r="J81" s="422"/>
      <c r="K81" s="422"/>
      <c r="L81" s="422"/>
      <c r="M81" s="422"/>
      <c r="N81" s="422"/>
    </row>
    <row r="82" spans="2:14" ht="17" x14ac:dyDescent="0.2">
      <c r="B82" s="423"/>
      <c r="C82" s="15" t="s">
        <v>223</v>
      </c>
      <c r="D82" s="426">
        <f>D76</f>
        <v>153547.77070063693</v>
      </c>
      <c r="E82" s="426"/>
      <c r="F82" s="426"/>
      <c r="G82" s="24">
        <f t="shared" si="16"/>
        <v>153547.77070063693</v>
      </c>
      <c r="H82" s="422"/>
      <c r="I82" s="422"/>
      <c r="J82" s="422"/>
      <c r="K82" s="422"/>
      <c r="L82" s="422"/>
      <c r="M82" s="422"/>
      <c r="N82" s="422"/>
    </row>
    <row r="83" spans="2:14" ht="17" x14ac:dyDescent="0.2">
      <c r="B83" s="422"/>
      <c r="C83" s="15" t="s">
        <v>224</v>
      </c>
      <c r="D83" s="426"/>
      <c r="E83" s="426"/>
      <c r="F83" s="426"/>
      <c r="G83" s="24">
        <f t="shared" si="16"/>
        <v>0</v>
      </c>
      <c r="H83" s="422"/>
      <c r="I83" s="422"/>
      <c r="J83" s="422"/>
      <c r="K83" s="422"/>
      <c r="L83" s="422"/>
      <c r="M83" s="422"/>
      <c r="N83" s="422"/>
    </row>
    <row r="84" spans="2:14" ht="17" x14ac:dyDescent="0.2">
      <c r="B84" s="422"/>
      <c r="C84" s="20" t="s">
        <v>225</v>
      </c>
      <c r="D84" s="30">
        <f t="shared" ref="D84:E84" si="17">SUM(D77:D83)</f>
        <v>153547.77070063693</v>
      </c>
      <c r="E84" s="30">
        <f t="shared" si="17"/>
        <v>0</v>
      </c>
      <c r="F84" s="30">
        <f t="shared" ref="F84" si="18">SUM(F77:F83)</f>
        <v>0</v>
      </c>
      <c r="G84" s="24">
        <f t="shared" si="16"/>
        <v>153547.77070063693</v>
      </c>
      <c r="H84" s="422"/>
      <c r="I84" s="422"/>
      <c r="J84" s="422"/>
      <c r="K84" s="422"/>
      <c r="L84" s="422"/>
      <c r="M84" s="422"/>
      <c r="N84" s="422"/>
    </row>
    <row r="85" spans="2:14" s="19" customFormat="1" x14ac:dyDescent="0.2">
      <c r="B85" s="423"/>
      <c r="C85" s="31"/>
      <c r="D85" s="32"/>
      <c r="E85" s="32"/>
      <c r="F85" s="32"/>
      <c r="G85" s="33"/>
      <c r="H85" s="423"/>
      <c r="I85" s="423"/>
      <c r="J85" s="423"/>
      <c r="K85" s="423"/>
      <c r="L85" s="423"/>
      <c r="M85" s="423"/>
      <c r="N85" s="423"/>
    </row>
    <row r="86" spans="2:14" x14ac:dyDescent="0.2">
      <c r="B86" s="422"/>
      <c r="C86" s="735" t="s">
        <v>94</v>
      </c>
      <c r="D86" s="736"/>
      <c r="E86" s="736"/>
      <c r="F86" s="736"/>
      <c r="G86" s="737"/>
      <c r="H86" s="422"/>
      <c r="I86" s="422"/>
      <c r="J86" s="422"/>
      <c r="K86" s="422"/>
      <c r="L86" s="422"/>
      <c r="M86" s="422"/>
      <c r="N86" s="422"/>
    </row>
    <row r="87" spans="2:14" ht="21.75" customHeight="1" thickBot="1" x14ac:dyDescent="0.25">
      <c r="B87" s="422"/>
      <c r="C87" s="27" t="s">
        <v>217</v>
      </c>
      <c r="D87" s="28">
        <f>'1) Budget Tables'!D88</f>
        <v>0</v>
      </c>
      <c r="E87" s="28">
        <f>'1) Budget Tables'!E88</f>
        <v>0</v>
      </c>
      <c r="F87" s="28">
        <f>'1) Budget Tables'!F88</f>
        <v>0</v>
      </c>
      <c r="G87" s="29">
        <f t="shared" ref="G87:G95" si="19">SUM(D87:F87)</f>
        <v>0</v>
      </c>
      <c r="H87" s="422"/>
      <c r="I87" s="422"/>
      <c r="J87" s="422"/>
      <c r="K87" s="422"/>
      <c r="L87" s="422"/>
      <c r="M87" s="422"/>
      <c r="N87" s="422"/>
    </row>
    <row r="88" spans="2:14" ht="15.75" customHeight="1" x14ac:dyDescent="0.2">
      <c r="B88" s="422"/>
      <c r="C88" s="25" t="s">
        <v>218</v>
      </c>
      <c r="D88" s="424" t="s">
        <v>966</v>
      </c>
      <c r="E88" s="425"/>
      <c r="F88" s="425"/>
      <c r="G88" s="26">
        <f t="shared" si="19"/>
        <v>0</v>
      </c>
      <c r="H88" s="422"/>
      <c r="I88" s="422"/>
      <c r="J88" s="422"/>
      <c r="K88" s="422"/>
      <c r="L88" s="422"/>
      <c r="M88" s="422"/>
      <c r="N88" s="422"/>
    </row>
    <row r="89" spans="2:14" ht="15.75" customHeight="1" x14ac:dyDescent="0.2">
      <c r="B89" s="423"/>
      <c r="C89" s="15" t="s">
        <v>219</v>
      </c>
      <c r="D89" s="426"/>
      <c r="E89" s="420"/>
      <c r="F89" s="420"/>
      <c r="G89" s="24">
        <f t="shared" si="19"/>
        <v>0</v>
      </c>
      <c r="H89" s="422"/>
      <c r="I89" s="422"/>
      <c r="J89" s="422"/>
      <c r="K89" s="422"/>
      <c r="L89" s="422"/>
      <c r="M89" s="422"/>
      <c r="N89" s="422"/>
    </row>
    <row r="90" spans="2:14" ht="15.75" customHeight="1" x14ac:dyDescent="0.2">
      <c r="B90" s="422"/>
      <c r="C90" s="15" t="s">
        <v>220</v>
      </c>
      <c r="D90" s="426"/>
      <c r="E90" s="426"/>
      <c r="F90" s="426"/>
      <c r="G90" s="24">
        <f t="shared" si="19"/>
        <v>0</v>
      </c>
      <c r="H90" s="422"/>
      <c r="I90" s="422"/>
      <c r="J90" s="422"/>
      <c r="K90" s="422"/>
      <c r="L90" s="422"/>
      <c r="M90" s="422"/>
      <c r="N90" s="422"/>
    </row>
    <row r="91" spans="2:14" ht="17" x14ac:dyDescent="0.2">
      <c r="B91" s="422"/>
      <c r="C91" s="16" t="s">
        <v>221</v>
      </c>
      <c r="D91" s="426"/>
      <c r="E91" s="426"/>
      <c r="F91" s="426"/>
      <c r="G91" s="24">
        <f t="shared" si="19"/>
        <v>0</v>
      </c>
      <c r="H91" s="422"/>
      <c r="I91" s="422"/>
      <c r="J91" s="422"/>
      <c r="K91" s="422"/>
      <c r="L91" s="422"/>
      <c r="M91" s="422"/>
      <c r="N91" s="422"/>
    </row>
    <row r="92" spans="2:14" ht="17" x14ac:dyDescent="0.2">
      <c r="B92" s="422"/>
      <c r="C92" s="15" t="s">
        <v>222</v>
      </c>
      <c r="D92" s="426"/>
      <c r="E92" s="426"/>
      <c r="F92" s="426"/>
      <c r="G92" s="24">
        <f t="shared" si="19"/>
        <v>0</v>
      </c>
      <c r="H92" s="422"/>
      <c r="I92" s="422"/>
      <c r="J92" s="422"/>
      <c r="K92" s="422"/>
      <c r="L92" s="422"/>
      <c r="M92" s="422"/>
      <c r="N92" s="422"/>
    </row>
    <row r="93" spans="2:14" ht="25.5" customHeight="1" x14ac:dyDescent="0.2">
      <c r="B93" s="422"/>
      <c r="C93" s="15" t="s">
        <v>223</v>
      </c>
      <c r="D93" s="426"/>
      <c r="E93" s="426"/>
      <c r="F93" s="426"/>
      <c r="G93" s="24">
        <f t="shared" si="19"/>
        <v>0</v>
      </c>
      <c r="H93" s="422"/>
      <c r="I93" s="422"/>
      <c r="J93" s="422"/>
      <c r="K93" s="422"/>
      <c r="L93" s="422"/>
      <c r="M93" s="422"/>
      <c r="N93" s="422"/>
    </row>
    <row r="94" spans="2:14" ht="17" x14ac:dyDescent="0.2">
      <c r="B94" s="423"/>
      <c r="C94" s="15" t="s">
        <v>224</v>
      </c>
      <c r="D94" s="426"/>
      <c r="E94" s="426"/>
      <c r="F94" s="426"/>
      <c r="G94" s="24">
        <f t="shared" si="19"/>
        <v>0</v>
      </c>
      <c r="H94" s="422"/>
      <c r="I94" s="422"/>
      <c r="J94" s="422"/>
      <c r="K94" s="422"/>
      <c r="L94" s="422"/>
      <c r="M94" s="422"/>
      <c r="N94" s="422"/>
    </row>
    <row r="95" spans="2:14" ht="15.75" customHeight="1" x14ac:dyDescent="0.2">
      <c r="B95" s="422"/>
      <c r="C95" s="20" t="s">
        <v>225</v>
      </c>
      <c r="D95" s="30">
        <f t="shared" ref="D95:E95" si="20">SUM(D88:D94)</f>
        <v>0</v>
      </c>
      <c r="E95" s="30">
        <f t="shared" si="20"/>
        <v>0</v>
      </c>
      <c r="F95" s="30">
        <f t="shared" ref="F95" si="21">SUM(F88:F94)</f>
        <v>0</v>
      </c>
      <c r="G95" s="24">
        <f t="shared" si="19"/>
        <v>0</v>
      </c>
      <c r="H95" s="422"/>
      <c r="I95" s="422"/>
      <c r="J95" s="422"/>
      <c r="K95" s="422"/>
      <c r="L95" s="422"/>
      <c r="M95" s="422"/>
      <c r="N95" s="422"/>
    </row>
    <row r="96" spans="2:14" ht="25.5" customHeight="1" x14ac:dyDescent="0.2">
      <c r="B96" s="422"/>
      <c r="C96" s="422"/>
      <c r="D96" s="422"/>
      <c r="E96" s="422"/>
      <c r="F96" s="422"/>
      <c r="G96" s="422"/>
      <c r="H96" s="422"/>
      <c r="I96" s="422"/>
      <c r="J96" s="422"/>
      <c r="K96" s="422"/>
      <c r="L96" s="422"/>
      <c r="M96" s="422"/>
      <c r="N96" s="422"/>
    </row>
    <row r="97" spans="2:14" x14ac:dyDescent="0.2">
      <c r="B97" s="735" t="s">
        <v>231</v>
      </c>
      <c r="C97" s="736"/>
      <c r="D97" s="736"/>
      <c r="E97" s="736"/>
      <c r="F97" s="736"/>
      <c r="G97" s="737"/>
      <c r="H97" s="422"/>
      <c r="I97" s="422"/>
      <c r="J97" s="422"/>
      <c r="K97" s="422"/>
      <c r="L97" s="422"/>
      <c r="M97" s="422"/>
      <c r="N97" s="422"/>
    </row>
    <row r="98" spans="2:14" x14ac:dyDescent="0.2">
      <c r="B98" s="422"/>
      <c r="C98" s="735" t="s">
        <v>105</v>
      </c>
      <c r="D98" s="736"/>
      <c r="E98" s="736"/>
      <c r="F98" s="736"/>
      <c r="G98" s="737"/>
      <c r="H98" s="422"/>
      <c r="I98" s="422"/>
      <c r="J98" s="422"/>
      <c r="K98" s="422"/>
      <c r="L98" s="422"/>
      <c r="M98" s="422"/>
      <c r="N98" s="422"/>
    </row>
    <row r="99" spans="2:14" ht="22.5" customHeight="1" thickBot="1" x14ac:dyDescent="0.25">
      <c r="B99" s="422"/>
      <c r="C99" s="27" t="s">
        <v>217</v>
      </c>
      <c r="D99" s="28">
        <f>'1) Budget Tables'!D100</f>
        <v>152993.6305732484</v>
      </c>
      <c r="E99" s="28">
        <f>'1) Budget Tables'!E100</f>
        <v>0</v>
      </c>
      <c r="F99" s="28">
        <f>'1) Budget Tables'!F100</f>
        <v>0</v>
      </c>
      <c r="G99" s="29">
        <f>SUM(D99:F99)</f>
        <v>152993.6305732484</v>
      </c>
      <c r="H99" s="422"/>
      <c r="I99" s="422"/>
      <c r="J99" s="422"/>
      <c r="K99" s="422"/>
      <c r="L99" s="422"/>
      <c r="M99" s="422"/>
      <c r="N99" s="422"/>
    </row>
    <row r="100" spans="2:14" ht="17" x14ac:dyDescent="0.2">
      <c r="B100" s="422"/>
      <c r="C100" s="25" t="s">
        <v>218</v>
      </c>
      <c r="D100" s="424"/>
      <c r="E100" s="425"/>
      <c r="F100" s="425"/>
      <c r="G100" s="26">
        <f t="shared" ref="G100:G107" si="22">SUM(D100:F100)</f>
        <v>0</v>
      </c>
      <c r="H100" s="422"/>
      <c r="I100" s="422"/>
      <c r="J100" s="422"/>
      <c r="K100" s="422"/>
      <c r="L100" s="422"/>
      <c r="M100" s="422"/>
      <c r="N100" s="422"/>
    </row>
    <row r="101" spans="2:14" ht="17" x14ac:dyDescent="0.2">
      <c r="B101" s="422"/>
      <c r="C101" s="15" t="s">
        <v>219</v>
      </c>
      <c r="D101" s="426"/>
      <c r="E101" s="420"/>
      <c r="F101" s="420"/>
      <c r="G101" s="24">
        <f t="shared" si="22"/>
        <v>0</v>
      </c>
      <c r="H101" s="422"/>
      <c r="I101" s="422"/>
      <c r="J101" s="422"/>
      <c r="K101" s="422"/>
      <c r="L101" s="422"/>
      <c r="M101" s="422"/>
      <c r="N101" s="422"/>
    </row>
    <row r="102" spans="2:14" ht="15.75" customHeight="1" x14ac:dyDescent="0.2">
      <c r="B102" s="422"/>
      <c r="C102" s="15" t="s">
        <v>220</v>
      </c>
      <c r="D102" s="426"/>
      <c r="E102" s="426"/>
      <c r="F102" s="426"/>
      <c r="G102" s="24">
        <f t="shared" si="22"/>
        <v>0</v>
      </c>
      <c r="H102" s="422"/>
      <c r="I102" s="422"/>
      <c r="J102" s="422"/>
      <c r="K102" s="422"/>
      <c r="L102" s="422"/>
      <c r="M102" s="422"/>
      <c r="N102" s="422"/>
    </row>
    <row r="103" spans="2:14" ht="17" x14ac:dyDescent="0.2">
      <c r="B103" s="422"/>
      <c r="C103" s="16" t="s">
        <v>221</v>
      </c>
      <c r="D103" s="426"/>
      <c r="E103" s="426"/>
      <c r="F103" s="426"/>
      <c r="G103" s="24">
        <f t="shared" si="22"/>
        <v>0</v>
      </c>
      <c r="H103" s="422"/>
      <c r="I103" s="422"/>
      <c r="J103" s="422"/>
      <c r="K103" s="422"/>
      <c r="L103" s="422"/>
      <c r="M103" s="422"/>
      <c r="N103" s="422"/>
    </row>
    <row r="104" spans="2:14" ht="17" x14ac:dyDescent="0.2">
      <c r="B104" s="422"/>
      <c r="C104" s="15" t="s">
        <v>222</v>
      </c>
      <c r="D104" s="426"/>
      <c r="E104" s="426"/>
      <c r="F104" s="426"/>
      <c r="G104" s="24">
        <f t="shared" si="22"/>
        <v>0</v>
      </c>
      <c r="H104" s="422"/>
      <c r="I104" s="422"/>
      <c r="J104" s="422"/>
      <c r="K104" s="422"/>
      <c r="L104" s="422"/>
      <c r="M104" s="422"/>
      <c r="N104" s="422"/>
    </row>
    <row r="105" spans="2:14" ht="17" x14ac:dyDescent="0.2">
      <c r="B105" s="422"/>
      <c r="C105" s="15" t="s">
        <v>223</v>
      </c>
      <c r="D105" s="426">
        <f>D99</f>
        <v>152993.6305732484</v>
      </c>
      <c r="E105" s="426"/>
      <c r="F105" s="426"/>
      <c r="G105" s="24">
        <f t="shared" si="22"/>
        <v>152993.6305732484</v>
      </c>
      <c r="H105" s="422"/>
      <c r="I105" s="422"/>
      <c r="J105" s="422"/>
      <c r="K105" s="422"/>
      <c r="L105" s="422"/>
      <c r="M105" s="422"/>
      <c r="N105" s="422"/>
    </row>
    <row r="106" spans="2:14" ht="17" x14ac:dyDescent="0.2">
      <c r="B106" s="422"/>
      <c r="C106" s="15" t="s">
        <v>224</v>
      </c>
      <c r="D106" s="426"/>
      <c r="E106" s="426"/>
      <c r="F106" s="426"/>
      <c r="G106" s="24">
        <f t="shared" si="22"/>
        <v>0</v>
      </c>
      <c r="H106" s="422"/>
      <c r="I106" s="422"/>
      <c r="J106" s="422"/>
      <c r="K106" s="422"/>
      <c r="L106" s="422"/>
      <c r="M106" s="422"/>
      <c r="N106" s="422"/>
    </row>
    <row r="107" spans="2:14" ht="17" x14ac:dyDescent="0.2">
      <c r="B107" s="422"/>
      <c r="C107" s="20" t="s">
        <v>225</v>
      </c>
      <c r="D107" s="30">
        <f>SUM(D100:D106)</f>
        <v>152993.6305732484</v>
      </c>
      <c r="E107" s="30">
        <f>SUM(E100:E106)</f>
        <v>0</v>
      </c>
      <c r="F107" s="30">
        <f t="shared" ref="F107" si="23">SUM(F100:F106)</f>
        <v>0</v>
      </c>
      <c r="G107" s="24">
        <f t="shared" si="22"/>
        <v>152993.6305732484</v>
      </c>
      <c r="H107" s="422"/>
      <c r="I107" s="422"/>
      <c r="J107" s="422"/>
      <c r="K107" s="422"/>
      <c r="L107" s="422"/>
      <c r="M107" s="422"/>
      <c r="N107" s="422"/>
    </row>
    <row r="108" spans="2:14" s="19" customFormat="1" x14ac:dyDescent="0.2">
      <c r="B108" s="423"/>
      <c r="C108" s="31"/>
      <c r="D108" s="32"/>
      <c r="E108" s="32"/>
      <c r="F108" s="32"/>
      <c r="G108" s="33"/>
      <c r="H108" s="423"/>
      <c r="I108" s="423"/>
      <c r="J108" s="423"/>
      <c r="K108" s="423"/>
      <c r="L108" s="423"/>
      <c r="M108" s="423"/>
      <c r="N108" s="423"/>
    </row>
    <row r="109" spans="2:14" ht="15.75" customHeight="1" x14ac:dyDescent="0.2">
      <c r="B109" s="422"/>
      <c r="C109" s="735" t="s">
        <v>232</v>
      </c>
      <c r="D109" s="736"/>
      <c r="E109" s="736"/>
      <c r="F109" s="736"/>
      <c r="G109" s="737"/>
      <c r="H109" s="422"/>
      <c r="I109" s="422"/>
      <c r="J109" s="422"/>
      <c r="K109" s="422"/>
      <c r="L109" s="422"/>
      <c r="M109" s="422"/>
      <c r="N109" s="422"/>
    </row>
    <row r="110" spans="2:14" ht="21.75" customHeight="1" thickBot="1" x14ac:dyDescent="0.25">
      <c r="B110" s="422"/>
      <c r="C110" s="27" t="s">
        <v>217</v>
      </c>
      <c r="D110" s="28">
        <f>'1) Budget Tables'!D110</f>
        <v>11401.27388535032</v>
      </c>
      <c r="E110" s="28">
        <f>'1) Budget Tables'!E110</f>
        <v>0</v>
      </c>
      <c r="F110" s="28">
        <f>'1) Budget Tables'!F110</f>
        <v>0</v>
      </c>
      <c r="G110" s="29">
        <f t="shared" ref="G110:G118" si="24">SUM(D110:F110)</f>
        <v>11401.27388535032</v>
      </c>
      <c r="H110" s="422"/>
      <c r="I110" s="422"/>
      <c r="J110" s="422"/>
      <c r="K110" s="422"/>
      <c r="L110" s="422"/>
      <c r="M110" s="422"/>
      <c r="N110" s="422"/>
    </row>
    <row r="111" spans="2:14" ht="17" x14ac:dyDescent="0.2">
      <c r="B111" s="422"/>
      <c r="C111" s="25" t="s">
        <v>218</v>
      </c>
      <c r="D111" s="424"/>
      <c r="E111" s="425"/>
      <c r="F111" s="425"/>
      <c r="G111" s="26">
        <f t="shared" si="24"/>
        <v>0</v>
      </c>
      <c r="H111" s="422"/>
      <c r="I111" s="422"/>
      <c r="J111" s="422"/>
      <c r="K111" s="422"/>
      <c r="L111" s="422"/>
      <c r="M111" s="422"/>
      <c r="N111" s="422"/>
    </row>
    <row r="112" spans="2:14" ht="17" x14ac:dyDescent="0.2">
      <c r="B112" s="422"/>
      <c r="C112" s="15" t="s">
        <v>219</v>
      </c>
      <c r="D112" s="426"/>
      <c r="E112" s="420"/>
      <c r="F112" s="420"/>
      <c r="G112" s="24">
        <f t="shared" si="24"/>
        <v>0</v>
      </c>
      <c r="H112" s="422"/>
      <c r="I112" s="422"/>
      <c r="J112" s="422"/>
      <c r="K112" s="422"/>
      <c r="L112" s="422"/>
      <c r="M112" s="422"/>
      <c r="N112" s="422"/>
    </row>
    <row r="113" spans="3:14" ht="34" x14ac:dyDescent="0.2">
      <c r="C113" s="15" t="s">
        <v>220</v>
      </c>
      <c r="D113" s="426"/>
      <c r="E113" s="426"/>
      <c r="F113" s="426"/>
      <c r="G113" s="24">
        <f t="shared" si="24"/>
        <v>0</v>
      </c>
      <c r="H113" s="422"/>
      <c r="I113" s="422"/>
      <c r="J113" s="422"/>
      <c r="K113" s="422"/>
      <c r="L113" s="422"/>
      <c r="M113" s="422"/>
      <c r="N113" s="422"/>
    </row>
    <row r="114" spans="3:14" ht="17" x14ac:dyDescent="0.2">
      <c r="C114" s="16" t="s">
        <v>221</v>
      </c>
      <c r="D114" s="426"/>
      <c r="E114" s="426"/>
      <c r="F114" s="426"/>
      <c r="G114" s="24">
        <f t="shared" si="24"/>
        <v>0</v>
      </c>
      <c r="H114" s="422"/>
      <c r="I114" s="422"/>
      <c r="J114" s="422"/>
      <c r="K114" s="422"/>
      <c r="L114" s="422"/>
      <c r="M114" s="422"/>
      <c r="N114" s="422"/>
    </row>
    <row r="115" spans="3:14" ht="17" x14ac:dyDescent="0.2">
      <c r="C115" s="15" t="s">
        <v>222</v>
      </c>
      <c r="D115" s="426"/>
      <c r="E115" s="426"/>
      <c r="F115" s="426"/>
      <c r="G115" s="24">
        <f t="shared" si="24"/>
        <v>0</v>
      </c>
      <c r="H115" s="422"/>
      <c r="I115" s="422"/>
      <c r="J115" s="422"/>
      <c r="K115" s="422"/>
      <c r="L115" s="422"/>
      <c r="M115" s="422"/>
      <c r="N115" s="422"/>
    </row>
    <row r="116" spans="3:14" ht="17" x14ac:dyDescent="0.2">
      <c r="C116" s="15" t="s">
        <v>223</v>
      </c>
      <c r="D116" s="426">
        <f>D110</f>
        <v>11401.27388535032</v>
      </c>
      <c r="E116" s="426"/>
      <c r="F116" s="426"/>
      <c r="G116" s="24">
        <f t="shared" si="24"/>
        <v>11401.27388535032</v>
      </c>
      <c r="H116" s="422"/>
      <c r="I116" s="422"/>
      <c r="J116" s="422"/>
      <c r="K116" s="422"/>
      <c r="L116" s="422"/>
      <c r="M116" s="422"/>
      <c r="N116" s="422"/>
    </row>
    <row r="117" spans="3:14" ht="17" x14ac:dyDescent="0.2">
      <c r="C117" s="15" t="s">
        <v>224</v>
      </c>
      <c r="D117" s="426"/>
      <c r="E117" s="426"/>
      <c r="F117" s="426"/>
      <c r="G117" s="24">
        <f t="shared" si="24"/>
        <v>0</v>
      </c>
      <c r="H117" s="422"/>
      <c r="I117" s="422"/>
      <c r="J117" s="422"/>
      <c r="K117" s="422"/>
      <c r="L117" s="422"/>
      <c r="M117" s="422"/>
      <c r="N117" s="422"/>
    </row>
    <row r="118" spans="3:14" ht="17" x14ac:dyDescent="0.2">
      <c r="C118" s="20" t="s">
        <v>225</v>
      </c>
      <c r="D118" s="30">
        <f t="shared" ref="D118:E118" si="25">SUM(D111:D117)</f>
        <v>11401.27388535032</v>
      </c>
      <c r="E118" s="30">
        <f t="shared" si="25"/>
        <v>0</v>
      </c>
      <c r="F118" s="30">
        <f t="shared" ref="F118" si="26">SUM(F111:F117)</f>
        <v>0</v>
      </c>
      <c r="G118" s="24">
        <f t="shared" si="24"/>
        <v>11401.27388535032</v>
      </c>
      <c r="H118" s="422"/>
      <c r="I118" s="422"/>
      <c r="J118" s="422"/>
      <c r="K118" s="422"/>
      <c r="L118" s="422"/>
      <c r="M118" s="422"/>
      <c r="N118" s="422"/>
    </row>
    <row r="119" spans="3:14" s="19" customFormat="1" x14ac:dyDescent="0.2">
      <c r="C119" s="31"/>
      <c r="D119" s="32"/>
      <c r="E119" s="32"/>
      <c r="F119" s="32"/>
      <c r="G119" s="33"/>
      <c r="H119" s="423"/>
      <c r="I119" s="423"/>
      <c r="J119" s="423"/>
      <c r="K119" s="423"/>
      <c r="L119" s="423"/>
      <c r="M119" s="423"/>
      <c r="N119" s="423"/>
    </row>
    <row r="120" spans="3:14" x14ac:dyDescent="0.2">
      <c r="C120" s="735" t="s">
        <v>126</v>
      </c>
      <c r="D120" s="736"/>
      <c r="E120" s="736"/>
      <c r="F120" s="736"/>
      <c r="G120" s="737"/>
      <c r="H120" s="422"/>
      <c r="I120" s="422"/>
      <c r="J120" s="422"/>
      <c r="K120" s="422"/>
      <c r="L120" s="422"/>
      <c r="M120" s="422"/>
      <c r="N120" s="422"/>
    </row>
    <row r="121" spans="3:14" ht="21" customHeight="1" thickBot="1" x14ac:dyDescent="0.25">
      <c r="C121" s="27" t="s">
        <v>217</v>
      </c>
      <c r="D121" s="28">
        <f>'1) Budget Tables'!D120</f>
        <v>16560.509554140128</v>
      </c>
      <c r="E121" s="28">
        <f>'1) Budget Tables'!E120</f>
        <v>0</v>
      </c>
      <c r="F121" s="28">
        <f>'1) Budget Tables'!F120</f>
        <v>0</v>
      </c>
      <c r="G121" s="29">
        <f t="shared" ref="G121:G129" si="27">SUM(D121:F121)</f>
        <v>16560.509554140128</v>
      </c>
      <c r="H121" s="422"/>
      <c r="I121" s="422"/>
      <c r="J121" s="422"/>
      <c r="K121" s="422"/>
      <c r="L121" s="422"/>
      <c r="M121" s="422"/>
      <c r="N121" s="422"/>
    </row>
    <row r="122" spans="3:14" ht="17" x14ac:dyDescent="0.2">
      <c r="C122" s="25" t="s">
        <v>218</v>
      </c>
      <c r="D122" s="424"/>
      <c r="E122" s="425"/>
      <c r="F122" s="425"/>
      <c r="G122" s="26">
        <f t="shared" si="27"/>
        <v>0</v>
      </c>
      <c r="H122" s="422"/>
      <c r="I122" s="422"/>
      <c r="J122" s="422"/>
      <c r="K122" s="422"/>
      <c r="L122" s="422"/>
      <c r="M122" s="422"/>
      <c r="N122" s="422"/>
    </row>
    <row r="123" spans="3:14" ht="17" x14ac:dyDescent="0.2">
      <c r="C123" s="15" t="s">
        <v>219</v>
      </c>
      <c r="D123" s="426"/>
      <c r="E123" s="420"/>
      <c r="F123" s="420"/>
      <c r="G123" s="24">
        <f t="shared" si="27"/>
        <v>0</v>
      </c>
      <c r="H123" s="422"/>
      <c r="I123" s="422"/>
      <c r="J123" s="422"/>
      <c r="K123" s="422"/>
      <c r="L123" s="422"/>
      <c r="M123" s="422"/>
      <c r="N123" s="422"/>
    </row>
    <row r="124" spans="3:14" ht="34" x14ac:dyDescent="0.2">
      <c r="C124" s="15" t="s">
        <v>220</v>
      </c>
      <c r="D124" s="426"/>
      <c r="E124" s="426"/>
      <c r="F124" s="426"/>
      <c r="G124" s="24">
        <f t="shared" si="27"/>
        <v>0</v>
      </c>
      <c r="H124" s="422"/>
      <c r="I124" s="422"/>
      <c r="J124" s="422"/>
      <c r="K124" s="422"/>
      <c r="L124" s="422"/>
      <c r="M124" s="422"/>
      <c r="N124" s="422"/>
    </row>
    <row r="125" spans="3:14" ht="17" x14ac:dyDescent="0.2">
      <c r="C125" s="16" t="s">
        <v>221</v>
      </c>
      <c r="D125" s="426"/>
      <c r="E125" s="426"/>
      <c r="F125" s="426"/>
      <c r="G125" s="24">
        <f t="shared" si="27"/>
        <v>0</v>
      </c>
      <c r="H125" s="422"/>
      <c r="I125" s="422"/>
      <c r="J125" s="422"/>
      <c r="K125" s="422"/>
      <c r="L125" s="422"/>
      <c r="M125" s="422"/>
      <c r="N125" s="422"/>
    </row>
    <row r="126" spans="3:14" ht="17" x14ac:dyDescent="0.2">
      <c r="C126" s="15" t="s">
        <v>222</v>
      </c>
      <c r="D126" s="426"/>
      <c r="E126" s="426"/>
      <c r="F126" s="426"/>
      <c r="G126" s="24">
        <f t="shared" si="27"/>
        <v>0</v>
      </c>
      <c r="H126" s="422"/>
      <c r="I126" s="422"/>
      <c r="J126" s="422"/>
      <c r="K126" s="422"/>
      <c r="L126" s="422"/>
      <c r="M126" s="422"/>
      <c r="N126" s="422"/>
    </row>
    <row r="127" spans="3:14" ht="17" x14ac:dyDescent="0.2">
      <c r="C127" s="15" t="s">
        <v>223</v>
      </c>
      <c r="D127" s="426"/>
      <c r="E127" s="426"/>
      <c r="F127" s="426"/>
      <c r="G127" s="24">
        <f t="shared" si="27"/>
        <v>0</v>
      </c>
      <c r="H127" s="422"/>
      <c r="I127" s="422"/>
      <c r="J127" s="422"/>
      <c r="K127" s="422"/>
      <c r="L127" s="422"/>
      <c r="M127" s="422"/>
      <c r="N127" s="422"/>
    </row>
    <row r="128" spans="3:14" ht="17" x14ac:dyDescent="0.2">
      <c r="C128" s="15" t="s">
        <v>224</v>
      </c>
      <c r="D128" s="426">
        <f>D121</f>
        <v>16560.509554140128</v>
      </c>
      <c r="E128" s="426"/>
      <c r="F128" s="426"/>
      <c r="G128" s="24">
        <f t="shared" si="27"/>
        <v>16560.509554140128</v>
      </c>
      <c r="H128" s="422"/>
      <c r="I128" s="422"/>
      <c r="J128" s="422"/>
      <c r="K128" s="422"/>
      <c r="L128" s="422"/>
      <c r="M128" s="422"/>
      <c r="N128" s="422"/>
    </row>
    <row r="129" spans="2:14" ht="17" x14ac:dyDescent="0.2">
      <c r="B129" s="422"/>
      <c r="C129" s="20" t="s">
        <v>225</v>
      </c>
      <c r="D129" s="30">
        <f t="shared" ref="D129:E129" si="28">SUM(D122:D128)</f>
        <v>16560.509554140128</v>
      </c>
      <c r="E129" s="30">
        <f t="shared" si="28"/>
        <v>0</v>
      </c>
      <c r="F129" s="30">
        <f t="shared" ref="F129" si="29">SUM(F122:F128)</f>
        <v>0</v>
      </c>
      <c r="G129" s="24">
        <f t="shared" si="27"/>
        <v>16560.509554140128</v>
      </c>
      <c r="H129" s="422"/>
      <c r="I129" s="422"/>
      <c r="J129" s="422"/>
      <c r="K129" s="422"/>
      <c r="L129" s="422"/>
      <c r="M129" s="422"/>
      <c r="N129" s="422"/>
    </row>
    <row r="130" spans="2:14" s="19" customFormat="1" x14ac:dyDescent="0.2">
      <c r="B130" s="423"/>
      <c r="C130" s="31"/>
      <c r="D130" s="32"/>
      <c r="E130" s="32"/>
      <c r="F130" s="32"/>
      <c r="G130" s="33"/>
      <c r="H130" s="423"/>
      <c r="I130" s="423"/>
      <c r="J130" s="423"/>
      <c r="K130" s="423"/>
      <c r="L130" s="423"/>
      <c r="M130" s="423"/>
      <c r="N130" s="423"/>
    </row>
    <row r="131" spans="2:14" x14ac:dyDescent="0.2">
      <c r="B131" s="422"/>
      <c r="C131" s="735" t="s">
        <v>136</v>
      </c>
      <c r="D131" s="736"/>
      <c r="E131" s="736"/>
      <c r="F131" s="736"/>
      <c r="G131" s="737"/>
      <c r="H131" s="422"/>
      <c r="I131" s="422"/>
      <c r="J131" s="422"/>
      <c r="K131" s="422"/>
      <c r="L131" s="422"/>
      <c r="M131" s="422"/>
      <c r="N131" s="422"/>
    </row>
    <row r="132" spans="2:14" ht="24" customHeight="1" thickBot="1" x14ac:dyDescent="0.25">
      <c r="B132" s="422"/>
      <c r="C132" s="27" t="s">
        <v>217</v>
      </c>
      <c r="D132" s="28">
        <f>'1) Budget Tables'!D130</f>
        <v>0</v>
      </c>
      <c r="E132" s="28">
        <f>'1) Budget Tables'!E130</f>
        <v>0</v>
      </c>
      <c r="F132" s="28">
        <f>'1) Budget Tables'!F130</f>
        <v>0</v>
      </c>
      <c r="G132" s="29">
        <f t="shared" ref="G132:G140" si="30">SUM(D132:F132)</f>
        <v>0</v>
      </c>
      <c r="H132" s="422"/>
      <c r="I132" s="422"/>
      <c r="J132" s="422"/>
      <c r="K132" s="422"/>
      <c r="L132" s="422"/>
      <c r="M132" s="422"/>
      <c r="N132" s="422"/>
    </row>
    <row r="133" spans="2:14" ht="15.75" customHeight="1" x14ac:dyDescent="0.2">
      <c r="B133" s="422"/>
      <c r="C133" s="25" t="s">
        <v>218</v>
      </c>
      <c r="D133" s="424"/>
      <c r="E133" s="425"/>
      <c r="F133" s="425"/>
      <c r="G133" s="26">
        <f t="shared" si="30"/>
        <v>0</v>
      </c>
      <c r="H133" s="422"/>
      <c r="I133" s="422"/>
      <c r="J133" s="422"/>
      <c r="K133" s="422"/>
      <c r="L133" s="422"/>
      <c r="M133" s="422"/>
      <c r="N133" s="422"/>
    </row>
    <row r="134" spans="2:14" ht="17" x14ac:dyDescent="0.2">
      <c r="B134" s="422"/>
      <c r="C134" s="15" t="s">
        <v>219</v>
      </c>
      <c r="D134" s="426"/>
      <c r="E134" s="420"/>
      <c r="F134" s="420"/>
      <c r="G134" s="24">
        <f t="shared" si="30"/>
        <v>0</v>
      </c>
      <c r="H134" s="422"/>
      <c r="I134" s="422"/>
      <c r="J134" s="422"/>
      <c r="K134" s="422"/>
      <c r="L134" s="422"/>
      <c r="M134" s="422"/>
      <c r="N134" s="422"/>
    </row>
    <row r="135" spans="2:14" ht="15.75" customHeight="1" x14ac:dyDescent="0.2">
      <c r="B135" s="422"/>
      <c r="C135" s="15" t="s">
        <v>220</v>
      </c>
      <c r="D135" s="426"/>
      <c r="E135" s="426"/>
      <c r="F135" s="426"/>
      <c r="G135" s="24">
        <f t="shared" si="30"/>
        <v>0</v>
      </c>
      <c r="H135" s="422"/>
      <c r="I135" s="422"/>
      <c r="J135" s="422"/>
      <c r="K135" s="422"/>
      <c r="L135" s="422"/>
      <c r="M135" s="422"/>
      <c r="N135" s="422"/>
    </row>
    <row r="136" spans="2:14" ht="17" x14ac:dyDescent="0.2">
      <c r="B136" s="422"/>
      <c r="C136" s="16" t="s">
        <v>221</v>
      </c>
      <c r="D136" s="426"/>
      <c r="E136" s="426"/>
      <c r="F136" s="426"/>
      <c r="G136" s="24">
        <f t="shared" si="30"/>
        <v>0</v>
      </c>
      <c r="H136" s="422"/>
      <c r="I136" s="422"/>
      <c r="J136" s="422"/>
      <c r="K136" s="422"/>
      <c r="L136" s="422"/>
      <c r="M136" s="422"/>
      <c r="N136" s="422"/>
    </row>
    <row r="137" spans="2:14" ht="17" x14ac:dyDescent="0.2">
      <c r="B137" s="422"/>
      <c r="C137" s="15" t="s">
        <v>222</v>
      </c>
      <c r="D137" s="426"/>
      <c r="E137" s="426"/>
      <c r="F137" s="426"/>
      <c r="G137" s="24">
        <f t="shared" si="30"/>
        <v>0</v>
      </c>
      <c r="H137" s="422"/>
      <c r="I137" s="422"/>
      <c r="J137" s="422"/>
      <c r="K137" s="422"/>
      <c r="L137" s="422"/>
      <c r="M137" s="422"/>
      <c r="N137" s="422"/>
    </row>
    <row r="138" spans="2:14" ht="15.75" customHeight="1" x14ac:dyDescent="0.2">
      <c r="B138" s="422"/>
      <c r="C138" s="15" t="s">
        <v>223</v>
      </c>
      <c r="D138" s="426"/>
      <c r="E138" s="426"/>
      <c r="F138" s="426"/>
      <c r="G138" s="24">
        <f t="shared" si="30"/>
        <v>0</v>
      </c>
      <c r="H138" s="422"/>
      <c r="I138" s="422"/>
      <c r="J138" s="422"/>
      <c r="K138" s="422"/>
      <c r="L138" s="422"/>
      <c r="M138" s="422"/>
      <c r="N138" s="422"/>
    </row>
    <row r="139" spans="2:14" ht="17" x14ac:dyDescent="0.2">
      <c r="B139" s="422"/>
      <c r="C139" s="15" t="s">
        <v>224</v>
      </c>
      <c r="D139" s="426"/>
      <c r="E139" s="426"/>
      <c r="F139" s="426"/>
      <c r="G139" s="24">
        <f t="shared" si="30"/>
        <v>0</v>
      </c>
      <c r="H139" s="422"/>
      <c r="I139" s="422"/>
      <c r="J139" s="422"/>
      <c r="K139" s="422"/>
      <c r="L139" s="422"/>
      <c r="M139" s="422"/>
      <c r="N139" s="422"/>
    </row>
    <row r="140" spans="2:14" ht="17" x14ac:dyDescent="0.2">
      <c r="B140" s="422"/>
      <c r="C140" s="20" t="s">
        <v>225</v>
      </c>
      <c r="D140" s="30">
        <f t="shared" ref="D140:E140" si="31">SUM(D133:D139)</f>
        <v>0</v>
      </c>
      <c r="E140" s="30">
        <f t="shared" si="31"/>
        <v>0</v>
      </c>
      <c r="F140" s="30">
        <f t="shared" ref="F140" si="32">SUM(F133:F139)</f>
        <v>0</v>
      </c>
      <c r="G140" s="24">
        <f t="shared" si="30"/>
        <v>0</v>
      </c>
      <c r="H140" s="422"/>
      <c r="I140" s="422"/>
      <c r="J140" s="422"/>
      <c r="K140" s="422"/>
      <c r="L140" s="422"/>
      <c r="M140" s="422"/>
      <c r="N140" s="422"/>
    </row>
    <row r="141" spans="2:14" x14ac:dyDescent="0.2">
      <c r="B141" s="422"/>
      <c r="C141" s="422"/>
      <c r="D141" s="423"/>
      <c r="E141" s="423"/>
      <c r="F141" s="423"/>
      <c r="G141" s="422"/>
      <c r="H141" s="422"/>
      <c r="I141" s="422"/>
      <c r="J141" s="422"/>
      <c r="K141" s="422"/>
      <c r="L141" s="422"/>
      <c r="M141" s="422"/>
      <c r="N141" s="422"/>
    </row>
    <row r="142" spans="2:14" x14ac:dyDescent="0.2">
      <c r="B142" s="735" t="s">
        <v>233</v>
      </c>
      <c r="C142" s="736"/>
      <c r="D142" s="736"/>
      <c r="E142" s="736"/>
      <c r="F142" s="736"/>
      <c r="G142" s="737"/>
      <c r="H142" s="422"/>
      <c r="I142" s="422"/>
      <c r="J142" s="422"/>
      <c r="K142" s="422"/>
      <c r="L142" s="422"/>
      <c r="M142" s="422"/>
      <c r="N142" s="422"/>
    </row>
    <row r="143" spans="2:14" x14ac:dyDescent="0.2">
      <c r="B143" s="422"/>
      <c r="C143" s="735" t="s">
        <v>146</v>
      </c>
      <c r="D143" s="736"/>
      <c r="E143" s="736"/>
      <c r="F143" s="736"/>
      <c r="G143" s="737"/>
      <c r="H143" s="422"/>
      <c r="I143" s="422"/>
      <c r="J143" s="422"/>
      <c r="K143" s="422"/>
      <c r="L143" s="422"/>
      <c r="M143" s="422"/>
      <c r="N143" s="422"/>
    </row>
    <row r="144" spans="2:14" ht="24" customHeight="1" thickBot="1" x14ac:dyDescent="0.25">
      <c r="B144" s="422"/>
      <c r="C144" s="27" t="s">
        <v>217</v>
      </c>
      <c r="D144" s="28">
        <f>'1) Budget Tables'!D142</f>
        <v>0</v>
      </c>
      <c r="E144" s="28">
        <f>'1) Budget Tables'!E142</f>
        <v>0</v>
      </c>
      <c r="F144" s="28">
        <f>'1) Budget Tables'!F142</f>
        <v>0</v>
      </c>
      <c r="G144" s="29">
        <f>SUM(D144:F144)</f>
        <v>0</v>
      </c>
      <c r="H144" s="422"/>
      <c r="I144" s="422"/>
      <c r="J144" s="422"/>
      <c r="K144" s="422"/>
      <c r="L144" s="422"/>
      <c r="M144" s="422"/>
      <c r="N144" s="422"/>
    </row>
    <row r="145" spans="2:7" ht="24.75" customHeight="1" x14ac:dyDescent="0.2">
      <c r="B145" s="422"/>
      <c r="C145" s="25" t="s">
        <v>218</v>
      </c>
      <c r="D145" s="424"/>
      <c r="E145" s="425"/>
      <c r="F145" s="425"/>
      <c r="G145" s="26">
        <f t="shared" ref="G145:G152" si="33">SUM(D145:F145)</f>
        <v>0</v>
      </c>
    </row>
    <row r="146" spans="2:7" ht="15.75" customHeight="1" x14ac:dyDescent="0.2">
      <c r="B146" s="422"/>
      <c r="C146" s="15" t="s">
        <v>219</v>
      </c>
      <c r="D146" s="426"/>
      <c r="E146" s="420"/>
      <c r="F146" s="420"/>
      <c r="G146" s="24">
        <f t="shared" si="33"/>
        <v>0</v>
      </c>
    </row>
    <row r="147" spans="2:7" ht="15.75" customHeight="1" x14ac:dyDescent="0.2">
      <c r="B147" s="422"/>
      <c r="C147" s="15" t="s">
        <v>220</v>
      </c>
      <c r="D147" s="426"/>
      <c r="E147" s="426"/>
      <c r="F147" s="426"/>
      <c r="G147" s="24">
        <f t="shared" si="33"/>
        <v>0</v>
      </c>
    </row>
    <row r="148" spans="2:7" ht="15.75" customHeight="1" x14ac:dyDescent="0.2">
      <c r="B148" s="422"/>
      <c r="C148" s="16" t="s">
        <v>221</v>
      </c>
      <c r="D148" s="426"/>
      <c r="E148" s="426"/>
      <c r="F148" s="426"/>
      <c r="G148" s="24">
        <f t="shared" si="33"/>
        <v>0</v>
      </c>
    </row>
    <row r="149" spans="2:7" ht="15.75" customHeight="1" x14ac:dyDescent="0.2">
      <c r="B149" s="422"/>
      <c r="C149" s="15" t="s">
        <v>222</v>
      </c>
      <c r="D149" s="426"/>
      <c r="E149" s="426"/>
      <c r="F149" s="426"/>
      <c r="G149" s="24">
        <f t="shared" si="33"/>
        <v>0</v>
      </c>
    </row>
    <row r="150" spans="2:7" ht="15.75" customHeight="1" x14ac:dyDescent="0.2">
      <c r="B150" s="422"/>
      <c r="C150" s="15" t="s">
        <v>223</v>
      </c>
      <c r="D150" s="426"/>
      <c r="E150" s="426"/>
      <c r="F150" s="426"/>
      <c r="G150" s="24">
        <f t="shared" si="33"/>
        <v>0</v>
      </c>
    </row>
    <row r="151" spans="2:7" ht="15.75" customHeight="1" x14ac:dyDescent="0.2">
      <c r="B151" s="422"/>
      <c r="C151" s="15" t="s">
        <v>224</v>
      </c>
      <c r="D151" s="426"/>
      <c r="E151" s="426"/>
      <c r="F151" s="426"/>
      <c r="G151" s="24">
        <f t="shared" si="33"/>
        <v>0</v>
      </c>
    </row>
    <row r="152" spans="2:7" ht="15.75" customHeight="1" x14ac:dyDescent="0.2">
      <c r="B152" s="422"/>
      <c r="C152" s="20" t="s">
        <v>225</v>
      </c>
      <c r="D152" s="30">
        <f>SUM(D145:D151)</f>
        <v>0</v>
      </c>
      <c r="E152" s="30">
        <f>SUM(E145:E151)</f>
        <v>0</v>
      </c>
      <c r="F152" s="30">
        <f t="shared" ref="F152" si="34">SUM(F145:F151)</f>
        <v>0</v>
      </c>
      <c r="G152" s="24">
        <f t="shared" si="33"/>
        <v>0</v>
      </c>
    </row>
    <row r="153" spans="2:7" s="19" customFormat="1" ht="15.75" customHeight="1" x14ac:dyDescent="0.2">
      <c r="B153" s="423"/>
      <c r="C153" s="31"/>
      <c r="D153" s="32"/>
      <c r="E153" s="32"/>
      <c r="F153" s="32"/>
      <c r="G153" s="33"/>
    </row>
    <row r="154" spans="2:7" ht="15.75" customHeight="1" x14ac:dyDescent="0.2">
      <c r="B154" s="422"/>
      <c r="C154" s="735" t="s">
        <v>155</v>
      </c>
      <c r="D154" s="736"/>
      <c r="E154" s="736"/>
      <c r="F154" s="736"/>
      <c r="G154" s="737"/>
    </row>
    <row r="155" spans="2:7" ht="21" customHeight="1" thickBot="1" x14ac:dyDescent="0.25">
      <c r="B155" s="422"/>
      <c r="C155" s="27" t="s">
        <v>217</v>
      </c>
      <c r="D155" s="28">
        <f>'1) Budget Tables'!D152</f>
        <v>0</v>
      </c>
      <c r="E155" s="28">
        <f>'1) Budget Tables'!E152</f>
        <v>0</v>
      </c>
      <c r="F155" s="28">
        <f>'1) Budget Tables'!F152</f>
        <v>0</v>
      </c>
      <c r="G155" s="29">
        <f t="shared" ref="G155:G163" si="35">SUM(D155:F155)</f>
        <v>0</v>
      </c>
    </row>
    <row r="156" spans="2:7" ht="15.75" customHeight="1" x14ac:dyDescent="0.2">
      <c r="B156" s="422"/>
      <c r="C156" s="25" t="s">
        <v>218</v>
      </c>
      <c r="D156" s="424"/>
      <c r="E156" s="425"/>
      <c r="F156" s="425"/>
      <c r="G156" s="26">
        <f t="shared" si="35"/>
        <v>0</v>
      </c>
    </row>
    <row r="157" spans="2:7" ht="15.75" customHeight="1" x14ac:dyDescent="0.2">
      <c r="B157" s="422"/>
      <c r="C157" s="15" t="s">
        <v>219</v>
      </c>
      <c r="D157" s="426"/>
      <c r="E157" s="420"/>
      <c r="F157" s="420"/>
      <c r="G157" s="24">
        <f t="shared" si="35"/>
        <v>0</v>
      </c>
    </row>
    <row r="158" spans="2:7" ht="15.75" customHeight="1" x14ac:dyDescent="0.2">
      <c r="B158" s="422"/>
      <c r="C158" s="15" t="s">
        <v>220</v>
      </c>
      <c r="D158" s="426"/>
      <c r="E158" s="426"/>
      <c r="F158" s="426"/>
      <c r="G158" s="24">
        <f t="shared" si="35"/>
        <v>0</v>
      </c>
    </row>
    <row r="159" spans="2:7" ht="15.75" customHeight="1" x14ac:dyDescent="0.2">
      <c r="B159" s="422"/>
      <c r="C159" s="16" t="s">
        <v>221</v>
      </c>
      <c r="D159" s="426"/>
      <c r="E159" s="426"/>
      <c r="F159" s="426"/>
      <c r="G159" s="24">
        <f t="shared" si="35"/>
        <v>0</v>
      </c>
    </row>
    <row r="160" spans="2:7" ht="15.75" customHeight="1" x14ac:dyDescent="0.2">
      <c r="B160" s="422"/>
      <c r="C160" s="15" t="s">
        <v>222</v>
      </c>
      <c r="D160" s="426"/>
      <c r="E160" s="426"/>
      <c r="F160" s="426"/>
      <c r="G160" s="24">
        <f t="shared" si="35"/>
        <v>0</v>
      </c>
    </row>
    <row r="161" spans="3:7" ht="15.75" customHeight="1" x14ac:dyDescent="0.2">
      <c r="C161" s="15" t="s">
        <v>223</v>
      </c>
      <c r="D161" s="426"/>
      <c r="E161" s="426"/>
      <c r="F161" s="426"/>
      <c r="G161" s="24">
        <f t="shared" si="35"/>
        <v>0</v>
      </c>
    </row>
    <row r="162" spans="3:7" ht="15.75" customHeight="1" x14ac:dyDescent="0.2">
      <c r="C162" s="15" t="s">
        <v>224</v>
      </c>
      <c r="D162" s="426"/>
      <c r="E162" s="426"/>
      <c r="F162" s="426"/>
      <c r="G162" s="24">
        <f t="shared" si="35"/>
        <v>0</v>
      </c>
    </row>
    <row r="163" spans="3:7" ht="15.75" customHeight="1" x14ac:dyDescent="0.2">
      <c r="C163" s="20" t="s">
        <v>225</v>
      </c>
      <c r="D163" s="30">
        <f t="shared" ref="D163:E163" si="36">SUM(D156:D162)</f>
        <v>0</v>
      </c>
      <c r="E163" s="30">
        <f t="shared" si="36"/>
        <v>0</v>
      </c>
      <c r="F163" s="30">
        <f t="shared" ref="F163" si="37">SUM(F156:F162)</f>
        <v>0</v>
      </c>
      <c r="G163" s="24">
        <f t="shared" si="35"/>
        <v>0</v>
      </c>
    </row>
    <row r="164" spans="3:7" s="19" customFormat="1" ht="15.75" customHeight="1" x14ac:dyDescent="0.2">
      <c r="C164" s="31"/>
      <c r="D164" s="32"/>
      <c r="E164" s="32"/>
      <c r="F164" s="32"/>
      <c r="G164" s="33"/>
    </row>
    <row r="165" spans="3:7" ht="15.75" customHeight="1" x14ac:dyDescent="0.2">
      <c r="C165" s="735" t="s">
        <v>165</v>
      </c>
      <c r="D165" s="736"/>
      <c r="E165" s="736"/>
      <c r="F165" s="736"/>
      <c r="G165" s="737"/>
    </row>
    <row r="166" spans="3:7" ht="19.5" customHeight="1" thickBot="1" x14ac:dyDescent="0.25">
      <c r="C166" s="27" t="s">
        <v>217</v>
      </c>
      <c r="D166" s="28">
        <f>'1) Budget Tables'!D162</f>
        <v>0</v>
      </c>
      <c r="E166" s="28">
        <f>'1) Budget Tables'!E162</f>
        <v>0</v>
      </c>
      <c r="F166" s="28">
        <f>'1) Budget Tables'!F162</f>
        <v>0</v>
      </c>
      <c r="G166" s="29">
        <f t="shared" ref="G166:G174" si="38">SUM(D166:F166)</f>
        <v>0</v>
      </c>
    </row>
    <row r="167" spans="3:7" ht="15.75" customHeight="1" x14ac:dyDescent="0.2">
      <c r="C167" s="25" t="s">
        <v>218</v>
      </c>
      <c r="D167" s="424"/>
      <c r="E167" s="425"/>
      <c r="F167" s="425"/>
      <c r="G167" s="26">
        <f t="shared" si="38"/>
        <v>0</v>
      </c>
    </row>
    <row r="168" spans="3:7" ht="15.75" customHeight="1" x14ac:dyDescent="0.2">
      <c r="C168" s="15" t="s">
        <v>219</v>
      </c>
      <c r="D168" s="426"/>
      <c r="E168" s="420"/>
      <c r="F168" s="420"/>
      <c r="G168" s="24">
        <f t="shared" si="38"/>
        <v>0</v>
      </c>
    </row>
    <row r="169" spans="3:7" ht="15.75" customHeight="1" x14ac:dyDescent="0.2">
      <c r="C169" s="15" t="s">
        <v>220</v>
      </c>
      <c r="D169" s="426"/>
      <c r="E169" s="426"/>
      <c r="F169" s="426"/>
      <c r="G169" s="24">
        <f t="shared" si="38"/>
        <v>0</v>
      </c>
    </row>
    <row r="170" spans="3:7" ht="15.75" customHeight="1" x14ac:dyDescent="0.2">
      <c r="C170" s="16" t="s">
        <v>221</v>
      </c>
      <c r="D170" s="426"/>
      <c r="E170" s="426"/>
      <c r="F170" s="426"/>
      <c r="G170" s="24">
        <f t="shared" si="38"/>
        <v>0</v>
      </c>
    </row>
    <row r="171" spans="3:7" ht="15.75" customHeight="1" x14ac:dyDescent="0.2">
      <c r="C171" s="15" t="s">
        <v>222</v>
      </c>
      <c r="D171" s="426"/>
      <c r="E171" s="426"/>
      <c r="F171" s="426"/>
      <c r="G171" s="24">
        <f t="shared" si="38"/>
        <v>0</v>
      </c>
    </row>
    <row r="172" spans="3:7" ht="15.75" customHeight="1" x14ac:dyDescent="0.2">
      <c r="C172" s="15" t="s">
        <v>223</v>
      </c>
      <c r="D172" s="426"/>
      <c r="E172" s="426"/>
      <c r="F172" s="426"/>
      <c r="G172" s="24">
        <f t="shared" si="38"/>
        <v>0</v>
      </c>
    </row>
    <row r="173" spans="3:7" ht="15.75" customHeight="1" x14ac:dyDescent="0.2">
      <c r="C173" s="15" t="s">
        <v>224</v>
      </c>
      <c r="D173" s="426"/>
      <c r="E173" s="426"/>
      <c r="F173" s="426"/>
      <c r="G173" s="24">
        <f t="shared" si="38"/>
        <v>0</v>
      </c>
    </row>
    <row r="174" spans="3:7" ht="15.75" customHeight="1" x14ac:dyDescent="0.2">
      <c r="C174" s="20" t="s">
        <v>225</v>
      </c>
      <c r="D174" s="30">
        <f t="shared" ref="D174:E174" si="39">SUM(D167:D173)</f>
        <v>0</v>
      </c>
      <c r="E174" s="30">
        <f t="shared" si="39"/>
        <v>0</v>
      </c>
      <c r="F174" s="30">
        <f t="shared" ref="F174" si="40">SUM(F167:F173)</f>
        <v>0</v>
      </c>
      <c r="G174" s="24">
        <f t="shared" si="38"/>
        <v>0</v>
      </c>
    </row>
    <row r="175" spans="3:7" s="19" customFormat="1" ht="15.75" customHeight="1" x14ac:dyDescent="0.2">
      <c r="C175" s="31"/>
      <c r="D175" s="32"/>
      <c r="E175" s="32"/>
      <c r="F175" s="32"/>
      <c r="G175" s="33"/>
    </row>
    <row r="176" spans="3:7" ht="15.75" customHeight="1" x14ac:dyDescent="0.2">
      <c r="C176" s="735" t="s">
        <v>174</v>
      </c>
      <c r="D176" s="736"/>
      <c r="E176" s="736"/>
      <c r="F176" s="736"/>
      <c r="G176" s="737"/>
    </row>
    <row r="177" spans="3:7" ht="22.5" customHeight="1" thickBot="1" x14ac:dyDescent="0.25">
      <c r="C177" s="27" t="s">
        <v>217</v>
      </c>
      <c r="D177" s="28">
        <f>'1) Budget Tables'!D172</f>
        <v>0</v>
      </c>
      <c r="E177" s="28">
        <f>'1) Budget Tables'!E172</f>
        <v>0</v>
      </c>
      <c r="F177" s="28">
        <f>'1) Budget Tables'!F172</f>
        <v>0</v>
      </c>
      <c r="G177" s="29">
        <f t="shared" ref="G177:G185" si="41">SUM(D177:F177)</f>
        <v>0</v>
      </c>
    </row>
    <row r="178" spans="3:7" ht="15.75" customHeight="1" x14ac:dyDescent="0.2">
      <c r="C178" s="25" t="s">
        <v>218</v>
      </c>
      <c r="D178" s="424"/>
      <c r="E178" s="425"/>
      <c r="F178" s="425"/>
      <c r="G178" s="26">
        <f t="shared" si="41"/>
        <v>0</v>
      </c>
    </row>
    <row r="179" spans="3:7" ht="15.75" customHeight="1" x14ac:dyDescent="0.2">
      <c r="C179" s="15" t="s">
        <v>219</v>
      </c>
      <c r="D179" s="426"/>
      <c r="E179" s="420"/>
      <c r="F179" s="420"/>
      <c r="G179" s="24">
        <f t="shared" si="41"/>
        <v>0</v>
      </c>
    </row>
    <row r="180" spans="3:7" ht="15.75" customHeight="1" x14ac:dyDescent="0.2">
      <c r="C180" s="15" t="s">
        <v>220</v>
      </c>
      <c r="D180" s="426"/>
      <c r="E180" s="426"/>
      <c r="F180" s="426"/>
      <c r="G180" s="24">
        <f t="shared" si="41"/>
        <v>0</v>
      </c>
    </row>
    <row r="181" spans="3:7" ht="15.75" customHeight="1" x14ac:dyDescent="0.2">
      <c r="C181" s="16" t="s">
        <v>221</v>
      </c>
      <c r="D181" s="426"/>
      <c r="E181" s="426"/>
      <c r="F181" s="426"/>
      <c r="G181" s="24">
        <f t="shared" si="41"/>
        <v>0</v>
      </c>
    </row>
    <row r="182" spans="3:7" ht="15.75" customHeight="1" x14ac:dyDescent="0.2">
      <c r="C182" s="15" t="s">
        <v>222</v>
      </c>
      <c r="D182" s="426"/>
      <c r="E182" s="426"/>
      <c r="F182" s="426"/>
      <c r="G182" s="24">
        <f t="shared" si="41"/>
        <v>0</v>
      </c>
    </row>
    <row r="183" spans="3:7" ht="15.75" customHeight="1" x14ac:dyDescent="0.2">
      <c r="C183" s="15" t="s">
        <v>223</v>
      </c>
      <c r="D183" s="426"/>
      <c r="E183" s="426"/>
      <c r="F183" s="426"/>
      <c r="G183" s="24">
        <f t="shared" si="41"/>
        <v>0</v>
      </c>
    </row>
    <row r="184" spans="3:7" ht="15.75" customHeight="1" x14ac:dyDescent="0.2">
      <c r="C184" s="15" t="s">
        <v>224</v>
      </c>
      <c r="D184" s="426"/>
      <c r="E184" s="426"/>
      <c r="F184" s="426"/>
      <c r="G184" s="24">
        <f t="shared" si="41"/>
        <v>0</v>
      </c>
    </row>
    <row r="185" spans="3:7" ht="15.75" customHeight="1" x14ac:dyDescent="0.2">
      <c r="C185" s="20" t="s">
        <v>225</v>
      </c>
      <c r="D185" s="30">
        <f t="shared" ref="D185:E185" si="42">SUM(D178:D184)</f>
        <v>0</v>
      </c>
      <c r="E185" s="30">
        <f t="shared" si="42"/>
        <v>0</v>
      </c>
      <c r="F185" s="30">
        <f t="shared" ref="F185" si="43">SUM(F178:F184)</f>
        <v>0</v>
      </c>
      <c r="G185" s="24">
        <f t="shared" si="41"/>
        <v>0</v>
      </c>
    </row>
    <row r="186" spans="3:7" ht="15.75" customHeight="1" x14ac:dyDescent="0.2">
      <c r="C186" s="422"/>
      <c r="D186" s="423"/>
      <c r="E186" s="423"/>
      <c r="F186" s="423"/>
      <c r="G186" s="422"/>
    </row>
    <row r="187" spans="3:7" ht="15.75" customHeight="1" x14ac:dyDescent="0.2">
      <c r="C187" s="735" t="s">
        <v>234</v>
      </c>
      <c r="D187" s="736"/>
      <c r="E187" s="736"/>
      <c r="F187" s="736"/>
      <c r="G187" s="737"/>
    </row>
    <row r="188" spans="3:7" ht="19.5" customHeight="1" thickBot="1" x14ac:dyDescent="0.25">
      <c r="C188" s="27" t="s">
        <v>235</v>
      </c>
      <c r="D188" s="28">
        <f>'1) Budget Tables'!D180</f>
        <v>987127.66868573113</v>
      </c>
      <c r="E188" s="28">
        <f>'1) Budget Tables'!E180</f>
        <v>0</v>
      </c>
      <c r="F188" s="28">
        <f>'1) Budget Tables'!F180</f>
        <v>0</v>
      </c>
      <c r="G188" s="29">
        <f t="shared" ref="G188:G196" si="44">SUM(D188:F188)</f>
        <v>987127.66868573113</v>
      </c>
    </row>
    <row r="189" spans="3:7" ht="15.75" customHeight="1" x14ac:dyDescent="0.2">
      <c r="C189" s="25" t="s">
        <v>218</v>
      </c>
      <c r="D189" s="424">
        <v>373757.96724884666</v>
      </c>
      <c r="E189" s="425"/>
      <c r="F189" s="425"/>
      <c r="G189" s="26">
        <f t="shared" si="44"/>
        <v>373757.96724884666</v>
      </c>
    </row>
    <row r="190" spans="3:7" ht="15.75" customHeight="1" x14ac:dyDescent="0.2">
      <c r="C190" s="15" t="s">
        <v>219</v>
      </c>
      <c r="D190" s="426"/>
      <c r="E190" s="420"/>
      <c r="F190" s="420"/>
      <c r="G190" s="24">
        <f t="shared" si="44"/>
        <v>0</v>
      </c>
    </row>
    <row r="191" spans="3:7" ht="15.75" customHeight="1" x14ac:dyDescent="0.2">
      <c r="C191" s="15" t="s">
        <v>220</v>
      </c>
      <c r="D191" s="426">
        <v>17197.452229299364</v>
      </c>
      <c r="E191" s="426"/>
      <c r="F191" s="426"/>
      <c r="G191" s="24">
        <f t="shared" si="44"/>
        <v>17197.452229299364</v>
      </c>
    </row>
    <row r="192" spans="3:7" ht="15.75" customHeight="1" x14ac:dyDescent="0.2">
      <c r="C192" s="16" t="s">
        <v>221</v>
      </c>
      <c r="D192" s="426">
        <v>90000</v>
      </c>
      <c r="E192" s="426"/>
      <c r="F192" s="426"/>
      <c r="G192" s="24">
        <f>SUM(D192:F192)</f>
        <v>90000</v>
      </c>
    </row>
    <row r="193" spans="3:13" ht="15.75" customHeight="1" x14ac:dyDescent="0.2">
      <c r="C193" s="15" t="s">
        <v>222</v>
      </c>
      <c r="D193" s="426">
        <v>123078.3439490446</v>
      </c>
      <c r="E193" s="426"/>
      <c r="F193" s="426"/>
      <c r="G193" s="24">
        <f t="shared" si="44"/>
        <v>123078.3439490446</v>
      </c>
      <c r="H193" s="422"/>
      <c r="I193" s="422"/>
      <c r="J193" s="422"/>
      <c r="K193" s="422"/>
      <c r="L193" s="422"/>
      <c r="M193" s="422"/>
    </row>
    <row r="194" spans="3:13" ht="15.75" customHeight="1" x14ac:dyDescent="0.2">
      <c r="C194" s="15" t="s">
        <v>223</v>
      </c>
      <c r="D194" s="426">
        <v>383093.90525854053</v>
      </c>
      <c r="E194" s="426"/>
      <c r="F194" s="426"/>
      <c r="G194" s="24">
        <f t="shared" si="44"/>
        <v>383093.90525854053</v>
      </c>
      <c r="H194" s="422"/>
      <c r="I194" s="422"/>
      <c r="J194" s="422"/>
      <c r="K194" s="422"/>
      <c r="L194" s="422"/>
      <c r="M194" s="422"/>
    </row>
    <row r="195" spans="3:13" ht="15.75" customHeight="1" x14ac:dyDescent="0.2">
      <c r="C195" s="15" t="s">
        <v>224</v>
      </c>
      <c r="D195" s="426"/>
      <c r="E195" s="426"/>
      <c r="F195" s="426"/>
      <c r="G195" s="24">
        <f t="shared" si="44"/>
        <v>0</v>
      </c>
      <c r="H195" s="422"/>
      <c r="I195" s="422"/>
      <c r="J195" s="422"/>
      <c r="K195" s="422"/>
      <c r="L195" s="422"/>
      <c r="M195" s="422"/>
    </row>
    <row r="196" spans="3:13" ht="15.75" customHeight="1" x14ac:dyDescent="0.2">
      <c r="C196" s="20" t="s">
        <v>225</v>
      </c>
      <c r="D196" s="30">
        <f t="shared" ref="D196:F196" si="45">SUM(D189:D195)</f>
        <v>987127.66868573113</v>
      </c>
      <c r="E196" s="30">
        <f t="shared" si="45"/>
        <v>0</v>
      </c>
      <c r="F196" s="30">
        <f t="shared" si="45"/>
        <v>0</v>
      </c>
      <c r="G196" s="24">
        <f t="shared" si="44"/>
        <v>987127.66868573113</v>
      </c>
      <c r="H196" s="422"/>
      <c r="I196" s="422"/>
      <c r="J196" s="422"/>
      <c r="K196" s="422"/>
      <c r="L196" s="422"/>
      <c r="M196" s="422"/>
    </row>
    <row r="197" spans="3:13" ht="15.75" customHeight="1" thickBot="1" x14ac:dyDescent="0.25">
      <c r="C197" s="422"/>
      <c r="D197" s="423"/>
      <c r="E197" s="423"/>
      <c r="F197" s="423"/>
      <c r="G197" s="422"/>
      <c r="H197" s="422"/>
      <c r="I197" s="422"/>
      <c r="J197" s="422"/>
      <c r="K197" s="422"/>
      <c r="L197" s="422"/>
      <c r="M197" s="422"/>
    </row>
    <row r="198" spans="3:13" ht="19.5" customHeight="1" thickBot="1" x14ac:dyDescent="0.25">
      <c r="C198" s="740" t="s">
        <v>194</v>
      </c>
      <c r="D198" s="741"/>
      <c r="E198" s="741"/>
      <c r="F198" s="741"/>
      <c r="G198" s="742"/>
      <c r="H198" s="422"/>
      <c r="I198" s="422"/>
      <c r="J198" s="422"/>
      <c r="K198" s="422"/>
      <c r="L198" s="422"/>
      <c r="M198" s="422"/>
    </row>
    <row r="199" spans="3:13" ht="19.5" customHeight="1" x14ac:dyDescent="0.2">
      <c r="C199" s="38"/>
      <c r="D199" s="734" t="str">
        <f>'1) Budget Tables'!D5</f>
        <v>Recipient Organization</v>
      </c>
      <c r="E199" s="23" t="s">
        <v>195</v>
      </c>
      <c r="F199" s="23" t="s">
        <v>196</v>
      </c>
      <c r="G199" s="739" t="s">
        <v>194</v>
      </c>
      <c r="H199" s="422"/>
      <c r="I199" s="422"/>
      <c r="J199" s="422"/>
      <c r="K199" s="422"/>
      <c r="L199" s="422"/>
      <c r="M199" s="422"/>
    </row>
    <row r="200" spans="3:13" ht="19.5" customHeight="1" x14ac:dyDescent="0.2">
      <c r="C200" s="38"/>
      <c r="D200" s="720"/>
      <c r="E200" s="18"/>
      <c r="F200" s="18"/>
      <c r="G200" s="722"/>
      <c r="H200" s="422"/>
      <c r="I200" s="422"/>
      <c r="J200" s="422"/>
      <c r="K200" s="422"/>
      <c r="L200" s="422"/>
      <c r="M200" s="422"/>
    </row>
    <row r="201" spans="3:13" ht="19.5" customHeight="1" x14ac:dyDescent="0.2">
      <c r="C201" s="6" t="s">
        <v>218</v>
      </c>
      <c r="D201" s="427">
        <f>SUM(D178,D167,D156,D145,D133,D122,D111,D100,D88,D77,D66,D55,D43,D32,D21,D10,D189)</f>
        <v>373757.96724884666</v>
      </c>
      <c r="E201" s="427">
        <f t="shared" ref="E201:F207" si="46">SUM(E178,E167,E156,E145,E133,E122,E111,E100,E88,E77,E66,E55,E43,E32,E21,E10)</f>
        <v>0</v>
      </c>
      <c r="F201" s="427">
        <f t="shared" si="46"/>
        <v>0</v>
      </c>
      <c r="G201" s="35">
        <f>SUM(D201:F201)</f>
        <v>373757.96724884666</v>
      </c>
      <c r="H201" s="422"/>
      <c r="I201" s="422"/>
      <c r="J201" s="422"/>
      <c r="K201" s="422"/>
      <c r="L201" s="422"/>
      <c r="M201" s="422"/>
    </row>
    <row r="202" spans="3:13" ht="34.5" customHeight="1" x14ac:dyDescent="0.2">
      <c r="C202" s="6" t="s">
        <v>219</v>
      </c>
      <c r="D202" s="427">
        <f t="shared" ref="D202:D206" si="47">SUM(D179,D168,D157,D146,D134,D123,D112,D101,D89,D78,D67,D56,D44,D33,D22,D11,D190)</f>
        <v>0</v>
      </c>
      <c r="E202" s="427">
        <f t="shared" si="46"/>
        <v>0</v>
      </c>
      <c r="F202" s="427">
        <f t="shared" si="46"/>
        <v>0</v>
      </c>
      <c r="G202" s="36">
        <f>SUM(D202:F202)</f>
        <v>0</v>
      </c>
      <c r="H202" s="422"/>
      <c r="I202" s="422"/>
      <c r="J202" s="422"/>
      <c r="K202" s="422"/>
      <c r="L202" s="422"/>
      <c r="M202" s="422"/>
    </row>
    <row r="203" spans="3:13" ht="48" customHeight="1" x14ac:dyDescent="0.2">
      <c r="C203" s="6" t="s">
        <v>220</v>
      </c>
      <c r="D203" s="427">
        <f t="shared" si="47"/>
        <v>17197.452229299364</v>
      </c>
      <c r="E203" s="427">
        <f t="shared" si="46"/>
        <v>0</v>
      </c>
      <c r="F203" s="427">
        <f t="shared" si="46"/>
        <v>0</v>
      </c>
      <c r="G203" s="36">
        <f t="shared" ref="G203:G207" si="48">SUM(D203:F203)</f>
        <v>17197.452229299364</v>
      </c>
      <c r="H203" s="422"/>
      <c r="I203" s="422"/>
      <c r="J203" s="422"/>
      <c r="K203" s="422"/>
      <c r="L203" s="422"/>
      <c r="M203" s="422"/>
    </row>
    <row r="204" spans="3:13" ht="33" customHeight="1" x14ac:dyDescent="0.2">
      <c r="C204" s="8" t="s">
        <v>221</v>
      </c>
      <c r="D204" s="427">
        <f>SUM(D181,D170,D159,D148,D136,D125,D114,D103,D91,D80,D69,D58,D46,D35,D24,D13,D192)</f>
        <v>90000</v>
      </c>
      <c r="E204" s="427">
        <f t="shared" si="46"/>
        <v>0</v>
      </c>
      <c r="F204" s="427">
        <f t="shared" si="46"/>
        <v>0</v>
      </c>
      <c r="G204" s="36">
        <f t="shared" si="48"/>
        <v>90000</v>
      </c>
      <c r="H204" s="422"/>
      <c r="I204" s="422"/>
      <c r="J204" s="422"/>
      <c r="K204" s="422"/>
      <c r="L204" s="422"/>
      <c r="M204" s="422"/>
    </row>
    <row r="205" spans="3:13" ht="21" customHeight="1" x14ac:dyDescent="0.2">
      <c r="C205" s="66" t="s">
        <v>222</v>
      </c>
      <c r="D205" s="428">
        <f t="shared" si="47"/>
        <v>123078.3439490446</v>
      </c>
      <c r="E205" s="427">
        <f t="shared" si="46"/>
        <v>0</v>
      </c>
      <c r="F205" s="427">
        <f t="shared" si="46"/>
        <v>0</v>
      </c>
      <c r="G205" s="36">
        <f t="shared" si="48"/>
        <v>123078.3439490446</v>
      </c>
      <c r="H205" s="421"/>
      <c r="I205" s="421"/>
      <c r="J205" s="421"/>
      <c r="K205" s="421"/>
      <c r="L205" s="421"/>
      <c r="M205" s="429"/>
    </row>
    <row r="206" spans="3:13" ht="39.75" customHeight="1" x14ac:dyDescent="0.2">
      <c r="C206" s="6" t="s">
        <v>223</v>
      </c>
      <c r="D206" s="430">
        <f t="shared" si="47"/>
        <v>1172412.3765961202</v>
      </c>
      <c r="E206" s="431">
        <f t="shared" si="46"/>
        <v>0</v>
      </c>
      <c r="F206" s="427">
        <f t="shared" si="46"/>
        <v>0</v>
      </c>
      <c r="G206" s="36">
        <f t="shared" si="48"/>
        <v>1172412.3765961202</v>
      </c>
      <c r="H206" s="421"/>
      <c r="I206" s="421"/>
      <c r="J206" s="421"/>
      <c r="K206" s="421"/>
      <c r="L206" s="421"/>
      <c r="M206" s="429"/>
    </row>
    <row r="207" spans="3:13" ht="23.25" customHeight="1" thickBot="1" x14ac:dyDescent="0.25">
      <c r="C207" s="6" t="s">
        <v>224</v>
      </c>
      <c r="D207" s="430">
        <f>SUM(D184,D173,D162,D151,D139,D128,D117,D106,D94,D83,D72,D61,D49,D38,D27,D16,D195)</f>
        <v>16560.509554140128</v>
      </c>
      <c r="E207" s="432">
        <f t="shared" si="46"/>
        <v>0</v>
      </c>
      <c r="F207" s="433">
        <f t="shared" si="46"/>
        <v>0</v>
      </c>
      <c r="G207" s="37">
        <f t="shared" si="48"/>
        <v>16560.509554140128</v>
      </c>
      <c r="H207" s="421"/>
      <c r="I207" s="421"/>
      <c r="J207" s="421"/>
      <c r="K207" s="421"/>
      <c r="L207" s="421"/>
      <c r="M207" s="429"/>
    </row>
    <row r="208" spans="3:13" ht="22.5" customHeight="1" thickBot="1" x14ac:dyDescent="0.25">
      <c r="C208" s="434" t="s">
        <v>236</v>
      </c>
      <c r="D208" s="435">
        <f>SUM(D201:D207)</f>
        <v>1793006.6495774507</v>
      </c>
      <c r="E208" s="65">
        <f t="shared" ref="E208" si="49">SUM(E201:E207)</f>
        <v>0</v>
      </c>
      <c r="F208" s="39">
        <f t="shared" ref="F208" si="50">SUM(F201:F207)</f>
        <v>0</v>
      </c>
      <c r="G208" s="40">
        <f>SUM(D208:F208)</f>
        <v>1793006.6495774507</v>
      </c>
      <c r="H208" s="421"/>
      <c r="I208" s="421"/>
      <c r="J208" s="193"/>
      <c r="K208" s="421"/>
      <c r="L208" s="421"/>
      <c r="M208" s="429"/>
    </row>
    <row r="209" spans="3:14" ht="22.5" customHeight="1" x14ac:dyDescent="0.2">
      <c r="C209" s="434" t="s">
        <v>237</v>
      </c>
      <c r="D209" s="435">
        <f>D208*0.07</f>
        <v>125510.46547042156</v>
      </c>
      <c r="E209" s="64"/>
      <c r="F209" s="64"/>
      <c r="G209" s="67"/>
      <c r="H209" s="421"/>
      <c r="I209" s="421"/>
      <c r="J209" s="421"/>
      <c r="K209" s="421"/>
      <c r="L209" s="421"/>
      <c r="M209" s="429"/>
      <c r="N209" s="422"/>
    </row>
    <row r="210" spans="3:14" ht="22.5" customHeight="1" thickBot="1" x14ac:dyDescent="0.25">
      <c r="C210" s="68" t="s">
        <v>238</v>
      </c>
      <c r="D210" s="69">
        <f>SUM(D208:D209)</f>
        <v>1918517.1150478723</v>
      </c>
      <c r="E210" s="70"/>
      <c r="F210" s="70"/>
      <c r="G210" s="71"/>
      <c r="H210" s="421"/>
      <c r="I210" s="421"/>
      <c r="J210" s="421"/>
      <c r="K210" s="436"/>
      <c r="L210" s="421"/>
      <c r="M210" s="429"/>
      <c r="N210" s="422"/>
    </row>
    <row r="211" spans="3:14" ht="15.75" customHeight="1" x14ac:dyDescent="0.2">
      <c r="C211" s="422"/>
      <c r="D211" s="423"/>
      <c r="E211" s="423"/>
      <c r="F211" s="423"/>
      <c r="G211" s="422"/>
      <c r="H211" s="9"/>
      <c r="I211" s="9"/>
      <c r="J211" s="9"/>
      <c r="K211" s="9"/>
      <c r="L211" s="437"/>
      <c r="M211" s="423"/>
      <c r="N211" s="422"/>
    </row>
    <row r="212" spans="3:14" ht="15.75" customHeight="1" x14ac:dyDescent="0.2">
      <c r="C212" s="422"/>
      <c r="D212" s="423"/>
      <c r="E212" s="423"/>
      <c r="F212" s="423"/>
      <c r="G212" s="422"/>
      <c r="H212" s="9"/>
      <c r="I212" s="9"/>
      <c r="J212" s="9"/>
      <c r="K212" s="9"/>
      <c r="L212" s="437"/>
      <c r="M212" s="423"/>
      <c r="N212" s="422"/>
    </row>
    <row r="213" spans="3:14" ht="15.75" customHeight="1" x14ac:dyDescent="0.2">
      <c r="C213" s="422"/>
      <c r="D213" s="423"/>
      <c r="E213" s="423"/>
      <c r="F213" s="423"/>
      <c r="G213" s="422"/>
      <c r="H213" s="422"/>
      <c r="I213" s="422"/>
      <c r="J213" s="422"/>
      <c r="K213" s="422"/>
      <c r="L213" s="21"/>
      <c r="M213" s="422"/>
      <c r="N213" s="422"/>
    </row>
    <row r="214" spans="3:14" ht="15.75" customHeight="1" x14ac:dyDescent="0.2">
      <c r="C214" s="422"/>
      <c r="D214" s="423"/>
      <c r="E214" s="423"/>
      <c r="F214" s="423"/>
      <c r="G214" s="422"/>
      <c r="H214" s="13"/>
      <c r="I214" s="13"/>
      <c r="J214" s="422"/>
      <c r="K214" s="422"/>
      <c r="L214" s="21"/>
      <c r="M214" s="422"/>
      <c r="N214" s="422"/>
    </row>
    <row r="215" spans="3:14" ht="15.75" customHeight="1" x14ac:dyDescent="0.2">
      <c r="C215" s="422"/>
      <c r="D215" s="423"/>
      <c r="E215" s="423"/>
      <c r="F215" s="423"/>
      <c r="G215" s="422"/>
      <c r="H215" s="13"/>
      <c r="I215" s="13"/>
      <c r="J215" s="422"/>
      <c r="K215" s="422"/>
      <c r="L215" s="422"/>
      <c r="M215" s="422"/>
      <c r="N215" s="422"/>
    </row>
    <row r="216" spans="3:14" ht="40.5" customHeight="1" x14ac:dyDescent="0.2">
      <c r="C216" s="422"/>
      <c r="D216" s="423"/>
      <c r="E216" s="423"/>
      <c r="F216" s="423"/>
      <c r="G216" s="422"/>
      <c r="H216" s="13"/>
      <c r="I216" s="13"/>
      <c r="J216" s="422"/>
      <c r="K216" s="422"/>
      <c r="L216" s="22"/>
      <c r="M216" s="422"/>
      <c r="N216" s="422"/>
    </row>
    <row r="217" spans="3:14" ht="24.75" customHeight="1" x14ac:dyDescent="0.2">
      <c r="C217" s="422"/>
      <c r="D217" s="423"/>
      <c r="E217" s="423"/>
      <c r="F217" s="423"/>
      <c r="G217" s="422"/>
      <c r="H217" s="13"/>
      <c r="I217" s="13"/>
      <c r="J217" s="422"/>
      <c r="K217" s="422"/>
      <c r="L217" s="22"/>
      <c r="M217" s="422"/>
      <c r="N217" s="422"/>
    </row>
    <row r="218" spans="3:14" ht="41.25" customHeight="1" x14ac:dyDescent="0.2">
      <c r="C218" s="422"/>
      <c r="D218" s="423"/>
      <c r="E218" s="423"/>
      <c r="F218" s="423"/>
      <c r="G218" s="422"/>
      <c r="H218" s="438"/>
      <c r="I218" s="13"/>
      <c r="J218" s="422"/>
      <c r="K218" s="422"/>
      <c r="L218" s="22"/>
      <c r="M218" s="422"/>
      <c r="N218" s="422"/>
    </row>
    <row r="219" spans="3:14" ht="51.75" customHeight="1" x14ac:dyDescent="0.2">
      <c r="C219" s="422"/>
      <c r="D219" s="423"/>
      <c r="E219" s="423"/>
      <c r="F219" s="423"/>
      <c r="G219" s="422"/>
      <c r="H219" s="438"/>
      <c r="I219" s="13"/>
      <c r="J219" s="422"/>
      <c r="K219" s="422"/>
      <c r="L219" s="22"/>
      <c r="M219" s="422"/>
      <c r="N219" s="422"/>
    </row>
    <row r="220" spans="3:14" ht="42" customHeight="1" x14ac:dyDescent="0.2">
      <c r="C220" s="422"/>
      <c r="D220" s="423"/>
      <c r="E220" s="423"/>
      <c r="F220" s="423"/>
      <c r="G220" s="422"/>
      <c r="H220" s="13"/>
      <c r="I220" s="13"/>
      <c r="J220" s="422"/>
      <c r="K220" s="422"/>
      <c r="L220" s="22"/>
      <c r="M220" s="422"/>
      <c r="N220" s="422"/>
    </row>
    <row r="221" spans="3:14" s="19" customFormat="1" ht="42" customHeight="1" x14ac:dyDescent="0.2">
      <c r="C221" s="422"/>
      <c r="D221" s="423"/>
      <c r="E221" s="423"/>
      <c r="F221" s="423"/>
      <c r="G221" s="422"/>
      <c r="H221" s="422"/>
      <c r="I221" s="13"/>
      <c r="J221" s="422"/>
      <c r="K221" s="422"/>
      <c r="L221" s="22"/>
      <c r="M221" s="422"/>
      <c r="N221" s="423"/>
    </row>
    <row r="222" spans="3:14" s="19" customFormat="1" ht="42" customHeight="1" x14ac:dyDescent="0.2">
      <c r="C222" s="422"/>
      <c r="D222" s="423"/>
      <c r="E222" s="423"/>
      <c r="F222" s="423"/>
      <c r="G222" s="422"/>
      <c r="H222" s="422"/>
      <c r="I222" s="13"/>
      <c r="J222" s="422"/>
      <c r="K222" s="422"/>
      <c r="L222" s="422"/>
      <c r="M222" s="422"/>
      <c r="N222" s="423"/>
    </row>
    <row r="223" spans="3:14" s="19" customFormat="1" ht="63.75" customHeight="1" x14ac:dyDescent="0.2">
      <c r="C223" s="422"/>
      <c r="D223" s="423"/>
      <c r="E223" s="423"/>
      <c r="F223" s="423"/>
      <c r="G223" s="422"/>
      <c r="H223" s="422"/>
      <c r="I223" s="21"/>
      <c r="J223" s="422"/>
      <c r="K223" s="422"/>
      <c r="L223" s="422"/>
      <c r="M223" s="422"/>
      <c r="N223" s="423"/>
    </row>
    <row r="224" spans="3:14" s="19" customFormat="1" ht="42" customHeight="1" x14ac:dyDescent="0.2">
      <c r="C224" s="422"/>
      <c r="D224" s="423"/>
      <c r="E224" s="423"/>
      <c r="F224" s="423"/>
      <c r="G224" s="422"/>
      <c r="H224" s="422"/>
      <c r="I224" s="422"/>
      <c r="J224" s="422"/>
      <c r="K224" s="422"/>
      <c r="L224" s="422"/>
      <c r="M224" s="21"/>
      <c r="N224" s="423"/>
    </row>
    <row r="225" spans="3:14" ht="23.25" customHeight="1" x14ac:dyDescent="0.2">
      <c r="C225" s="422"/>
      <c r="D225" s="423"/>
      <c r="E225" s="423"/>
      <c r="F225" s="423"/>
      <c r="G225" s="422"/>
      <c r="H225" s="422"/>
      <c r="I225" s="422"/>
      <c r="J225" s="422"/>
      <c r="K225" s="422"/>
      <c r="L225" s="422"/>
      <c r="M225" s="422"/>
      <c r="N225" s="422"/>
    </row>
    <row r="226" spans="3:14" ht="27.75" customHeight="1" x14ac:dyDescent="0.2">
      <c r="C226" s="422"/>
      <c r="D226" s="423"/>
      <c r="E226" s="423"/>
      <c r="F226" s="423"/>
      <c r="G226" s="422"/>
      <c r="H226" s="422"/>
      <c r="I226" s="422"/>
      <c r="J226" s="422"/>
      <c r="K226" s="422"/>
      <c r="L226" s="422"/>
      <c r="M226" s="422"/>
      <c r="N226" s="422"/>
    </row>
    <row r="227" spans="3:14" ht="55.5" customHeight="1" x14ac:dyDescent="0.2">
      <c r="C227" s="422"/>
      <c r="D227" s="423"/>
      <c r="E227" s="423"/>
      <c r="F227" s="423"/>
      <c r="G227" s="422"/>
      <c r="H227" s="422"/>
      <c r="I227" s="422"/>
      <c r="J227" s="422"/>
      <c r="K227" s="422"/>
      <c r="L227" s="422"/>
      <c r="M227" s="422"/>
      <c r="N227" s="422"/>
    </row>
    <row r="228" spans="3:14" ht="57.75" customHeight="1" x14ac:dyDescent="0.2">
      <c r="C228" s="422"/>
      <c r="D228" s="423"/>
      <c r="E228" s="423"/>
      <c r="F228" s="423"/>
      <c r="G228" s="422"/>
      <c r="H228" s="422"/>
      <c r="I228" s="422"/>
      <c r="J228" s="422"/>
      <c r="K228" s="422"/>
      <c r="L228" s="422"/>
      <c r="M228" s="422"/>
      <c r="N228" s="422"/>
    </row>
    <row r="229" spans="3:14" ht="21.75" customHeight="1" x14ac:dyDescent="0.2">
      <c r="C229" s="422"/>
      <c r="D229" s="423"/>
      <c r="E229" s="423"/>
      <c r="F229" s="423"/>
      <c r="G229" s="422"/>
      <c r="H229" s="422"/>
      <c r="I229" s="422"/>
      <c r="J229" s="422"/>
      <c r="K229" s="422"/>
      <c r="L229" s="422"/>
      <c r="M229" s="422"/>
      <c r="N229" s="422"/>
    </row>
    <row r="230" spans="3:14" ht="49.5" customHeight="1" x14ac:dyDescent="0.2">
      <c r="C230" s="422"/>
      <c r="D230" s="423"/>
      <c r="E230" s="423"/>
      <c r="F230" s="423"/>
      <c r="G230" s="422"/>
      <c r="H230" s="422"/>
      <c r="I230" s="422"/>
      <c r="J230" s="422"/>
      <c r="K230" s="422"/>
      <c r="L230" s="422"/>
      <c r="M230" s="422"/>
      <c r="N230" s="422"/>
    </row>
    <row r="231" spans="3:14" ht="28.5" customHeight="1" x14ac:dyDescent="0.2">
      <c r="C231" s="422"/>
      <c r="D231" s="423"/>
      <c r="E231" s="423"/>
      <c r="F231" s="423"/>
      <c r="G231" s="422"/>
      <c r="H231" s="422"/>
      <c r="I231" s="422"/>
      <c r="J231" s="422"/>
      <c r="K231" s="422"/>
      <c r="L231" s="422"/>
      <c r="M231" s="422"/>
      <c r="N231" s="422"/>
    </row>
    <row r="232" spans="3:14" ht="28.5" customHeight="1" x14ac:dyDescent="0.2">
      <c r="C232" s="422"/>
      <c r="D232" s="423"/>
      <c r="E232" s="423"/>
      <c r="F232" s="423"/>
      <c r="G232" s="422"/>
      <c r="H232" s="422"/>
      <c r="I232" s="422"/>
      <c r="J232" s="422"/>
      <c r="K232" s="422"/>
      <c r="L232" s="422"/>
      <c r="M232" s="422"/>
      <c r="N232" s="422"/>
    </row>
    <row r="233" spans="3:14" ht="28.5" customHeight="1" x14ac:dyDescent="0.2">
      <c r="C233" s="422"/>
      <c r="D233" s="423"/>
      <c r="E233" s="423"/>
      <c r="F233" s="423"/>
      <c r="G233" s="422"/>
      <c r="H233" s="422"/>
      <c r="I233" s="422"/>
      <c r="J233" s="422"/>
      <c r="K233" s="422"/>
      <c r="L233" s="422"/>
      <c r="M233" s="422"/>
      <c r="N233" s="422"/>
    </row>
    <row r="234" spans="3:14" ht="23.25" customHeight="1" x14ac:dyDescent="0.2">
      <c r="C234" s="422"/>
      <c r="D234" s="423"/>
      <c r="E234" s="423"/>
      <c r="F234" s="423"/>
      <c r="G234" s="422"/>
      <c r="H234" s="422"/>
      <c r="I234" s="422"/>
      <c r="J234" s="422"/>
      <c r="K234" s="422"/>
      <c r="L234" s="422"/>
      <c r="M234" s="422"/>
      <c r="N234" s="21"/>
    </row>
    <row r="235" spans="3:14" ht="43.5" customHeight="1" x14ac:dyDescent="0.2">
      <c r="C235" s="422"/>
      <c r="D235" s="423"/>
      <c r="E235" s="423"/>
      <c r="F235" s="423"/>
      <c r="G235" s="422"/>
      <c r="H235" s="422"/>
      <c r="I235" s="422"/>
      <c r="J235" s="422"/>
      <c r="K235" s="422"/>
      <c r="L235" s="422"/>
      <c r="M235" s="422"/>
      <c r="N235" s="21"/>
    </row>
    <row r="236" spans="3:14" ht="55.5" customHeight="1" x14ac:dyDescent="0.2">
      <c r="C236" s="422"/>
      <c r="D236" s="423"/>
      <c r="E236" s="423"/>
      <c r="F236" s="423"/>
      <c r="G236" s="422"/>
      <c r="H236" s="422"/>
      <c r="I236" s="422"/>
      <c r="J236" s="422"/>
      <c r="K236" s="422"/>
      <c r="L236" s="422"/>
      <c r="M236" s="422"/>
      <c r="N236" s="422"/>
    </row>
    <row r="237" spans="3:14" ht="42.75" customHeight="1" x14ac:dyDescent="0.2">
      <c r="C237" s="422"/>
      <c r="D237" s="423"/>
      <c r="E237" s="423"/>
      <c r="F237" s="423"/>
      <c r="G237" s="422"/>
      <c r="H237" s="422"/>
      <c r="I237" s="422"/>
      <c r="J237" s="422"/>
      <c r="K237" s="422"/>
      <c r="L237" s="422"/>
      <c r="M237" s="422"/>
      <c r="N237" s="21"/>
    </row>
    <row r="238" spans="3:14" ht="21.75" customHeight="1" x14ac:dyDescent="0.2">
      <c r="C238" s="422"/>
      <c r="D238" s="423"/>
      <c r="E238" s="423"/>
      <c r="F238" s="423"/>
      <c r="G238" s="422"/>
      <c r="H238" s="422"/>
      <c r="I238" s="422"/>
      <c r="J238" s="422"/>
      <c r="K238" s="422"/>
      <c r="L238" s="422"/>
      <c r="M238" s="422"/>
      <c r="N238" s="21"/>
    </row>
    <row r="239" spans="3:14" ht="21.75" customHeight="1" x14ac:dyDescent="0.2">
      <c r="C239" s="422"/>
      <c r="D239" s="423"/>
      <c r="E239" s="423"/>
      <c r="F239" s="423"/>
      <c r="G239" s="422"/>
      <c r="H239" s="422"/>
      <c r="I239" s="422"/>
      <c r="J239" s="422"/>
      <c r="K239" s="422"/>
      <c r="L239" s="422"/>
      <c r="M239" s="422"/>
      <c r="N239" s="21"/>
    </row>
    <row r="240" spans="3:14" ht="23.25" customHeight="1" x14ac:dyDescent="0.2">
      <c r="C240" s="422"/>
      <c r="D240" s="423"/>
      <c r="E240" s="423"/>
      <c r="F240" s="423"/>
      <c r="G240" s="422"/>
      <c r="H240" s="422"/>
      <c r="I240" s="422"/>
      <c r="J240" s="422"/>
      <c r="K240" s="422"/>
      <c r="L240" s="422"/>
      <c r="M240" s="422"/>
      <c r="N240" s="422"/>
    </row>
    <row r="241" ht="23.25" customHeight="1" x14ac:dyDescent="0.2"/>
    <row r="242" ht="21.75" customHeight="1" x14ac:dyDescent="0.2"/>
    <row r="243" ht="16.5" customHeight="1" x14ac:dyDescent="0.2"/>
    <row r="244" ht="29.25" customHeight="1" x14ac:dyDescent="0.2"/>
    <row r="245" ht="24.75" customHeight="1" x14ac:dyDescent="0.2"/>
    <row r="246" ht="33" customHeight="1" x14ac:dyDescent="0.2"/>
    <row r="248" ht="15" customHeight="1" x14ac:dyDescent="0.2"/>
    <row r="249" ht="25.5" customHeight="1" x14ac:dyDescent="0.2"/>
  </sheetData>
  <sheetProtection sheet="1" formatCells="0" formatColumns="0" formatRows="0"/>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9DD30DAD-252C-43C8-B2D2-D70E24558917}"/>
    <dataValidation allowBlank="1" showInputMessage="1" showErrorMessage="1" prompt="Services contracted by an organization which follow the normal procurement processes." sqref="C13 C24 C35 C46 C58 C69 C80 C91 C103 C114 C125 C136 C148 C159 C170 C181 C204 C192" xr:uid="{D2D4883A-DF6E-4599-89E1-C25704DD6B71}"/>
    <dataValidation allowBlank="1" showInputMessage="1" showErrorMessage="1" prompt="Includes staff and non-staff travel paid for by the organization directly related to a project." sqref="C14 C25 C36 C47 C59 C70 C81 C92 C104 C115 C126 C137 C149 C160 C171 C182 C205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F098AF50-6738-49DD-B927-47F3EEE74261}"/>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340B5EBB-3C3E-458C-BC5F-57C720FFB61A}"/>
    <dataValidation allowBlank="1" showInputMessage="1" showErrorMessage="1" prompt="Output totals must match the original total from Table 1, and will show as red if not. " sqref="G17" xr:uid="{CB4E1972-F42E-40FE-9670-1760DDE11E59}"/>
  </dataValidations>
  <pageMargins left="0.7" right="0.7" top="0.75" bottom="0.75" header="0.3" footer="0.3"/>
  <pageSetup scale="72" fitToHeight="4" orientation="portrait"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1:B16"/>
  <sheetViews>
    <sheetView view="pageBreakPreview" zoomScale="85" zoomScaleNormal="100" zoomScaleSheetLayoutView="85" workbookViewId="0">
      <selection activeCell="B9" sqref="B9"/>
    </sheetView>
  </sheetViews>
  <sheetFormatPr baseColWidth="10" defaultColWidth="8.83203125" defaultRowHeight="15" x14ac:dyDescent="0.2"/>
  <cols>
    <col min="2" max="2" width="73.1640625" customWidth="1"/>
  </cols>
  <sheetData>
    <row r="1" spans="2:2" ht="16" thickBot="1" x14ac:dyDescent="0.25"/>
    <row r="2" spans="2:2" ht="16" thickBot="1" x14ac:dyDescent="0.25">
      <c r="B2" s="5" t="s">
        <v>239</v>
      </c>
    </row>
    <row r="3" spans="2:2" x14ac:dyDescent="0.2">
      <c r="B3" s="2"/>
    </row>
    <row r="4" spans="2:2" ht="30.75" customHeight="1" x14ac:dyDescent="0.2">
      <c r="B4" s="3" t="s">
        <v>240</v>
      </c>
    </row>
    <row r="5" spans="2:2" ht="30.75" customHeight="1" x14ac:dyDescent="0.2">
      <c r="B5" s="3"/>
    </row>
    <row r="6" spans="2:2" ht="48" x14ac:dyDescent="0.2">
      <c r="B6" s="3" t="s">
        <v>241</v>
      </c>
    </row>
    <row r="7" spans="2:2" x14ac:dyDescent="0.2">
      <c r="B7" s="3"/>
    </row>
    <row r="8" spans="2:2" ht="64" x14ac:dyDescent="0.2">
      <c r="B8" s="3" t="s">
        <v>242</v>
      </c>
    </row>
    <row r="9" spans="2:2" x14ac:dyDescent="0.2">
      <c r="B9" s="3"/>
    </row>
    <row r="10" spans="2:2" ht="64" x14ac:dyDescent="0.2">
      <c r="B10" s="3" t="s">
        <v>243</v>
      </c>
    </row>
    <row r="11" spans="2:2" x14ac:dyDescent="0.2">
      <c r="B11" s="3"/>
    </row>
    <row r="12" spans="2:2" ht="32" x14ac:dyDescent="0.2">
      <c r="B12" s="3" t="s">
        <v>244</v>
      </c>
    </row>
    <row r="13" spans="2:2" x14ac:dyDescent="0.2">
      <c r="B13" s="3"/>
    </row>
    <row r="14" spans="2:2" ht="64" x14ac:dyDescent="0.2">
      <c r="B14" s="3" t="s">
        <v>245</v>
      </c>
    </row>
    <row r="15" spans="2:2" x14ac:dyDescent="0.2">
      <c r="B15" s="3"/>
    </row>
    <row r="16" spans="2:2" ht="49" thickBot="1" x14ac:dyDescent="0.25">
      <c r="B16" s="4" t="s">
        <v>246</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view="pageBreakPreview" zoomScale="60" zoomScaleNormal="100" workbookViewId="0">
      <selection activeCell="D11" sqref="D11"/>
    </sheetView>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756" t="s">
        <v>247</v>
      </c>
      <c r="C2" s="757"/>
      <c r="D2" s="758"/>
    </row>
    <row r="3" spans="2:4" ht="16" thickBot="1" x14ac:dyDescent="0.25">
      <c r="B3" s="759"/>
      <c r="C3" s="760"/>
      <c r="D3" s="761"/>
    </row>
    <row r="4" spans="2:4" ht="16" thickBot="1" x14ac:dyDescent="0.25"/>
    <row r="5" spans="2:4" x14ac:dyDescent="0.2">
      <c r="B5" s="747" t="s">
        <v>248</v>
      </c>
      <c r="C5" s="748"/>
      <c r="D5" s="749"/>
    </row>
    <row r="6" spans="2:4" ht="16" thickBot="1" x14ac:dyDescent="0.25">
      <c r="B6" s="750"/>
      <c r="C6" s="751"/>
      <c r="D6" s="752"/>
    </row>
    <row r="7" spans="2:4" x14ac:dyDescent="0.2">
      <c r="B7" s="46" t="s">
        <v>249</v>
      </c>
      <c r="C7" s="745">
        <f>SUM('1) Budget Tables'!D16:F16,'1) Budget Tables'!D26:F26,'1) Budget Tables'!D36:F36,'1) Budget Tables'!D46:F46)</f>
        <v>351312.10191082797</v>
      </c>
      <c r="D7" s="746"/>
    </row>
    <row r="8" spans="2:4" x14ac:dyDescent="0.2">
      <c r="B8" s="46" t="s">
        <v>250</v>
      </c>
      <c r="C8" s="743">
        <f>SUM(D10:D14)</f>
        <v>0</v>
      </c>
      <c r="D8" s="744"/>
    </row>
    <row r="9" spans="2:4" x14ac:dyDescent="0.2">
      <c r="B9" s="47" t="s">
        <v>251</v>
      </c>
      <c r="C9" s="48" t="s">
        <v>252</v>
      </c>
      <c r="D9" s="49" t="s">
        <v>253</v>
      </c>
    </row>
    <row r="10" spans="2:4" ht="35" customHeight="1" x14ac:dyDescent="0.2">
      <c r="B10" s="59"/>
      <c r="C10" s="51"/>
      <c r="D10" s="52">
        <f>$C$7*C10</f>
        <v>0</v>
      </c>
    </row>
    <row r="11" spans="2:4" ht="35" customHeight="1" x14ac:dyDescent="0.2">
      <c r="B11" s="59"/>
      <c r="C11" s="51"/>
      <c r="D11" s="52">
        <f>C7*C11</f>
        <v>0</v>
      </c>
    </row>
    <row r="12" spans="2:4" ht="35" customHeight="1" x14ac:dyDescent="0.2">
      <c r="B12" s="60"/>
      <c r="C12" s="51"/>
      <c r="D12" s="52">
        <f>C7*C12</f>
        <v>0</v>
      </c>
    </row>
    <row r="13" spans="2:4" ht="35" customHeight="1" x14ac:dyDescent="0.2">
      <c r="B13" s="60"/>
      <c r="C13" s="51"/>
      <c r="D13" s="52">
        <f>C7*C13</f>
        <v>0</v>
      </c>
    </row>
    <row r="14" spans="2:4" ht="35" customHeight="1" thickBot="1" x14ac:dyDescent="0.25">
      <c r="B14" s="61"/>
      <c r="C14" s="56"/>
      <c r="D14" s="57">
        <f>C7*C14</f>
        <v>0</v>
      </c>
    </row>
    <row r="15" spans="2:4" ht="16" thickBot="1" x14ac:dyDescent="0.25"/>
    <row r="16" spans="2:4" x14ac:dyDescent="0.2">
      <c r="B16" s="747" t="s">
        <v>254</v>
      </c>
      <c r="C16" s="748"/>
      <c r="D16" s="749"/>
    </row>
    <row r="17" spans="2:4" ht="16" thickBot="1" x14ac:dyDescent="0.25">
      <c r="B17" s="753"/>
      <c r="C17" s="754"/>
      <c r="D17" s="755"/>
    </row>
    <row r="18" spans="2:4" x14ac:dyDescent="0.2">
      <c r="B18" s="46" t="s">
        <v>249</v>
      </c>
      <c r="C18" s="745">
        <f>SUM('1) Budget Tables'!D58:F58,'1) Budget Tables'!D68:F68,'1) Budget Tables'!D78:F78,'1) Budget Tables'!D88:F88)</f>
        <v>273611.46496815287</v>
      </c>
      <c r="D18" s="746"/>
    </row>
    <row r="19" spans="2:4" x14ac:dyDescent="0.2">
      <c r="B19" s="46" t="s">
        <v>250</v>
      </c>
      <c r="C19" s="743">
        <f>SUM(D21:D25)</f>
        <v>0</v>
      </c>
      <c r="D19" s="744"/>
    </row>
    <row r="20" spans="2:4" x14ac:dyDescent="0.2">
      <c r="B20" s="47" t="s">
        <v>251</v>
      </c>
      <c r="C20" s="48" t="s">
        <v>252</v>
      </c>
      <c r="D20" s="49" t="s">
        <v>253</v>
      </c>
    </row>
    <row r="21" spans="2:4" ht="35" customHeight="1" x14ac:dyDescent="0.2">
      <c r="B21" s="50"/>
      <c r="C21" s="51"/>
      <c r="D21" s="52">
        <f>$C$18*C21</f>
        <v>0</v>
      </c>
    </row>
    <row r="22" spans="2:4" ht="35" customHeight="1" x14ac:dyDescent="0.2">
      <c r="B22" s="53"/>
      <c r="C22" s="51"/>
      <c r="D22" s="52">
        <f t="shared" ref="D22:D25" si="0">$C$18*C22</f>
        <v>0</v>
      </c>
    </row>
    <row r="23" spans="2:4" ht="35" customHeight="1" x14ac:dyDescent="0.2">
      <c r="B23" s="54"/>
      <c r="C23" s="51"/>
      <c r="D23" s="52">
        <f t="shared" si="0"/>
        <v>0</v>
      </c>
    </row>
    <row r="24" spans="2:4" ht="35" customHeight="1" x14ac:dyDescent="0.2">
      <c r="B24" s="54"/>
      <c r="C24" s="51"/>
      <c r="D24" s="52">
        <f t="shared" si="0"/>
        <v>0</v>
      </c>
    </row>
    <row r="25" spans="2:4" ht="35" customHeight="1" thickBot="1" x14ac:dyDescent="0.25">
      <c r="B25" s="55"/>
      <c r="C25" s="56"/>
      <c r="D25" s="52">
        <f t="shared" si="0"/>
        <v>0</v>
      </c>
    </row>
    <row r="26" spans="2:4" ht="16" thickBot="1" x14ac:dyDescent="0.25"/>
    <row r="27" spans="2:4" x14ac:dyDescent="0.2">
      <c r="B27" s="747" t="s">
        <v>255</v>
      </c>
      <c r="C27" s="748"/>
      <c r="D27" s="749"/>
    </row>
    <row r="28" spans="2:4" ht="16" thickBot="1" x14ac:dyDescent="0.25">
      <c r="B28" s="750"/>
      <c r="C28" s="751"/>
      <c r="D28" s="752"/>
    </row>
    <row r="29" spans="2:4" x14ac:dyDescent="0.2">
      <c r="B29" s="46" t="s">
        <v>249</v>
      </c>
      <c r="C29" s="745">
        <f>SUM('1) Budget Tables'!D100:F100,'1) Budget Tables'!D110:F110,'1) Budget Tables'!D120:F120,'1) Budget Tables'!D130:F130)</f>
        <v>180955.41401273885</v>
      </c>
      <c r="D29" s="746"/>
    </row>
    <row r="30" spans="2:4" x14ac:dyDescent="0.2">
      <c r="B30" s="46" t="s">
        <v>250</v>
      </c>
      <c r="C30" s="743">
        <f>SUM(D32:D36)</f>
        <v>0</v>
      </c>
      <c r="D30" s="744"/>
    </row>
    <row r="31" spans="2:4" x14ac:dyDescent="0.2">
      <c r="B31" s="47" t="s">
        <v>251</v>
      </c>
      <c r="C31" s="48" t="s">
        <v>252</v>
      </c>
      <c r="D31" s="49" t="s">
        <v>253</v>
      </c>
    </row>
    <row r="32" spans="2:4" ht="35" customHeight="1" x14ac:dyDescent="0.2">
      <c r="B32" s="50"/>
      <c r="C32" s="51"/>
      <c r="D32" s="52">
        <f>$C$29*C32</f>
        <v>0</v>
      </c>
    </row>
    <row r="33" spans="2:4" ht="35" customHeight="1" x14ac:dyDescent="0.2">
      <c r="B33" s="53"/>
      <c r="C33" s="51"/>
      <c r="D33" s="52">
        <f t="shared" ref="D33:D36" si="1">$C$29*C33</f>
        <v>0</v>
      </c>
    </row>
    <row r="34" spans="2:4" ht="35" customHeight="1" x14ac:dyDescent="0.2">
      <c r="B34" s="54"/>
      <c r="C34" s="51"/>
      <c r="D34" s="52">
        <f t="shared" si="1"/>
        <v>0</v>
      </c>
    </row>
    <row r="35" spans="2:4" ht="35" customHeight="1" x14ac:dyDescent="0.2">
      <c r="B35" s="54"/>
      <c r="C35" s="51"/>
      <c r="D35" s="52">
        <f t="shared" si="1"/>
        <v>0</v>
      </c>
    </row>
    <row r="36" spans="2:4" ht="35" customHeight="1" thickBot="1" x14ac:dyDescent="0.25">
      <c r="B36" s="55"/>
      <c r="C36" s="56"/>
      <c r="D36" s="52">
        <f t="shared" si="1"/>
        <v>0</v>
      </c>
    </row>
    <row r="37" spans="2:4" ht="16" thickBot="1" x14ac:dyDescent="0.25"/>
    <row r="38" spans="2:4" x14ac:dyDescent="0.2">
      <c r="B38" s="747" t="s">
        <v>256</v>
      </c>
      <c r="C38" s="748"/>
      <c r="D38" s="749"/>
    </row>
    <row r="39" spans="2:4" ht="16" thickBot="1" x14ac:dyDescent="0.25">
      <c r="B39" s="750"/>
      <c r="C39" s="751"/>
      <c r="D39" s="752"/>
    </row>
    <row r="40" spans="2:4" x14ac:dyDescent="0.2">
      <c r="B40" s="46" t="s">
        <v>249</v>
      </c>
      <c r="C40" s="745">
        <f>SUM('1) Budget Tables'!D142:F142,'1) Budget Tables'!D152:F152,'1) Budget Tables'!D162:F162,'1) Budget Tables'!D172:F172)</f>
        <v>0</v>
      </c>
      <c r="D40" s="746"/>
    </row>
    <row r="41" spans="2:4" x14ac:dyDescent="0.2">
      <c r="B41" s="46" t="s">
        <v>250</v>
      </c>
      <c r="C41" s="743">
        <f>SUM(D43:D47)</f>
        <v>0</v>
      </c>
      <c r="D41" s="744"/>
    </row>
    <row r="42" spans="2:4" x14ac:dyDescent="0.2">
      <c r="B42" s="47" t="s">
        <v>251</v>
      </c>
      <c r="C42" s="48" t="s">
        <v>252</v>
      </c>
      <c r="D42" s="49" t="s">
        <v>253</v>
      </c>
    </row>
    <row r="43" spans="2:4" ht="35" customHeight="1" x14ac:dyDescent="0.2">
      <c r="B43" s="50"/>
      <c r="C43" s="51"/>
      <c r="D43" s="52">
        <f>$C$40*C43</f>
        <v>0</v>
      </c>
    </row>
    <row r="44" spans="2:4" ht="35" customHeight="1" x14ac:dyDescent="0.2">
      <c r="B44" s="53"/>
      <c r="C44" s="51"/>
      <c r="D44" s="52">
        <f t="shared" ref="D44:D47" si="2">$C$40*C44</f>
        <v>0</v>
      </c>
    </row>
    <row r="45" spans="2:4" ht="35" customHeight="1" x14ac:dyDescent="0.2">
      <c r="B45" s="54"/>
      <c r="C45" s="51"/>
      <c r="D45" s="52">
        <f t="shared" si="2"/>
        <v>0</v>
      </c>
    </row>
    <row r="46" spans="2:4" ht="35" customHeight="1" x14ac:dyDescent="0.2">
      <c r="B46" s="54"/>
      <c r="C46" s="51"/>
      <c r="D46" s="52">
        <f t="shared" si="2"/>
        <v>0</v>
      </c>
    </row>
    <row r="47" spans="2:4" ht="35" customHeight="1" thickBot="1" x14ac:dyDescent="0.25">
      <c r="B47" s="55"/>
      <c r="C47" s="56"/>
      <c r="D47" s="57">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5"/>
  <sheetViews>
    <sheetView view="pageBreakPreview" zoomScale="60" zoomScaleNormal="100" workbookViewId="0">
      <selection activeCell="H29" sqref="H29"/>
    </sheetView>
  </sheetViews>
  <sheetFormatPr baseColWidth="10" defaultColWidth="8.83203125" defaultRowHeight="15" x14ac:dyDescent="0.2"/>
  <cols>
    <col min="1" max="1" width="12.5" customWidth="1"/>
    <col min="2" max="2" width="60.1640625" bestFit="1" customWidth="1"/>
    <col min="3" max="3" width="25.5" customWidth="1"/>
    <col min="4" max="5" width="25.5" hidden="1" customWidth="1"/>
    <col min="6" max="6" width="24.5" customWidth="1"/>
    <col min="7" max="7" width="18.5" customWidth="1"/>
    <col min="8" max="8" width="21.83203125" customWidth="1"/>
    <col min="9" max="10" width="15.83203125" bestFit="1" customWidth="1"/>
    <col min="11" max="11" width="11.1640625" bestFit="1" customWidth="1"/>
  </cols>
  <sheetData>
    <row r="1" spans="2:6" ht="16" thickBot="1" x14ac:dyDescent="0.25"/>
    <row r="2" spans="2:6" s="520" customFormat="1" ht="16" x14ac:dyDescent="0.2">
      <c r="B2" s="765" t="s">
        <v>257</v>
      </c>
      <c r="C2" s="766"/>
      <c r="D2" s="766"/>
      <c r="E2" s="766"/>
      <c r="F2" s="767"/>
    </row>
    <row r="3" spans="2:6" s="520" customFormat="1" ht="17" thickBot="1" x14ac:dyDescent="0.25">
      <c r="B3" s="768"/>
      <c r="C3" s="769"/>
      <c r="D3" s="769"/>
      <c r="E3" s="769"/>
      <c r="F3" s="770"/>
    </row>
    <row r="4" spans="2:6" s="520" customFormat="1" ht="17" thickBot="1" x14ac:dyDescent="0.25">
      <c r="B4" s="521"/>
      <c r="C4" s="521"/>
      <c r="D4" s="521"/>
      <c r="E4" s="521"/>
      <c r="F4" s="521"/>
    </row>
    <row r="5" spans="2:6" s="520" customFormat="1" ht="17" thickBot="1" x14ac:dyDescent="0.25">
      <c r="B5" s="771" t="s">
        <v>194</v>
      </c>
      <c r="C5" s="772"/>
      <c r="D5" s="522"/>
      <c r="E5" s="522"/>
      <c r="F5" s="521"/>
    </row>
    <row r="6" spans="2:6" s="520" customFormat="1" ht="16" x14ac:dyDescent="0.2">
      <c r="B6" s="523"/>
      <c r="C6" s="773" t="str">
        <f>'1) Budget Tables'!D5</f>
        <v>Recipient Organization</v>
      </c>
      <c r="D6" s="524" t="s">
        <v>213</v>
      </c>
      <c r="E6" s="525" t="s">
        <v>214</v>
      </c>
      <c r="F6" s="521"/>
    </row>
    <row r="7" spans="2:6" s="520" customFormat="1" ht="16" x14ac:dyDescent="0.2">
      <c r="B7" s="523"/>
      <c r="C7" s="774"/>
      <c r="D7" s="526"/>
      <c r="E7" s="527"/>
      <c r="F7" s="521"/>
    </row>
    <row r="8" spans="2:6" s="520" customFormat="1" ht="16" x14ac:dyDescent="0.2">
      <c r="B8" s="528" t="s">
        <v>218</v>
      </c>
      <c r="C8" s="529">
        <f>'2) By Category'!D201</f>
        <v>373757.96724884666</v>
      </c>
      <c r="D8" s="530">
        <f>'2) By Category'!E201</f>
        <v>0</v>
      </c>
      <c r="E8" s="439">
        <f>'2) By Category'!F201</f>
        <v>0</v>
      </c>
      <c r="F8" s="521"/>
    </row>
    <row r="9" spans="2:6" s="520" customFormat="1" ht="16" x14ac:dyDescent="0.2">
      <c r="B9" s="528" t="s">
        <v>219</v>
      </c>
      <c r="C9" s="529">
        <f>'2) By Category'!D202</f>
        <v>0</v>
      </c>
      <c r="D9" s="530">
        <f>'2) By Category'!E202</f>
        <v>0</v>
      </c>
      <c r="E9" s="439">
        <f>'2) By Category'!F202</f>
        <v>0</v>
      </c>
      <c r="F9" s="521"/>
    </row>
    <row r="10" spans="2:6" s="520" customFormat="1" ht="16" x14ac:dyDescent="0.2">
      <c r="B10" s="528" t="s">
        <v>220</v>
      </c>
      <c r="C10" s="529">
        <f>'2) By Category'!D203</f>
        <v>17197.452229299364</v>
      </c>
      <c r="D10" s="530">
        <f>'2) By Category'!E203</f>
        <v>0</v>
      </c>
      <c r="E10" s="439">
        <f>'2) By Category'!F203</f>
        <v>0</v>
      </c>
      <c r="F10" s="521"/>
    </row>
    <row r="11" spans="2:6" s="520" customFormat="1" ht="16" x14ac:dyDescent="0.2">
      <c r="B11" s="531" t="s">
        <v>221</v>
      </c>
      <c r="C11" s="529">
        <f>'2) By Category'!D204</f>
        <v>90000</v>
      </c>
      <c r="D11" s="530">
        <f>'2) By Category'!E204</f>
        <v>0</v>
      </c>
      <c r="E11" s="439">
        <f>'2) By Category'!F204</f>
        <v>0</v>
      </c>
      <c r="F11" s="521"/>
    </row>
    <row r="12" spans="2:6" s="520" customFormat="1" ht="16" x14ac:dyDescent="0.2">
      <c r="B12" s="528" t="s">
        <v>222</v>
      </c>
      <c r="C12" s="529">
        <f>'2) By Category'!D205</f>
        <v>123078.3439490446</v>
      </c>
      <c r="D12" s="530">
        <f>'2) By Category'!E205</f>
        <v>0</v>
      </c>
      <c r="E12" s="439">
        <f>'2) By Category'!F205</f>
        <v>0</v>
      </c>
      <c r="F12" s="521"/>
    </row>
    <row r="13" spans="2:6" s="520" customFormat="1" ht="16" x14ac:dyDescent="0.2">
      <c r="B13" s="528" t="s">
        <v>223</v>
      </c>
      <c r="C13" s="529">
        <f>'2) By Category'!D206</f>
        <v>1172412.3765961202</v>
      </c>
      <c r="D13" s="530">
        <f>'2) By Category'!E206</f>
        <v>0</v>
      </c>
      <c r="E13" s="439">
        <f>'2) By Category'!F206</f>
        <v>0</v>
      </c>
      <c r="F13" s="521"/>
    </row>
    <row r="14" spans="2:6" s="520" customFormat="1" ht="17" thickBot="1" x14ac:dyDescent="0.25">
      <c r="B14" s="532" t="s">
        <v>224</v>
      </c>
      <c r="C14" s="533">
        <f>'2) By Category'!D207</f>
        <v>16560.509554140128</v>
      </c>
      <c r="D14" s="534">
        <f>'2) By Category'!E207</f>
        <v>0</v>
      </c>
      <c r="E14" s="535">
        <f>'2) By Category'!F207</f>
        <v>0</v>
      </c>
      <c r="F14" s="521"/>
    </row>
    <row r="15" spans="2:6" s="520" customFormat="1" ht="30" customHeight="1" thickBot="1" x14ac:dyDescent="0.25">
      <c r="B15" s="536" t="s">
        <v>258</v>
      </c>
      <c r="C15" s="537">
        <f>SUM(C8:C14)</f>
        <v>1793006.6495774507</v>
      </c>
      <c r="D15" s="538">
        <f t="shared" ref="D15:E15" si="0">SUM(D8:D14)</f>
        <v>0</v>
      </c>
      <c r="E15" s="539">
        <f t="shared" si="0"/>
        <v>0</v>
      </c>
      <c r="F15" s="521"/>
    </row>
    <row r="16" spans="2:6" s="520" customFormat="1" ht="30" customHeight="1" x14ac:dyDescent="0.2">
      <c r="B16" s="540" t="s">
        <v>237</v>
      </c>
      <c r="C16" s="541">
        <f>C15*0.07</f>
        <v>125510.46547042156</v>
      </c>
      <c r="D16" s="542"/>
      <c r="E16" s="542"/>
      <c r="F16" s="521"/>
    </row>
    <row r="17" spans="2:6" s="520" customFormat="1" ht="30" customHeight="1" thickBot="1" x14ac:dyDescent="0.25">
      <c r="B17" s="543" t="s">
        <v>10</v>
      </c>
      <c r="C17" s="544">
        <f>SUM(C15:C16)</f>
        <v>1918517.1150478723</v>
      </c>
      <c r="D17" s="542"/>
      <c r="E17" s="542"/>
      <c r="F17" s="521"/>
    </row>
    <row r="18" spans="2:6" s="520" customFormat="1" ht="17" thickBot="1" x14ac:dyDescent="0.25">
      <c r="B18" s="521"/>
      <c r="C18" s="521"/>
      <c r="D18" s="521"/>
      <c r="E18" s="521"/>
      <c r="F18" s="521"/>
    </row>
    <row r="19" spans="2:6" s="520" customFormat="1" ht="16" x14ac:dyDescent="0.2">
      <c r="B19" s="762" t="s">
        <v>199</v>
      </c>
      <c r="C19" s="763"/>
      <c r="D19" s="763"/>
      <c r="E19" s="763"/>
      <c r="F19" s="764"/>
    </row>
    <row r="20" spans="2:6" ht="16" x14ac:dyDescent="0.2">
      <c r="B20" s="333"/>
      <c r="C20" s="775" t="str">
        <f>'1) Budget Tables'!D5</f>
        <v>Recipient Organization</v>
      </c>
      <c r="D20" s="334" t="s">
        <v>259</v>
      </c>
      <c r="E20" s="334" t="s">
        <v>260</v>
      </c>
      <c r="F20" s="545" t="s">
        <v>200</v>
      </c>
    </row>
    <row r="21" spans="2:6" ht="16" x14ac:dyDescent="0.2">
      <c r="B21" s="333"/>
      <c r="C21" s="776"/>
      <c r="D21" s="334"/>
      <c r="E21" s="334"/>
      <c r="F21" s="545"/>
    </row>
    <row r="22" spans="2:6" ht="23.25" customHeight="1" x14ac:dyDescent="0.2">
      <c r="B22" s="335" t="s">
        <v>201</v>
      </c>
      <c r="C22" s="546">
        <f>'1) Budget Tables'!D199</f>
        <v>671480.99026675522</v>
      </c>
      <c r="D22" s="547">
        <f>'1) Budget Tables'!E199</f>
        <v>0</v>
      </c>
      <c r="E22" s="547">
        <f>'1) Budget Tables'!F199</f>
        <v>0</v>
      </c>
      <c r="F22" s="548">
        <f>'1) Budget Tables'!H199</f>
        <v>0.35</v>
      </c>
    </row>
    <row r="23" spans="2:6" ht="24.75" customHeight="1" x14ac:dyDescent="0.2">
      <c r="B23" s="335" t="s">
        <v>202</v>
      </c>
      <c r="C23" s="546">
        <f>'1) Budget Tables'!D200</f>
        <v>671480.99026675522</v>
      </c>
      <c r="D23" s="547">
        <f>'1) Budget Tables'!E200</f>
        <v>0</v>
      </c>
      <c r="E23" s="547">
        <f>'1) Budget Tables'!F200</f>
        <v>0</v>
      </c>
      <c r="F23" s="548">
        <f>'1) Budget Tables'!H200</f>
        <v>0.35</v>
      </c>
    </row>
    <row r="24" spans="2:6" ht="24.75" customHeight="1" x14ac:dyDescent="0.2">
      <c r="B24" s="335" t="s">
        <v>261</v>
      </c>
      <c r="C24" s="546">
        <f>'1) Budget Tables'!D201</f>
        <v>575555.13451436162</v>
      </c>
      <c r="D24" s="547"/>
      <c r="E24" s="547"/>
      <c r="F24" s="548">
        <f>'1) Budget Tables'!H201</f>
        <v>0.3</v>
      </c>
    </row>
    <row r="25" spans="2:6" ht="17" thickBot="1" x14ac:dyDescent="0.25">
      <c r="B25" s="332" t="s">
        <v>238</v>
      </c>
      <c r="C25" s="549">
        <f>'1) Budget Tables'!D202</f>
        <v>1918517.1150478721</v>
      </c>
      <c r="D25" s="550"/>
      <c r="E25" s="550"/>
      <c r="F25" s="551"/>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scale="73"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33548-738E-421E-A391-7EC9172DEC35}">
  <dimension ref="C1"/>
  <sheetViews>
    <sheetView workbookViewId="0">
      <selection activeCell="B9" sqref="B9"/>
    </sheetView>
  </sheetViews>
  <sheetFormatPr baseColWidth="10" defaultColWidth="8.83203125" defaultRowHeight="15" x14ac:dyDescent="0.2"/>
  <cols>
    <col min="3" max="3" width="24.83203125" style="358"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6F898-19EA-439A-82BC-51A2E902FF08}">
  <sheetPr>
    <tabColor rgb="FFFFFF00"/>
  </sheetPr>
  <dimension ref="A1:E15"/>
  <sheetViews>
    <sheetView workbookViewId="0">
      <selection activeCell="B9" sqref="B9"/>
    </sheetView>
  </sheetViews>
  <sheetFormatPr baseColWidth="10" defaultColWidth="8.83203125" defaultRowHeight="15" x14ac:dyDescent="0.2"/>
  <cols>
    <col min="1" max="1" width="28.83203125" style="12" customWidth="1"/>
    <col min="2" max="2" width="22.5" bestFit="1" customWidth="1"/>
    <col min="3" max="3" width="22.5" style="365" bestFit="1" customWidth="1"/>
    <col min="4" max="4" width="11.1640625" bestFit="1" customWidth="1"/>
  </cols>
  <sheetData>
    <row r="1" spans="1:5" ht="17" thickBot="1" x14ac:dyDescent="0.25">
      <c r="A1" s="771" t="s">
        <v>194</v>
      </c>
      <c r="B1" s="780"/>
      <c r="C1" s="772"/>
    </row>
    <row r="2" spans="1:5" ht="16" x14ac:dyDescent="0.2">
      <c r="A2" s="38"/>
      <c r="B2" s="777" t="s">
        <v>7</v>
      </c>
      <c r="C2" s="778" t="s">
        <v>262</v>
      </c>
    </row>
    <row r="3" spans="1:5" ht="16" x14ac:dyDescent="0.2">
      <c r="A3" s="38"/>
      <c r="B3" s="776"/>
      <c r="C3" s="779"/>
    </row>
    <row r="4" spans="1:5" ht="17" x14ac:dyDescent="0.2">
      <c r="A4" s="6" t="s">
        <v>218</v>
      </c>
      <c r="B4" s="439">
        <f>'2) By Category'!D201</f>
        <v>373757.96724884666</v>
      </c>
      <c r="C4" s="440">
        <f>B4/$B$13</f>
        <v>0.19481607139038756</v>
      </c>
    </row>
    <row r="5" spans="1:5" ht="34" x14ac:dyDescent="0.2">
      <c r="A5" s="6" t="s">
        <v>219</v>
      </c>
      <c r="B5" s="439">
        <f>'2) By Category'!D202</f>
        <v>0</v>
      </c>
      <c r="C5" s="441">
        <f t="shared" ref="C5:C12" si="0">B5/$B$13</f>
        <v>0</v>
      </c>
    </row>
    <row r="6" spans="1:5" ht="51" x14ac:dyDescent="0.2">
      <c r="A6" s="6" t="s">
        <v>220</v>
      </c>
      <c r="B6" s="439">
        <f>'2) By Category'!D203</f>
        <v>17197.452229299364</v>
      </c>
      <c r="C6" s="441">
        <f t="shared" si="0"/>
        <v>8.9639295341236713E-3</v>
      </c>
    </row>
    <row r="7" spans="1:5" ht="17" x14ac:dyDescent="0.2">
      <c r="A7" s="8" t="s">
        <v>221</v>
      </c>
      <c r="B7" s="439">
        <f>'2) By Category'!D204</f>
        <v>90000</v>
      </c>
      <c r="C7" s="441">
        <f t="shared" si="0"/>
        <v>4.6911231228580541E-2</v>
      </c>
    </row>
    <row r="8" spans="1:5" ht="17" x14ac:dyDescent="0.2">
      <c r="A8" s="66" t="s">
        <v>222</v>
      </c>
      <c r="B8" s="439">
        <f>'2) By Category'!D205</f>
        <v>123078.3439490446</v>
      </c>
      <c r="C8" s="441">
        <f t="shared" si="0"/>
        <v>6.4152851691382212E-2</v>
      </c>
    </row>
    <row r="9" spans="1:5" ht="34" x14ac:dyDescent="0.2">
      <c r="A9" s="6" t="s">
        <v>223</v>
      </c>
      <c r="B9" s="439">
        <f>'2) By Category'!D206</f>
        <v>1172412.3765961202</v>
      </c>
      <c r="C9" s="441">
        <f t="shared" si="0"/>
        <v>0.61110342326389167</v>
      </c>
    </row>
    <row r="10" spans="1:5" ht="34" x14ac:dyDescent="0.2">
      <c r="A10" s="6" t="s">
        <v>224</v>
      </c>
      <c r="B10" s="439">
        <f>'2) By Category'!D207</f>
        <v>16560.509554140128</v>
      </c>
      <c r="C10" s="441">
        <f t="shared" si="0"/>
        <v>8.631932143970943E-3</v>
      </c>
    </row>
    <row r="11" spans="1:5" ht="17" x14ac:dyDescent="0.2">
      <c r="A11" s="434" t="s">
        <v>236</v>
      </c>
      <c r="B11" s="439">
        <f>'2) By Category'!D208</f>
        <v>1793006.6495774507</v>
      </c>
      <c r="C11" s="441">
        <f t="shared" si="0"/>
        <v>0.93457943925233644</v>
      </c>
      <c r="E11" s="649"/>
    </row>
    <row r="12" spans="1:5" ht="17" x14ac:dyDescent="0.2">
      <c r="A12" s="434" t="s">
        <v>237</v>
      </c>
      <c r="B12" s="439">
        <f>'2) By Category'!D209</f>
        <v>125510.46547042156</v>
      </c>
      <c r="C12" s="441">
        <f t="shared" si="0"/>
        <v>6.5420560747663559E-2</v>
      </c>
    </row>
    <row r="13" spans="1:5" ht="18" thickBot="1" x14ac:dyDescent="0.25">
      <c r="A13" s="68" t="s">
        <v>238</v>
      </c>
      <c r="B13" s="363">
        <f>'2) By Category'!D210</f>
        <v>1918517.1150478723</v>
      </c>
      <c r="C13" s="364">
        <f>C12+C11</f>
        <v>1</v>
      </c>
      <c r="E13" s="649"/>
    </row>
    <row r="14" spans="1:5" x14ac:dyDescent="0.2">
      <c r="B14" s="12"/>
    </row>
    <row r="15" spans="1:5" x14ac:dyDescent="0.2">
      <c r="B15" s="366"/>
    </row>
  </sheetData>
  <mergeCells count="3">
    <mergeCell ref="B2:B3"/>
    <mergeCell ref="C2:C3"/>
    <mergeCell ref="A1:C1"/>
  </mergeCell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28FB9-AB4D-4858-8EFE-CA6F51CE5D75}">
  <sheetPr>
    <tabColor rgb="FF00B050"/>
  </sheetPr>
  <dimension ref="A1:HX276"/>
  <sheetViews>
    <sheetView zoomScale="70" zoomScaleNormal="70" workbookViewId="0">
      <pane ySplit="5" topLeftCell="A6" activePane="bottomLeft" state="frozen"/>
      <selection activeCell="B9" sqref="B9"/>
      <selection pane="bottomLeft" activeCell="B9" sqref="B9"/>
    </sheetView>
  </sheetViews>
  <sheetFormatPr baseColWidth="10" defaultColWidth="10.1640625" defaultRowHeight="16" outlineLevelRow="2" outlineLevelCol="1" x14ac:dyDescent="0.2"/>
  <cols>
    <col min="1" max="1" width="59" style="370" customWidth="1"/>
    <col min="2" max="2" width="30.5" style="370" customWidth="1" outlineLevel="1"/>
    <col min="3" max="3" width="22.1640625" style="370" bestFit="1" customWidth="1"/>
    <col min="4" max="4" width="12.5" style="370" customWidth="1"/>
    <col min="5" max="5" width="14.83203125" style="370" customWidth="1"/>
    <col min="6" max="6" width="19.5" style="370" customWidth="1"/>
    <col min="7" max="7" width="20.83203125" style="370" customWidth="1"/>
    <col min="8" max="8" width="19.1640625" style="370" bestFit="1" customWidth="1"/>
    <col min="9" max="9" width="19.1640625" style="370" bestFit="1" customWidth="1" outlineLevel="1"/>
    <col min="10" max="10" width="13.83203125" style="370" customWidth="1" outlineLevel="1"/>
    <col min="11" max="11" width="8.5" style="370" customWidth="1"/>
    <col min="12" max="12" width="10.1640625" style="370"/>
    <col min="13" max="13" width="12.83203125" style="370" bestFit="1" customWidth="1"/>
    <col min="14" max="14" width="12.1640625" style="370" bestFit="1" customWidth="1"/>
    <col min="15" max="73" width="10.1640625" style="370"/>
    <col min="74" max="74" width="69.1640625" style="370" bestFit="1" customWidth="1"/>
    <col min="75" max="75" width="15.5" style="370" customWidth="1"/>
    <col min="76" max="77" width="18.1640625" style="370" customWidth="1"/>
    <col min="78" max="78" width="16.5" style="370" bestFit="1" customWidth="1"/>
    <col min="79" max="79" width="17.5" style="370" bestFit="1" customWidth="1"/>
    <col min="80" max="80" width="13.83203125" style="370" bestFit="1" customWidth="1"/>
    <col min="81" max="81" width="17.5" style="370" bestFit="1" customWidth="1"/>
    <col min="82" max="82" width="13.83203125" style="370" bestFit="1" customWidth="1"/>
    <col min="83" max="83" width="17.5" style="370" bestFit="1" customWidth="1"/>
    <col min="84" max="84" width="14.1640625" style="370" bestFit="1" customWidth="1"/>
    <col min="85" max="227" width="10.1640625" style="370"/>
    <col min="228" max="228" width="71.1640625" style="370" customWidth="1"/>
    <col min="229" max="229" width="57.83203125" style="370" customWidth="1"/>
    <col min="230" max="235" width="5.1640625" style="370" customWidth="1"/>
    <col min="236" max="236" width="36.5" style="370" customWidth="1"/>
    <col min="237" max="237" width="12.5" style="370" customWidth="1"/>
    <col min="238" max="238" width="14.83203125" style="370" customWidth="1"/>
    <col min="239" max="239" width="19.5" style="370" bestFit="1" customWidth="1"/>
    <col min="240" max="240" width="20.83203125" style="370" customWidth="1"/>
    <col min="241" max="241" width="16.5" style="370" customWidth="1"/>
    <col min="242" max="242" width="17" style="370" customWidth="1"/>
    <col min="243" max="243" width="17.1640625" style="370" customWidth="1"/>
    <col min="244" max="244" width="15.1640625" style="370" bestFit="1" customWidth="1"/>
    <col min="245" max="245" width="20" style="370" bestFit="1" customWidth="1"/>
    <col min="246" max="248" width="16.5" style="370" customWidth="1"/>
    <col min="249" max="329" width="10.1640625" style="370"/>
    <col min="330" max="330" width="69.1640625" style="370" bestFit="1" customWidth="1"/>
    <col min="331" max="331" width="15.5" style="370" customWidth="1"/>
    <col min="332" max="333" width="18.1640625" style="370" customWidth="1"/>
    <col min="334" max="334" width="16.5" style="370" bestFit="1" customWidth="1"/>
    <col min="335" max="335" width="17.5" style="370" bestFit="1" customWidth="1"/>
    <col min="336" max="336" width="13.83203125" style="370" bestFit="1" customWidth="1"/>
    <col min="337" max="337" width="17.5" style="370" bestFit="1" customWidth="1"/>
    <col min="338" max="338" width="13.83203125" style="370" bestFit="1" customWidth="1"/>
    <col min="339" max="339" width="17.5" style="370" bestFit="1" customWidth="1"/>
    <col min="340" max="340" width="14.1640625" style="370" bestFit="1" customWidth="1"/>
    <col min="341" max="483" width="10.1640625" style="370"/>
    <col min="484" max="484" width="71.1640625" style="370" customWidth="1"/>
    <col min="485" max="485" width="57.83203125" style="370" customWidth="1"/>
    <col min="486" max="491" width="5.1640625" style="370" customWidth="1"/>
    <col min="492" max="492" width="36.5" style="370" customWidth="1"/>
    <col min="493" max="493" width="12.5" style="370" customWidth="1"/>
    <col min="494" max="494" width="14.83203125" style="370" customWidth="1"/>
    <col min="495" max="495" width="19.5" style="370" bestFit="1" customWidth="1"/>
    <col min="496" max="496" width="20.83203125" style="370" customWidth="1"/>
    <col min="497" max="497" width="16.5" style="370" customWidth="1"/>
    <col min="498" max="498" width="17" style="370" customWidth="1"/>
    <col min="499" max="499" width="17.1640625" style="370" customWidth="1"/>
    <col min="500" max="500" width="15.1640625" style="370" bestFit="1" customWidth="1"/>
    <col min="501" max="501" width="20" style="370" bestFit="1" customWidth="1"/>
    <col min="502" max="504" width="16.5" style="370" customWidth="1"/>
    <col min="505" max="585" width="10.1640625" style="370"/>
    <col min="586" max="586" width="69.1640625" style="370" bestFit="1" customWidth="1"/>
    <col min="587" max="587" width="15.5" style="370" customWidth="1"/>
    <col min="588" max="589" width="18.1640625" style="370" customWidth="1"/>
    <col min="590" max="590" width="16.5" style="370" bestFit="1" customWidth="1"/>
    <col min="591" max="591" width="17.5" style="370" bestFit="1" customWidth="1"/>
    <col min="592" max="592" width="13.83203125" style="370" bestFit="1" customWidth="1"/>
    <col min="593" max="593" width="17.5" style="370" bestFit="1" customWidth="1"/>
    <col min="594" max="594" width="13.83203125" style="370" bestFit="1" customWidth="1"/>
    <col min="595" max="595" width="17.5" style="370" bestFit="1" customWidth="1"/>
    <col min="596" max="596" width="14.1640625" style="370" bestFit="1" customWidth="1"/>
    <col min="597" max="739" width="10.1640625" style="370"/>
    <col min="740" max="740" width="71.1640625" style="370" customWidth="1"/>
    <col min="741" max="741" width="57.83203125" style="370" customWidth="1"/>
    <col min="742" max="747" width="5.1640625" style="370" customWidth="1"/>
    <col min="748" max="748" width="36.5" style="370" customWidth="1"/>
    <col min="749" max="749" width="12.5" style="370" customWidth="1"/>
    <col min="750" max="750" width="14.83203125" style="370" customWidth="1"/>
    <col min="751" max="751" width="19.5" style="370" bestFit="1" customWidth="1"/>
    <col min="752" max="752" width="20.83203125" style="370" customWidth="1"/>
    <col min="753" max="753" width="16.5" style="370" customWidth="1"/>
    <col min="754" max="754" width="17" style="370" customWidth="1"/>
    <col min="755" max="755" width="17.1640625" style="370" customWidth="1"/>
    <col min="756" max="756" width="15.1640625" style="370" bestFit="1" customWidth="1"/>
    <col min="757" max="757" width="20" style="370" bestFit="1" customWidth="1"/>
    <col min="758" max="760" width="16.5" style="370" customWidth="1"/>
    <col min="761" max="841" width="10.1640625" style="370"/>
    <col min="842" max="842" width="69.1640625" style="370" bestFit="1" customWidth="1"/>
    <col min="843" max="843" width="15.5" style="370" customWidth="1"/>
    <col min="844" max="845" width="18.1640625" style="370" customWidth="1"/>
    <col min="846" max="846" width="16.5" style="370" bestFit="1" customWidth="1"/>
    <col min="847" max="847" width="17.5" style="370" bestFit="1" customWidth="1"/>
    <col min="848" max="848" width="13.83203125" style="370" bestFit="1" customWidth="1"/>
    <col min="849" max="849" width="17.5" style="370" bestFit="1" customWidth="1"/>
    <col min="850" max="850" width="13.83203125" style="370" bestFit="1" customWidth="1"/>
    <col min="851" max="851" width="17.5" style="370" bestFit="1" customWidth="1"/>
    <col min="852" max="852" width="14.1640625" style="370" bestFit="1" customWidth="1"/>
    <col min="853" max="995" width="10.1640625" style="370"/>
    <col min="996" max="996" width="71.1640625" style="370" customWidth="1"/>
    <col min="997" max="997" width="57.83203125" style="370" customWidth="1"/>
    <col min="998" max="1003" width="5.1640625" style="370" customWidth="1"/>
    <col min="1004" max="1004" width="36.5" style="370" customWidth="1"/>
    <col min="1005" max="1005" width="12.5" style="370" customWidth="1"/>
    <col min="1006" max="1006" width="14.83203125" style="370" customWidth="1"/>
    <col min="1007" max="1007" width="19.5" style="370" bestFit="1" customWidth="1"/>
    <col min="1008" max="1008" width="20.83203125" style="370" customWidth="1"/>
    <col min="1009" max="1009" width="16.5" style="370" customWidth="1"/>
    <col min="1010" max="1010" width="17" style="370" customWidth="1"/>
    <col min="1011" max="1011" width="17.1640625" style="370" customWidth="1"/>
    <col min="1012" max="1012" width="15.1640625" style="370" bestFit="1" customWidth="1"/>
    <col min="1013" max="1013" width="20" style="370" bestFit="1" customWidth="1"/>
    <col min="1014" max="1016" width="16.5" style="370" customWidth="1"/>
    <col min="1017" max="1097" width="10.1640625" style="370"/>
    <col min="1098" max="1098" width="69.1640625" style="370" bestFit="1" customWidth="1"/>
    <col min="1099" max="1099" width="15.5" style="370" customWidth="1"/>
    <col min="1100" max="1101" width="18.1640625" style="370" customWidth="1"/>
    <col min="1102" max="1102" width="16.5" style="370" bestFit="1" customWidth="1"/>
    <col min="1103" max="1103" width="17.5" style="370" bestFit="1" customWidth="1"/>
    <col min="1104" max="1104" width="13.83203125" style="370" bestFit="1" customWidth="1"/>
    <col min="1105" max="1105" width="17.5" style="370" bestFit="1" customWidth="1"/>
    <col min="1106" max="1106" width="13.83203125" style="370" bestFit="1" customWidth="1"/>
    <col min="1107" max="1107" width="17.5" style="370" bestFit="1" customWidth="1"/>
    <col min="1108" max="1108" width="14.1640625" style="370" bestFit="1" customWidth="1"/>
    <col min="1109" max="1251" width="10.1640625" style="370"/>
    <col min="1252" max="1252" width="71.1640625" style="370" customWidth="1"/>
    <col min="1253" max="1253" width="57.83203125" style="370" customWidth="1"/>
    <col min="1254" max="1259" width="5.1640625" style="370" customWidth="1"/>
    <col min="1260" max="1260" width="36.5" style="370" customWidth="1"/>
    <col min="1261" max="1261" width="12.5" style="370" customWidth="1"/>
    <col min="1262" max="1262" width="14.83203125" style="370" customWidth="1"/>
    <col min="1263" max="1263" width="19.5" style="370" bestFit="1" customWidth="1"/>
    <col min="1264" max="1264" width="20.83203125" style="370" customWidth="1"/>
    <col min="1265" max="1265" width="16.5" style="370" customWidth="1"/>
    <col min="1266" max="1266" width="17" style="370" customWidth="1"/>
    <col min="1267" max="1267" width="17.1640625" style="370" customWidth="1"/>
    <col min="1268" max="1268" width="15.1640625" style="370" bestFit="1" customWidth="1"/>
    <col min="1269" max="1269" width="20" style="370" bestFit="1" customWidth="1"/>
    <col min="1270" max="1272" width="16.5" style="370" customWidth="1"/>
    <col min="1273" max="1353" width="10.1640625" style="370"/>
    <col min="1354" max="1354" width="69.1640625" style="370" bestFit="1" customWidth="1"/>
    <col min="1355" max="1355" width="15.5" style="370" customWidth="1"/>
    <col min="1356" max="1357" width="18.1640625" style="370" customWidth="1"/>
    <col min="1358" max="1358" width="16.5" style="370" bestFit="1" customWidth="1"/>
    <col min="1359" max="1359" width="17.5" style="370" bestFit="1" customWidth="1"/>
    <col min="1360" max="1360" width="13.83203125" style="370" bestFit="1" customWidth="1"/>
    <col min="1361" max="1361" width="17.5" style="370" bestFit="1" customWidth="1"/>
    <col min="1362" max="1362" width="13.83203125" style="370" bestFit="1" customWidth="1"/>
    <col min="1363" max="1363" width="17.5" style="370" bestFit="1" customWidth="1"/>
    <col min="1364" max="1364" width="14.1640625" style="370" bestFit="1" customWidth="1"/>
    <col min="1365" max="1507" width="10.1640625" style="370"/>
    <col min="1508" max="1508" width="71.1640625" style="370" customWidth="1"/>
    <col min="1509" max="1509" width="57.83203125" style="370" customWidth="1"/>
    <col min="1510" max="1515" width="5.1640625" style="370" customWidth="1"/>
    <col min="1516" max="1516" width="36.5" style="370" customWidth="1"/>
    <col min="1517" max="1517" width="12.5" style="370" customWidth="1"/>
    <col min="1518" max="1518" width="14.83203125" style="370" customWidth="1"/>
    <col min="1519" max="1519" width="19.5" style="370" bestFit="1" customWidth="1"/>
    <col min="1520" max="1520" width="20.83203125" style="370" customWidth="1"/>
    <col min="1521" max="1521" width="16.5" style="370" customWidth="1"/>
    <col min="1522" max="1522" width="17" style="370" customWidth="1"/>
    <col min="1523" max="1523" width="17.1640625" style="370" customWidth="1"/>
    <col min="1524" max="1524" width="15.1640625" style="370" bestFit="1" customWidth="1"/>
    <col min="1525" max="1525" width="20" style="370" bestFit="1" customWidth="1"/>
    <col min="1526" max="1528" width="16.5" style="370" customWidth="1"/>
    <col min="1529" max="1609" width="10.1640625" style="370"/>
    <col min="1610" max="1610" width="69.1640625" style="370" bestFit="1" customWidth="1"/>
    <col min="1611" max="1611" width="15.5" style="370" customWidth="1"/>
    <col min="1612" max="1613" width="18.1640625" style="370" customWidth="1"/>
    <col min="1614" max="1614" width="16.5" style="370" bestFit="1" customWidth="1"/>
    <col min="1615" max="1615" width="17.5" style="370" bestFit="1" customWidth="1"/>
    <col min="1616" max="1616" width="13.83203125" style="370" bestFit="1" customWidth="1"/>
    <col min="1617" max="1617" width="17.5" style="370" bestFit="1" customWidth="1"/>
    <col min="1618" max="1618" width="13.83203125" style="370" bestFit="1" customWidth="1"/>
    <col min="1619" max="1619" width="17.5" style="370" bestFit="1" customWidth="1"/>
    <col min="1620" max="1620" width="14.1640625" style="370" bestFit="1" customWidth="1"/>
    <col min="1621" max="1763" width="10.1640625" style="370"/>
    <col min="1764" max="1764" width="71.1640625" style="370" customWidth="1"/>
    <col min="1765" max="1765" width="57.83203125" style="370" customWidth="1"/>
    <col min="1766" max="1771" width="5.1640625" style="370" customWidth="1"/>
    <col min="1772" max="1772" width="36.5" style="370" customWidth="1"/>
    <col min="1773" max="1773" width="12.5" style="370" customWidth="1"/>
    <col min="1774" max="1774" width="14.83203125" style="370" customWidth="1"/>
    <col min="1775" max="1775" width="19.5" style="370" bestFit="1" customWidth="1"/>
    <col min="1776" max="1776" width="20.83203125" style="370" customWidth="1"/>
    <col min="1777" max="1777" width="16.5" style="370" customWidth="1"/>
    <col min="1778" max="1778" width="17" style="370" customWidth="1"/>
    <col min="1779" max="1779" width="17.1640625" style="370" customWidth="1"/>
    <col min="1780" max="1780" width="15.1640625" style="370" bestFit="1" customWidth="1"/>
    <col min="1781" max="1781" width="20" style="370" bestFit="1" customWidth="1"/>
    <col min="1782" max="1784" width="16.5" style="370" customWidth="1"/>
    <col min="1785" max="1865" width="10.1640625" style="370"/>
    <col min="1866" max="1866" width="69.1640625" style="370" bestFit="1" customWidth="1"/>
    <col min="1867" max="1867" width="15.5" style="370" customWidth="1"/>
    <col min="1868" max="1869" width="18.1640625" style="370" customWidth="1"/>
    <col min="1870" max="1870" width="16.5" style="370" bestFit="1" customWidth="1"/>
    <col min="1871" max="1871" width="17.5" style="370" bestFit="1" customWidth="1"/>
    <col min="1872" max="1872" width="13.83203125" style="370" bestFit="1" customWidth="1"/>
    <col min="1873" max="1873" width="17.5" style="370" bestFit="1" customWidth="1"/>
    <col min="1874" max="1874" width="13.83203125" style="370" bestFit="1" customWidth="1"/>
    <col min="1875" max="1875" width="17.5" style="370" bestFit="1" customWidth="1"/>
    <col min="1876" max="1876" width="14.1640625" style="370" bestFit="1" customWidth="1"/>
    <col min="1877" max="2019" width="10.1640625" style="370"/>
    <col min="2020" max="2020" width="71.1640625" style="370" customWidth="1"/>
    <col min="2021" max="2021" width="57.83203125" style="370" customWidth="1"/>
    <col min="2022" max="2027" width="5.1640625" style="370" customWidth="1"/>
    <col min="2028" max="2028" width="36.5" style="370" customWidth="1"/>
    <col min="2029" max="2029" width="12.5" style="370" customWidth="1"/>
    <col min="2030" max="2030" width="14.83203125" style="370" customWidth="1"/>
    <col min="2031" max="2031" width="19.5" style="370" bestFit="1" customWidth="1"/>
    <col min="2032" max="2032" width="20.83203125" style="370" customWidth="1"/>
    <col min="2033" max="2033" width="16.5" style="370" customWidth="1"/>
    <col min="2034" max="2034" width="17" style="370" customWidth="1"/>
    <col min="2035" max="2035" width="17.1640625" style="370" customWidth="1"/>
    <col min="2036" max="2036" width="15.1640625" style="370" bestFit="1" customWidth="1"/>
    <col min="2037" max="2037" width="20" style="370" bestFit="1" customWidth="1"/>
    <col min="2038" max="2040" width="16.5" style="370" customWidth="1"/>
    <col min="2041" max="2121" width="10.1640625" style="370"/>
    <col min="2122" max="2122" width="69.1640625" style="370" bestFit="1" customWidth="1"/>
    <col min="2123" max="2123" width="15.5" style="370" customWidth="1"/>
    <col min="2124" max="2125" width="18.1640625" style="370" customWidth="1"/>
    <col min="2126" max="2126" width="16.5" style="370" bestFit="1" customWidth="1"/>
    <col min="2127" max="2127" width="17.5" style="370" bestFit="1" customWidth="1"/>
    <col min="2128" max="2128" width="13.83203125" style="370" bestFit="1" customWidth="1"/>
    <col min="2129" max="2129" width="17.5" style="370" bestFit="1" customWidth="1"/>
    <col min="2130" max="2130" width="13.83203125" style="370" bestFit="1" customWidth="1"/>
    <col min="2131" max="2131" width="17.5" style="370" bestFit="1" customWidth="1"/>
    <col min="2132" max="2132" width="14.1640625" style="370" bestFit="1" customWidth="1"/>
    <col min="2133" max="2275" width="10.1640625" style="370"/>
    <col min="2276" max="2276" width="71.1640625" style="370" customWidth="1"/>
    <col min="2277" max="2277" width="57.83203125" style="370" customWidth="1"/>
    <col min="2278" max="2283" width="5.1640625" style="370" customWidth="1"/>
    <col min="2284" max="2284" width="36.5" style="370" customWidth="1"/>
    <col min="2285" max="2285" width="12.5" style="370" customWidth="1"/>
    <col min="2286" max="2286" width="14.83203125" style="370" customWidth="1"/>
    <col min="2287" max="2287" width="19.5" style="370" bestFit="1" customWidth="1"/>
    <col min="2288" max="2288" width="20.83203125" style="370" customWidth="1"/>
    <col min="2289" max="2289" width="16.5" style="370" customWidth="1"/>
    <col min="2290" max="2290" width="17" style="370" customWidth="1"/>
    <col min="2291" max="2291" width="17.1640625" style="370" customWidth="1"/>
    <col min="2292" max="2292" width="15.1640625" style="370" bestFit="1" customWidth="1"/>
    <col min="2293" max="2293" width="20" style="370" bestFit="1" customWidth="1"/>
    <col min="2294" max="2296" width="16.5" style="370" customWidth="1"/>
    <col min="2297" max="2377" width="10.1640625" style="370"/>
    <col min="2378" max="2378" width="69.1640625" style="370" bestFit="1" customWidth="1"/>
    <col min="2379" max="2379" width="15.5" style="370" customWidth="1"/>
    <col min="2380" max="2381" width="18.1640625" style="370" customWidth="1"/>
    <col min="2382" max="2382" width="16.5" style="370" bestFit="1" customWidth="1"/>
    <col min="2383" max="2383" width="17.5" style="370" bestFit="1" customWidth="1"/>
    <col min="2384" max="2384" width="13.83203125" style="370" bestFit="1" customWidth="1"/>
    <col min="2385" max="2385" width="17.5" style="370" bestFit="1" customWidth="1"/>
    <col min="2386" max="2386" width="13.83203125" style="370" bestFit="1" customWidth="1"/>
    <col min="2387" max="2387" width="17.5" style="370" bestFit="1" customWidth="1"/>
    <col min="2388" max="2388" width="14.1640625" style="370" bestFit="1" customWidth="1"/>
    <col min="2389" max="2531" width="10.1640625" style="370"/>
    <col min="2532" max="2532" width="71.1640625" style="370" customWidth="1"/>
    <col min="2533" max="2533" width="57.83203125" style="370" customWidth="1"/>
    <col min="2534" max="2539" width="5.1640625" style="370" customWidth="1"/>
    <col min="2540" max="2540" width="36.5" style="370" customWidth="1"/>
    <col min="2541" max="2541" width="12.5" style="370" customWidth="1"/>
    <col min="2542" max="2542" width="14.83203125" style="370" customWidth="1"/>
    <col min="2543" max="2543" width="19.5" style="370" bestFit="1" customWidth="1"/>
    <col min="2544" max="2544" width="20.83203125" style="370" customWidth="1"/>
    <col min="2545" max="2545" width="16.5" style="370" customWidth="1"/>
    <col min="2546" max="2546" width="17" style="370" customWidth="1"/>
    <col min="2547" max="2547" width="17.1640625" style="370" customWidth="1"/>
    <col min="2548" max="2548" width="15.1640625" style="370" bestFit="1" customWidth="1"/>
    <col min="2549" max="2549" width="20" style="370" bestFit="1" customWidth="1"/>
    <col min="2550" max="2552" width="16.5" style="370" customWidth="1"/>
    <col min="2553" max="2633" width="10.1640625" style="370"/>
    <col min="2634" max="2634" width="69.1640625" style="370" bestFit="1" customWidth="1"/>
    <col min="2635" max="2635" width="15.5" style="370" customWidth="1"/>
    <col min="2636" max="2637" width="18.1640625" style="370" customWidth="1"/>
    <col min="2638" max="2638" width="16.5" style="370" bestFit="1" customWidth="1"/>
    <col min="2639" max="2639" width="17.5" style="370" bestFit="1" customWidth="1"/>
    <col min="2640" max="2640" width="13.83203125" style="370" bestFit="1" customWidth="1"/>
    <col min="2641" max="2641" width="17.5" style="370" bestFit="1" customWidth="1"/>
    <col min="2642" max="2642" width="13.83203125" style="370" bestFit="1" customWidth="1"/>
    <col min="2643" max="2643" width="17.5" style="370" bestFit="1" customWidth="1"/>
    <col min="2644" max="2644" width="14.1640625" style="370" bestFit="1" customWidth="1"/>
    <col min="2645" max="2787" width="10.1640625" style="370"/>
    <col min="2788" max="2788" width="71.1640625" style="370" customWidth="1"/>
    <col min="2789" max="2789" width="57.83203125" style="370" customWidth="1"/>
    <col min="2790" max="2795" width="5.1640625" style="370" customWidth="1"/>
    <col min="2796" max="2796" width="36.5" style="370" customWidth="1"/>
    <col min="2797" max="2797" width="12.5" style="370" customWidth="1"/>
    <col min="2798" max="2798" width="14.83203125" style="370" customWidth="1"/>
    <col min="2799" max="2799" width="19.5" style="370" bestFit="1" customWidth="1"/>
    <col min="2800" max="2800" width="20.83203125" style="370" customWidth="1"/>
    <col min="2801" max="2801" width="16.5" style="370" customWidth="1"/>
    <col min="2802" max="2802" width="17" style="370" customWidth="1"/>
    <col min="2803" max="2803" width="17.1640625" style="370" customWidth="1"/>
    <col min="2804" max="2804" width="15.1640625" style="370" bestFit="1" customWidth="1"/>
    <col min="2805" max="2805" width="20" style="370" bestFit="1" customWidth="1"/>
    <col min="2806" max="2808" width="16.5" style="370" customWidth="1"/>
    <col min="2809" max="2889" width="10.1640625" style="370"/>
    <col min="2890" max="2890" width="69.1640625" style="370" bestFit="1" customWidth="1"/>
    <col min="2891" max="2891" width="15.5" style="370" customWidth="1"/>
    <col min="2892" max="2893" width="18.1640625" style="370" customWidth="1"/>
    <col min="2894" max="2894" width="16.5" style="370" bestFit="1" customWidth="1"/>
    <col min="2895" max="2895" width="17.5" style="370" bestFit="1" customWidth="1"/>
    <col min="2896" max="2896" width="13.83203125" style="370" bestFit="1" customWidth="1"/>
    <col min="2897" max="2897" width="17.5" style="370" bestFit="1" customWidth="1"/>
    <col min="2898" max="2898" width="13.83203125" style="370" bestFit="1" customWidth="1"/>
    <col min="2899" max="2899" width="17.5" style="370" bestFit="1" customWidth="1"/>
    <col min="2900" max="2900" width="14.1640625" style="370" bestFit="1" customWidth="1"/>
    <col min="2901" max="3043" width="10.1640625" style="370"/>
    <col min="3044" max="3044" width="71.1640625" style="370" customWidth="1"/>
    <col min="3045" max="3045" width="57.83203125" style="370" customWidth="1"/>
    <col min="3046" max="3051" width="5.1640625" style="370" customWidth="1"/>
    <col min="3052" max="3052" width="36.5" style="370" customWidth="1"/>
    <col min="3053" max="3053" width="12.5" style="370" customWidth="1"/>
    <col min="3054" max="3054" width="14.83203125" style="370" customWidth="1"/>
    <col min="3055" max="3055" width="19.5" style="370" bestFit="1" customWidth="1"/>
    <col min="3056" max="3056" width="20.83203125" style="370" customWidth="1"/>
    <col min="3057" max="3057" width="16.5" style="370" customWidth="1"/>
    <col min="3058" max="3058" width="17" style="370" customWidth="1"/>
    <col min="3059" max="3059" width="17.1640625" style="370" customWidth="1"/>
    <col min="3060" max="3060" width="15.1640625" style="370" bestFit="1" customWidth="1"/>
    <col min="3061" max="3061" width="20" style="370" bestFit="1" customWidth="1"/>
    <col min="3062" max="3064" width="16.5" style="370" customWidth="1"/>
    <col min="3065" max="3145" width="10.1640625" style="370"/>
    <col min="3146" max="3146" width="69.1640625" style="370" bestFit="1" customWidth="1"/>
    <col min="3147" max="3147" width="15.5" style="370" customWidth="1"/>
    <col min="3148" max="3149" width="18.1640625" style="370" customWidth="1"/>
    <col min="3150" max="3150" width="16.5" style="370" bestFit="1" customWidth="1"/>
    <col min="3151" max="3151" width="17.5" style="370" bestFit="1" customWidth="1"/>
    <col min="3152" max="3152" width="13.83203125" style="370" bestFit="1" customWidth="1"/>
    <col min="3153" max="3153" width="17.5" style="370" bestFit="1" customWidth="1"/>
    <col min="3154" max="3154" width="13.83203125" style="370" bestFit="1" customWidth="1"/>
    <col min="3155" max="3155" width="17.5" style="370" bestFit="1" customWidth="1"/>
    <col min="3156" max="3156" width="14.1640625" style="370" bestFit="1" customWidth="1"/>
    <col min="3157" max="3299" width="10.1640625" style="370"/>
    <col min="3300" max="3300" width="71.1640625" style="370" customWidth="1"/>
    <col min="3301" max="3301" width="57.83203125" style="370" customWidth="1"/>
    <col min="3302" max="3307" width="5.1640625" style="370" customWidth="1"/>
    <col min="3308" max="3308" width="36.5" style="370" customWidth="1"/>
    <col min="3309" max="3309" width="12.5" style="370" customWidth="1"/>
    <col min="3310" max="3310" width="14.83203125" style="370" customWidth="1"/>
    <col min="3311" max="3311" width="19.5" style="370" bestFit="1" customWidth="1"/>
    <col min="3312" max="3312" width="20.83203125" style="370" customWidth="1"/>
    <col min="3313" max="3313" width="16.5" style="370" customWidth="1"/>
    <col min="3314" max="3314" width="17" style="370" customWidth="1"/>
    <col min="3315" max="3315" width="17.1640625" style="370" customWidth="1"/>
    <col min="3316" max="3316" width="15.1640625" style="370" bestFit="1" customWidth="1"/>
    <col min="3317" max="3317" width="20" style="370" bestFit="1" customWidth="1"/>
    <col min="3318" max="3320" width="16.5" style="370" customWidth="1"/>
    <col min="3321" max="3401" width="10.1640625" style="370"/>
    <col min="3402" max="3402" width="69.1640625" style="370" bestFit="1" customWidth="1"/>
    <col min="3403" max="3403" width="15.5" style="370" customWidth="1"/>
    <col min="3404" max="3405" width="18.1640625" style="370" customWidth="1"/>
    <col min="3406" max="3406" width="16.5" style="370" bestFit="1" customWidth="1"/>
    <col min="3407" max="3407" width="17.5" style="370" bestFit="1" customWidth="1"/>
    <col min="3408" max="3408" width="13.83203125" style="370" bestFit="1" customWidth="1"/>
    <col min="3409" max="3409" width="17.5" style="370" bestFit="1" customWidth="1"/>
    <col min="3410" max="3410" width="13.83203125" style="370" bestFit="1" customWidth="1"/>
    <col min="3411" max="3411" width="17.5" style="370" bestFit="1" customWidth="1"/>
    <col min="3412" max="3412" width="14.1640625" style="370" bestFit="1" customWidth="1"/>
    <col min="3413" max="3555" width="10.1640625" style="370"/>
    <col min="3556" max="3556" width="71.1640625" style="370" customWidth="1"/>
    <col min="3557" max="3557" width="57.83203125" style="370" customWidth="1"/>
    <col min="3558" max="3563" width="5.1640625" style="370" customWidth="1"/>
    <col min="3564" max="3564" width="36.5" style="370" customWidth="1"/>
    <col min="3565" max="3565" width="12.5" style="370" customWidth="1"/>
    <col min="3566" max="3566" width="14.83203125" style="370" customWidth="1"/>
    <col min="3567" max="3567" width="19.5" style="370" bestFit="1" customWidth="1"/>
    <col min="3568" max="3568" width="20.83203125" style="370" customWidth="1"/>
    <col min="3569" max="3569" width="16.5" style="370" customWidth="1"/>
    <col min="3570" max="3570" width="17" style="370" customWidth="1"/>
    <col min="3571" max="3571" width="17.1640625" style="370" customWidth="1"/>
    <col min="3572" max="3572" width="15.1640625" style="370" bestFit="1" customWidth="1"/>
    <col min="3573" max="3573" width="20" style="370" bestFit="1" customWidth="1"/>
    <col min="3574" max="3576" width="16.5" style="370" customWidth="1"/>
    <col min="3577" max="3657" width="10.1640625" style="370"/>
    <col min="3658" max="3658" width="69.1640625" style="370" bestFit="1" customWidth="1"/>
    <col min="3659" max="3659" width="15.5" style="370" customWidth="1"/>
    <col min="3660" max="3661" width="18.1640625" style="370" customWidth="1"/>
    <col min="3662" max="3662" width="16.5" style="370" bestFit="1" customWidth="1"/>
    <col min="3663" max="3663" width="17.5" style="370" bestFit="1" customWidth="1"/>
    <col min="3664" max="3664" width="13.83203125" style="370" bestFit="1" customWidth="1"/>
    <col min="3665" max="3665" width="17.5" style="370" bestFit="1" customWidth="1"/>
    <col min="3666" max="3666" width="13.83203125" style="370" bestFit="1" customWidth="1"/>
    <col min="3667" max="3667" width="17.5" style="370" bestFit="1" customWidth="1"/>
    <col min="3668" max="3668" width="14.1640625" style="370" bestFit="1" customWidth="1"/>
    <col min="3669" max="3811" width="10.1640625" style="370"/>
    <col min="3812" max="3812" width="71.1640625" style="370" customWidth="1"/>
    <col min="3813" max="3813" width="57.83203125" style="370" customWidth="1"/>
    <col min="3814" max="3819" width="5.1640625" style="370" customWidth="1"/>
    <col min="3820" max="3820" width="36.5" style="370" customWidth="1"/>
    <col min="3821" max="3821" width="12.5" style="370" customWidth="1"/>
    <col min="3822" max="3822" width="14.83203125" style="370" customWidth="1"/>
    <col min="3823" max="3823" width="19.5" style="370" bestFit="1" customWidth="1"/>
    <col min="3824" max="3824" width="20.83203125" style="370" customWidth="1"/>
    <col min="3825" max="3825" width="16.5" style="370" customWidth="1"/>
    <col min="3826" max="3826" width="17" style="370" customWidth="1"/>
    <col min="3827" max="3827" width="17.1640625" style="370" customWidth="1"/>
    <col min="3828" max="3828" width="15.1640625" style="370" bestFit="1" customWidth="1"/>
    <col min="3829" max="3829" width="20" style="370" bestFit="1" customWidth="1"/>
    <col min="3830" max="3832" width="16.5" style="370" customWidth="1"/>
    <col min="3833" max="3913" width="10.1640625" style="370"/>
    <col min="3914" max="3914" width="69.1640625" style="370" bestFit="1" customWidth="1"/>
    <col min="3915" max="3915" width="15.5" style="370" customWidth="1"/>
    <col min="3916" max="3917" width="18.1640625" style="370" customWidth="1"/>
    <col min="3918" max="3918" width="16.5" style="370" bestFit="1" customWidth="1"/>
    <col min="3919" max="3919" width="17.5" style="370" bestFit="1" customWidth="1"/>
    <col min="3920" max="3920" width="13.83203125" style="370" bestFit="1" customWidth="1"/>
    <col min="3921" max="3921" width="17.5" style="370" bestFit="1" customWidth="1"/>
    <col min="3922" max="3922" width="13.83203125" style="370" bestFit="1" customWidth="1"/>
    <col min="3923" max="3923" width="17.5" style="370" bestFit="1" customWidth="1"/>
    <col min="3924" max="3924" width="14.1640625" style="370" bestFit="1" customWidth="1"/>
    <col min="3925" max="4067" width="10.1640625" style="370"/>
    <col min="4068" max="4068" width="71.1640625" style="370" customWidth="1"/>
    <col min="4069" max="4069" width="57.83203125" style="370" customWidth="1"/>
    <col min="4070" max="4075" width="5.1640625" style="370" customWidth="1"/>
    <col min="4076" max="4076" width="36.5" style="370" customWidth="1"/>
    <col min="4077" max="4077" width="12.5" style="370" customWidth="1"/>
    <col min="4078" max="4078" width="14.83203125" style="370" customWidth="1"/>
    <col min="4079" max="4079" width="19.5" style="370" bestFit="1" customWidth="1"/>
    <col min="4080" max="4080" width="20.83203125" style="370" customWidth="1"/>
    <col min="4081" max="4081" width="16.5" style="370" customWidth="1"/>
    <col min="4082" max="4082" width="17" style="370" customWidth="1"/>
    <col min="4083" max="4083" width="17.1640625" style="370" customWidth="1"/>
    <col min="4084" max="4084" width="15.1640625" style="370" bestFit="1" customWidth="1"/>
    <col min="4085" max="4085" width="20" style="370" bestFit="1" customWidth="1"/>
    <col min="4086" max="4088" width="16.5" style="370" customWidth="1"/>
    <col min="4089" max="4169" width="10.1640625" style="370"/>
    <col min="4170" max="4170" width="69.1640625" style="370" bestFit="1" customWidth="1"/>
    <col min="4171" max="4171" width="15.5" style="370" customWidth="1"/>
    <col min="4172" max="4173" width="18.1640625" style="370" customWidth="1"/>
    <col min="4174" max="4174" width="16.5" style="370" bestFit="1" customWidth="1"/>
    <col min="4175" max="4175" width="17.5" style="370" bestFit="1" customWidth="1"/>
    <col min="4176" max="4176" width="13.83203125" style="370" bestFit="1" customWidth="1"/>
    <col min="4177" max="4177" width="17.5" style="370" bestFit="1" customWidth="1"/>
    <col min="4178" max="4178" width="13.83203125" style="370" bestFit="1" customWidth="1"/>
    <col min="4179" max="4179" width="17.5" style="370" bestFit="1" customWidth="1"/>
    <col min="4180" max="4180" width="14.1640625" style="370" bestFit="1" customWidth="1"/>
    <col min="4181" max="4323" width="10.1640625" style="370"/>
    <col min="4324" max="4324" width="71.1640625" style="370" customWidth="1"/>
    <col min="4325" max="4325" width="57.83203125" style="370" customWidth="1"/>
    <col min="4326" max="4331" width="5.1640625" style="370" customWidth="1"/>
    <col min="4332" max="4332" width="36.5" style="370" customWidth="1"/>
    <col min="4333" max="4333" width="12.5" style="370" customWidth="1"/>
    <col min="4334" max="4334" width="14.83203125" style="370" customWidth="1"/>
    <col min="4335" max="4335" width="19.5" style="370" bestFit="1" customWidth="1"/>
    <col min="4336" max="4336" width="20.83203125" style="370" customWidth="1"/>
    <col min="4337" max="4337" width="16.5" style="370" customWidth="1"/>
    <col min="4338" max="4338" width="17" style="370" customWidth="1"/>
    <col min="4339" max="4339" width="17.1640625" style="370" customWidth="1"/>
    <col min="4340" max="4340" width="15.1640625" style="370" bestFit="1" customWidth="1"/>
    <col min="4341" max="4341" width="20" style="370" bestFit="1" customWidth="1"/>
    <col min="4342" max="4344" width="16.5" style="370" customWidth="1"/>
    <col min="4345" max="4425" width="10.1640625" style="370"/>
    <col min="4426" max="4426" width="69.1640625" style="370" bestFit="1" customWidth="1"/>
    <col min="4427" max="4427" width="15.5" style="370" customWidth="1"/>
    <col min="4428" max="4429" width="18.1640625" style="370" customWidth="1"/>
    <col min="4430" max="4430" width="16.5" style="370" bestFit="1" customWidth="1"/>
    <col min="4431" max="4431" width="17.5" style="370" bestFit="1" customWidth="1"/>
    <col min="4432" max="4432" width="13.83203125" style="370" bestFit="1" customWidth="1"/>
    <col min="4433" max="4433" width="17.5" style="370" bestFit="1" customWidth="1"/>
    <col min="4434" max="4434" width="13.83203125" style="370" bestFit="1" customWidth="1"/>
    <col min="4435" max="4435" width="17.5" style="370" bestFit="1" customWidth="1"/>
    <col min="4436" max="4436" width="14.1640625" style="370" bestFit="1" customWidth="1"/>
    <col min="4437" max="4579" width="10.1640625" style="370"/>
    <col min="4580" max="4580" width="71.1640625" style="370" customWidth="1"/>
    <col min="4581" max="4581" width="57.83203125" style="370" customWidth="1"/>
    <col min="4582" max="4587" width="5.1640625" style="370" customWidth="1"/>
    <col min="4588" max="4588" width="36.5" style="370" customWidth="1"/>
    <col min="4589" max="4589" width="12.5" style="370" customWidth="1"/>
    <col min="4590" max="4590" width="14.83203125" style="370" customWidth="1"/>
    <col min="4591" max="4591" width="19.5" style="370" bestFit="1" customWidth="1"/>
    <col min="4592" max="4592" width="20.83203125" style="370" customWidth="1"/>
    <col min="4593" max="4593" width="16.5" style="370" customWidth="1"/>
    <col min="4594" max="4594" width="17" style="370" customWidth="1"/>
    <col min="4595" max="4595" width="17.1640625" style="370" customWidth="1"/>
    <col min="4596" max="4596" width="15.1640625" style="370" bestFit="1" customWidth="1"/>
    <col min="4597" max="4597" width="20" style="370" bestFit="1" customWidth="1"/>
    <col min="4598" max="4600" width="16.5" style="370" customWidth="1"/>
    <col min="4601" max="4681" width="10.1640625" style="370"/>
    <col min="4682" max="4682" width="69.1640625" style="370" bestFit="1" customWidth="1"/>
    <col min="4683" max="4683" width="15.5" style="370" customWidth="1"/>
    <col min="4684" max="4685" width="18.1640625" style="370" customWidth="1"/>
    <col min="4686" max="4686" width="16.5" style="370" bestFit="1" customWidth="1"/>
    <col min="4687" max="4687" width="17.5" style="370" bestFit="1" customWidth="1"/>
    <col min="4688" max="4688" width="13.83203125" style="370" bestFit="1" customWidth="1"/>
    <col min="4689" max="4689" width="17.5" style="370" bestFit="1" customWidth="1"/>
    <col min="4690" max="4690" width="13.83203125" style="370" bestFit="1" customWidth="1"/>
    <col min="4691" max="4691" width="17.5" style="370" bestFit="1" customWidth="1"/>
    <col min="4692" max="4692" width="14.1640625" style="370" bestFit="1" customWidth="1"/>
    <col min="4693" max="4835" width="10.1640625" style="370"/>
    <col min="4836" max="4836" width="71.1640625" style="370" customWidth="1"/>
    <col min="4837" max="4837" width="57.83203125" style="370" customWidth="1"/>
    <col min="4838" max="4843" width="5.1640625" style="370" customWidth="1"/>
    <col min="4844" max="4844" width="36.5" style="370" customWidth="1"/>
    <col min="4845" max="4845" width="12.5" style="370" customWidth="1"/>
    <col min="4846" max="4846" width="14.83203125" style="370" customWidth="1"/>
    <col min="4847" max="4847" width="19.5" style="370" bestFit="1" customWidth="1"/>
    <col min="4848" max="4848" width="20.83203125" style="370" customWidth="1"/>
    <col min="4849" max="4849" width="16.5" style="370" customWidth="1"/>
    <col min="4850" max="4850" width="17" style="370" customWidth="1"/>
    <col min="4851" max="4851" width="17.1640625" style="370" customWidth="1"/>
    <col min="4852" max="4852" width="15.1640625" style="370" bestFit="1" customWidth="1"/>
    <col min="4853" max="4853" width="20" style="370" bestFit="1" customWidth="1"/>
    <col min="4854" max="4856" width="16.5" style="370" customWidth="1"/>
    <col min="4857" max="4937" width="10.1640625" style="370"/>
    <col min="4938" max="4938" width="69.1640625" style="370" bestFit="1" customWidth="1"/>
    <col min="4939" max="4939" width="15.5" style="370" customWidth="1"/>
    <col min="4940" max="4941" width="18.1640625" style="370" customWidth="1"/>
    <col min="4942" max="4942" width="16.5" style="370" bestFit="1" customWidth="1"/>
    <col min="4943" max="4943" width="17.5" style="370" bestFit="1" customWidth="1"/>
    <col min="4944" max="4944" width="13.83203125" style="370" bestFit="1" customWidth="1"/>
    <col min="4945" max="4945" width="17.5" style="370" bestFit="1" customWidth="1"/>
    <col min="4946" max="4946" width="13.83203125" style="370" bestFit="1" customWidth="1"/>
    <col min="4947" max="4947" width="17.5" style="370" bestFit="1" customWidth="1"/>
    <col min="4948" max="4948" width="14.1640625" style="370" bestFit="1" customWidth="1"/>
    <col min="4949" max="5091" width="10.1640625" style="370"/>
    <col min="5092" max="5092" width="71.1640625" style="370" customWidth="1"/>
    <col min="5093" max="5093" width="57.83203125" style="370" customWidth="1"/>
    <col min="5094" max="5099" width="5.1640625" style="370" customWidth="1"/>
    <col min="5100" max="5100" width="36.5" style="370" customWidth="1"/>
    <col min="5101" max="5101" width="12.5" style="370" customWidth="1"/>
    <col min="5102" max="5102" width="14.83203125" style="370" customWidth="1"/>
    <col min="5103" max="5103" width="19.5" style="370" bestFit="1" customWidth="1"/>
    <col min="5104" max="5104" width="20.83203125" style="370" customWidth="1"/>
    <col min="5105" max="5105" width="16.5" style="370" customWidth="1"/>
    <col min="5106" max="5106" width="17" style="370" customWidth="1"/>
    <col min="5107" max="5107" width="17.1640625" style="370" customWidth="1"/>
    <col min="5108" max="5108" width="15.1640625" style="370" bestFit="1" customWidth="1"/>
    <col min="5109" max="5109" width="20" style="370" bestFit="1" customWidth="1"/>
    <col min="5110" max="5112" width="16.5" style="370" customWidth="1"/>
    <col min="5113" max="5193" width="10.1640625" style="370"/>
    <col min="5194" max="5194" width="69.1640625" style="370" bestFit="1" customWidth="1"/>
    <col min="5195" max="5195" width="15.5" style="370" customWidth="1"/>
    <col min="5196" max="5197" width="18.1640625" style="370" customWidth="1"/>
    <col min="5198" max="5198" width="16.5" style="370" bestFit="1" customWidth="1"/>
    <col min="5199" max="5199" width="17.5" style="370" bestFit="1" customWidth="1"/>
    <col min="5200" max="5200" width="13.83203125" style="370" bestFit="1" customWidth="1"/>
    <col min="5201" max="5201" width="17.5" style="370" bestFit="1" customWidth="1"/>
    <col min="5202" max="5202" width="13.83203125" style="370" bestFit="1" customWidth="1"/>
    <col min="5203" max="5203" width="17.5" style="370" bestFit="1" customWidth="1"/>
    <col min="5204" max="5204" width="14.1640625" style="370" bestFit="1" customWidth="1"/>
    <col min="5205" max="5347" width="10.1640625" style="370"/>
    <col min="5348" max="5348" width="71.1640625" style="370" customWidth="1"/>
    <col min="5349" max="5349" width="57.83203125" style="370" customWidth="1"/>
    <col min="5350" max="5355" width="5.1640625" style="370" customWidth="1"/>
    <col min="5356" max="5356" width="36.5" style="370" customWidth="1"/>
    <col min="5357" max="5357" width="12.5" style="370" customWidth="1"/>
    <col min="5358" max="5358" width="14.83203125" style="370" customWidth="1"/>
    <col min="5359" max="5359" width="19.5" style="370" bestFit="1" customWidth="1"/>
    <col min="5360" max="5360" width="20.83203125" style="370" customWidth="1"/>
    <col min="5361" max="5361" width="16.5" style="370" customWidth="1"/>
    <col min="5362" max="5362" width="17" style="370" customWidth="1"/>
    <col min="5363" max="5363" width="17.1640625" style="370" customWidth="1"/>
    <col min="5364" max="5364" width="15.1640625" style="370" bestFit="1" customWidth="1"/>
    <col min="5365" max="5365" width="20" style="370" bestFit="1" customWidth="1"/>
    <col min="5366" max="5368" width="16.5" style="370" customWidth="1"/>
    <col min="5369" max="5449" width="10.1640625" style="370"/>
    <col min="5450" max="5450" width="69.1640625" style="370" bestFit="1" customWidth="1"/>
    <col min="5451" max="5451" width="15.5" style="370" customWidth="1"/>
    <col min="5452" max="5453" width="18.1640625" style="370" customWidth="1"/>
    <col min="5454" max="5454" width="16.5" style="370" bestFit="1" customWidth="1"/>
    <col min="5455" max="5455" width="17.5" style="370" bestFit="1" customWidth="1"/>
    <col min="5456" max="5456" width="13.83203125" style="370" bestFit="1" customWidth="1"/>
    <col min="5457" max="5457" width="17.5" style="370" bestFit="1" customWidth="1"/>
    <col min="5458" max="5458" width="13.83203125" style="370" bestFit="1" customWidth="1"/>
    <col min="5459" max="5459" width="17.5" style="370" bestFit="1" customWidth="1"/>
    <col min="5460" max="5460" width="14.1640625" style="370" bestFit="1" customWidth="1"/>
    <col min="5461" max="5603" width="10.1640625" style="370"/>
    <col min="5604" max="5604" width="71.1640625" style="370" customWidth="1"/>
    <col min="5605" max="5605" width="57.83203125" style="370" customWidth="1"/>
    <col min="5606" max="5611" width="5.1640625" style="370" customWidth="1"/>
    <col min="5612" max="5612" width="36.5" style="370" customWidth="1"/>
    <col min="5613" max="5613" width="12.5" style="370" customWidth="1"/>
    <col min="5614" max="5614" width="14.83203125" style="370" customWidth="1"/>
    <col min="5615" max="5615" width="19.5" style="370" bestFit="1" customWidth="1"/>
    <col min="5616" max="5616" width="20.83203125" style="370" customWidth="1"/>
    <col min="5617" max="5617" width="16.5" style="370" customWidth="1"/>
    <col min="5618" max="5618" width="17" style="370" customWidth="1"/>
    <col min="5619" max="5619" width="17.1640625" style="370" customWidth="1"/>
    <col min="5620" max="5620" width="15.1640625" style="370" bestFit="1" customWidth="1"/>
    <col min="5621" max="5621" width="20" style="370" bestFit="1" customWidth="1"/>
    <col min="5622" max="5624" width="16.5" style="370" customWidth="1"/>
    <col min="5625" max="5705" width="10.1640625" style="370"/>
    <col min="5706" max="5706" width="69.1640625" style="370" bestFit="1" customWidth="1"/>
    <col min="5707" max="5707" width="15.5" style="370" customWidth="1"/>
    <col min="5708" max="5709" width="18.1640625" style="370" customWidth="1"/>
    <col min="5710" max="5710" width="16.5" style="370" bestFit="1" customWidth="1"/>
    <col min="5711" max="5711" width="17.5" style="370" bestFit="1" customWidth="1"/>
    <col min="5712" max="5712" width="13.83203125" style="370" bestFit="1" customWidth="1"/>
    <col min="5713" max="5713" width="17.5" style="370" bestFit="1" customWidth="1"/>
    <col min="5714" max="5714" width="13.83203125" style="370" bestFit="1" customWidth="1"/>
    <col min="5715" max="5715" width="17.5" style="370" bestFit="1" customWidth="1"/>
    <col min="5716" max="5716" width="14.1640625" style="370" bestFit="1" customWidth="1"/>
    <col min="5717" max="5859" width="10.1640625" style="370"/>
    <col min="5860" max="5860" width="71.1640625" style="370" customWidth="1"/>
    <col min="5861" max="5861" width="57.83203125" style="370" customWidth="1"/>
    <col min="5862" max="5867" width="5.1640625" style="370" customWidth="1"/>
    <col min="5868" max="5868" width="36.5" style="370" customWidth="1"/>
    <col min="5869" max="5869" width="12.5" style="370" customWidth="1"/>
    <col min="5870" max="5870" width="14.83203125" style="370" customWidth="1"/>
    <col min="5871" max="5871" width="19.5" style="370" bestFit="1" customWidth="1"/>
    <col min="5872" max="5872" width="20.83203125" style="370" customWidth="1"/>
    <col min="5873" max="5873" width="16.5" style="370" customWidth="1"/>
    <col min="5874" max="5874" width="17" style="370" customWidth="1"/>
    <col min="5875" max="5875" width="17.1640625" style="370" customWidth="1"/>
    <col min="5876" max="5876" width="15.1640625" style="370" bestFit="1" customWidth="1"/>
    <col min="5877" max="5877" width="20" style="370" bestFit="1" customWidth="1"/>
    <col min="5878" max="5880" width="16.5" style="370" customWidth="1"/>
    <col min="5881" max="5961" width="10.1640625" style="370"/>
    <col min="5962" max="5962" width="69.1640625" style="370" bestFit="1" customWidth="1"/>
    <col min="5963" max="5963" width="15.5" style="370" customWidth="1"/>
    <col min="5964" max="5965" width="18.1640625" style="370" customWidth="1"/>
    <col min="5966" max="5966" width="16.5" style="370" bestFit="1" customWidth="1"/>
    <col min="5967" max="5967" width="17.5" style="370" bestFit="1" customWidth="1"/>
    <col min="5968" max="5968" width="13.83203125" style="370" bestFit="1" customWidth="1"/>
    <col min="5969" max="5969" width="17.5" style="370" bestFit="1" customWidth="1"/>
    <col min="5970" max="5970" width="13.83203125" style="370" bestFit="1" customWidth="1"/>
    <col min="5971" max="5971" width="17.5" style="370" bestFit="1" customWidth="1"/>
    <col min="5972" max="5972" width="14.1640625" style="370" bestFit="1" customWidth="1"/>
    <col min="5973" max="6115" width="10.1640625" style="370"/>
    <col min="6116" max="6116" width="71.1640625" style="370" customWidth="1"/>
    <col min="6117" max="6117" width="57.83203125" style="370" customWidth="1"/>
    <col min="6118" max="6123" width="5.1640625" style="370" customWidth="1"/>
    <col min="6124" max="6124" width="36.5" style="370" customWidth="1"/>
    <col min="6125" max="6125" width="12.5" style="370" customWidth="1"/>
    <col min="6126" max="6126" width="14.83203125" style="370" customWidth="1"/>
    <col min="6127" max="6127" width="19.5" style="370" bestFit="1" customWidth="1"/>
    <col min="6128" max="6128" width="20.83203125" style="370" customWidth="1"/>
    <col min="6129" max="6129" width="16.5" style="370" customWidth="1"/>
    <col min="6130" max="6130" width="17" style="370" customWidth="1"/>
    <col min="6131" max="6131" width="17.1640625" style="370" customWidth="1"/>
    <col min="6132" max="6132" width="15.1640625" style="370" bestFit="1" customWidth="1"/>
    <col min="6133" max="6133" width="20" style="370" bestFit="1" customWidth="1"/>
    <col min="6134" max="6136" width="16.5" style="370" customWidth="1"/>
    <col min="6137" max="6217" width="10.1640625" style="370"/>
    <col min="6218" max="6218" width="69.1640625" style="370" bestFit="1" customWidth="1"/>
    <col min="6219" max="6219" width="15.5" style="370" customWidth="1"/>
    <col min="6220" max="6221" width="18.1640625" style="370" customWidth="1"/>
    <col min="6222" max="6222" width="16.5" style="370" bestFit="1" customWidth="1"/>
    <col min="6223" max="6223" width="17.5" style="370" bestFit="1" customWidth="1"/>
    <col min="6224" max="6224" width="13.83203125" style="370" bestFit="1" customWidth="1"/>
    <col min="6225" max="6225" width="17.5" style="370" bestFit="1" customWidth="1"/>
    <col min="6226" max="6226" width="13.83203125" style="370" bestFit="1" customWidth="1"/>
    <col min="6227" max="6227" width="17.5" style="370" bestFit="1" customWidth="1"/>
    <col min="6228" max="6228" width="14.1640625" style="370" bestFit="1" customWidth="1"/>
    <col min="6229" max="6371" width="10.1640625" style="370"/>
    <col min="6372" max="6372" width="71.1640625" style="370" customWidth="1"/>
    <col min="6373" max="6373" width="57.83203125" style="370" customWidth="1"/>
    <col min="6374" max="6379" width="5.1640625" style="370" customWidth="1"/>
    <col min="6380" max="6380" width="36.5" style="370" customWidth="1"/>
    <col min="6381" max="6381" width="12.5" style="370" customWidth="1"/>
    <col min="6382" max="6382" width="14.83203125" style="370" customWidth="1"/>
    <col min="6383" max="6383" width="19.5" style="370" bestFit="1" customWidth="1"/>
    <col min="6384" max="6384" width="20.83203125" style="370" customWidth="1"/>
    <col min="6385" max="6385" width="16.5" style="370" customWidth="1"/>
    <col min="6386" max="6386" width="17" style="370" customWidth="1"/>
    <col min="6387" max="6387" width="17.1640625" style="370" customWidth="1"/>
    <col min="6388" max="6388" width="15.1640625" style="370" bestFit="1" customWidth="1"/>
    <col min="6389" max="6389" width="20" style="370" bestFit="1" customWidth="1"/>
    <col min="6390" max="6392" width="16.5" style="370" customWidth="1"/>
    <col min="6393" max="6473" width="10.1640625" style="370"/>
    <col min="6474" max="6474" width="69.1640625" style="370" bestFit="1" customWidth="1"/>
    <col min="6475" max="6475" width="15.5" style="370" customWidth="1"/>
    <col min="6476" max="6477" width="18.1640625" style="370" customWidth="1"/>
    <col min="6478" max="6478" width="16.5" style="370" bestFit="1" customWidth="1"/>
    <col min="6479" max="6479" width="17.5" style="370" bestFit="1" customWidth="1"/>
    <col min="6480" max="6480" width="13.83203125" style="370" bestFit="1" customWidth="1"/>
    <col min="6481" max="6481" width="17.5" style="370" bestFit="1" customWidth="1"/>
    <col min="6482" max="6482" width="13.83203125" style="370" bestFit="1" customWidth="1"/>
    <col min="6483" max="6483" width="17.5" style="370" bestFit="1" customWidth="1"/>
    <col min="6484" max="6484" width="14.1640625" style="370" bestFit="1" customWidth="1"/>
    <col min="6485" max="6627" width="10.1640625" style="370"/>
    <col min="6628" max="6628" width="71.1640625" style="370" customWidth="1"/>
    <col min="6629" max="6629" width="57.83203125" style="370" customWidth="1"/>
    <col min="6630" max="6635" width="5.1640625" style="370" customWidth="1"/>
    <col min="6636" max="6636" width="36.5" style="370" customWidth="1"/>
    <col min="6637" max="6637" width="12.5" style="370" customWidth="1"/>
    <col min="6638" max="6638" width="14.83203125" style="370" customWidth="1"/>
    <col min="6639" max="6639" width="19.5" style="370" bestFit="1" customWidth="1"/>
    <col min="6640" max="6640" width="20.83203125" style="370" customWidth="1"/>
    <col min="6641" max="6641" width="16.5" style="370" customWidth="1"/>
    <col min="6642" max="6642" width="17" style="370" customWidth="1"/>
    <col min="6643" max="6643" width="17.1640625" style="370" customWidth="1"/>
    <col min="6644" max="6644" width="15.1640625" style="370" bestFit="1" customWidth="1"/>
    <col min="6645" max="6645" width="20" style="370" bestFit="1" customWidth="1"/>
    <col min="6646" max="6648" width="16.5" style="370" customWidth="1"/>
    <col min="6649" max="6729" width="10.1640625" style="370"/>
    <col min="6730" max="6730" width="69.1640625" style="370" bestFit="1" customWidth="1"/>
    <col min="6731" max="6731" width="15.5" style="370" customWidth="1"/>
    <col min="6732" max="6733" width="18.1640625" style="370" customWidth="1"/>
    <col min="6734" max="6734" width="16.5" style="370" bestFit="1" customWidth="1"/>
    <col min="6735" max="6735" width="17.5" style="370" bestFit="1" customWidth="1"/>
    <col min="6736" max="6736" width="13.83203125" style="370" bestFit="1" customWidth="1"/>
    <col min="6737" max="6737" width="17.5" style="370" bestFit="1" customWidth="1"/>
    <col min="6738" max="6738" width="13.83203125" style="370" bestFit="1" customWidth="1"/>
    <col min="6739" max="6739" width="17.5" style="370" bestFit="1" customWidth="1"/>
    <col min="6740" max="6740" width="14.1640625" style="370" bestFit="1" customWidth="1"/>
    <col min="6741" max="6883" width="10.1640625" style="370"/>
    <col min="6884" max="6884" width="71.1640625" style="370" customWidth="1"/>
    <col min="6885" max="6885" width="57.83203125" style="370" customWidth="1"/>
    <col min="6886" max="6891" width="5.1640625" style="370" customWidth="1"/>
    <col min="6892" max="6892" width="36.5" style="370" customWidth="1"/>
    <col min="6893" max="6893" width="12.5" style="370" customWidth="1"/>
    <col min="6894" max="6894" width="14.83203125" style="370" customWidth="1"/>
    <col min="6895" max="6895" width="19.5" style="370" bestFit="1" customWidth="1"/>
    <col min="6896" max="6896" width="20.83203125" style="370" customWidth="1"/>
    <col min="6897" max="6897" width="16.5" style="370" customWidth="1"/>
    <col min="6898" max="6898" width="17" style="370" customWidth="1"/>
    <col min="6899" max="6899" width="17.1640625" style="370" customWidth="1"/>
    <col min="6900" max="6900" width="15.1640625" style="370" bestFit="1" customWidth="1"/>
    <col min="6901" max="6901" width="20" style="370" bestFit="1" customWidth="1"/>
    <col min="6902" max="6904" width="16.5" style="370" customWidth="1"/>
    <col min="6905" max="6985" width="10.1640625" style="370"/>
    <col min="6986" max="6986" width="69.1640625" style="370" bestFit="1" customWidth="1"/>
    <col min="6987" max="6987" width="15.5" style="370" customWidth="1"/>
    <col min="6988" max="6989" width="18.1640625" style="370" customWidth="1"/>
    <col min="6990" max="6990" width="16.5" style="370" bestFit="1" customWidth="1"/>
    <col min="6991" max="6991" width="17.5" style="370" bestFit="1" customWidth="1"/>
    <col min="6992" max="6992" width="13.83203125" style="370" bestFit="1" customWidth="1"/>
    <col min="6993" max="6993" width="17.5" style="370" bestFit="1" customWidth="1"/>
    <col min="6994" max="6994" width="13.83203125" style="370" bestFit="1" customWidth="1"/>
    <col min="6995" max="6995" width="17.5" style="370" bestFit="1" customWidth="1"/>
    <col min="6996" max="6996" width="14.1640625" style="370" bestFit="1" customWidth="1"/>
    <col min="6997" max="7139" width="10.1640625" style="370"/>
    <col min="7140" max="7140" width="71.1640625" style="370" customWidth="1"/>
    <col min="7141" max="7141" width="57.83203125" style="370" customWidth="1"/>
    <col min="7142" max="7147" width="5.1640625" style="370" customWidth="1"/>
    <col min="7148" max="7148" width="36.5" style="370" customWidth="1"/>
    <col min="7149" max="7149" width="12.5" style="370" customWidth="1"/>
    <col min="7150" max="7150" width="14.83203125" style="370" customWidth="1"/>
    <col min="7151" max="7151" width="19.5" style="370" bestFit="1" customWidth="1"/>
    <col min="7152" max="7152" width="20.83203125" style="370" customWidth="1"/>
    <col min="7153" max="7153" width="16.5" style="370" customWidth="1"/>
    <col min="7154" max="7154" width="17" style="370" customWidth="1"/>
    <col min="7155" max="7155" width="17.1640625" style="370" customWidth="1"/>
    <col min="7156" max="7156" width="15.1640625" style="370" bestFit="1" customWidth="1"/>
    <col min="7157" max="7157" width="20" style="370" bestFit="1" customWidth="1"/>
    <col min="7158" max="7160" width="16.5" style="370" customWidth="1"/>
    <col min="7161" max="7241" width="10.1640625" style="370"/>
    <col min="7242" max="7242" width="69.1640625" style="370" bestFit="1" customWidth="1"/>
    <col min="7243" max="7243" width="15.5" style="370" customWidth="1"/>
    <col min="7244" max="7245" width="18.1640625" style="370" customWidth="1"/>
    <col min="7246" max="7246" width="16.5" style="370" bestFit="1" customWidth="1"/>
    <col min="7247" max="7247" width="17.5" style="370" bestFit="1" customWidth="1"/>
    <col min="7248" max="7248" width="13.83203125" style="370" bestFit="1" customWidth="1"/>
    <col min="7249" max="7249" width="17.5" style="370" bestFit="1" customWidth="1"/>
    <col min="7250" max="7250" width="13.83203125" style="370" bestFit="1" customWidth="1"/>
    <col min="7251" max="7251" width="17.5" style="370" bestFit="1" customWidth="1"/>
    <col min="7252" max="7252" width="14.1640625" style="370" bestFit="1" customWidth="1"/>
    <col min="7253" max="7395" width="10.1640625" style="370"/>
    <col min="7396" max="7396" width="71.1640625" style="370" customWidth="1"/>
    <col min="7397" max="7397" width="57.83203125" style="370" customWidth="1"/>
    <col min="7398" max="7403" width="5.1640625" style="370" customWidth="1"/>
    <col min="7404" max="7404" width="36.5" style="370" customWidth="1"/>
    <col min="7405" max="7405" width="12.5" style="370" customWidth="1"/>
    <col min="7406" max="7406" width="14.83203125" style="370" customWidth="1"/>
    <col min="7407" max="7407" width="19.5" style="370" bestFit="1" customWidth="1"/>
    <col min="7408" max="7408" width="20.83203125" style="370" customWidth="1"/>
    <col min="7409" max="7409" width="16.5" style="370" customWidth="1"/>
    <col min="7410" max="7410" width="17" style="370" customWidth="1"/>
    <col min="7411" max="7411" width="17.1640625" style="370" customWidth="1"/>
    <col min="7412" max="7412" width="15.1640625" style="370" bestFit="1" customWidth="1"/>
    <col min="7413" max="7413" width="20" style="370" bestFit="1" customWidth="1"/>
    <col min="7414" max="7416" width="16.5" style="370" customWidth="1"/>
    <col min="7417" max="7497" width="10.1640625" style="370"/>
    <col min="7498" max="7498" width="69.1640625" style="370" bestFit="1" customWidth="1"/>
    <col min="7499" max="7499" width="15.5" style="370" customWidth="1"/>
    <col min="7500" max="7501" width="18.1640625" style="370" customWidth="1"/>
    <col min="7502" max="7502" width="16.5" style="370" bestFit="1" customWidth="1"/>
    <col min="7503" max="7503" width="17.5" style="370" bestFit="1" customWidth="1"/>
    <col min="7504" max="7504" width="13.83203125" style="370" bestFit="1" customWidth="1"/>
    <col min="7505" max="7505" width="17.5" style="370" bestFit="1" customWidth="1"/>
    <col min="7506" max="7506" width="13.83203125" style="370" bestFit="1" customWidth="1"/>
    <col min="7507" max="7507" width="17.5" style="370" bestFit="1" customWidth="1"/>
    <col min="7508" max="7508" width="14.1640625" style="370" bestFit="1" customWidth="1"/>
    <col min="7509" max="7651" width="10.1640625" style="370"/>
    <col min="7652" max="7652" width="71.1640625" style="370" customWidth="1"/>
    <col min="7653" max="7653" width="57.83203125" style="370" customWidth="1"/>
    <col min="7654" max="7659" width="5.1640625" style="370" customWidth="1"/>
    <col min="7660" max="7660" width="36.5" style="370" customWidth="1"/>
    <col min="7661" max="7661" width="12.5" style="370" customWidth="1"/>
    <col min="7662" max="7662" width="14.83203125" style="370" customWidth="1"/>
    <col min="7663" max="7663" width="19.5" style="370" bestFit="1" customWidth="1"/>
    <col min="7664" max="7664" width="20.83203125" style="370" customWidth="1"/>
    <col min="7665" max="7665" width="16.5" style="370" customWidth="1"/>
    <col min="7666" max="7666" width="17" style="370" customWidth="1"/>
    <col min="7667" max="7667" width="17.1640625" style="370" customWidth="1"/>
    <col min="7668" max="7668" width="15.1640625" style="370" bestFit="1" customWidth="1"/>
    <col min="7669" max="7669" width="20" style="370" bestFit="1" customWidth="1"/>
    <col min="7670" max="7672" width="16.5" style="370" customWidth="1"/>
    <col min="7673" max="7753" width="10.1640625" style="370"/>
    <col min="7754" max="7754" width="69.1640625" style="370" bestFit="1" customWidth="1"/>
    <col min="7755" max="7755" width="15.5" style="370" customWidth="1"/>
    <col min="7756" max="7757" width="18.1640625" style="370" customWidth="1"/>
    <col min="7758" max="7758" width="16.5" style="370" bestFit="1" customWidth="1"/>
    <col min="7759" max="7759" width="17.5" style="370" bestFit="1" customWidth="1"/>
    <col min="7760" max="7760" width="13.83203125" style="370" bestFit="1" customWidth="1"/>
    <col min="7761" max="7761" width="17.5" style="370" bestFit="1" customWidth="1"/>
    <col min="7762" max="7762" width="13.83203125" style="370" bestFit="1" customWidth="1"/>
    <col min="7763" max="7763" width="17.5" style="370" bestFit="1" customWidth="1"/>
    <col min="7764" max="7764" width="14.1640625" style="370" bestFit="1" customWidth="1"/>
    <col min="7765" max="7907" width="10.1640625" style="370"/>
    <col min="7908" max="7908" width="71.1640625" style="370" customWidth="1"/>
    <col min="7909" max="7909" width="57.83203125" style="370" customWidth="1"/>
    <col min="7910" max="7915" width="5.1640625" style="370" customWidth="1"/>
    <col min="7916" max="7916" width="36.5" style="370" customWidth="1"/>
    <col min="7917" max="7917" width="12.5" style="370" customWidth="1"/>
    <col min="7918" max="7918" width="14.83203125" style="370" customWidth="1"/>
    <col min="7919" max="7919" width="19.5" style="370" bestFit="1" customWidth="1"/>
    <col min="7920" max="7920" width="20.83203125" style="370" customWidth="1"/>
    <col min="7921" max="7921" width="16.5" style="370" customWidth="1"/>
    <col min="7922" max="7922" width="17" style="370" customWidth="1"/>
    <col min="7923" max="7923" width="17.1640625" style="370" customWidth="1"/>
    <col min="7924" max="7924" width="15.1640625" style="370" bestFit="1" customWidth="1"/>
    <col min="7925" max="7925" width="20" style="370" bestFit="1" customWidth="1"/>
    <col min="7926" max="7928" width="16.5" style="370" customWidth="1"/>
    <col min="7929" max="8009" width="10.1640625" style="370"/>
    <col min="8010" max="8010" width="69.1640625" style="370" bestFit="1" customWidth="1"/>
    <col min="8011" max="8011" width="15.5" style="370" customWidth="1"/>
    <col min="8012" max="8013" width="18.1640625" style="370" customWidth="1"/>
    <col min="8014" max="8014" width="16.5" style="370" bestFit="1" customWidth="1"/>
    <col min="8015" max="8015" width="17.5" style="370" bestFit="1" customWidth="1"/>
    <col min="8016" max="8016" width="13.83203125" style="370" bestFit="1" customWidth="1"/>
    <col min="8017" max="8017" width="17.5" style="370" bestFit="1" customWidth="1"/>
    <col min="8018" max="8018" width="13.83203125" style="370" bestFit="1" customWidth="1"/>
    <col min="8019" max="8019" width="17.5" style="370" bestFit="1" customWidth="1"/>
    <col min="8020" max="8020" width="14.1640625" style="370" bestFit="1" customWidth="1"/>
    <col min="8021" max="8163" width="10.1640625" style="370"/>
    <col min="8164" max="8164" width="71.1640625" style="370" customWidth="1"/>
    <col min="8165" max="8165" width="57.83203125" style="370" customWidth="1"/>
    <col min="8166" max="8171" width="5.1640625" style="370" customWidth="1"/>
    <col min="8172" max="8172" width="36.5" style="370" customWidth="1"/>
    <col min="8173" max="8173" width="12.5" style="370" customWidth="1"/>
    <col min="8174" max="8174" width="14.83203125" style="370" customWidth="1"/>
    <col min="8175" max="8175" width="19.5" style="370" bestFit="1" customWidth="1"/>
    <col min="8176" max="8176" width="20.83203125" style="370" customWidth="1"/>
    <col min="8177" max="8177" width="16.5" style="370" customWidth="1"/>
    <col min="8178" max="8178" width="17" style="370" customWidth="1"/>
    <col min="8179" max="8179" width="17.1640625" style="370" customWidth="1"/>
    <col min="8180" max="8180" width="15.1640625" style="370" bestFit="1" customWidth="1"/>
    <col min="8181" max="8181" width="20" style="370" bestFit="1" customWidth="1"/>
    <col min="8182" max="8184" width="16.5" style="370" customWidth="1"/>
    <col min="8185" max="8265" width="10.1640625" style="370"/>
    <col min="8266" max="8266" width="69.1640625" style="370" bestFit="1" customWidth="1"/>
    <col min="8267" max="8267" width="15.5" style="370" customWidth="1"/>
    <col min="8268" max="8269" width="18.1640625" style="370" customWidth="1"/>
    <col min="8270" max="8270" width="16.5" style="370" bestFit="1" customWidth="1"/>
    <col min="8271" max="8271" width="17.5" style="370" bestFit="1" customWidth="1"/>
    <col min="8272" max="8272" width="13.83203125" style="370" bestFit="1" customWidth="1"/>
    <col min="8273" max="8273" width="17.5" style="370" bestFit="1" customWidth="1"/>
    <col min="8274" max="8274" width="13.83203125" style="370" bestFit="1" customWidth="1"/>
    <col min="8275" max="8275" width="17.5" style="370" bestFit="1" customWidth="1"/>
    <col min="8276" max="8276" width="14.1640625" style="370" bestFit="1" customWidth="1"/>
    <col min="8277" max="8419" width="10.1640625" style="370"/>
    <col min="8420" max="8420" width="71.1640625" style="370" customWidth="1"/>
    <col min="8421" max="8421" width="57.83203125" style="370" customWidth="1"/>
    <col min="8422" max="8427" width="5.1640625" style="370" customWidth="1"/>
    <col min="8428" max="8428" width="36.5" style="370" customWidth="1"/>
    <col min="8429" max="8429" width="12.5" style="370" customWidth="1"/>
    <col min="8430" max="8430" width="14.83203125" style="370" customWidth="1"/>
    <col min="8431" max="8431" width="19.5" style="370" bestFit="1" customWidth="1"/>
    <col min="8432" max="8432" width="20.83203125" style="370" customWidth="1"/>
    <col min="8433" max="8433" width="16.5" style="370" customWidth="1"/>
    <col min="8434" max="8434" width="17" style="370" customWidth="1"/>
    <col min="8435" max="8435" width="17.1640625" style="370" customWidth="1"/>
    <col min="8436" max="8436" width="15.1640625" style="370" bestFit="1" customWidth="1"/>
    <col min="8437" max="8437" width="20" style="370" bestFit="1" customWidth="1"/>
    <col min="8438" max="8440" width="16.5" style="370" customWidth="1"/>
    <col min="8441" max="8521" width="10.1640625" style="370"/>
    <col min="8522" max="8522" width="69.1640625" style="370" bestFit="1" customWidth="1"/>
    <col min="8523" max="8523" width="15.5" style="370" customWidth="1"/>
    <col min="8524" max="8525" width="18.1640625" style="370" customWidth="1"/>
    <col min="8526" max="8526" width="16.5" style="370" bestFit="1" customWidth="1"/>
    <col min="8527" max="8527" width="17.5" style="370" bestFit="1" customWidth="1"/>
    <col min="8528" max="8528" width="13.83203125" style="370" bestFit="1" customWidth="1"/>
    <col min="8529" max="8529" width="17.5" style="370" bestFit="1" customWidth="1"/>
    <col min="8530" max="8530" width="13.83203125" style="370" bestFit="1" customWidth="1"/>
    <col min="8531" max="8531" width="17.5" style="370" bestFit="1" customWidth="1"/>
    <col min="8532" max="8532" width="14.1640625" style="370" bestFit="1" customWidth="1"/>
    <col min="8533" max="8675" width="10.1640625" style="370"/>
    <col min="8676" max="8676" width="71.1640625" style="370" customWidth="1"/>
    <col min="8677" max="8677" width="57.83203125" style="370" customWidth="1"/>
    <col min="8678" max="8683" width="5.1640625" style="370" customWidth="1"/>
    <col min="8684" max="8684" width="36.5" style="370" customWidth="1"/>
    <col min="8685" max="8685" width="12.5" style="370" customWidth="1"/>
    <col min="8686" max="8686" width="14.83203125" style="370" customWidth="1"/>
    <col min="8687" max="8687" width="19.5" style="370" bestFit="1" customWidth="1"/>
    <col min="8688" max="8688" width="20.83203125" style="370" customWidth="1"/>
    <col min="8689" max="8689" width="16.5" style="370" customWidth="1"/>
    <col min="8690" max="8690" width="17" style="370" customWidth="1"/>
    <col min="8691" max="8691" width="17.1640625" style="370" customWidth="1"/>
    <col min="8692" max="8692" width="15.1640625" style="370" bestFit="1" customWidth="1"/>
    <col min="8693" max="8693" width="20" style="370" bestFit="1" customWidth="1"/>
    <col min="8694" max="8696" width="16.5" style="370" customWidth="1"/>
    <col min="8697" max="8777" width="10.1640625" style="370"/>
    <col min="8778" max="8778" width="69.1640625" style="370" bestFit="1" customWidth="1"/>
    <col min="8779" max="8779" width="15.5" style="370" customWidth="1"/>
    <col min="8780" max="8781" width="18.1640625" style="370" customWidth="1"/>
    <col min="8782" max="8782" width="16.5" style="370" bestFit="1" customWidth="1"/>
    <col min="8783" max="8783" width="17.5" style="370" bestFit="1" customWidth="1"/>
    <col min="8784" max="8784" width="13.83203125" style="370" bestFit="1" customWidth="1"/>
    <col min="8785" max="8785" width="17.5" style="370" bestFit="1" customWidth="1"/>
    <col min="8786" max="8786" width="13.83203125" style="370" bestFit="1" customWidth="1"/>
    <col min="8787" max="8787" width="17.5" style="370" bestFit="1" customWidth="1"/>
    <col min="8788" max="8788" width="14.1640625" style="370" bestFit="1" customWidth="1"/>
    <col min="8789" max="8931" width="10.1640625" style="370"/>
    <col min="8932" max="8932" width="71.1640625" style="370" customWidth="1"/>
    <col min="8933" max="8933" width="57.83203125" style="370" customWidth="1"/>
    <col min="8934" max="8939" width="5.1640625" style="370" customWidth="1"/>
    <col min="8940" max="8940" width="36.5" style="370" customWidth="1"/>
    <col min="8941" max="8941" width="12.5" style="370" customWidth="1"/>
    <col min="8942" max="8942" width="14.83203125" style="370" customWidth="1"/>
    <col min="8943" max="8943" width="19.5" style="370" bestFit="1" customWidth="1"/>
    <col min="8944" max="8944" width="20.83203125" style="370" customWidth="1"/>
    <col min="8945" max="8945" width="16.5" style="370" customWidth="1"/>
    <col min="8946" max="8946" width="17" style="370" customWidth="1"/>
    <col min="8947" max="8947" width="17.1640625" style="370" customWidth="1"/>
    <col min="8948" max="8948" width="15.1640625" style="370" bestFit="1" customWidth="1"/>
    <col min="8949" max="8949" width="20" style="370" bestFit="1" customWidth="1"/>
    <col min="8950" max="8952" width="16.5" style="370" customWidth="1"/>
    <col min="8953" max="9033" width="10.1640625" style="370"/>
    <col min="9034" max="9034" width="69.1640625" style="370" bestFit="1" customWidth="1"/>
    <col min="9035" max="9035" width="15.5" style="370" customWidth="1"/>
    <col min="9036" max="9037" width="18.1640625" style="370" customWidth="1"/>
    <col min="9038" max="9038" width="16.5" style="370" bestFit="1" customWidth="1"/>
    <col min="9039" max="9039" width="17.5" style="370" bestFit="1" customWidth="1"/>
    <col min="9040" max="9040" width="13.83203125" style="370" bestFit="1" customWidth="1"/>
    <col min="9041" max="9041" width="17.5" style="370" bestFit="1" customWidth="1"/>
    <col min="9042" max="9042" width="13.83203125" style="370" bestFit="1" customWidth="1"/>
    <col min="9043" max="9043" width="17.5" style="370" bestFit="1" customWidth="1"/>
    <col min="9044" max="9044" width="14.1640625" style="370" bestFit="1" customWidth="1"/>
    <col min="9045" max="9187" width="10.1640625" style="370"/>
    <col min="9188" max="9188" width="71.1640625" style="370" customWidth="1"/>
    <col min="9189" max="9189" width="57.83203125" style="370" customWidth="1"/>
    <col min="9190" max="9195" width="5.1640625" style="370" customWidth="1"/>
    <col min="9196" max="9196" width="36.5" style="370" customWidth="1"/>
    <col min="9197" max="9197" width="12.5" style="370" customWidth="1"/>
    <col min="9198" max="9198" width="14.83203125" style="370" customWidth="1"/>
    <col min="9199" max="9199" width="19.5" style="370" bestFit="1" customWidth="1"/>
    <col min="9200" max="9200" width="20.83203125" style="370" customWidth="1"/>
    <col min="9201" max="9201" width="16.5" style="370" customWidth="1"/>
    <col min="9202" max="9202" width="17" style="370" customWidth="1"/>
    <col min="9203" max="9203" width="17.1640625" style="370" customWidth="1"/>
    <col min="9204" max="9204" width="15.1640625" style="370" bestFit="1" customWidth="1"/>
    <col min="9205" max="9205" width="20" style="370" bestFit="1" customWidth="1"/>
    <col min="9206" max="9208" width="16.5" style="370" customWidth="1"/>
    <col min="9209" max="9289" width="10.1640625" style="370"/>
    <col min="9290" max="9290" width="69.1640625" style="370" bestFit="1" customWidth="1"/>
    <col min="9291" max="9291" width="15.5" style="370" customWidth="1"/>
    <col min="9292" max="9293" width="18.1640625" style="370" customWidth="1"/>
    <col min="9294" max="9294" width="16.5" style="370" bestFit="1" customWidth="1"/>
    <col min="9295" max="9295" width="17.5" style="370" bestFit="1" customWidth="1"/>
    <col min="9296" max="9296" width="13.83203125" style="370" bestFit="1" customWidth="1"/>
    <col min="9297" max="9297" width="17.5" style="370" bestFit="1" customWidth="1"/>
    <col min="9298" max="9298" width="13.83203125" style="370" bestFit="1" customWidth="1"/>
    <col min="9299" max="9299" width="17.5" style="370" bestFit="1" customWidth="1"/>
    <col min="9300" max="9300" width="14.1640625" style="370" bestFit="1" customWidth="1"/>
    <col min="9301" max="9443" width="10.1640625" style="370"/>
    <col min="9444" max="9444" width="71.1640625" style="370" customWidth="1"/>
    <col min="9445" max="9445" width="57.83203125" style="370" customWidth="1"/>
    <col min="9446" max="9451" width="5.1640625" style="370" customWidth="1"/>
    <col min="9452" max="9452" width="36.5" style="370" customWidth="1"/>
    <col min="9453" max="9453" width="12.5" style="370" customWidth="1"/>
    <col min="9454" max="9454" width="14.83203125" style="370" customWidth="1"/>
    <col min="9455" max="9455" width="19.5" style="370" bestFit="1" customWidth="1"/>
    <col min="9456" max="9456" width="20.83203125" style="370" customWidth="1"/>
    <col min="9457" max="9457" width="16.5" style="370" customWidth="1"/>
    <col min="9458" max="9458" width="17" style="370" customWidth="1"/>
    <col min="9459" max="9459" width="17.1640625" style="370" customWidth="1"/>
    <col min="9460" max="9460" width="15.1640625" style="370" bestFit="1" customWidth="1"/>
    <col min="9461" max="9461" width="20" style="370" bestFit="1" customWidth="1"/>
    <col min="9462" max="9464" width="16.5" style="370" customWidth="1"/>
    <col min="9465" max="9545" width="10.1640625" style="370"/>
    <col min="9546" max="9546" width="69.1640625" style="370" bestFit="1" customWidth="1"/>
    <col min="9547" max="9547" width="15.5" style="370" customWidth="1"/>
    <col min="9548" max="9549" width="18.1640625" style="370" customWidth="1"/>
    <col min="9550" max="9550" width="16.5" style="370" bestFit="1" customWidth="1"/>
    <col min="9551" max="9551" width="17.5" style="370" bestFit="1" customWidth="1"/>
    <col min="9552" max="9552" width="13.83203125" style="370" bestFit="1" customWidth="1"/>
    <col min="9553" max="9553" width="17.5" style="370" bestFit="1" customWidth="1"/>
    <col min="9554" max="9554" width="13.83203125" style="370" bestFit="1" customWidth="1"/>
    <col min="9555" max="9555" width="17.5" style="370" bestFit="1" customWidth="1"/>
    <col min="9556" max="9556" width="14.1640625" style="370" bestFit="1" customWidth="1"/>
    <col min="9557" max="9699" width="10.1640625" style="370"/>
    <col min="9700" max="9700" width="71.1640625" style="370" customWidth="1"/>
    <col min="9701" max="9701" width="57.83203125" style="370" customWidth="1"/>
    <col min="9702" max="9707" width="5.1640625" style="370" customWidth="1"/>
    <col min="9708" max="9708" width="36.5" style="370" customWidth="1"/>
    <col min="9709" max="9709" width="12.5" style="370" customWidth="1"/>
    <col min="9710" max="9710" width="14.83203125" style="370" customWidth="1"/>
    <col min="9711" max="9711" width="19.5" style="370" bestFit="1" customWidth="1"/>
    <col min="9712" max="9712" width="20.83203125" style="370" customWidth="1"/>
    <col min="9713" max="9713" width="16.5" style="370" customWidth="1"/>
    <col min="9714" max="9714" width="17" style="370" customWidth="1"/>
    <col min="9715" max="9715" width="17.1640625" style="370" customWidth="1"/>
    <col min="9716" max="9716" width="15.1640625" style="370" bestFit="1" customWidth="1"/>
    <col min="9717" max="9717" width="20" style="370" bestFit="1" customWidth="1"/>
    <col min="9718" max="9720" width="16.5" style="370" customWidth="1"/>
    <col min="9721" max="9801" width="10.1640625" style="370"/>
    <col min="9802" max="9802" width="69.1640625" style="370" bestFit="1" customWidth="1"/>
    <col min="9803" max="9803" width="15.5" style="370" customWidth="1"/>
    <col min="9804" max="9805" width="18.1640625" style="370" customWidth="1"/>
    <col min="9806" max="9806" width="16.5" style="370" bestFit="1" customWidth="1"/>
    <col min="9807" max="9807" width="17.5" style="370" bestFit="1" customWidth="1"/>
    <col min="9808" max="9808" width="13.83203125" style="370" bestFit="1" customWidth="1"/>
    <col min="9809" max="9809" width="17.5" style="370" bestFit="1" customWidth="1"/>
    <col min="9810" max="9810" width="13.83203125" style="370" bestFit="1" customWidth="1"/>
    <col min="9811" max="9811" width="17.5" style="370" bestFit="1" customWidth="1"/>
    <col min="9812" max="9812" width="14.1640625" style="370" bestFit="1" customWidth="1"/>
    <col min="9813" max="9955" width="10.1640625" style="370"/>
    <col min="9956" max="9956" width="71.1640625" style="370" customWidth="1"/>
    <col min="9957" max="9957" width="57.83203125" style="370" customWidth="1"/>
    <col min="9958" max="9963" width="5.1640625" style="370" customWidth="1"/>
    <col min="9964" max="9964" width="36.5" style="370" customWidth="1"/>
    <col min="9965" max="9965" width="12.5" style="370" customWidth="1"/>
    <col min="9966" max="9966" width="14.83203125" style="370" customWidth="1"/>
    <col min="9967" max="9967" width="19.5" style="370" bestFit="1" customWidth="1"/>
    <col min="9968" max="9968" width="20.83203125" style="370" customWidth="1"/>
    <col min="9969" max="9969" width="16.5" style="370" customWidth="1"/>
    <col min="9970" max="9970" width="17" style="370" customWidth="1"/>
    <col min="9971" max="9971" width="17.1640625" style="370" customWidth="1"/>
    <col min="9972" max="9972" width="15.1640625" style="370" bestFit="1" customWidth="1"/>
    <col min="9973" max="9973" width="20" style="370" bestFit="1" customWidth="1"/>
    <col min="9974" max="9976" width="16.5" style="370" customWidth="1"/>
    <col min="9977" max="10057" width="10.1640625" style="370"/>
    <col min="10058" max="10058" width="69.1640625" style="370" bestFit="1" customWidth="1"/>
    <col min="10059" max="10059" width="15.5" style="370" customWidth="1"/>
    <col min="10060" max="10061" width="18.1640625" style="370" customWidth="1"/>
    <col min="10062" max="10062" width="16.5" style="370" bestFit="1" customWidth="1"/>
    <col min="10063" max="10063" width="17.5" style="370" bestFit="1" customWidth="1"/>
    <col min="10064" max="10064" width="13.83203125" style="370" bestFit="1" customWidth="1"/>
    <col min="10065" max="10065" width="17.5" style="370" bestFit="1" customWidth="1"/>
    <col min="10066" max="10066" width="13.83203125" style="370" bestFit="1" customWidth="1"/>
    <col min="10067" max="10067" width="17.5" style="370" bestFit="1" customWidth="1"/>
    <col min="10068" max="10068" width="14.1640625" style="370" bestFit="1" customWidth="1"/>
    <col min="10069" max="10211" width="10.1640625" style="370"/>
    <col min="10212" max="10212" width="71.1640625" style="370" customWidth="1"/>
    <col min="10213" max="10213" width="57.83203125" style="370" customWidth="1"/>
    <col min="10214" max="10219" width="5.1640625" style="370" customWidth="1"/>
    <col min="10220" max="10220" width="36.5" style="370" customWidth="1"/>
    <col min="10221" max="10221" width="12.5" style="370" customWidth="1"/>
    <col min="10222" max="10222" width="14.83203125" style="370" customWidth="1"/>
    <col min="10223" max="10223" width="19.5" style="370" bestFit="1" customWidth="1"/>
    <col min="10224" max="10224" width="20.83203125" style="370" customWidth="1"/>
    <col min="10225" max="10225" width="16.5" style="370" customWidth="1"/>
    <col min="10226" max="10226" width="17" style="370" customWidth="1"/>
    <col min="10227" max="10227" width="17.1640625" style="370" customWidth="1"/>
    <col min="10228" max="10228" width="15.1640625" style="370" bestFit="1" customWidth="1"/>
    <col min="10229" max="10229" width="20" style="370" bestFit="1" customWidth="1"/>
    <col min="10230" max="10232" width="16.5" style="370" customWidth="1"/>
    <col min="10233" max="10313" width="10.1640625" style="370"/>
    <col min="10314" max="10314" width="69.1640625" style="370" bestFit="1" customWidth="1"/>
    <col min="10315" max="10315" width="15.5" style="370" customWidth="1"/>
    <col min="10316" max="10317" width="18.1640625" style="370" customWidth="1"/>
    <col min="10318" max="10318" width="16.5" style="370" bestFit="1" customWidth="1"/>
    <col min="10319" max="10319" width="17.5" style="370" bestFit="1" customWidth="1"/>
    <col min="10320" max="10320" width="13.83203125" style="370" bestFit="1" customWidth="1"/>
    <col min="10321" max="10321" width="17.5" style="370" bestFit="1" customWidth="1"/>
    <col min="10322" max="10322" width="13.83203125" style="370" bestFit="1" customWidth="1"/>
    <col min="10323" max="10323" width="17.5" style="370" bestFit="1" customWidth="1"/>
    <col min="10324" max="10324" width="14.1640625" style="370" bestFit="1" customWidth="1"/>
    <col min="10325" max="10467" width="10.1640625" style="370"/>
    <col min="10468" max="10468" width="71.1640625" style="370" customWidth="1"/>
    <col min="10469" max="10469" width="57.83203125" style="370" customWidth="1"/>
    <col min="10470" max="10475" width="5.1640625" style="370" customWidth="1"/>
    <col min="10476" max="10476" width="36.5" style="370" customWidth="1"/>
    <col min="10477" max="10477" width="12.5" style="370" customWidth="1"/>
    <col min="10478" max="10478" width="14.83203125" style="370" customWidth="1"/>
    <col min="10479" max="10479" width="19.5" style="370" bestFit="1" customWidth="1"/>
    <col min="10480" max="10480" width="20.83203125" style="370" customWidth="1"/>
    <col min="10481" max="10481" width="16.5" style="370" customWidth="1"/>
    <col min="10482" max="10482" width="17" style="370" customWidth="1"/>
    <col min="10483" max="10483" width="17.1640625" style="370" customWidth="1"/>
    <col min="10484" max="10484" width="15.1640625" style="370" bestFit="1" customWidth="1"/>
    <col min="10485" max="10485" width="20" style="370" bestFit="1" customWidth="1"/>
    <col min="10486" max="10488" width="16.5" style="370" customWidth="1"/>
    <col min="10489" max="10569" width="10.1640625" style="370"/>
    <col min="10570" max="10570" width="69.1640625" style="370" bestFit="1" customWidth="1"/>
    <col min="10571" max="10571" width="15.5" style="370" customWidth="1"/>
    <col min="10572" max="10573" width="18.1640625" style="370" customWidth="1"/>
    <col min="10574" max="10574" width="16.5" style="370" bestFit="1" customWidth="1"/>
    <col min="10575" max="10575" width="17.5" style="370" bestFit="1" customWidth="1"/>
    <col min="10576" max="10576" width="13.83203125" style="370" bestFit="1" customWidth="1"/>
    <col min="10577" max="10577" width="17.5" style="370" bestFit="1" customWidth="1"/>
    <col min="10578" max="10578" width="13.83203125" style="370" bestFit="1" customWidth="1"/>
    <col min="10579" max="10579" width="17.5" style="370" bestFit="1" customWidth="1"/>
    <col min="10580" max="10580" width="14.1640625" style="370" bestFit="1" customWidth="1"/>
    <col min="10581" max="10723" width="10.1640625" style="370"/>
    <col min="10724" max="10724" width="71.1640625" style="370" customWidth="1"/>
    <col min="10725" max="10725" width="57.83203125" style="370" customWidth="1"/>
    <col min="10726" max="10731" width="5.1640625" style="370" customWidth="1"/>
    <col min="10732" max="10732" width="36.5" style="370" customWidth="1"/>
    <col min="10733" max="10733" width="12.5" style="370" customWidth="1"/>
    <col min="10734" max="10734" width="14.83203125" style="370" customWidth="1"/>
    <col min="10735" max="10735" width="19.5" style="370" bestFit="1" customWidth="1"/>
    <col min="10736" max="10736" width="20.83203125" style="370" customWidth="1"/>
    <col min="10737" max="10737" width="16.5" style="370" customWidth="1"/>
    <col min="10738" max="10738" width="17" style="370" customWidth="1"/>
    <col min="10739" max="10739" width="17.1640625" style="370" customWidth="1"/>
    <col min="10740" max="10740" width="15.1640625" style="370" bestFit="1" customWidth="1"/>
    <col min="10741" max="10741" width="20" style="370" bestFit="1" customWidth="1"/>
    <col min="10742" max="10744" width="16.5" style="370" customWidth="1"/>
    <col min="10745" max="10825" width="10.1640625" style="370"/>
    <col min="10826" max="10826" width="69.1640625" style="370" bestFit="1" customWidth="1"/>
    <col min="10827" max="10827" width="15.5" style="370" customWidth="1"/>
    <col min="10828" max="10829" width="18.1640625" style="370" customWidth="1"/>
    <col min="10830" max="10830" width="16.5" style="370" bestFit="1" customWidth="1"/>
    <col min="10831" max="10831" width="17.5" style="370" bestFit="1" customWidth="1"/>
    <col min="10832" max="10832" width="13.83203125" style="370" bestFit="1" customWidth="1"/>
    <col min="10833" max="10833" width="17.5" style="370" bestFit="1" customWidth="1"/>
    <col min="10834" max="10834" width="13.83203125" style="370" bestFit="1" customWidth="1"/>
    <col min="10835" max="10835" width="17.5" style="370" bestFit="1" customWidth="1"/>
    <col min="10836" max="10836" width="14.1640625" style="370" bestFit="1" customWidth="1"/>
    <col min="10837" max="10979" width="10.1640625" style="370"/>
    <col min="10980" max="10980" width="71.1640625" style="370" customWidth="1"/>
    <col min="10981" max="10981" width="57.83203125" style="370" customWidth="1"/>
    <col min="10982" max="10987" width="5.1640625" style="370" customWidth="1"/>
    <col min="10988" max="10988" width="36.5" style="370" customWidth="1"/>
    <col min="10989" max="10989" width="12.5" style="370" customWidth="1"/>
    <col min="10990" max="10990" width="14.83203125" style="370" customWidth="1"/>
    <col min="10991" max="10991" width="19.5" style="370" bestFit="1" customWidth="1"/>
    <col min="10992" max="10992" width="20.83203125" style="370" customWidth="1"/>
    <col min="10993" max="10993" width="16.5" style="370" customWidth="1"/>
    <col min="10994" max="10994" width="17" style="370" customWidth="1"/>
    <col min="10995" max="10995" width="17.1640625" style="370" customWidth="1"/>
    <col min="10996" max="10996" width="15.1640625" style="370" bestFit="1" customWidth="1"/>
    <col min="10997" max="10997" width="20" style="370" bestFit="1" customWidth="1"/>
    <col min="10998" max="11000" width="16.5" style="370" customWidth="1"/>
    <col min="11001" max="11081" width="10.1640625" style="370"/>
    <col min="11082" max="11082" width="69.1640625" style="370" bestFit="1" customWidth="1"/>
    <col min="11083" max="11083" width="15.5" style="370" customWidth="1"/>
    <col min="11084" max="11085" width="18.1640625" style="370" customWidth="1"/>
    <col min="11086" max="11086" width="16.5" style="370" bestFit="1" customWidth="1"/>
    <col min="11087" max="11087" width="17.5" style="370" bestFit="1" customWidth="1"/>
    <col min="11088" max="11088" width="13.83203125" style="370" bestFit="1" customWidth="1"/>
    <col min="11089" max="11089" width="17.5" style="370" bestFit="1" customWidth="1"/>
    <col min="11090" max="11090" width="13.83203125" style="370" bestFit="1" customWidth="1"/>
    <col min="11091" max="11091" width="17.5" style="370" bestFit="1" customWidth="1"/>
    <col min="11092" max="11092" width="14.1640625" style="370" bestFit="1" customWidth="1"/>
    <col min="11093" max="11235" width="10.1640625" style="370"/>
    <col min="11236" max="11236" width="71.1640625" style="370" customWidth="1"/>
    <col min="11237" max="11237" width="57.83203125" style="370" customWidth="1"/>
    <col min="11238" max="11243" width="5.1640625" style="370" customWidth="1"/>
    <col min="11244" max="11244" width="36.5" style="370" customWidth="1"/>
    <col min="11245" max="11245" width="12.5" style="370" customWidth="1"/>
    <col min="11246" max="11246" width="14.83203125" style="370" customWidth="1"/>
    <col min="11247" max="11247" width="19.5" style="370" bestFit="1" customWidth="1"/>
    <col min="11248" max="11248" width="20.83203125" style="370" customWidth="1"/>
    <col min="11249" max="11249" width="16.5" style="370" customWidth="1"/>
    <col min="11250" max="11250" width="17" style="370" customWidth="1"/>
    <col min="11251" max="11251" width="17.1640625" style="370" customWidth="1"/>
    <col min="11252" max="11252" width="15.1640625" style="370" bestFit="1" customWidth="1"/>
    <col min="11253" max="11253" width="20" style="370" bestFit="1" customWidth="1"/>
    <col min="11254" max="11256" width="16.5" style="370" customWidth="1"/>
    <col min="11257" max="11337" width="10.1640625" style="370"/>
    <col min="11338" max="11338" width="69.1640625" style="370" bestFit="1" customWidth="1"/>
    <col min="11339" max="11339" width="15.5" style="370" customWidth="1"/>
    <col min="11340" max="11341" width="18.1640625" style="370" customWidth="1"/>
    <col min="11342" max="11342" width="16.5" style="370" bestFit="1" customWidth="1"/>
    <col min="11343" max="11343" width="17.5" style="370" bestFit="1" customWidth="1"/>
    <col min="11344" max="11344" width="13.83203125" style="370" bestFit="1" customWidth="1"/>
    <col min="11345" max="11345" width="17.5" style="370" bestFit="1" customWidth="1"/>
    <col min="11346" max="11346" width="13.83203125" style="370" bestFit="1" customWidth="1"/>
    <col min="11347" max="11347" width="17.5" style="370" bestFit="1" customWidth="1"/>
    <col min="11348" max="11348" width="14.1640625" style="370" bestFit="1" customWidth="1"/>
    <col min="11349" max="11491" width="10.1640625" style="370"/>
    <col min="11492" max="11492" width="71.1640625" style="370" customWidth="1"/>
    <col min="11493" max="11493" width="57.83203125" style="370" customWidth="1"/>
    <col min="11494" max="11499" width="5.1640625" style="370" customWidth="1"/>
    <col min="11500" max="11500" width="36.5" style="370" customWidth="1"/>
    <col min="11501" max="11501" width="12.5" style="370" customWidth="1"/>
    <col min="11502" max="11502" width="14.83203125" style="370" customWidth="1"/>
    <col min="11503" max="11503" width="19.5" style="370" bestFit="1" customWidth="1"/>
    <col min="11504" max="11504" width="20.83203125" style="370" customWidth="1"/>
    <col min="11505" max="11505" width="16.5" style="370" customWidth="1"/>
    <col min="11506" max="11506" width="17" style="370" customWidth="1"/>
    <col min="11507" max="11507" width="17.1640625" style="370" customWidth="1"/>
    <col min="11508" max="11508" width="15.1640625" style="370" bestFit="1" customWidth="1"/>
    <col min="11509" max="11509" width="20" style="370" bestFit="1" customWidth="1"/>
    <col min="11510" max="11512" width="16.5" style="370" customWidth="1"/>
    <col min="11513" max="11593" width="10.1640625" style="370"/>
    <col min="11594" max="11594" width="69.1640625" style="370" bestFit="1" customWidth="1"/>
    <col min="11595" max="11595" width="15.5" style="370" customWidth="1"/>
    <col min="11596" max="11597" width="18.1640625" style="370" customWidth="1"/>
    <col min="11598" max="11598" width="16.5" style="370" bestFit="1" customWidth="1"/>
    <col min="11599" max="11599" width="17.5" style="370" bestFit="1" customWidth="1"/>
    <col min="11600" max="11600" width="13.83203125" style="370" bestFit="1" customWidth="1"/>
    <col min="11601" max="11601" width="17.5" style="370" bestFit="1" customWidth="1"/>
    <col min="11602" max="11602" width="13.83203125" style="370" bestFit="1" customWidth="1"/>
    <col min="11603" max="11603" width="17.5" style="370" bestFit="1" customWidth="1"/>
    <col min="11604" max="11604" width="14.1640625" style="370" bestFit="1" customWidth="1"/>
    <col min="11605" max="11747" width="10.1640625" style="370"/>
    <col min="11748" max="11748" width="71.1640625" style="370" customWidth="1"/>
    <col min="11749" max="11749" width="57.83203125" style="370" customWidth="1"/>
    <col min="11750" max="11755" width="5.1640625" style="370" customWidth="1"/>
    <col min="11756" max="11756" width="36.5" style="370" customWidth="1"/>
    <col min="11757" max="11757" width="12.5" style="370" customWidth="1"/>
    <col min="11758" max="11758" width="14.83203125" style="370" customWidth="1"/>
    <col min="11759" max="11759" width="19.5" style="370" bestFit="1" customWidth="1"/>
    <col min="11760" max="11760" width="20.83203125" style="370" customWidth="1"/>
    <col min="11761" max="11761" width="16.5" style="370" customWidth="1"/>
    <col min="11762" max="11762" width="17" style="370" customWidth="1"/>
    <col min="11763" max="11763" width="17.1640625" style="370" customWidth="1"/>
    <col min="11764" max="11764" width="15.1640625" style="370" bestFit="1" customWidth="1"/>
    <col min="11765" max="11765" width="20" style="370" bestFit="1" customWidth="1"/>
    <col min="11766" max="11768" width="16.5" style="370" customWidth="1"/>
    <col min="11769" max="11849" width="10.1640625" style="370"/>
    <col min="11850" max="11850" width="69.1640625" style="370" bestFit="1" customWidth="1"/>
    <col min="11851" max="11851" width="15.5" style="370" customWidth="1"/>
    <col min="11852" max="11853" width="18.1640625" style="370" customWidth="1"/>
    <col min="11854" max="11854" width="16.5" style="370" bestFit="1" customWidth="1"/>
    <col min="11855" max="11855" width="17.5" style="370" bestFit="1" customWidth="1"/>
    <col min="11856" max="11856" width="13.83203125" style="370" bestFit="1" customWidth="1"/>
    <col min="11857" max="11857" width="17.5" style="370" bestFit="1" customWidth="1"/>
    <col min="11858" max="11858" width="13.83203125" style="370" bestFit="1" customWidth="1"/>
    <col min="11859" max="11859" width="17.5" style="370" bestFit="1" customWidth="1"/>
    <col min="11860" max="11860" width="14.1640625" style="370" bestFit="1" customWidth="1"/>
    <col min="11861" max="12003" width="10.1640625" style="370"/>
    <col min="12004" max="12004" width="71.1640625" style="370" customWidth="1"/>
    <col min="12005" max="12005" width="57.83203125" style="370" customWidth="1"/>
    <col min="12006" max="12011" width="5.1640625" style="370" customWidth="1"/>
    <col min="12012" max="12012" width="36.5" style="370" customWidth="1"/>
    <col min="12013" max="12013" width="12.5" style="370" customWidth="1"/>
    <col min="12014" max="12014" width="14.83203125" style="370" customWidth="1"/>
    <col min="12015" max="12015" width="19.5" style="370" bestFit="1" customWidth="1"/>
    <col min="12016" max="12016" width="20.83203125" style="370" customWidth="1"/>
    <col min="12017" max="12017" width="16.5" style="370" customWidth="1"/>
    <col min="12018" max="12018" width="17" style="370" customWidth="1"/>
    <col min="12019" max="12019" width="17.1640625" style="370" customWidth="1"/>
    <col min="12020" max="12020" width="15.1640625" style="370" bestFit="1" customWidth="1"/>
    <col min="12021" max="12021" width="20" style="370" bestFit="1" customWidth="1"/>
    <col min="12022" max="12024" width="16.5" style="370" customWidth="1"/>
    <col min="12025" max="12105" width="10.1640625" style="370"/>
    <col min="12106" max="12106" width="69.1640625" style="370" bestFit="1" customWidth="1"/>
    <col min="12107" max="12107" width="15.5" style="370" customWidth="1"/>
    <col min="12108" max="12109" width="18.1640625" style="370" customWidth="1"/>
    <col min="12110" max="12110" width="16.5" style="370" bestFit="1" customWidth="1"/>
    <col min="12111" max="12111" width="17.5" style="370" bestFit="1" customWidth="1"/>
    <col min="12112" max="12112" width="13.83203125" style="370" bestFit="1" customWidth="1"/>
    <col min="12113" max="12113" width="17.5" style="370" bestFit="1" customWidth="1"/>
    <col min="12114" max="12114" width="13.83203125" style="370" bestFit="1" customWidth="1"/>
    <col min="12115" max="12115" width="17.5" style="370" bestFit="1" customWidth="1"/>
    <col min="12116" max="12116" width="14.1640625" style="370" bestFit="1" customWidth="1"/>
    <col min="12117" max="12259" width="10.1640625" style="370"/>
    <col min="12260" max="12260" width="71.1640625" style="370" customWidth="1"/>
    <col min="12261" max="12261" width="57.83203125" style="370" customWidth="1"/>
    <col min="12262" max="12267" width="5.1640625" style="370" customWidth="1"/>
    <col min="12268" max="12268" width="36.5" style="370" customWidth="1"/>
    <col min="12269" max="12269" width="12.5" style="370" customWidth="1"/>
    <col min="12270" max="12270" width="14.83203125" style="370" customWidth="1"/>
    <col min="12271" max="12271" width="19.5" style="370" bestFit="1" customWidth="1"/>
    <col min="12272" max="12272" width="20.83203125" style="370" customWidth="1"/>
    <col min="12273" max="12273" width="16.5" style="370" customWidth="1"/>
    <col min="12274" max="12274" width="17" style="370" customWidth="1"/>
    <col min="12275" max="12275" width="17.1640625" style="370" customWidth="1"/>
    <col min="12276" max="12276" width="15.1640625" style="370" bestFit="1" customWidth="1"/>
    <col min="12277" max="12277" width="20" style="370" bestFit="1" customWidth="1"/>
    <col min="12278" max="12280" width="16.5" style="370" customWidth="1"/>
    <col min="12281" max="12361" width="10.1640625" style="370"/>
    <col min="12362" max="12362" width="69.1640625" style="370" bestFit="1" customWidth="1"/>
    <col min="12363" max="12363" width="15.5" style="370" customWidth="1"/>
    <col min="12364" max="12365" width="18.1640625" style="370" customWidth="1"/>
    <col min="12366" max="12366" width="16.5" style="370" bestFit="1" customWidth="1"/>
    <col min="12367" max="12367" width="17.5" style="370" bestFit="1" customWidth="1"/>
    <col min="12368" max="12368" width="13.83203125" style="370" bestFit="1" customWidth="1"/>
    <col min="12369" max="12369" width="17.5" style="370" bestFit="1" customWidth="1"/>
    <col min="12370" max="12370" width="13.83203125" style="370" bestFit="1" customWidth="1"/>
    <col min="12371" max="12371" width="17.5" style="370" bestFit="1" customWidth="1"/>
    <col min="12372" max="12372" width="14.1640625" style="370" bestFit="1" customWidth="1"/>
    <col min="12373" max="12515" width="10.1640625" style="370"/>
    <col min="12516" max="12516" width="71.1640625" style="370" customWidth="1"/>
    <col min="12517" max="12517" width="57.83203125" style="370" customWidth="1"/>
    <col min="12518" max="12523" width="5.1640625" style="370" customWidth="1"/>
    <col min="12524" max="12524" width="36.5" style="370" customWidth="1"/>
    <col min="12525" max="12525" width="12.5" style="370" customWidth="1"/>
    <col min="12526" max="12526" width="14.83203125" style="370" customWidth="1"/>
    <col min="12527" max="12527" width="19.5" style="370" bestFit="1" customWidth="1"/>
    <col min="12528" max="12528" width="20.83203125" style="370" customWidth="1"/>
    <col min="12529" max="12529" width="16.5" style="370" customWidth="1"/>
    <col min="12530" max="12530" width="17" style="370" customWidth="1"/>
    <col min="12531" max="12531" width="17.1640625" style="370" customWidth="1"/>
    <col min="12532" max="12532" width="15.1640625" style="370" bestFit="1" customWidth="1"/>
    <col min="12533" max="12533" width="20" style="370" bestFit="1" customWidth="1"/>
    <col min="12534" max="12536" width="16.5" style="370" customWidth="1"/>
    <col min="12537" max="12617" width="10.1640625" style="370"/>
    <col min="12618" max="12618" width="69.1640625" style="370" bestFit="1" customWidth="1"/>
    <col min="12619" max="12619" width="15.5" style="370" customWidth="1"/>
    <col min="12620" max="12621" width="18.1640625" style="370" customWidth="1"/>
    <col min="12622" max="12622" width="16.5" style="370" bestFit="1" customWidth="1"/>
    <col min="12623" max="12623" width="17.5" style="370" bestFit="1" customWidth="1"/>
    <col min="12624" max="12624" width="13.83203125" style="370" bestFit="1" customWidth="1"/>
    <col min="12625" max="12625" width="17.5" style="370" bestFit="1" customWidth="1"/>
    <col min="12626" max="12626" width="13.83203125" style="370" bestFit="1" customWidth="1"/>
    <col min="12627" max="12627" width="17.5" style="370" bestFit="1" customWidth="1"/>
    <col min="12628" max="12628" width="14.1640625" style="370" bestFit="1" customWidth="1"/>
    <col min="12629" max="12771" width="10.1640625" style="370"/>
    <col min="12772" max="12772" width="71.1640625" style="370" customWidth="1"/>
    <col min="12773" max="12773" width="57.83203125" style="370" customWidth="1"/>
    <col min="12774" max="12779" width="5.1640625" style="370" customWidth="1"/>
    <col min="12780" max="12780" width="36.5" style="370" customWidth="1"/>
    <col min="12781" max="12781" width="12.5" style="370" customWidth="1"/>
    <col min="12782" max="12782" width="14.83203125" style="370" customWidth="1"/>
    <col min="12783" max="12783" width="19.5" style="370" bestFit="1" customWidth="1"/>
    <col min="12784" max="12784" width="20.83203125" style="370" customWidth="1"/>
    <col min="12785" max="12785" width="16.5" style="370" customWidth="1"/>
    <col min="12786" max="12786" width="17" style="370" customWidth="1"/>
    <col min="12787" max="12787" width="17.1640625" style="370" customWidth="1"/>
    <col min="12788" max="12788" width="15.1640625" style="370" bestFit="1" customWidth="1"/>
    <col min="12789" max="12789" width="20" style="370" bestFit="1" customWidth="1"/>
    <col min="12790" max="12792" width="16.5" style="370" customWidth="1"/>
    <col min="12793" max="12873" width="10.1640625" style="370"/>
    <col min="12874" max="12874" width="69.1640625" style="370" bestFit="1" customWidth="1"/>
    <col min="12875" max="12875" width="15.5" style="370" customWidth="1"/>
    <col min="12876" max="12877" width="18.1640625" style="370" customWidth="1"/>
    <col min="12878" max="12878" width="16.5" style="370" bestFit="1" customWidth="1"/>
    <col min="12879" max="12879" width="17.5" style="370" bestFit="1" customWidth="1"/>
    <col min="12880" max="12880" width="13.83203125" style="370" bestFit="1" customWidth="1"/>
    <col min="12881" max="12881" width="17.5" style="370" bestFit="1" customWidth="1"/>
    <col min="12882" max="12882" width="13.83203125" style="370" bestFit="1" customWidth="1"/>
    <col min="12883" max="12883" width="17.5" style="370" bestFit="1" customWidth="1"/>
    <col min="12884" max="12884" width="14.1640625" style="370" bestFit="1" customWidth="1"/>
    <col min="12885" max="13027" width="10.1640625" style="370"/>
    <col min="13028" max="13028" width="71.1640625" style="370" customWidth="1"/>
    <col min="13029" max="13029" width="57.83203125" style="370" customWidth="1"/>
    <col min="13030" max="13035" width="5.1640625" style="370" customWidth="1"/>
    <col min="13036" max="13036" width="36.5" style="370" customWidth="1"/>
    <col min="13037" max="13037" width="12.5" style="370" customWidth="1"/>
    <col min="13038" max="13038" width="14.83203125" style="370" customWidth="1"/>
    <col min="13039" max="13039" width="19.5" style="370" bestFit="1" customWidth="1"/>
    <col min="13040" max="13040" width="20.83203125" style="370" customWidth="1"/>
    <col min="13041" max="13041" width="16.5" style="370" customWidth="1"/>
    <col min="13042" max="13042" width="17" style="370" customWidth="1"/>
    <col min="13043" max="13043" width="17.1640625" style="370" customWidth="1"/>
    <col min="13044" max="13044" width="15.1640625" style="370" bestFit="1" customWidth="1"/>
    <col min="13045" max="13045" width="20" style="370" bestFit="1" customWidth="1"/>
    <col min="13046" max="13048" width="16.5" style="370" customWidth="1"/>
    <col min="13049" max="13129" width="10.1640625" style="370"/>
    <col min="13130" max="13130" width="69.1640625" style="370" bestFit="1" customWidth="1"/>
    <col min="13131" max="13131" width="15.5" style="370" customWidth="1"/>
    <col min="13132" max="13133" width="18.1640625" style="370" customWidth="1"/>
    <col min="13134" max="13134" width="16.5" style="370" bestFit="1" customWidth="1"/>
    <col min="13135" max="13135" width="17.5" style="370" bestFit="1" customWidth="1"/>
    <col min="13136" max="13136" width="13.83203125" style="370" bestFit="1" customWidth="1"/>
    <col min="13137" max="13137" width="17.5" style="370" bestFit="1" customWidth="1"/>
    <col min="13138" max="13138" width="13.83203125" style="370" bestFit="1" customWidth="1"/>
    <col min="13139" max="13139" width="17.5" style="370" bestFit="1" customWidth="1"/>
    <col min="13140" max="13140" width="14.1640625" style="370" bestFit="1" customWidth="1"/>
    <col min="13141" max="13283" width="10.1640625" style="370"/>
    <col min="13284" max="13284" width="71.1640625" style="370" customWidth="1"/>
    <col min="13285" max="13285" width="57.83203125" style="370" customWidth="1"/>
    <col min="13286" max="13291" width="5.1640625" style="370" customWidth="1"/>
    <col min="13292" max="13292" width="36.5" style="370" customWidth="1"/>
    <col min="13293" max="13293" width="12.5" style="370" customWidth="1"/>
    <col min="13294" max="13294" width="14.83203125" style="370" customWidth="1"/>
    <col min="13295" max="13295" width="19.5" style="370" bestFit="1" customWidth="1"/>
    <col min="13296" max="13296" width="20.83203125" style="370" customWidth="1"/>
    <col min="13297" max="13297" width="16.5" style="370" customWidth="1"/>
    <col min="13298" max="13298" width="17" style="370" customWidth="1"/>
    <col min="13299" max="13299" width="17.1640625" style="370" customWidth="1"/>
    <col min="13300" max="13300" width="15.1640625" style="370" bestFit="1" customWidth="1"/>
    <col min="13301" max="13301" width="20" style="370" bestFit="1" customWidth="1"/>
    <col min="13302" max="13304" width="16.5" style="370" customWidth="1"/>
    <col min="13305" max="13385" width="10.1640625" style="370"/>
    <col min="13386" max="13386" width="69.1640625" style="370" bestFit="1" customWidth="1"/>
    <col min="13387" max="13387" width="15.5" style="370" customWidth="1"/>
    <col min="13388" max="13389" width="18.1640625" style="370" customWidth="1"/>
    <col min="13390" max="13390" width="16.5" style="370" bestFit="1" customWidth="1"/>
    <col min="13391" max="13391" width="17.5" style="370" bestFit="1" customWidth="1"/>
    <col min="13392" max="13392" width="13.83203125" style="370" bestFit="1" customWidth="1"/>
    <col min="13393" max="13393" width="17.5" style="370" bestFit="1" customWidth="1"/>
    <col min="13394" max="13394" width="13.83203125" style="370" bestFit="1" customWidth="1"/>
    <col min="13395" max="13395" width="17.5" style="370" bestFit="1" customWidth="1"/>
    <col min="13396" max="13396" width="14.1640625" style="370" bestFit="1" customWidth="1"/>
    <col min="13397" max="13539" width="10.1640625" style="370"/>
    <col min="13540" max="13540" width="71.1640625" style="370" customWidth="1"/>
    <col min="13541" max="13541" width="57.83203125" style="370" customWidth="1"/>
    <col min="13542" max="13547" width="5.1640625" style="370" customWidth="1"/>
    <col min="13548" max="13548" width="36.5" style="370" customWidth="1"/>
    <col min="13549" max="13549" width="12.5" style="370" customWidth="1"/>
    <col min="13550" max="13550" width="14.83203125" style="370" customWidth="1"/>
    <col min="13551" max="13551" width="19.5" style="370" bestFit="1" customWidth="1"/>
    <col min="13552" max="13552" width="20.83203125" style="370" customWidth="1"/>
    <col min="13553" max="13553" width="16.5" style="370" customWidth="1"/>
    <col min="13554" max="13554" width="17" style="370" customWidth="1"/>
    <col min="13555" max="13555" width="17.1640625" style="370" customWidth="1"/>
    <col min="13556" max="13556" width="15.1640625" style="370" bestFit="1" customWidth="1"/>
    <col min="13557" max="13557" width="20" style="370" bestFit="1" customWidth="1"/>
    <col min="13558" max="13560" width="16.5" style="370" customWidth="1"/>
    <col min="13561" max="13641" width="10.1640625" style="370"/>
    <col min="13642" max="13642" width="69.1640625" style="370" bestFit="1" customWidth="1"/>
    <col min="13643" max="13643" width="15.5" style="370" customWidth="1"/>
    <col min="13644" max="13645" width="18.1640625" style="370" customWidth="1"/>
    <col min="13646" max="13646" width="16.5" style="370" bestFit="1" customWidth="1"/>
    <col min="13647" max="13647" width="17.5" style="370" bestFit="1" customWidth="1"/>
    <col min="13648" max="13648" width="13.83203125" style="370" bestFit="1" customWidth="1"/>
    <col min="13649" max="13649" width="17.5" style="370" bestFit="1" customWidth="1"/>
    <col min="13650" max="13650" width="13.83203125" style="370" bestFit="1" customWidth="1"/>
    <col min="13651" max="13651" width="17.5" style="370" bestFit="1" customWidth="1"/>
    <col min="13652" max="13652" width="14.1640625" style="370" bestFit="1" customWidth="1"/>
    <col min="13653" max="13795" width="10.1640625" style="370"/>
    <col min="13796" max="13796" width="71.1640625" style="370" customWidth="1"/>
    <col min="13797" max="13797" width="57.83203125" style="370" customWidth="1"/>
    <col min="13798" max="13803" width="5.1640625" style="370" customWidth="1"/>
    <col min="13804" max="13804" width="36.5" style="370" customWidth="1"/>
    <col min="13805" max="13805" width="12.5" style="370" customWidth="1"/>
    <col min="13806" max="13806" width="14.83203125" style="370" customWidth="1"/>
    <col min="13807" max="13807" width="19.5" style="370" bestFit="1" customWidth="1"/>
    <col min="13808" max="13808" width="20.83203125" style="370" customWidth="1"/>
    <col min="13809" max="13809" width="16.5" style="370" customWidth="1"/>
    <col min="13810" max="13810" width="17" style="370" customWidth="1"/>
    <col min="13811" max="13811" width="17.1640625" style="370" customWidth="1"/>
    <col min="13812" max="13812" width="15.1640625" style="370" bestFit="1" customWidth="1"/>
    <col min="13813" max="13813" width="20" style="370" bestFit="1" customWidth="1"/>
    <col min="13814" max="13816" width="16.5" style="370" customWidth="1"/>
    <col min="13817" max="13897" width="10.1640625" style="370"/>
    <col min="13898" max="13898" width="69.1640625" style="370" bestFit="1" customWidth="1"/>
    <col min="13899" max="13899" width="15.5" style="370" customWidth="1"/>
    <col min="13900" max="13901" width="18.1640625" style="370" customWidth="1"/>
    <col min="13902" max="13902" width="16.5" style="370" bestFit="1" customWidth="1"/>
    <col min="13903" max="13903" width="17.5" style="370" bestFit="1" customWidth="1"/>
    <col min="13904" max="13904" width="13.83203125" style="370" bestFit="1" customWidth="1"/>
    <col min="13905" max="13905" width="17.5" style="370" bestFit="1" customWidth="1"/>
    <col min="13906" max="13906" width="13.83203125" style="370" bestFit="1" customWidth="1"/>
    <col min="13907" max="13907" width="17.5" style="370" bestFit="1" customWidth="1"/>
    <col min="13908" max="13908" width="14.1640625" style="370" bestFit="1" customWidth="1"/>
    <col min="13909" max="14051" width="10.1640625" style="370"/>
    <col min="14052" max="14052" width="71.1640625" style="370" customWidth="1"/>
    <col min="14053" max="14053" width="57.83203125" style="370" customWidth="1"/>
    <col min="14054" max="14059" width="5.1640625" style="370" customWidth="1"/>
    <col min="14060" max="14060" width="36.5" style="370" customWidth="1"/>
    <col min="14061" max="14061" width="12.5" style="370" customWidth="1"/>
    <col min="14062" max="14062" width="14.83203125" style="370" customWidth="1"/>
    <col min="14063" max="14063" width="19.5" style="370" bestFit="1" customWidth="1"/>
    <col min="14064" max="14064" width="20.83203125" style="370" customWidth="1"/>
    <col min="14065" max="14065" width="16.5" style="370" customWidth="1"/>
    <col min="14066" max="14066" width="17" style="370" customWidth="1"/>
    <col min="14067" max="14067" width="17.1640625" style="370" customWidth="1"/>
    <col min="14068" max="14068" width="15.1640625" style="370" bestFit="1" customWidth="1"/>
    <col min="14069" max="14069" width="20" style="370" bestFit="1" customWidth="1"/>
    <col min="14070" max="14072" width="16.5" style="370" customWidth="1"/>
    <col min="14073" max="14153" width="10.1640625" style="370"/>
    <col min="14154" max="14154" width="69.1640625" style="370" bestFit="1" customWidth="1"/>
    <col min="14155" max="14155" width="15.5" style="370" customWidth="1"/>
    <col min="14156" max="14157" width="18.1640625" style="370" customWidth="1"/>
    <col min="14158" max="14158" width="16.5" style="370" bestFit="1" customWidth="1"/>
    <col min="14159" max="14159" width="17.5" style="370" bestFit="1" customWidth="1"/>
    <col min="14160" max="14160" width="13.83203125" style="370" bestFit="1" customWidth="1"/>
    <col min="14161" max="14161" width="17.5" style="370" bestFit="1" customWidth="1"/>
    <col min="14162" max="14162" width="13.83203125" style="370" bestFit="1" customWidth="1"/>
    <col min="14163" max="14163" width="17.5" style="370" bestFit="1" customWidth="1"/>
    <col min="14164" max="14164" width="14.1640625" style="370" bestFit="1" customWidth="1"/>
    <col min="14165" max="14307" width="10.1640625" style="370"/>
    <col min="14308" max="14308" width="71.1640625" style="370" customWidth="1"/>
    <col min="14309" max="14309" width="57.83203125" style="370" customWidth="1"/>
    <col min="14310" max="14315" width="5.1640625" style="370" customWidth="1"/>
    <col min="14316" max="14316" width="36.5" style="370" customWidth="1"/>
    <col min="14317" max="14317" width="12.5" style="370" customWidth="1"/>
    <col min="14318" max="14318" width="14.83203125" style="370" customWidth="1"/>
    <col min="14319" max="14319" width="19.5" style="370" bestFit="1" customWidth="1"/>
    <col min="14320" max="14320" width="20.83203125" style="370" customWidth="1"/>
    <col min="14321" max="14321" width="16.5" style="370" customWidth="1"/>
    <col min="14322" max="14322" width="17" style="370" customWidth="1"/>
    <col min="14323" max="14323" width="17.1640625" style="370" customWidth="1"/>
    <col min="14324" max="14324" width="15.1640625" style="370" bestFit="1" customWidth="1"/>
    <col min="14325" max="14325" width="20" style="370" bestFit="1" customWidth="1"/>
    <col min="14326" max="14328" width="16.5" style="370" customWidth="1"/>
    <col min="14329" max="14409" width="10.1640625" style="370"/>
    <col min="14410" max="14410" width="69.1640625" style="370" bestFit="1" customWidth="1"/>
    <col min="14411" max="14411" width="15.5" style="370" customWidth="1"/>
    <col min="14412" max="14413" width="18.1640625" style="370" customWidth="1"/>
    <col min="14414" max="14414" width="16.5" style="370" bestFit="1" customWidth="1"/>
    <col min="14415" max="14415" width="17.5" style="370" bestFit="1" customWidth="1"/>
    <col min="14416" max="14416" width="13.83203125" style="370" bestFit="1" customWidth="1"/>
    <col min="14417" max="14417" width="17.5" style="370" bestFit="1" customWidth="1"/>
    <col min="14418" max="14418" width="13.83203125" style="370" bestFit="1" customWidth="1"/>
    <col min="14419" max="14419" width="17.5" style="370" bestFit="1" customWidth="1"/>
    <col min="14420" max="14420" width="14.1640625" style="370" bestFit="1" customWidth="1"/>
    <col min="14421" max="14563" width="10.1640625" style="370"/>
    <col min="14564" max="14564" width="71.1640625" style="370" customWidth="1"/>
    <col min="14565" max="14565" width="57.83203125" style="370" customWidth="1"/>
    <col min="14566" max="14571" width="5.1640625" style="370" customWidth="1"/>
    <col min="14572" max="14572" width="36.5" style="370" customWidth="1"/>
    <col min="14573" max="14573" width="12.5" style="370" customWidth="1"/>
    <col min="14574" max="14574" width="14.83203125" style="370" customWidth="1"/>
    <col min="14575" max="14575" width="19.5" style="370" bestFit="1" customWidth="1"/>
    <col min="14576" max="14576" width="20.83203125" style="370" customWidth="1"/>
    <col min="14577" max="14577" width="16.5" style="370" customWidth="1"/>
    <col min="14578" max="14578" width="17" style="370" customWidth="1"/>
    <col min="14579" max="14579" width="17.1640625" style="370" customWidth="1"/>
    <col min="14580" max="14580" width="15.1640625" style="370" bestFit="1" customWidth="1"/>
    <col min="14581" max="14581" width="20" style="370" bestFit="1" customWidth="1"/>
    <col min="14582" max="14584" width="16.5" style="370" customWidth="1"/>
    <col min="14585" max="14665" width="10.1640625" style="370"/>
    <col min="14666" max="14666" width="69.1640625" style="370" bestFit="1" customWidth="1"/>
    <col min="14667" max="14667" width="15.5" style="370" customWidth="1"/>
    <col min="14668" max="14669" width="18.1640625" style="370" customWidth="1"/>
    <col min="14670" max="14670" width="16.5" style="370" bestFit="1" customWidth="1"/>
    <col min="14671" max="14671" width="17.5" style="370" bestFit="1" customWidth="1"/>
    <col min="14672" max="14672" width="13.83203125" style="370" bestFit="1" customWidth="1"/>
    <col min="14673" max="14673" width="17.5" style="370" bestFit="1" customWidth="1"/>
    <col min="14674" max="14674" width="13.83203125" style="370" bestFit="1" customWidth="1"/>
    <col min="14675" max="14675" width="17.5" style="370" bestFit="1" customWidth="1"/>
    <col min="14676" max="14676" width="14.1640625" style="370" bestFit="1" customWidth="1"/>
    <col min="14677" max="14819" width="10.1640625" style="370"/>
    <col min="14820" max="14820" width="71.1640625" style="370" customWidth="1"/>
    <col min="14821" max="14821" width="57.83203125" style="370" customWidth="1"/>
    <col min="14822" max="14827" width="5.1640625" style="370" customWidth="1"/>
    <col min="14828" max="14828" width="36.5" style="370" customWidth="1"/>
    <col min="14829" max="14829" width="12.5" style="370" customWidth="1"/>
    <col min="14830" max="14830" width="14.83203125" style="370" customWidth="1"/>
    <col min="14831" max="14831" width="19.5" style="370" bestFit="1" customWidth="1"/>
    <col min="14832" max="14832" width="20.83203125" style="370" customWidth="1"/>
    <col min="14833" max="14833" width="16.5" style="370" customWidth="1"/>
    <col min="14834" max="14834" width="17" style="370" customWidth="1"/>
    <col min="14835" max="14835" width="17.1640625" style="370" customWidth="1"/>
    <col min="14836" max="14836" width="15.1640625" style="370" bestFit="1" customWidth="1"/>
    <col min="14837" max="14837" width="20" style="370" bestFit="1" customWidth="1"/>
    <col min="14838" max="14840" width="16.5" style="370" customWidth="1"/>
    <col min="14841" max="14921" width="10.1640625" style="370"/>
    <col min="14922" max="14922" width="69.1640625" style="370" bestFit="1" customWidth="1"/>
    <col min="14923" max="14923" width="15.5" style="370" customWidth="1"/>
    <col min="14924" max="14925" width="18.1640625" style="370" customWidth="1"/>
    <col min="14926" max="14926" width="16.5" style="370" bestFit="1" customWidth="1"/>
    <col min="14927" max="14927" width="17.5" style="370" bestFit="1" customWidth="1"/>
    <col min="14928" max="14928" width="13.83203125" style="370" bestFit="1" customWidth="1"/>
    <col min="14929" max="14929" width="17.5" style="370" bestFit="1" customWidth="1"/>
    <col min="14930" max="14930" width="13.83203125" style="370" bestFit="1" customWidth="1"/>
    <col min="14931" max="14931" width="17.5" style="370" bestFit="1" customWidth="1"/>
    <col min="14932" max="14932" width="14.1640625" style="370" bestFit="1" customWidth="1"/>
    <col min="14933" max="15075" width="10.1640625" style="370"/>
    <col min="15076" max="15076" width="71.1640625" style="370" customWidth="1"/>
    <col min="15077" max="15077" width="57.83203125" style="370" customWidth="1"/>
    <col min="15078" max="15083" width="5.1640625" style="370" customWidth="1"/>
    <col min="15084" max="15084" width="36.5" style="370" customWidth="1"/>
    <col min="15085" max="15085" width="12.5" style="370" customWidth="1"/>
    <col min="15086" max="15086" width="14.83203125" style="370" customWidth="1"/>
    <col min="15087" max="15087" width="19.5" style="370" bestFit="1" customWidth="1"/>
    <col min="15088" max="15088" width="20.83203125" style="370" customWidth="1"/>
    <col min="15089" max="15089" width="16.5" style="370" customWidth="1"/>
    <col min="15090" max="15090" width="17" style="370" customWidth="1"/>
    <col min="15091" max="15091" width="17.1640625" style="370" customWidth="1"/>
    <col min="15092" max="15092" width="15.1640625" style="370" bestFit="1" customWidth="1"/>
    <col min="15093" max="15093" width="20" style="370" bestFit="1" customWidth="1"/>
    <col min="15094" max="15096" width="16.5" style="370" customWidth="1"/>
    <col min="15097" max="15177" width="10.1640625" style="370"/>
    <col min="15178" max="15178" width="69.1640625" style="370" bestFit="1" customWidth="1"/>
    <col min="15179" max="15179" width="15.5" style="370" customWidth="1"/>
    <col min="15180" max="15181" width="18.1640625" style="370" customWidth="1"/>
    <col min="15182" max="15182" width="16.5" style="370" bestFit="1" customWidth="1"/>
    <col min="15183" max="15183" width="17.5" style="370" bestFit="1" customWidth="1"/>
    <col min="15184" max="15184" width="13.83203125" style="370" bestFit="1" customWidth="1"/>
    <col min="15185" max="15185" width="17.5" style="370" bestFit="1" customWidth="1"/>
    <col min="15186" max="15186" width="13.83203125" style="370" bestFit="1" customWidth="1"/>
    <col min="15187" max="15187" width="17.5" style="370" bestFit="1" customWidth="1"/>
    <col min="15188" max="15188" width="14.1640625" style="370" bestFit="1" customWidth="1"/>
    <col min="15189" max="15331" width="10.1640625" style="370"/>
    <col min="15332" max="15332" width="71.1640625" style="370" customWidth="1"/>
    <col min="15333" max="15333" width="57.83203125" style="370" customWidth="1"/>
    <col min="15334" max="15339" width="5.1640625" style="370" customWidth="1"/>
    <col min="15340" max="15340" width="36.5" style="370" customWidth="1"/>
    <col min="15341" max="15341" width="12.5" style="370" customWidth="1"/>
    <col min="15342" max="15342" width="14.83203125" style="370" customWidth="1"/>
    <col min="15343" max="15343" width="19.5" style="370" bestFit="1" customWidth="1"/>
    <col min="15344" max="15344" width="20.83203125" style="370" customWidth="1"/>
    <col min="15345" max="15345" width="16.5" style="370" customWidth="1"/>
    <col min="15346" max="15346" width="17" style="370" customWidth="1"/>
    <col min="15347" max="15347" width="17.1640625" style="370" customWidth="1"/>
    <col min="15348" max="15348" width="15.1640625" style="370" bestFit="1" customWidth="1"/>
    <col min="15349" max="15349" width="20" style="370" bestFit="1" customWidth="1"/>
    <col min="15350" max="15352" width="16.5" style="370" customWidth="1"/>
    <col min="15353" max="15433" width="10.1640625" style="370"/>
    <col min="15434" max="15434" width="69.1640625" style="370" bestFit="1" customWidth="1"/>
    <col min="15435" max="15435" width="15.5" style="370" customWidth="1"/>
    <col min="15436" max="15437" width="18.1640625" style="370" customWidth="1"/>
    <col min="15438" max="15438" width="16.5" style="370" bestFit="1" customWidth="1"/>
    <col min="15439" max="15439" width="17.5" style="370" bestFit="1" customWidth="1"/>
    <col min="15440" max="15440" width="13.83203125" style="370" bestFit="1" customWidth="1"/>
    <col min="15441" max="15441" width="17.5" style="370" bestFit="1" customWidth="1"/>
    <col min="15442" max="15442" width="13.83203125" style="370" bestFit="1" customWidth="1"/>
    <col min="15443" max="15443" width="17.5" style="370" bestFit="1" customWidth="1"/>
    <col min="15444" max="15444" width="14.1640625" style="370" bestFit="1" customWidth="1"/>
    <col min="15445" max="15587" width="10.1640625" style="370"/>
    <col min="15588" max="15588" width="71.1640625" style="370" customWidth="1"/>
    <col min="15589" max="15589" width="57.83203125" style="370" customWidth="1"/>
    <col min="15590" max="15595" width="5.1640625" style="370" customWidth="1"/>
    <col min="15596" max="15596" width="36.5" style="370" customWidth="1"/>
    <col min="15597" max="15597" width="12.5" style="370" customWidth="1"/>
    <col min="15598" max="15598" width="14.83203125" style="370" customWidth="1"/>
    <col min="15599" max="15599" width="19.5" style="370" bestFit="1" customWidth="1"/>
    <col min="15600" max="15600" width="20.83203125" style="370" customWidth="1"/>
    <col min="15601" max="15601" width="16.5" style="370" customWidth="1"/>
    <col min="15602" max="15602" width="17" style="370" customWidth="1"/>
    <col min="15603" max="15603" width="17.1640625" style="370" customWidth="1"/>
    <col min="15604" max="15604" width="15.1640625" style="370" bestFit="1" customWidth="1"/>
    <col min="15605" max="15605" width="20" style="370" bestFit="1" customWidth="1"/>
    <col min="15606" max="15608" width="16.5" style="370" customWidth="1"/>
    <col min="15609" max="15689" width="10.1640625" style="370"/>
    <col min="15690" max="15690" width="69.1640625" style="370" bestFit="1" customWidth="1"/>
    <col min="15691" max="15691" width="15.5" style="370" customWidth="1"/>
    <col min="15692" max="15693" width="18.1640625" style="370" customWidth="1"/>
    <col min="15694" max="15694" width="16.5" style="370" bestFit="1" customWidth="1"/>
    <col min="15695" max="15695" width="17.5" style="370" bestFit="1" customWidth="1"/>
    <col min="15696" max="15696" width="13.83203125" style="370" bestFit="1" customWidth="1"/>
    <col min="15697" max="15697" width="17.5" style="370" bestFit="1" customWidth="1"/>
    <col min="15698" max="15698" width="13.83203125" style="370" bestFit="1" customWidth="1"/>
    <col min="15699" max="15699" width="17.5" style="370" bestFit="1" customWidth="1"/>
    <col min="15700" max="15700" width="14.1640625" style="370" bestFit="1" customWidth="1"/>
    <col min="15701" max="15843" width="10.1640625" style="370"/>
    <col min="15844" max="15844" width="71.1640625" style="370" customWidth="1"/>
    <col min="15845" max="15845" width="57.83203125" style="370" customWidth="1"/>
    <col min="15846" max="15851" width="5.1640625" style="370" customWidth="1"/>
    <col min="15852" max="15852" width="36.5" style="370" customWidth="1"/>
    <col min="15853" max="15853" width="12.5" style="370" customWidth="1"/>
    <col min="15854" max="15854" width="14.83203125" style="370" customWidth="1"/>
    <col min="15855" max="15855" width="19.5" style="370" bestFit="1" customWidth="1"/>
    <col min="15856" max="15856" width="20.83203125" style="370" customWidth="1"/>
    <col min="15857" max="15857" width="16.5" style="370" customWidth="1"/>
    <col min="15858" max="15858" width="17" style="370" customWidth="1"/>
    <col min="15859" max="15859" width="17.1640625" style="370" customWidth="1"/>
    <col min="15860" max="15860" width="15.1640625" style="370" bestFit="1" customWidth="1"/>
    <col min="15861" max="15861" width="20" style="370" bestFit="1" customWidth="1"/>
    <col min="15862" max="15864" width="16.5" style="370" customWidth="1"/>
    <col min="15865" max="15945" width="10.1640625" style="370"/>
    <col min="15946" max="15946" width="69.1640625" style="370" bestFit="1" customWidth="1"/>
    <col min="15947" max="15947" width="15.5" style="370" customWidth="1"/>
    <col min="15948" max="15949" width="18.1640625" style="370" customWidth="1"/>
    <col min="15950" max="15950" width="16.5" style="370" bestFit="1" customWidth="1"/>
    <col min="15951" max="15951" width="17.5" style="370" bestFit="1" customWidth="1"/>
    <col min="15952" max="15952" width="13.83203125" style="370" bestFit="1" customWidth="1"/>
    <col min="15953" max="15953" width="17.5" style="370" bestFit="1" customWidth="1"/>
    <col min="15954" max="15954" width="13.83203125" style="370" bestFit="1" customWidth="1"/>
    <col min="15955" max="15955" width="17.5" style="370" bestFit="1" customWidth="1"/>
    <col min="15956" max="15956" width="14.1640625" style="370" bestFit="1" customWidth="1"/>
    <col min="15957" max="16099" width="10.1640625" style="370"/>
    <col min="16100" max="16100" width="71.1640625" style="370" customWidth="1"/>
    <col min="16101" max="16101" width="57.83203125" style="370" customWidth="1"/>
    <col min="16102" max="16107" width="5.1640625" style="370" customWidth="1"/>
    <col min="16108" max="16108" width="36.5" style="370" customWidth="1"/>
    <col min="16109" max="16109" width="12.5" style="370" customWidth="1"/>
    <col min="16110" max="16110" width="14.83203125" style="370" customWidth="1"/>
    <col min="16111" max="16111" width="19.5" style="370" bestFit="1" customWidth="1"/>
    <col min="16112" max="16112" width="20.83203125" style="370" customWidth="1"/>
    <col min="16113" max="16113" width="16.5" style="370" customWidth="1"/>
    <col min="16114" max="16114" width="17" style="370" customWidth="1"/>
    <col min="16115" max="16115" width="17.1640625" style="370" customWidth="1"/>
    <col min="16116" max="16116" width="15.1640625" style="370" bestFit="1" customWidth="1"/>
    <col min="16117" max="16117" width="20" style="370" bestFit="1" customWidth="1"/>
    <col min="16118" max="16120" width="16.5" style="370" customWidth="1"/>
    <col min="16121" max="16201" width="10.1640625" style="370"/>
    <col min="16202" max="16202" width="69.1640625" style="370" bestFit="1" customWidth="1"/>
    <col min="16203" max="16203" width="15.5" style="370" customWidth="1"/>
    <col min="16204" max="16205" width="18.1640625" style="370" customWidth="1"/>
    <col min="16206" max="16206" width="16.5" style="370" bestFit="1" customWidth="1"/>
    <col min="16207" max="16207" width="17.5" style="370" bestFit="1" customWidth="1"/>
    <col min="16208" max="16208" width="13.83203125" style="370" bestFit="1" customWidth="1"/>
    <col min="16209" max="16209" width="17.5" style="370" bestFit="1" customWidth="1"/>
    <col min="16210" max="16210" width="13.83203125" style="370" bestFit="1" customWidth="1"/>
    <col min="16211" max="16211" width="17.5" style="370" bestFit="1" customWidth="1"/>
    <col min="16212" max="16212" width="14.1640625" style="370" bestFit="1" customWidth="1"/>
    <col min="16213" max="16384" width="10.1640625" style="370"/>
  </cols>
  <sheetData>
    <row r="1" spans="1:227" ht="31.5" customHeight="1" x14ac:dyDescent="0.2">
      <c r="A1" s="368" t="s">
        <v>263</v>
      </c>
      <c r="B1" s="369"/>
      <c r="C1" s="369"/>
      <c r="D1" s="369"/>
      <c r="E1" s="369"/>
      <c r="F1" s="369"/>
      <c r="G1" s="369"/>
      <c r="H1" s="369"/>
      <c r="I1" s="369"/>
      <c r="J1" s="369"/>
      <c r="K1" s="369"/>
    </row>
    <row r="2" spans="1:227" ht="6" customHeight="1" x14ac:dyDescent="0.2">
      <c r="A2" s="371"/>
      <c r="B2" s="371"/>
      <c r="G2" s="372"/>
      <c r="H2" s="372"/>
    </row>
    <row r="3" spans="1:227" ht="21" customHeight="1" x14ac:dyDescent="0.2">
      <c r="A3" s="373" t="s">
        <v>264</v>
      </c>
      <c r="B3" s="373" t="s">
        <v>265</v>
      </c>
      <c r="C3" s="373" t="s">
        <v>266</v>
      </c>
      <c r="D3" s="373" t="s">
        <v>267</v>
      </c>
      <c r="E3" s="373" t="s">
        <v>268</v>
      </c>
      <c r="F3" s="373" t="s">
        <v>269</v>
      </c>
      <c r="G3" s="373" t="s">
        <v>270</v>
      </c>
      <c r="H3" s="373" t="s">
        <v>271</v>
      </c>
      <c r="I3" s="373"/>
      <c r="J3" s="373"/>
      <c r="K3" s="372">
        <v>15.7</v>
      </c>
    </row>
    <row r="4" spans="1:227" ht="21" customHeight="1" x14ac:dyDescent="0.2">
      <c r="A4" s="374"/>
      <c r="B4" s="374"/>
      <c r="C4" s="374"/>
      <c r="D4" s="374"/>
      <c r="E4" s="374"/>
      <c r="F4" s="374"/>
      <c r="G4" s="374"/>
      <c r="H4" s="374"/>
      <c r="I4" s="374"/>
      <c r="J4" s="374"/>
    </row>
    <row r="5" spans="1:227" x14ac:dyDescent="0.2">
      <c r="A5" s="651" t="s">
        <v>272</v>
      </c>
      <c r="B5" s="652"/>
      <c r="C5" s="652"/>
      <c r="D5" s="652"/>
      <c r="E5" s="652"/>
      <c r="F5" s="652"/>
      <c r="G5" s="653"/>
      <c r="H5" s="652"/>
      <c r="I5" s="652"/>
      <c r="J5" s="652"/>
      <c r="K5" s="652"/>
    </row>
    <row r="6" spans="1:227" x14ac:dyDescent="0.2">
      <c r="A6" s="376"/>
      <c r="B6" s="377"/>
      <c r="C6" s="377"/>
      <c r="D6" s="377"/>
      <c r="E6" s="377"/>
      <c r="F6" s="377"/>
      <c r="G6" s="377"/>
      <c r="H6" s="377"/>
      <c r="I6" s="377"/>
      <c r="J6" s="377"/>
      <c r="K6" s="377"/>
    </row>
    <row r="7" spans="1:227" s="393" customFormat="1" ht="33.5" customHeight="1" outlineLevel="1" x14ac:dyDescent="0.2">
      <c r="A7" s="402" t="s">
        <v>273</v>
      </c>
      <c r="B7" s="442" t="s">
        <v>274</v>
      </c>
      <c r="C7" s="390"/>
      <c r="D7" s="392"/>
      <c r="E7" s="392"/>
      <c r="F7" s="367"/>
      <c r="G7" s="367"/>
      <c r="H7" s="367"/>
      <c r="I7" s="367"/>
      <c r="J7" s="367"/>
    </row>
    <row r="8" spans="1:227" s="393" customFormat="1" ht="27" customHeight="1" outlineLevel="2" x14ac:dyDescent="0.2">
      <c r="A8" s="390" t="s">
        <v>275</v>
      </c>
      <c r="B8" s="391" t="s">
        <v>276</v>
      </c>
      <c r="C8" s="390" t="s">
        <v>277</v>
      </c>
      <c r="D8" s="392">
        <f>(15*5)+7</f>
        <v>82</v>
      </c>
      <c r="E8" s="392">
        <f>2*2</f>
        <v>4</v>
      </c>
      <c r="F8" s="367">
        <f>50+150</f>
        <v>200</v>
      </c>
      <c r="G8" s="367">
        <f>(D8*E8*F8)</f>
        <v>65600</v>
      </c>
      <c r="H8" s="367">
        <f t="shared" ref="H8:H14" si="0">G8/$K$3</f>
        <v>4178.3439490445862</v>
      </c>
      <c r="I8" s="367">
        <f>H8</f>
        <v>4178.3439490445862</v>
      </c>
      <c r="J8" s="367"/>
    </row>
    <row r="9" spans="1:227" s="393" customFormat="1" ht="20" customHeight="1" outlineLevel="2" x14ac:dyDescent="0.2">
      <c r="A9" s="390" t="s">
        <v>278</v>
      </c>
      <c r="B9" s="391" t="s">
        <v>279</v>
      </c>
      <c r="C9" s="390" t="s">
        <v>280</v>
      </c>
      <c r="D9" s="392">
        <f>5*15</f>
        <v>75</v>
      </c>
      <c r="E9" s="392">
        <f>2*2</f>
        <v>4</v>
      </c>
      <c r="F9" s="367">
        <v>150</v>
      </c>
      <c r="G9" s="367">
        <f t="shared" ref="G9:G13" si="1">(D9*E9*F9)</f>
        <v>45000</v>
      </c>
      <c r="H9" s="367">
        <f t="shared" si="0"/>
        <v>2866.2420382165606</v>
      </c>
      <c r="I9" s="367">
        <f t="shared" ref="I9:I14" si="2">H9</f>
        <v>2866.2420382165606</v>
      </c>
      <c r="J9" s="367"/>
    </row>
    <row r="10" spans="1:227" s="393" customFormat="1" ht="20" customHeight="1" outlineLevel="2" x14ac:dyDescent="0.2">
      <c r="A10" s="390" t="s">
        <v>281</v>
      </c>
      <c r="B10" s="391" t="s">
        <v>279</v>
      </c>
      <c r="C10" s="390" t="s">
        <v>280</v>
      </c>
      <c r="D10" s="392">
        <f>5*15</f>
        <v>75</v>
      </c>
      <c r="E10" s="392">
        <v>12</v>
      </c>
      <c r="F10" s="367">
        <v>150</v>
      </c>
      <c r="G10" s="367">
        <f t="shared" si="1"/>
        <v>135000</v>
      </c>
      <c r="H10" s="367">
        <f t="shared" si="0"/>
        <v>8598.7261146496821</v>
      </c>
      <c r="I10" s="367">
        <f t="shared" si="2"/>
        <v>8598.7261146496821</v>
      </c>
      <c r="J10" s="367"/>
    </row>
    <row r="11" spans="1:227" s="393" customFormat="1" ht="33" customHeight="1" outlineLevel="2" x14ac:dyDescent="0.2">
      <c r="A11" s="390" t="s">
        <v>282</v>
      </c>
      <c r="B11" s="391" t="s">
        <v>283</v>
      </c>
      <c r="C11" s="390" t="s">
        <v>284</v>
      </c>
      <c r="D11" s="392">
        <v>5</v>
      </c>
      <c r="E11" s="392">
        <v>1</v>
      </c>
      <c r="F11" s="367">
        <v>1500</v>
      </c>
      <c r="G11" s="367">
        <f t="shared" si="1"/>
        <v>7500</v>
      </c>
      <c r="H11" s="367">
        <f t="shared" si="0"/>
        <v>477.70700636942678</v>
      </c>
      <c r="I11" s="367">
        <f t="shared" si="2"/>
        <v>477.70700636942678</v>
      </c>
      <c r="J11" s="367"/>
    </row>
    <row r="12" spans="1:227" s="393" customFormat="1" ht="20" customHeight="1" outlineLevel="2" x14ac:dyDescent="0.2">
      <c r="A12" s="390" t="s">
        <v>285</v>
      </c>
      <c r="B12" s="391" t="s">
        <v>286</v>
      </c>
      <c r="C12" s="390" t="s">
        <v>287</v>
      </c>
      <c r="D12" s="392">
        <v>5</v>
      </c>
      <c r="E12" s="392">
        <f>2*2</f>
        <v>4</v>
      </c>
      <c r="F12" s="367">
        <v>3000</v>
      </c>
      <c r="G12" s="367">
        <f t="shared" si="1"/>
        <v>60000</v>
      </c>
      <c r="H12" s="367">
        <f t="shared" si="0"/>
        <v>3821.6560509554142</v>
      </c>
      <c r="I12" s="367">
        <f t="shared" si="2"/>
        <v>3821.6560509554142</v>
      </c>
      <c r="J12" s="367"/>
    </row>
    <row r="13" spans="1:227" s="393" customFormat="1" ht="20" customHeight="1" outlineLevel="2" x14ac:dyDescent="0.2">
      <c r="A13" s="390"/>
      <c r="B13" s="391"/>
      <c r="C13" s="390"/>
      <c r="D13" s="392"/>
      <c r="E13" s="392"/>
      <c r="F13" s="367"/>
      <c r="G13" s="367">
        <f t="shared" si="1"/>
        <v>0</v>
      </c>
      <c r="H13" s="367">
        <f t="shared" si="0"/>
        <v>0</v>
      </c>
      <c r="I13" s="367">
        <f t="shared" si="2"/>
        <v>0</v>
      </c>
      <c r="J13" s="367"/>
    </row>
    <row r="14" spans="1:227" s="393" customFormat="1" ht="20" customHeight="1" outlineLevel="2" x14ac:dyDescent="0.2">
      <c r="A14" s="390"/>
      <c r="B14" s="391"/>
      <c r="C14" s="390"/>
      <c r="D14" s="392"/>
      <c r="E14" s="392"/>
      <c r="F14" s="367"/>
      <c r="G14" s="367">
        <f>(D14*E14*F14)</f>
        <v>0</v>
      </c>
      <c r="H14" s="367">
        <f t="shared" si="0"/>
        <v>0</v>
      </c>
      <c r="I14" s="367">
        <f t="shared" si="2"/>
        <v>0</v>
      </c>
      <c r="J14" s="367"/>
    </row>
    <row r="15" spans="1:227" s="405" customFormat="1" ht="17" outlineLevel="1" x14ac:dyDescent="0.2">
      <c r="A15" s="378" t="s">
        <v>288</v>
      </c>
      <c r="B15" s="379"/>
      <c r="C15" s="379"/>
      <c r="D15" s="379"/>
      <c r="E15" s="379"/>
      <c r="F15" s="380"/>
      <c r="G15" s="380">
        <f>SUM(G8:G14)</f>
        <v>313100</v>
      </c>
      <c r="H15" s="379">
        <f>SUM(H8:H14)</f>
        <v>19942.67515923567</v>
      </c>
      <c r="I15" s="380">
        <f>SUM(I8:I14)</f>
        <v>19942.67515923567</v>
      </c>
      <c r="J15" s="380">
        <f>SUM(J8:J14)</f>
        <v>0</v>
      </c>
      <c r="K15" s="393"/>
      <c r="L15" s="384"/>
      <c r="M15" s="384"/>
      <c r="N15" s="384"/>
      <c r="O15" s="383"/>
      <c r="P15" s="383"/>
      <c r="Q15" s="404"/>
      <c r="R15" s="383"/>
      <c r="S15" s="383"/>
      <c r="T15" s="383"/>
      <c r="U15" s="384"/>
      <c r="V15" s="384"/>
      <c r="W15" s="384"/>
      <c r="X15" s="383"/>
      <c r="Y15" s="383"/>
      <c r="Z15" s="404"/>
      <c r="AA15" s="383"/>
      <c r="AB15" s="383"/>
      <c r="AC15" s="383"/>
      <c r="AD15" s="384"/>
      <c r="AE15" s="384"/>
      <c r="AF15" s="384"/>
      <c r="AG15" s="383"/>
      <c r="AH15" s="383"/>
      <c r="AI15" s="404"/>
      <c r="AJ15" s="383"/>
      <c r="AK15" s="383"/>
      <c r="AL15" s="383"/>
      <c r="AM15" s="384"/>
      <c r="AN15" s="384"/>
      <c r="AO15" s="384"/>
      <c r="AP15" s="383"/>
      <c r="AQ15" s="383"/>
      <c r="AR15" s="404"/>
      <c r="AS15" s="383"/>
      <c r="AT15" s="383"/>
      <c r="AU15" s="383"/>
      <c r="AV15" s="384"/>
      <c r="AW15" s="384"/>
      <c r="AX15" s="384"/>
      <c r="AY15" s="383"/>
      <c r="AZ15" s="383"/>
      <c r="BA15" s="404"/>
      <c r="BB15" s="383"/>
      <c r="BC15" s="383"/>
      <c r="BD15" s="383"/>
      <c r="BE15" s="384"/>
      <c r="BF15" s="384"/>
      <c r="BG15" s="384"/>
      <c r="BH15" s="383"/>
      <c r="BI15" s="383"/>
      <c r="BJ15" s="404"/>
      <c r="BK15" s="383"/>
      <c r="BL15" s="383"/>
      <c r="BM15" s="383"/>
      <c r="BN15" s="384"/>
      <c r="BO15" s="384"/>
      <c r="BP15" s="384"/>
      <c r="BQ15" s="383"/>
      <c r="BR15" s="383"/>
      <c r="BS15" s="404"/>
      <c r="BT15" s="383"/>
      <c r="BU15" s="383"/>
      <c r="BV15" s="383"/>
      <c r="BW15" s="384"/>
      <c r="BX15" s="384"/>
      <c r="BY15" s="384"/>
      <c r="BZ15" s="383"/>
      <c r="CA15" s="383"/>
      <c r="CB15" s="404"/>
      <c r="CC15" s="383"/>
      <c r="CD15" s="383"/>
      <c r="CE15" s="383"/>
      <c r="CF15" s="384"/>
      <c r="CG15" s="384"/>
      <c r="CH15" s="384"/>
      <c r="CI15" s="383"/>
      <c r="CJ15" s="383"/>
      <c r="CK15" s="404"/>
      <c r="CL15" s="383"/>
      <c r="CM15" s="383"/>
      <c r="CN15" s="383"/>
      <c r="CO15" s="384"/>
      <c r="CP15" s="384"/>
      <c r="CQ15" s="384"/>
      <c r="CR15" s="383"/>
      <c r="CS15" s="383"/>
      <c r="CT15" s="404"/>
      <c r="CU15" s="383"/>
      <c r="CV15" s="383"/>
      <c r="CW15" s="383"/>
      <c r="CX15" s="384"/>
      <c r="CY15" s="384"/>
      <c r="CZ15" s="384"/>
      <c r="DA15" s="383"/>
      <c r="DB15" s="383"/>
      <c r="DC15" s="404"/>
      <c r="DD15" s="383"/>
      <c r="DE15" s="383"/>
      <c r="DF15" s="383"/>
      <c r="DG15" s="384"/>
      <c r="DH15" s="384"/>
      <c r="DI15" s="384"/>
      <c r="DJ15" s="383"/>
      <c r="DK15" s="383"/>
      <c r="DL15" s="404"/>
      <c r="DM15" s="383"/>
      <c r="DN15" s="383"/>
      <c r="DO15" s="383"/>
      <c r="DP15" s="384"/>
      <c r="DQ15" s="384"/>
      <c r="DR15" s="384"/>
      <c r="DS15" s="383"/>
      <c r="DT15" s="383"/>
      <c r="DU15" s="404"/>
      <c r="DV15" s="383"/>
      <c r="DW15" s="383"/>
      <c r="DX15" s="383"/>
      <c r="DY15" s="384"/>
      <c r="DZ15" s="384"/>
      <c r="EA15" s="384"/>
      <c r="EB15" s="383"/>
      <c r="EC15" s="383"/>
      <c r="ED15" s="404"/>
      <c r="EE15" s="383"/>
      <c r="EF15" s="383"/>
      <c r="EG15" s="383"/>
      <c r="EH15" s="384"/>
      <c r="EI15" s="384"/>
      <c r="EJ15" s="384"/>
      <c r="EK15" s="383"/>
      <c r="EL15" s="383"/>
      <c r="EM15" s="404"/>
      <c r="EN15" s="383"/>
      <c r="EO15" s="383"/>
      <c r="EP15" s="383"/>
      <c r="EQ15" s="384"/>
      <c r="ER15" s="384"/>
      <c r="ES15" s="384"/>
      <c r="ET15" s="383"/>
      <c r="EU15" s="383"/>
      <c r="EV15" s="404"/>
      <c r="EW15" s="383"/>
      <c r="EX15" s="383"/>
      <c r="EY15" s="383"/>
      <c r="EZ15" s="384"/>
      <c r="FA15" s="384"/>
      <c r="FB15" s="384"/>
      <c r="FC15" s="383"/>
      <c r="FD15" s="383"/>
      <c r="FE15" s="404"/>
      <c r="FF15" s="383"/>
      <c r="FG15" s="383"/>
      <c r="FH15" s="383"/>
      <c r="FI15" s="384"/>
      <c r="FJ15" s="384"/>
      <c r="FK15" s="384"/>
      <c r="FL15" s="383"/>
      <c r="FM15" s="383"/>
      <c r="FN15" s="404"/>
      <c r="FO15" s="383"/>
      <c r="FP15" s="383"/>
      <c r="FQ15" s="383"/>
      <c r="FR15" s="384"/>
      <c r="FS15" s="384"/>
      <c r="FT15" s="384"/>
      <c r="FU15" s="383"/>
      <c r="FV15" s="383"/>
      <c r="FW15" s="404"/>
      <c r="FX15" s="383"/>
      <c r="FY15" s="383"/>
      <c r="FZ15" s="383"/>
      <c r="GA15" s="384"/>
      <c r="GB15" s="384"/>
      <c r="GC15" s="384"/>
      <c r="GD15" s="383"/>
      <c r="GE15" s="383"/>
      <c r="GF15" s="404"/>
      <c r="GG15" s="383"/>
      <c r="GH15" s="383"/>
      <c r="GI15" s="383"/>
      <c r="GJ15" s="384"/>
      <c r="GK15" s="384"/>
      <c r="GL15" s="384"/>
      <c r="GM15" s="383"/>
      <c r="GN15" s="383"/>
      <c r="GO15" s="404"/>
      <c r="GP15" s="383"/>
      <c r="GQ15" s="383"/>
      <c r="GR15" s="383"/>
      <c r="GS15" s="384"/>
      <c r="GT15" s="384"/>
      <c r="GU15" s="384"/>
      <c r="GV15" s="383"/>
      <c r="GW15" s="383"/>
      <c r="GX15" s="404"/>
      <c r="GY15" s="383"/>
      <c r="GZ15" s="383"/>
      <c r="HA15" s="383"/>
      <c r="HB15" s="384"/>
      <c r="HC15" s="384"/>
      <c r="HD15" s="384"/>
      <c r="HE15" s="383"/>
      <c r="HF15" s="383"/>
      <c r="HG15" s="404"/>
      <c r="HH15" s="383"/>
      <c r="HI15" s="383"/>
      <c r="HJ15" s="383"/>
      <c r="HK15" s="384"/>
      <c r="HL15" s="384"/>
      <c r="HM15" s="384"/>
      <c r="HN15" s="383"/>
      <c r="HO15" s="383"/>
      <c r="HP15" s="404"/>
      <c r="HQ15" s="383"/>
      <c r="HR15" s="383"/>
      <c r="HS15" s="383"/>
    </row>
    <row r="16" spans="1:227" s="393" customFormat="1" ht="39" customHeight="1" outlineLevel="1" x14ac:dyDescent="0.2">
      <c r="A16" s="645" t="s">
        <v>289</v>
      </c>
      <c r="B16" s="443" t="s">
        <v>290</v>
      </c>
      <c r="C16" s="390"/>
      <c r="D16" s="392"/>
      <c r="E16" s="392"/>
      <c r="F16" s="367"/>
      <c r="G16" s="367"/>
      <c r="H16" s="367"/>
      <c r="I16" s="367"/>
      <c r="J16" s="367"/>
    </row>
    <row r="17" spans="1:227" s="393" customFormat="1" ht="20" customHeight="1" outlineLevel="2" x14ac:dyDescent="0.2">
      <c r="A17" s="390" t="s">
        <v>291</v>
      </c>
      <c r="B17" s="391"/>
      <c r="C17" s="390" t="s">
        <v>292</v>
      </c>
      <c r="D17" s="392">
        <v>5</v>
      </c>
      <c r="E17" s="392">
        <v>2</v>
      </c>
      <c r="F17" s="367">
        <v>7000</v>
      </c>
      <c r="G17" s="367">
        <f t="shared" ref="G17:G22" si="3">(D17*E17*F17)</f>
        <v>70000</v>
      </c>
      <c r="H17" s="367">
        <f t="shared" ref="H17:H23" si="4">G17/$K$3</f>
        <v>4458.5987261146502</v>
      </c>
      <c r="I17" s="367">
        <f>H17</f>
        <v>4458.5987261146502</v>
      </c>
      <c r="J17" s="367"/>
    </row>
    <row r="18" spans="1:227" s="393" customFormat="1" ht="32.5" customHeight="1" outlineLevel="2" x14ac:dyDescent="0.2">
      <c r="A18" s="390" t="s">
        <v>85</v>
      </c>
      <c r="B18" s="391"/>
      <c r="C18" s="390" t="s">
        <v>292</v>
      </c>
      <c r="D18" s="392">
        <v>5</v>
      </c>
      <c r="E18" s="392">
        <v>2</v>
      </c>
      <c r="F18" s="367">
        <v>7000</v>
      </c>
      <c r="G18" s="367">
        <f t="shared" si="3"/>
        <v>70000</v>
      </c>
      <c r="H18" s="367">
        <f t="shared" si="4"/>
        <v>4458.5987261146502</v>
      </c>
      <c r="I18" s="367">
        <f t="shared" ref="I18:I23" si="5">H18</f>
        <v>4458.5987261146502</v>
      </c>
      <c r="J18" s="367"/>
    </row>
    <row r="19" spans="1:227" s="393" customFormat="1" ht="20" customHeight="1" outlineLevel="2" x14ac:dyDescent="0.2">
      <c r="A19" s="390" t="s">
        <v>293</v>
      </c>
      <c r="B19" s="391"/>
      <c r="C19" s="390" t="s">
        <v>294</v>
      </c>
      <c r="D19" s="392">
        <v>5</v>
      </c>
      <c r="E19" s="392">
        <v>1</v>
      </c>
      <c r="F19" s="367">
        <v>1500</v>
      </c>
      <c r="G19" s="367">
        <f t="shared" si="3"/>
        <v>7500</v>
      </c>
      <c r="H19" s="367">
        <f t="shared" si="4"/>
        <v>477.70700636942678</v>
      </c>
      <c r="I19" s="367">
        <f t="shared" si="5"/>
        <v>477.70700636942678</v>
      </c>
      <c r="J19" s="367"/>
    </row>
    <row r="20" spans="1:227" s="393" customFormat="1" ht="20" customHeight="1" outlineLevel="2" x14ac:dyDescent="0.2">
      <c r="A20" s="390" t="s">
        <v>295</v>
      </c>
      <c r="B20" s="391"/>
      <c r="C20" s="390" t="s">
        <v>296</v>
      </c>
      <c r="D20" s="392">
        <v>5</v>
      </c>
      <c r="E20" s="392">
        <v>2</v>
      </c>
      <c r="F20" s="367">
        <v>1500</v>
      </c>
      <c r="G20" s="367">
        <f t="shared" si="3"/>
        <v>15000</v>
      </c>
      <c r="H20" s="367">
        <f t="shared" si="4"/>
        <v>955.41401273885356</v>
      </c>
      <c r="I20" s="367">
        <f t="shared" si="5"/>
        <v>955.41401273885356</v>
      </c>
      <c r="J20" s="367"/>
    </row>
    <row r="21" spans="1:227" s="393" customFormat="1" ht="20" customHeight="1" outlineLevel="2" x14ac:dyDescent="0.2">
      <c r="A21" s="390"/>
      <c r="B21" s="391"/>
      <c r="C21" s="390"/>
      <c r="D21" s="392"/>
      <c r="E21" s="392"/>
      <c r="F21" s="367"/>
      <c r="G21" s="367">
        <f t="shared" si="3"/>
        <v>0</v>
      </c>
      <c r="H21" s="367">
        <f t="shared" si="4"/>
        <v>0</v>
      </c>
      <c r="I21" s="367">
        <f t="shared" si="5"/>
        <v>0</v>
      </c>
      <c r="J21" s="367"/>
    </row>
    <row r="22" spans="1:227" s="393" customFormat="1" ht="20" customHeight="1" outlineLevel="2" x14ac:dyDescent="0.2">
      <c r="A22" s="390"/>
      <c r="B22" s="391"/>
      <c r="C22" s="390"/>
      <c r="D22" s="392"/>
      <c r="E22" s="392"/>
      <c r="F22" s="367"/>
      <c r="G22" s="367">
        <f t="shared" si="3"/>
        <v>0</v>
      </c>
      <c r="H22" s="367">
        <f t="shared" si="4"/>
        <v>0</v>
      </c>
      <c r="I22" s="367">
        <f t="shared" si="5"/>
        <v>0</v>
      </c>
      <c r="J22" s="367"/>
    </row>
    <row r="23" spans="1:227" s="393" customFormat="1" ht="20" customHeight="1" outlineLevel="2" x14ac:dyDescent="0.2">
      <c r="A23" s="390"/>
      <c r="B23" s="391"/>
      <c r="C23" s="390"/>
      <c r="D23" s="392"/>
      <c r="E23" s="392"/>
      <c r="F23" s="367"/>
      <c r="G23" s="367">
        <f>(D23*E23*F23)</f>
        <v>0</v>
      </c>
      <c r="H23" s="367">
        <f t="shared" si="4"/>
        <v>0</v>
      </c>
      <c r="I23" s="367">
        <f t="shared" si="5"/>
        <v>0</v>
      </c>
      <c r="J23" s="367"/>
    </row>
    <row r="24" spans="1:227" s="405" customFormat="1" ht="17" outlineLevel="1" x14ac:dyDescent="0.2">
      <c r="A24" s="378" t="s">
        <v>288</v>
      </c>
      <c r="B24" s="379"/>
      <c r="C24" s="379"/>
      <c r="D24" s="379"/>
      <c r="E24" s="379"/>
      <c r="F24" s="380"/>
      <c r="G24" s="380">
        <f>SUM(G17:G23)</f>
        <v>162500</v>
      </c>
      <c r="H24" s="379">
        <f>SUM(H17:H23)</f>
        <v>10350.318471337579</v>
      </c>
      <c r="I24" s="380">
        <f>SUM(I17:I23)</f>
        <v>10350.318471337579</v>
      </c>
      <c r="J24" s="380">
        <f>SUM(J17:J23)</f>
        <v>0</v>
      </c>
      <c r="K24" s="393"/>
      <c r="L24" s="384"/>
      <c r="M24" s="384"/>
      <c r="N24" s="384"/>
      <c r="O24" s="383"/>
      <c r="P24" s="383"/>
      <c r="Q24" s="404"/>
      <c r="R24" s="383"/>
      <c r="S24" s="383"/>
      <c r="T24" s="383"/>
      <c r="U24" s="384"/>
      <c r="V24" s="384"/>
      <c r="W24" s="384"/>
      <c r="X24" s="383"/>
      <c r="Y24" s="383"/>
      <c r="Z24" s="404"/>
      <c r="AA24" s="383"/>
      <c r="AB24" s="383"/>
      <c r="AC24" s="383"/>
      <c r="AD24" s="384"/>
      <c r="AE24" s="384"/>
      <c r="AF24" s="384"/>
      <c r="AG24" s="383"/>
      <c r="AH24" s="383"/>
      <c r="AI24" s="404"/>
      <c r="AJ24" s="383"/>
      <c r="AK24" s="383"/>
      <c r="AL24" s="383"/>
      <c r="AM24" s="384"/>
      <c r="AN24" s="384"/>
      <c r="AO24" s="384"/>
      <c r="AP24" s="383"/>
      <c r="AQ24" s="383"/>
      <c r="AR24" s="404"/>
      <c r="AS24" s="383"/>
      <c r="AT24" s="383"/>
      <c r="AU24" s="383"/>
      <c r="AV24" s="384"/>
      <c r="AW24" s="384"/>
      <c r="AX24" s="384"/>
      <c r="AY24" s="383"/>
      <c r="AZ24" s="383"/>
      <c r="BA24" s="404"/>
      <c r="BB24" s="383"/>
      <c r="BC24" s="383"/>
      <c r="BD24" s="383"/>
      <c r="BE24" s="384"/>
      <c r="BF24" s="384"/>
      <c r="BG24" s="384"/>
      <c r="BH24" s="383"/>
      <c r="BI24" s="383"/>
      <c r="BJ24" s="404"/>
      <c r="BK24" s="383"/>
      <c r="BL24" s="383"/>
      <c r="BM24" s="383"/>
      <c r="BN24" s="384"/>
      <c r="BO24" s="384"/>
      <c r="BP24" s="384"/>
      <c r="BQ24" s="383"/>
      <c r="BR24" s="383"/>
      <c r="BS24" s="404"/>
      <c r="BT24" s="383"/>
      <c r="BU24" s="383"/>
      <c r="BV24" s="383"/>
      <c r="BW24" s="384"/>
      <c r="BX24" s="384"/>
      <c r="BY24" s="384"/>
      <c r="BZ24" s="383"/>
      <c r="CA24" s="383"/>
      <c r="CB24" s="404"/>
      <c r="CC24" s="383"/>
      <c r="CD24" s="383"/>
      <c r="CE24" s="383"/>
      <c r="CF24" s="384"/>
      <c r="CG24" s="384"/>
      <c r="CH24" s="384"/>
      <c r="CI24" s="383"/>
      <c r="CJ24" s="383"/>
      <c r="CK24" s="404"/>
      <c r="CL24" s="383"/>
      <c r="CM24" s="383"/>
      <c r="CN24" s="383"/>
      <c r="CO24" s="384"/>
      <c r="CP24" s="384"/>
      <c r="CQ24" s="384"/>
      <c r="CR24" s="383"/>
      <c r="CS24" s="383"/>
      <c r="CT24" s="404"/>
      <c r="CU24" s="383"/>
      <c r="CV24" s="383"/>
      <c r="CW24" s="383"/>
      <c r="CX24" s="384"/>
      <c r="CY24" s="384"/>
      <c r="CZ24" s="384"/>
      <c r="DA24" s="383"/>
      <c r="DB24" s="383"/>
      <c r="DC24" s="404"/>
      <c r="DD24" s="383"/>
      <c r="DE24" s="383"/>
      <c r="DF24" s="383"/>
      <c r="DG24" s="384"/>
      <c r="DH24" s="384"/>
      <c r="DI24" s="384"/>
      <c r="DJ24" s="383"/>
      <c r="DK24" s="383"/>
      <c r="DL24" s="404"/>
      <c r="DM24" s="383"/>
      <c r="DN24" s="383"/>
      <c r="DO24" s="383"/>
      <c r="DP24" s="384"/>
      <c r="DQ24" s="384"/>
      <c r="DR24" s="384"/>
      <c r="DS24" s="383"/>
      <c r="DT24" s="383"/>
      <c r="DU24" s="404"/>
      <c r="DV24" s="383"/>
      <c r="DW24" s="383"/>
      <c r="DX24" s="383"/>
      <c r="DY24" s="384"/>
      <c r="DZ24" s="384"/>
      <c r="EA24" s="384"/>
      <c r="EB24" s="383"/>
      <c r="EC24" s="383"/>
      <c r="ED24" s="404"/>
      <c r="EE24" s="383"/>
      <c r="EF24" s="383"/>
      <c r="EG24" s="383"/>
      <c r="EH24" s="384"/>
      <c r="EI24" s="384"/>
      <c r="EJ24" s="384"/>
      <c r="EK24" s="383"/>
      <c r="EL24" s="383"/>
      <c r="EM24" s="404"/>
      <c r="EN24" s="383"/>
      <c r="EO24" s="383"/>
      <c r="EP24" s="383"/>
      <c r="EQ24" s="384"/>
      <c r="ER24" s="384"/>
      <c r="ES24" s="384"/>
      <c r="ET24" s="383"/>
      <c r="EU24" s="383"/>
      <c r="EV24" s="404"/>
      <c r="EW24" s="383"/>
      <c r="EX24" s="383"/>
      <c r="EY24" s="383"/>
      <c r="EZ24" s="384"/>
      <c r="FA24" s="384"/>
      <c r="FB24" s="384"/>
      <c r="FC24" s="383"/>
      <c r="FD24" s="383"/>
      <c r="FE24" s="404"/>
      <c r="FF24" s="383"/>
      <c r="FG24" s="383"/>
      <c r="FH24" s="383"/>
      <c r="FI24" s="384"/>
      <c r="FJ24" s="384"/>
      <c r="FK24" s="384"/>
      <c r="FL24" s="383"/>
      <c r="FM24" s="383"/>
      <c r="FN24" s="404"/>
      <c r="FO24" s="383"/>
      <c r="FP24" s="383"/>
      <c r="FQ24" s="383"/>
      <c r="FR24" s="384"/>
      <c r="FS24" s="384"/>
      <c r="FT24" s="384"/>
      <c r="FU24" s="383"/>
      <c r="FV24" s="383"/>
      <c r="FW24" s="404"/>
      <c r="FX24" s="383"/>
      <c r="FY24" s="383"/>
      <c r="FZ24" s="383"/>
      <c r="GA24" s="384"/>
      <c r="GB24" s="384"/>
      <c r="GC24" s="384"/>
      <c r="GD24" s="383"/>
      <c r="GE24" s="383"/>
      <c r="GF24" s="404"/>
      <c r="GG24" s="383"/>
      <c r="GH24" s="383"/>
      <c r="GI24" s="383"/>
      <c r="GJ24" s="384"/>
      <c r="GK24" s="384"/>
      <c r="GL24" s="384"/>
      <c r="GM24" s="383"/>
      <c r="GN24" s="383"/>
      <c r="GO24" s="404"/>
      <c r="GP24" s="383"/>
      <c r="GQ24" s="383"/>
      <c r="GR24" s="383"/>
      <c r="GS24" s="384"/>
      <c r="GT24" s="384"/>
      <c r="GU24" s="384"/>
      <c r="GV24" s="383"/>
      <c r="GW24" s="383"/>
      <c r="GX24" s="404"/>
      <c r="GY24" s="383"/>
      <c r="GZ24" s="383"/>
      <c r="HA24" s="383"/>
      <c r="HB24" s="384"/>
      <c r="HC24" s="384"/>
      <c r="HD24" s="384"/>
      <c r="HE24" s="383"/>
      <c r="HF24" s="383"/>
      <c r="HG24" s="404"/>
      <c r="HH24" s="383"/>
      <c r="HI24" s="383"/>
      <c r="HJ24" s="383"/>
      <c r="HK24" s="384"/>
      <c r="HL24" s="384"/>
      <c r="HM24" s="384"/>
      <c r="HN24" s="383"/>
      <c r="HO24" s="383"/>
      <c r="HP24" s="404"/>
      <c r="HQ24" s="383"/>
      <c r="HR24" s="383"/>
      <c r="HS24" s="383"/>
    </row>
    <row r="25" spans="1:227" s="393" customFormat="1" ht="20" customHeight="1" outlineLevel="1" x14ac:dyDescent="0.2">
      <c r="A25" s="402" t="s">
        <v>297</v>
      </c>
      <c r="B25" s="391" t="s">
        <v>298</v>
      </c>
      <c r="C25" s="390" t="s">
        <v>299</v>
      </c>
      <c r="D25" s="392">
        <f>2*5</f>
        <v>10</v>
      </c>
      <c r="E25" s="392">
        <v>2</v>
      </c>
      <c r="F25" s="367">
        <v>1500</v>
      </c>
      <c r="G25" s="367">
        <f t="shared" ref="G25:G30" si="6">(D25*E25*F25)</f>
        <v>30000</v>
      </c>
      <c r="H25" s="367">
        <f t="shared" ref="H25:H31" si="7">G25/$K$3</f>
        <v>1910.8280254777071</v>
      </c>
      <c r="I25" s="367">
        <f>H25</f>
        <v>1910.8280254777071</v>
      </c>
      <c r="J25" s="367"/>
    </row>
    <row r="26" spans="1:227" s="393" customFormat="1" ht="20" customHeight="1" outlineLevel="2" x14ac:dyDescent="0.2">
      <c r="A26" s="390" t="s">
        <v>300</v>
      </c>
      <c r="B26" s="391" t="s">
        <v>279</v>
      </c>
      <c r="C26" s="390" t="s">
        <v>280</v>
      </c>
      <c r="D26" s="392">
        <f>4*5</f>
        <v>20</v>
      </c>
      <c r="E26" s="392">
        <v>2</v>
      </c>
      <c r="F26" s="367">
        <v>150</v>
      </c>
      <c r="G26" s="367">
        <f t="shared" si="6"/>
        <v>6000</v>
      </c>
      <c r="H26" s="367">
        <f t="shared" si="7"/>
        <v>382.16560509554142</v>
      </c>
      <c r="I26" s="367">
        <f t="shared" ref="I26:I31" si="8">H26</f>
        <v>382.16560509554142</v>
      </c>
      <c r="J26" s="367"/>
    </row>
    <row r="27" spans="1:227" s="393" customFormat="1" ht="20" customHeight="1" outlineLevel="2" x14ac:dyDescent="0.2">
      <c r="A27" s="390" t="s">
        <v>301</v>
      </c>
      <c r="B27" s="391" t="s">
        <v>302</v>
      </c>
      <c r="C27" s="390" t="s">
        <v>303</v>
      </c>
      <c r="D27" s="392">
        <f>2*5</f>
        <v>10</v>
      </c>
      <c r="E27" s="392">
        <v>1</v>
      </c>
      <c r="F27" s="367">
        <v>1000</v>
      </c>
      <c r="G27" s="367">
        <f t="shared" si="6"/>
        <v>10000</v>
      </c>
      <c r="H27" s="367">
        <f t="shared" si="7"/>
        <v>636.9426751592357</v>
      </c>
      <c r="I27" s="367">
        <f t="shared" si="8"/>
        <v>636.9426751592357</v>
      </c>
      <c r="J27" s="367"/>
    </row>
    <row r="28" spans="1:227" s="393" customFormat="1" ht="20" customHeight="1" outlineLevel="2" x14ac:dyDescent="0.2">
      <c r="A28" s="390"/>
      <c r="B28" s="391"/>
      <c r="C28" s="390"/>
      <c r="D28" s="392"/>
      <c r="E28" s="392"/>
      <c r="F28" s="367"/>
      <c r="G28" s="367">
        <f t="shared" si="6"/>
        <v>0</v>
      </c>
      <c r="H28" s="367">
        <f t="shared" si="7"/>
        <v>0</v>
      </c>
      <c r="I28" s="367">
        <f t="shared" si="8"/>
        <v>0</v>
      </c>
      <c r="J28" s="367"/>
    </row>
    <row r="29" spans="1:227" s="393" customFormat="1" ht="20" customHeight="1" outlineLevel="2" x14ac:dyDescent="0.2">
      <c r="A29" s="390"/>
      <c r="B29" s="391"/>
      <c r="C29" s="390"/>
      <c r="D29" s="392"/>
      <c r="E29" s="392"/>
      <c r="F29" s="367"/>
      <c r="G29" s="367">
        <f t="shared" si="6"/>
        <v>0</v>
      </c>
      <c r="H29" s="367">
        <f t="shared" si="7"/>
        <v>0</v>
      </c>
      <c r="I29" s="367">
        <f t="shared" si="8"/>
        <v>0</v>
      </c>
      <c r="J29" s="367"/>
    </row>
    <row r="30" spans="1:227" s="393" customFormat="1" ht="20" customHeight="1" outlineLevel="2" x14ac:dyDescent="0.2">
      <c r="A30" s="390"/>
      <c r="B30" s="391"/>
      <c r="C30" s="390"/>
      <c r="D30" s="392"/>
      <c r="E30" s="392"/>
      <c r="F30" s="367"/>
      <c r="G30" s="367">
        <f t="shared" si="6"/>
        <v>0</v>
      </c>
      <c r="H30" s="367">
        <f t="shared" si="7"/>
        <v>0</v>
      </c>
      <c r="I30" s="367">
        <f t="shared" si="8"/>
        <v>0</v>
      </c>
      <c r="J30" s="367"/>
    </row>
    <row r="31" spans="1:227" s="393" customFormat="1" ht="20" customHeight="1" outlineLevel="2" x14ac:dyDescent="0.2">
      <c r="A31" s="390"/>
      <c r="B31" s="391"/>
      <c r="C31" s="390"/>
      <c r="D31" s="392"/>
      <c r="E31" s="392"/>
      <c r="F31" s="367"/>
      <c r="G31" s="367">
        <f>(D31*E31*F31)</f>
        <v>0</v>
      </c>
      <c r="H31" s="367">
        <f t="shared" si="7"/>
        <v>0</v>
      </c>
      <c r="I31" s="367">
        <f t="shared" si="8"/>
        <v>0</v>
      </c>
      <c r="J31" s="367"/>
    </row>
    <row r="32" spans="1:227" s="405" customFormat="1" ht="17" outlineLevel="1" x14ac:dyDescent="0.2">
      <c r="A32" s="378" t="s">
        <v>288</v>
      </c>
      <c r="B32" s="379"/>
      <c r="C32" s="379"/>
      <c r="D32" s="379"/>
      <c r="E32" s="379"/>
      <c r="F32" s="380"/>
      <c r="G32" s="380">
        <f>SUM(G25:G31)</f>
        <v>46000</v>
      </c>
      <c r="H32" s="379">
        <f>SUM(H25:H31)</f>
        <v>2929.9363057324845</v>
      </c>
      <c r="I32" s="380">
        <f>SUM(I25:I31)</f>
        <v>2929.9363057324845</v>
      </c>
      <c r="J32" s="380">
        <f>SUM(J25:J31)</f>
        <v>0</v>
      </c>
      <c r="K32" s="393"/>
      <c r="L32" s="384"/>
      <c r="M32" s="384"/>
      <c r="N32" s="384"/>
      <c r="O32" s="383"/>
      <c r="P32" s="383"/>
      <c r="Q32" s="404"/>
      <c r="R32" s="383"/>
      <c r="S32" s="383"/>
      <c r="T32" s="383"/>
      <c r="U32" s="384"/>
      <c r="V32" s="384"/>
      <c r="W32" s="384"/>
      <c r="X32" s="383"/>
      <c r="Y32" s="383"/>
      <c r="Z32" s="404"/>
      <c r="AA32" s="383"/>
      <c r="AB32" s="383"/>
      <c r="AC32" s="383"/>
      <c r="AD32" s="384"/>
      <c r="AE32" s="384"/>
      <c r="AF32" s="384"/>
      <c r="AG32" s="383"/>
      <c r="AH32" s="383"/>
      <c r="AI32" s="404"/>
      <c r="AJ32" s="383"/>
      <c r="AK32" s="383"/>
      <c r="AL32" s="383"/>
      <c r="AM32" s="384"/>
      <c r="AN32" s="384"/>
      <c r="AO32" s="384"/>
      <c r="AP32" s="383"/>
      <c r="AQ32" s="383"/>
      <c r="AR32" s="404"/>
      <c r="AS32" s="383"/>
      <c r="AT32" s="383"/>
      <c r="AU32" s="383"/>
      <c r="AV32" s="384"/>
      <c r="AW32" s="384"/>
      <c r="AX32" s="384"/>
      <c r="AY32" s="383"/>
      <c r="AZ32" s="383"/>
      <c r="BA32" s="404"/>
      <c r="BB32" s="383"/>
      <c r="BC32" s="383"/>
      <c r="BD32" s="383"/>
      <c r="BE32" s="384"/>
      <c r="BF32" s="384"/>
      <c r="BG32" s="384"/>
      <c r="BH32" s="383"/>
      <c r="BI32" s="383"/>
      <c r="BJ32" s="404"/>
      <c r="BK32" s="383"/>
      <c r="BL32" s="383"/>
      <c r="BM32" s="383"/>
      <c r="BN32" s="384"/>
      <c r="BO32" s="384"/>
      <c r="BP32" s="384"/>
      <c r="BQ32" s="383"/>
      <c r="BR32" s="383"/>
      <c r="BS32" s="404"/>
      <c r="BT32" s="383"/>
      <c r="BU32" s="383"/>
      <c r="BV32" s="383"/>
      <c r="BW32" s="384"/>
      <c r="BX32" s="384"/>
      <c r="BY32" s="384"/>
      <c r="BZ32" s="383"/>
      <c r="CA32" s="383"/>
      <c r="CB32" s="404"/>
      <c r="CC32" s="383"/>
      <c r="CD32" s="383"/>
      <c r="CE32" s="383"/>
      <c r="CF32" s="384"/>
      <c r="CG32" s="384"/>
      <c r="CH32" s="384"/>
      <c r="CI32" s="383"/>
      <c r="CJ32" s="383"/>
      <c r="CK32" s="404"/>
      <c r="CL32" s="383"/>
      <c r="CM32" s="383"/>
      <c r="CN32" s="383"/>
      <c r="CO32" s="384"/>
      <c r="CP32" s="384"/>
      <c r="CQ32" s="384"/>
      <c r="CR32" s="383"/>
      <c r="CS32" s="383"/>
      <c r="CT32" s="404"/>
      <c r="CU32" s="383"/>
      <c r="CV32" s="383"/>
      <c r="CW32" s="383"/>
      <c r="CX32" s="384"/>
      <c r="CY32" s="384"/>
      <c r="CZ32" s="384"/>
      <c r="DA32" s="383"/>
      <c r="DB32" s="383"/>
      <c r="DC32" s="404"/>
      <c r="DD32" s="383"/>
      <c r="DE32" s="383"/>
      <c r="DF32" s="383"/>
      <c r="DG32" s="384"/>
      <c r="DH32" s="384"/>
      <c r="DI32" s="384"/>
      <c r="DJ32" s="383"/>
      <c r="DK32" s="383"/>
      <c r="DL32" s="404"/>
      <c r="DM32" s="383"/>
      <c r="DN32" s="383"/>
      <c r="DO32" s="383"/>
      <c r="DP32" s="384"/>
      <c r="DQ32" s="384"/>
      <c r="DR32" s="384"/>
      <c r="DS32" s="383"/>
      <c r="DT32" s="383"/>
      <c r="DU32" s="404"/>
      <c r="DV32" s="383"/>
      <c r="DW32" s="383"/>
      <c r="DX32" s="383"/>
      <c r="DY32" s="384"/>
      <c r="DZ32" s="384"/>
      <c r="EA32" s="384"/>
      <c r="EB32" s="383"/>
      <c r="EC32" s="383"/>
      <c r="ED32" s="404"/>
      <c r="EE32" s="383"/>
      <c r="EF32" s="383"/>
      <c r="EG32" s="383"/>
      <c r="EH32" s="384"/>
      <c r="EI32" s="384"/>
      <c r="EJ32" s="384"/>
      <c r="EK32" s="383"/>
      <c r="EL32" s="383"/>
      <c r="EM32" s="404"/>
      <c r="EN32" s="383"/>
      <c r="EO32" s="383"/>
      <c r="EP32" s="383"/>
      <c r="EQ32" s="384"/>
      <c r="ER32" s="384"/>
      <c r="ES32" s="384"/>
      <c r="ET32" s="383"/>
      <c r="EU32" s="383"/>
      <c r="EV32" s="404"/>
      <c r="EW32" s="383"/>
      <c r="EX32" s="383"/>
      <c r="EY32" s="383"/>
      <c r="EZ32" s="384"/>
      <c r="FA32" s="384"/>
      <c r="FB32" s="384"/>
      <c r="FC32" s="383"/>
      <c r="FD32" s="383"/>
      <c r="FE32" s="404"/>
      <c r="FF32" s="383"/>
      <c r="FG32" s="383"/>
      <c r="FH32" s="383"/>
      <c r="FI32" s="384"/>
      <c r="FJ32" s="384"/>
      <c r="FK32" s="384"/>
      <c r="FL32" s="383"/>
      <c r="FM32" s="383"/>
      <c r="FN32" s="404"/>
      <c r="FO32" s="383"/>
      <c r="FP32" s="383"/>
      <c r="FQ32" s="383"/>
      <c r="FR32" s="384"/>
      <c r="FS32" s="384"/>
      <c r="FT32" s="384"/>
      <c r="FU32" s="383"/>
      <c r="FV32" s="383"/>
      <c r="FW32" s="404"/>
      <c r="FX32" s="383"/>
      <c r="FY32" s="383"/>
      <c r="FZ32" s="383"/>
      <c r="GA32" s="384"/>
      <c r="GB32" s="384"/>
      <c r="GC32" s="384"/>
      <c r="GD32" s="383"/>
      <c r="GE32" s="383"/>
      <c r="GF32" s="404"/>
      <c r="GG32" s="383"/>
      <c r="GH32" s="383"/>
      <c r="GI32" s="383"/>
      <c r="GJ32" s="384"/>
      <c r="GK32" s="384"/>
      <c r="GL32" s="384"/>
      <c r="GM32" s="383"/>
      <c r="GN32" s="383"/>
      <c r="GO32" s="404"/>
      <c r="GP32" s="383"/>
      <c r="GQ32" s="383"/>
      <c r="GR32" s="383"/>
      <c r="GS32" s="384"/>
      <c r="GT32" s="384"/>
      <c r="GU32" s="384"/>
      <c r="GV32" s="383"/>
      <c r="GW32" s="383"/>
      <c r="GX32" s="404"/>
      <c r="GY32" s="383"/>
      <c r="GZ32" s="383"/>
      <c r="HA32" s="383"/>
      <c r="HB32" s="384"/>
      <c r="HC32" s="384"/>
      <c r="HD32" s="384"/>
      <c r="HE32" s="383"/>
      <c r="HF32" s="383"/>
      <c r="HG32" s="404"/>
      <c r="HH32" s="383"/>
      <c r="HI32" s="383"/>
      <c r="HJ32" s="383"/>
      <c r="HK32" s="384"/>
      <c r="HL32" s="384"/>
      <c r="HM32" s="384"/>
      <c r="HN32" s="383"/>
      <c r="HO32" s="383"/>
      <c r="HP32" s="404"/>
      <c r="HQ32" s="383"/>
      <c r="HR32" s="383"/>
      <c r="HS32" s="383"/>
    </row>
    <row r="33" spans="1:227" s="393" customFormat="1" ht="39" customHeight="1" outlineLevel="1" x14ac:dyDescent="0.2">
      <c r="A33" s="402" t="s">
        <v>304</v>
      </c>
      <c r="B33" s="443" t="s">
        <v>305</v>
      </c>
      <c r="C33" s="390"/>
      <c r="D33" s="392"/>
      <c r="E33" s="392"/>
      <c r="F33" s="367"/>
      <c r="G33" s="367"/>
      <c r="H33" s="367"/>
      <c r="I33" s="367"/>
      <c r="J33" s="367"/>
    </row>
    <row r="34" spans="1:227" s="393" customFormat="1" ht="20" customHeight="1" outlineLevel="2" x14ac:dyDescent="0.2">
      <c r="A34" s="390" t="s">
        <v>306</v>
      </c>
      <c r="B34" s="391" t="s">
        <v>307</v>
      </c>
      <c r="C34" s="390" t="s">
        <v>308</v>
      </c>
      <c r="D34" s="392">
        <f>15*5</f>
        <v>75</v>
      </c>
      <c r="E34" s="392">
        <v>2</v>
      </c>
      <c r="F34" s="367">
        <v>150</v>
      </c>
      <c r="G34" s="367">
        <f t="shared" ref="G34:G39" si="9">(D34*E34*F34)</f>
        <v>22500</v>
      </c>
      <c r="H34" s="367">
        <f t="shared" ref="H34:H40" si="10">G34/$K$3</f>
        <v>1433.1210191082803</v>
      </c>
      <c r="I34" s="367">
        <f>H34</f>
        <v>1433.1210191082803</v>
      </c>
      <c r="J34" s="367"/>
    </row>
    <row r="35" spans="1:227" s="393" customFormat="1" ht="20" customHeight="1" outlineLevel="2" x14ac:dyDescent="0.2">
      <c r="A35" s="390" t="s">
        <v>309</v>
      </c>
      <c r="B35" s="391" t="s">
        <v>310</v>
      </c>
      <c r="C35" s="390" t="s">
        <v>280</v>
      </c>
      <c r="D35" s="392">
        <f>15*5</f>
        <v>75</v>
      </c>
      <c r="E35" s="392">
        <v>2</v>
      </c>
      <c r="F35" s="367">
        <v>150</v>
      </c>
      <c r="G35" s="367">
        <f t="shared" si="9"/>
        <v>22500</v>
      </c>
      <c r="H35" s="367">
        <f t="shared" si="10"/>
        <v>1433.1210191082803</v>
      </c>
      <c r="I35" s="367">
        <f t="shared" ref="I35:I40" si="11">H35</f>
        <v>1433.1210191082803</v>
      </c>
      <c r="J35" s="367"/>
    </row>
    <row r="36" spans="1:227" s="393" customFormat="1" ht="20" customHeight="1" outlineLevel="2" x14ac:dyDescent="0.2">
      <c r="A36" s="390" t="s">
        <v>285</v>
      </c>
      <c r="B36" s="391" t="s">
        <v>311</v>
      </c>
      <c r="C36" s="390" t="s">
        <v>287</v>
      </c>
      <c r="D36" s="392">
        <v>5</v>
      </c>
      <c r="E36" s="392">
        <v>1</v>
      </c>
      <c r="F36" s="367">
        <v>3000</v>
      </c>
      <c r="G36" s="367">
        <f t="shared" si="9"/>
        <v>15000</v>
      </c>
      <c r="H36" s="367">
        <f t="shared" si="10"/>
        <v>955.41401273885356</v>
      </c>
      <c r="I36" s="367">
        <f t="shared" si="11"/>
        <v>955.41401273885356</v>
      </c>
      <c r="J36" s="367"/>
    </row>
    <row r="37" spans="1:227" s="393" customFormat="1" ht="20" customHeight="1" outlineLevel="2" x14ac:dyDescent="0.2">
      <c r="A37" s="390" t="s">
        <v>312</v>
      </c>
      <c r="B37" s="391" t="s">
        <v>313</v>
      </c>
      <c r="C37" s="390" t="s">
        <v>284</v>
      </c>
      <c r="D37" s="392">
        <v>5</v>
      </c>
      <c r="E37" s="392">
        <v>1</v>
      </c>
      <c r="F37" s="367">
        <v>1000</v>
      </c>
      <c r="G37" s="367">
        <f t="shared" si="9"/>
        <v>5000</v>
      </c>
      <c r="H37" s="367">
        <f t="shared" si="10"/>
        <v>318.47133757961785</v>
      </c>
      <c r="I37" s="367">
        <f t="shared" si="11"/>
        <v>318.47133757961785</v>
      </c>
      <c r="J37" s="367"/>
    </row>
    <row r="38" spans="1:227" s="393" customFormat="1" ht="20" customHeight="1" outlineLevel="2" x14ac:dyDescent="0.2">
      <c r="A38" s="390"/>
      <c r="B38" s="391"/>
      <c r="C38" s="390"/>
      <c r="D38" s="392"/>
      <c r="E38" s="392"/>
      <c r="F38" s="367"/>
      <c r="G38" s="367">
        <f t="shared" si="9"/>
        <v>0</v>
      </c>
      <c r="H38" s="367">
        <f t="shared" si="10"/>
        <v>0</v>
      </c>
      <c r="I38" s="367">
        <f t="shared" si="11"/>
        <v>0</v>
      </c>
      <c r="J38" s="367"/>
    </row>
    <row r="39" spans="1:227" s="393" customFormat="1" ht="20" customHeight="1" outlineLevel="2" x14ac:dyDescent="0.2">
      <c r="A39" s="390"/>
      <c r="B39" s="391"/>
      <c r="C39" s="390"/>
      <c r="D39" s="392"/>
      <c r="E39" s="392"/>
      <c r="F39" s="367"/>
      <c r="G39" s="367">
        <f t="shared" si="9"/>
        <v>0</v>
      </c>
      <c r="H39" s="367">
        <f t="shared" si="10"/>
        <v>0</v>
      </c>
      <c r="I39" s="367">
        <f t="shared" si="11"/>
        <v>0</v>
      </c>
      <c r="J39" s="367"/>
    </row>
    <row r="40" spans="1:227" s="393" customFormat="1" ht="20" customHeight="1" outlineLevel="2" x14ac:dyDescent="0.2">
      <c r="A40" s="390"/>
      <c r="B40" s="391"/>
      <c r="C40" s="390"/>
      <c r="D40" s="392"/>
      <c r="E40" s="392"/>
      <c r="F40" s="367"/>
      <c r="G40" s="367">
        <f>(D40*E40*F40)</f>
        <v>0</v>
      </c>
      <c r="H40" s="367">
        <f t="shared" si="10"/>
        <v>0</v>
      </c>
      <c r="I40" s="367">
        <f t="shared" si="11"/>
        <v>0</v>
      </c>
      <c r="J40" s="367"/>
    </row>
    <row r="41" spans="1:227" s="405" customFormat="1" ht="17" outlineLevel="1" x14ac:dyDescent="0.2">
      <c r="A41" s="378" t="s">
        <v>288</v>
      </c>
      <c r="B41" s="379"/>
      <c r="C41" s="379"/>
      <c r="D41" s="379"/>
      <c r="E41" s="379"/>
      <c r="F41" s="380"/>
      <c r="G41" s="380">
        <f>SUM(G34:G40)</f>
        <v>65000</v>
      </c>
      <c r="H41" s="379">
        <f>SUM(H34:H40)</f>
        <v>4140.127388535032</v>
      </c>
      <c r="I41" s="380">
        <f>SUM(I34:I40)</f>
        <v>4140.127388535032</v>
      </c>
      <c r="J41" s="380">
        <f>SUM(J34:J40)</f>
        <v>0</v>
      </c>
      <c r="K41" s="393"/>
      <c r="L41" s="384"/>
      <c r="M41" s="384"/>
      <c r="N41" s="384"/>
      <c r="O41" s="383"/>
      <c r="P41" s="383"/>
      <c r="Q41" s="404"/>
      <c r="R41" s="383"/>
      <c r="S41" s="383"/>
      <c r="T41" s="383"/>
      <c r="U41" s="384"/>
      <c r="V41" s="384"/>
      <c r="W41" s="384"/>
      <c r="X41" s="383"/>
      <c r="Y41" s="383"/>
      <c r="Z41" s="404"/>
      <c r="AA41" s="383"/>
      <c r="AB41" s="383"/>
      <c r="AC41" s="383"/>
      <c r="AD41" s="384"/>
      <c r="AE41" s="384"/>
      <c r="AF41" s="384"/>
      <c r="AG41" s="383"/>
      <c r="AH41" s="383"/>
      <c r="AI41" s="404"/>
      <c r="AJ41" s="383"/>
      <c r="AK41" s="383"/>
      <c r="AL41" s="383"/>
      <c r="AM41" s="384"/>
      <c r="AN41" s="384"/>
      <c r="AO41" s="384"/>
      <c r="AP41" s="383"/>
      <c r="AQ41" s="383"/>
      <c r="AR41" s="404"/>
      <c r="AS41" s="383"/>
      <c r="AT41" s="383"/>
      <c r="AU41" s="383"/>
      <c r="AV41" s="384"/>
      <c r="AW41" s="384"/>
      <c r="AX41" s="384"/>
      <c r="AY41" s="383"/>
      <c r="AZ41" s="383"/>
      <c r="BA41" s="404"/>
      <c r="BB41" s="383"/>
      <c r="BC41" s="383"/>
      <c r="BD41" s="383"/>
      <c r="BE41" s="384"/>
      <c r="BF41" s="384"/>
      <c r="BG41" s="384"/>
      <c r="BH41" s="383"/>
      <c r="BI41" s="383"/>
      <c r="BJ41" s="404"/>
      <c r="BK41" s="383"/>
      <c r="BL41" s="383"/>
      <c r="BM41" s="383"/>
      <c r="BN41" s="384"/>
      <c r="BO41" s="384"/>
      <c r="BP41" s="384"/>
      <c r="BQ41" s="383"/>
      <c r="BR41" s="383"/>
      <c r="BS41" s="404"/>
      <c r="BT41" s="383"/>
      <c r="BU41" s="383"/>
      <c r="BV41" s="383"/>
      <c r="BW41" s="384"/>
      <c r="BX41" s="384"/>
      <c r="BY41" s="384"/>
      <c r="BZ41" s="383"/>
      <c r="CA41" s="383"/>
      <c r="CB41" s="404"/>
      <c r="CC41" s="383"/>
      <c r="CD41" s="383"/>
      <c r="CE41" s="383"/>
      <c r="CF41" s="384"/>
      <c r="CG41" s="384"/>
      <c r="CH41" s="384"/>
      <c r="CI41" s="383"/>
      <c r="CJ41" s="383"/>
      <c r="CK41" s="404"/>
      <c r="CL41" s="383"/>
      <c r="CM41" s="383"/>
      <c r="CN41" s="383"/>
      <c r="CO41" s="384"/>
      <c r="CP41" s="384"/>
      <c r="CQ41" s="384"/>
      <c r="CR41" s="383"/>
      <c r="CS41" s="383"/>
      <c r="CT41" s="404"/>
      <c r="CU41" s="383"/>
      <c r="CV41" s="383"/>
      <c r="CW41" s="383"/>
      <c r="CX41" s="384"/>
      <c r="CY41" s="384"/>
      <c r="CZ41" s="384"/>
      <c r="DA41" s="383"/>
      <c r="DB41" s="383"/>
      <c r="DC41" s="404"/>
      <c r="DD41" s="383"/>
      <c r="DE41" s="383"/>
      <c r="DF41" s="383"/>
      <c r="DG41" s="384"/>
      <c r="DH41" s="384"/>
      <c r="DI41" s="384"/>
      <c r="DJ41" s="383"/>
      <c r="DK41" s="383"/>
      <c r="DL41" s="404"/>
      <c r="DM41" s="383"/>
      <c r="DN41" s="383"/>
      <c r="DO41" s="383"/>
      <c r="DP41" s="384"/>
      <c r="DQ41" s="384"/>
      <c r="DR41" s="384"/>
      <c r="DS41" s="383"/>
      <c r="DT41" s="383"/>
      <c r="DU41" s="404"/>
      <c r="DV41" s="383"/>
      <c r="DW41" s="383"/>
      <c r="DX41" s="383"/>
      <c r="DY41" s="384"/>
      <c r="DZ41" s="384"/>
      <c r="EA41" s="384"/>
      <c r="EB41" s="383"/>
      <c r="EC41" s="383"/>
      <c r="ED41" s="404"/>
      <c r="EE41" s="383"/>
      <c r="EF41" s="383"/>
      <c r="EG41" s="383"/>
      <c r="EH41" s="384"/>
      <c r="EI41" s="384"/>
      <c r="EJ41" s="384"/>
      <c r="EK41" s="383"/>
      <c r="EL41" s="383"/>
      <c r="EM41" s="404"/>
      <c r="EN41" s="383"/>
      <c r="EO41" s="383"/>
      <c r="EP41" s="383"/>
      <c r="EQ41" s="384"/>
      <c r="ER41" s="384"/>
      <c r="ES41" s="384"/>
      <c r="ET41" s="383"/>
      <c r="EU41" s="383"/>
      <c r="EV41" s="404"/>
      <c r="EW41" s="383"/>
      <c r="EX41" s="383"/>
      <c r="EY41" s="383"/>
      <c r="EZ41" s="384"/>
      <c r="FA41" s="384"/>
      <c r="FB41" s="384"/>
      <c r="FC41" s="383"/>
      <c r="FD41" s="383"/>
      <c r="FE41" s="404"/>
      <c r="FF41" s="383"/>
      <c r="FG41" s="383"/>
      <c r="FH41" s="383"/>
      <c r="FI41" s="384"/>
      <c r="FJ41" s="384"/>
      <c r="FK41" s="384"/>
      <c r="FL41" s="383"/>
      <c r="FM41" s="383"/>
      <c r="FN41" s="404"/>
      <c r="FO41" s="383"/>
      <c r="FP41" s="383"/>
      <c r="FQ41" s="383"/>
      <c r="FR41" s="384"/>
      <c r="FS41" s="384"/>
      <c r="FT41" s="384"/>
      <c r="FU41" s="383"/>
      <c r="FV41" s="383"/>
      <c r="FW41" s="404"/>
      <c r="FX41" s="383"/>
      <c r="FY41" s="383"/>
      <c r="FZ41" s="383"/>
      <c r="GA41" s="384"/>
      <c r="GB41" s="384"/>
      <c r="GC41" s="384"/>
      <c r="GD41" s="383"/>
      <c r="GE41" s="383"/>
      <c r="GF41" s="404"/>
      <c r="GG41" s="383"/>
      <c r="GH41" s="383"/>
      <c r="GI41" s="383"/>
      <c r="GJ41" s="384"/>
      <c r="GK41" s="384"/>
      <c r="GL41" s="384"/>
      <c r="GM41" s="383"/>
      <c r="GN41" s="383"/>
      <c r="GO41" s="404"/>
      <c r="GP41" s="383"/>
      <c r="GQ41" s="383"/>
      <c r="GR41" s="383"/>
      <c r="GS41" s="384"/>
      <c r="GT41" s="384"/>
      <c r="GU41" s="384"/>
      <c r="GV41" s="383"/>
      <c r="GW41" s="383"/>
      <c r="GX41" s="404"/>
      <c r="GY41" s="383"/>
      <c r="GZ41" s="383"/>
      <c r="HA41" s="383"/>
      <c r="HB41" s="384"/>
      <c r="HC41" s="384"/>
      <c r="HD41" s="384"/>
      <c r="HE41" s="383"/>
      <c r="HF41" s="383"/>
      <c r="HG41" s="404"/>
      <c r="HH41" s="383"/>
      <c r="HI41" s="383"/>
      <c r="HJ41" s="383"/>
      <c r="HK41" s="384"/>
      <c r="HL41" s="384"/>
      <c r="HM41" s="384"/>
      <c r="HN41" s="383"/>
      <c r="HO41" s="383"/>
      <c r="HP41" s="404"/>
      <c r="HQ41" s="383"/>
      <c r="HR41" s="383"/>
      <c r="HS41" s="383"/>
    </row>
    <row r="42" spans="1:227" s="393" customFormat="1" ht="39" customHeight="1" outlineLevel="1" x14ac:dyDescent="0.2">
      <c r="A42" s="402" t="s">
        <v>314</v>
      </c>
      <c r="B42" s="402" t="s">
        <v>315</v>
      </c>
      <c r="C42" s="390"/>
      <c r="D42" s="392"/>
      <c r="E42" s="392"/>
      <c r="F42" s="367"/>
      <c r="G42" s="367"/>
      <c r="H42" s="367"/>
      <c r="I42" s="367"/>
      <c r="J42" s="367"/>
    </row>
    <row r="43" spans="1:227" s="393" customFormat="1" ht="20" customHeight="1" outlineLevel="2" x14ac:dyDescent="0.2">
      <c r="A43" s="390" t="s">
        <v>316</v>
      </c>
      <c r="B43" s="391" t="s">
        <v>317</v>
      </c>
      <c r="C43" s="390" t="s">
        <v>299</v>
      </c>
      <c r="D43" s="392">
        <f>2*5</f>
        <v>10</v>
      </c>
      <c r="E43" s="392">
        <v>2</v>
      </c>
      <c r="F43" s="367">
        <v>1000</v>
      </c>
      <c r="G43" s="367">
        <f t="shared" ref="G43:G48" si="12">(D43*E43*F43)</f>
        <v>20000</v>
      </c>
      <c r="H43" s="367">
        <f t="shared" ref="H43:H49" si="13">G43/$K$3</f>
        <v>1273.8853503184714</v>
      </c>
      <c r="I43" s="367">
        <f>H43</f>
        <v>1273.8853503184714</v>
      </c>
      <c r="J43" s="367"/>
    </row>
    <row r="44" spans="1:227" s="393" customFormat="1" ht="20" customHeight="1" outlineLevel="2" x14ac:dyDescent="0.2">
      <c r="A44" s="390" t="s">
        <v>300</v>
      </c>
      <c r="B44" s="391" t="s">
        <v>279</v>
      </c>
      <c r="C44" s="390" t="s">
        <v>280</v>
      </c>
      <c r="D44" s="392">
        <f>4*5</f>
        <v>20</v>
      </c>
      <c r="E44" s="392">
        <v>2</v>
      </c>
      <c r="F44" s="367">
        <v>150</v>
      </c>
      <c r="G44" s="367">
        <f t="shared" si="12"/>
        <v>6000</v>
      </c>
      <c r="H44" s="367">
        <f t="shared" si="13"/>
        <v>382.16560509554142</v>
      </c>
      <c r="I44" s="367">
        <f t="shared" ref="I44:I49" si="14">H44</f>
        <v>382.16560509554142</v>
      </c>
      <c r="J44" s="367"/>
    </row>
    <row r="45" spans="1:227" s="393" customFormat="1" ht="20" customHeight="1" outlineLevel="2" x14ac:dyDescent="0.2">
      <c r="A45" s="390" t="s">
        <v>301</v>
      </c>
      <c r="B45" s="391" t="s">
        <v>302</v>
      </c>
      <c r="C45" s="390" t="s">
        <v>303</v>
      </c>
      <c r="D45" s="392">
        <f>2*5</f>
        <v>10</v>
      </c>
      <c r="E45" s="392">
        <v>1</v>
      </c>
      <c r="F45" s="367">
        <v>1000</v>
      </c>
      <c r="G45" s="367">
        <f t="shared" si="12"/>
        <v>10000</v>
      </c>
      <c r="H45" s="367">
        <f t="shared" si="13"/>
        <v>636.9426751592357</v>
      </c>
      <c r="I45" s="367">
        <f t="shared" si="14"/>
        <v>636.9426751592357</v>
      </c>
      <c r="J45" s="367"/>
    </row>
    <row r="46" spans="1:227" s="393" customFormat="1" ht="20" customHeight="1" outlineLevel="2" x14ac:dyDescent="0.2">
      <c r="A46" s="390"/>
      <c r="B46" s="391"/>
      <c r="C46" s="390"/>
      <c r="D46" s="392"/>
      <c r="E46" s="392"/>
      <c r="F46" s="367"/>
      <c r="G46" s="367">
        <f t="shared" si="12"/>
        <v>0</v>
      </c>
      <c r="H46" s="367">
        <f t="shared" si="13"/>
        <v>0</v>
      </c>
      <c r="I46" s="367">
        <f t="shared" si="14"/>
        <v>0</v>
      </c>
      <c r="J46" s="367"/>
    </row>
    <row r="47" spans="1:227" s="393" customFormat="1" ht="20" customHeight="1" outlineLevel="2" x14ac:dyDescent="0.2">
      <c r="A47" s="390"/>
      <c r="B47" s="391"/>
      <c r="C47" s="390"/>
      <c r="D47" s="392"/>
      <c r="E47" s="392"/>
      <c r="F47" s="367"/>
      <c r="G47" s="367">
        <f t="shared" si="12"/>
        <v>0</v>
      </c>
      <c r="H47" s="367">
        <f t="shared" si="13"/>
        <v>0</v>
      </c>
      <c r="I47" s="367">
        <f t="shared" si="14"/>
        <v>0</v>
      </c>
      <c r="J47" s="367"/>
    </row>
    <row r="48" spans="1:227" s="393" customFormat="1" ht="20" customHeight="1" outlineLevel="2" x14ac:dyDescent="0.2">
      <c r="A48" s="390"/>
      <c r="B48" s="391"/>
      <c r="C48" s="390"/>
      <c r="D48" s="392"/>
      <c r="E48" s="392"/>
      <c r="F48" s="367"/>
      <c r="G48" s="367">
        <f t="shared" si="12"/>
        <v>0</v>
      </c>
      <c r="H48" s="367">
        <f t="shared" si="13"/>
        <v>0</v>
      </c>
      <c r="I48" s="367">
        <f t="shared" si="14"/>
        <v>0</v>
      </c>
      <c r="J48" s="367"/>
    </row>
    <row r="49" spans="1:232" s="393" customFormat="1" ht="20" customHeight="1" outlineLevel="2" x14ac:dyDescent="0.2">
      <c r="A49" s="390"/>
      <c r="B49" s="391"/>
      <c r="C49" s="390"/>
      <c r="D49" s="392"/>
      <c r="E49" s="392"/>
      <c r="F49" s="367"/>
      <c r="G49" s="367">
        <f>(D49*E49*F49)</f>
        <v>0</v>
      </c>
      <c r="H49" s="367">
        <f t="shared" si="13"/>
        <v>0</v>
      </c>
      <c r="I49" s="367">
        <f t="shared" si="14"/>
        <v>0</v>
      </c>
      <c r="J49" s="367"/>
    </row>
    <row r="50" spans="1:232" s="405" customFormat="1" ht="17" outlineLevel="1" x14ac:dyDescent="0.2">
      <c r="A50" s="378" t="s">
        <v>288</v>
      </c>
      <c r="B50" s="379"/>
      <c r="C50" s="379"/>
      <c r="D50" s="379"/>
      <c r="E50" s="379"/>
      <c r="F50" s="380"/>
      <c r="G50" s="380">
        <f>SUM(G43:G49)</f>
        <v>36000</v>
      </c>
      <c r="H50" s="379">
        <f>SUM(H43:H49)</f>
        <v>2292.9936305732485</v>
      </c>
      <c r="I50" s="380">
        <f>SUM(I43:I49)</f>
        <v>2292.9936305732485</v>
      </c>
      <c r="J50" s="380">
        <f>SUM(J43:J49)</f>
        <v>0</v>
      </c>
      <c r="K50" s="393"/>
      <c r="L50" s="383"/>
      <c r="M50" s="404"/>
      <c r="N50" s="383"/>
      <c r="O50" s="383"/>
      <c r="P50" s="383"/>
      <c r="Q50" s="384"/>
      <c r="R50" s="384"/>
      <c r="S50" s="384"/>
      <c r="T50" s="383"/>
      <c r="U50" s="383"/>
      <c r="V50" s="404"/>
      <c r="W50" s="383"/>
      <c r="X50" s="383"/>
      <c r="Y50" s="383"/>
      <c r="Z50" s="384"/>
      <c r="AA50" s="384"/>
      <c r="AB50" s="384"/>
      <c r="AC50" s="383"/>
      <c r="AD50" s="383"/>
      <c r="AE50" s="404"/>
      <c r="AF50" s="383"/>
      <c r="AG50" s="383"/>
      <c r="AH50" s="383"/>
      <c r="AI50" s="384"/>
      <c r="AJ50" s="384"/>
      <c r="AK50" s="384"/>
      <c r="AL50" s="383"/>
      <c r="AM50" s="383"/>
      <c r="AN50" s="404"/>
      <c r="AO50" s="383"/>
      <c r="AP50" s="383"/>
      <c r="AQ50" s="383"/>
      <c r="AR50" s="384"/>
      <c r="AS50" s="384"/>
      <c r="AT50" s="384"/>
      <c r="AU50" s="383"/>
      <c r="AV50" s="383"/>
      <c r="AW50" s="404"/>
      <c r="AX50" s="383"/>
      <c r="AY50" s="383"/>
      <c r="AZ50" s="383"/>
      <c r="BA50" s="384"/>
      <c r="BB50" s="384"/>
      <c r="BC50" s="384"/>
      <c r="BD50" s="383"/>
      <c r="BE50" s="383"/>
      <c r="BF50" s="404"/>
      <c r="BG50" s="383"/>
      <c r="BH50" s="383"/>
      <c r="BI50" s="383"/>
      <c r="BJ50" s="384"/>
      <c r="BK50" s="384"/>
      <c r="BL50" s="384"/>
      <c r="BM50" s="383"/>
      <c r="BN50" s="383"/>
      <c r="BO50" s="404"/>
      <c r="BP50" s="383"/>
      <c r="BQ50" s="383"/>
      <c r="BR50" s="383"/>
      <c r="BS50" s="384"/>
      <c r="BT50" s="384"/>
      <c r="BU50" s="384"/>
      <c r="BV50" s="383"/>
      <c r="BW50" s="383"/>
      <c r="BX50" s="404"/>
      <c r="BY50" s="383"/>
      <c r="BZ50" s="383"/>
      <c r="CA50" s="383"/>
      <c r="CB50" s="384"/>
      <c r="CC50" s="384"/>
      <c r="CD50" s="384"/>
      <c r="CE50" s="383"/>
      <c r="CF50" s="383"/>
      <c r="CG50" s="404"/>
      <c r="CH50" s="383"/>
      <c r="CI50" s="383"/>
      <c r="CJ50" s="383"/>
      <c r="CK50" s="384"/>
      <c r="CL50" s="384"/>
      <c r="CM50" s="384"/>
      <c r="CN50" s="383"/>
      <c r="CO50" s="383"/>
      <c r="CP50" s="404"/>
      <c r="CQ50" s="383"/>
      <c r="CR50" s="383"/>
      <c r="CS50" s="383"/>
      <c r="CT50" s="384"/>
      <c r="CU50" s="384"/>
      <c r="CV50" s="384"/>
      <c r="CW50" s="383"/>
      <c r="CX50" s="383"/>
      <c r="CY50" s="404"/>
      <c r="CZ50" s="383"/>
      <c r="DA50" s="383"/>
      <c r="DB50" s="383"/>
      <c r="DC50" s="384"/>
      <c r="DD50" s="384"/>
      <c r="DE50" s="384"/>
      <c r="DF50" s="383"/>
      <c r="DG50" s="383"/>
      <c r="DH50" s="404"/>
      <c r="DI50" s="383"/>
      <c r="DJ50" s="383"/>
      <c r="DK50" s="383"/>
      <c r="DL50" s="384"/>
      <c r="DM50" s="384"/>
      <c r="DN50" s="384"/>
      <c r="DO50" s="383"/>
      <c r="DP50" s="383"/>
      <c r="DQ50" s="404"/>
      <c r="DR50" s="383"/>
      <c r="DS50" s="383"/>
      <c r="DT50" s="383"/>
      <c r="DU50" s="384"/>
      <c r="DV50" s="384"/>
      <c r="DW50" s="384"/>
      <c r="DX50" s="383"/>
      <c r="DY50" s="383"/>
      <c r="DZ50" s="404"/>
      <c r="EA50" s="383"/>
      <c r="EB50" s="383"/>
      <c r="EC50" s="383"/>
      <c r="ED50" s="384"/>
      <c r="EE50" s="384"/>
      <c r="EF50" s="384"/>
      <c r="EG50" s="383"/>
      <c r="EH50" s="383"/>
      <c r="EI50" s="404"/>
      <c r="EJ50" s="383"/>
      <c r="EK50" s="383"/>
      <c r="EL50" s="383"/>
      <c r="EM50" s="384"/>
      <c r="EN50" s="384"/>
      <c r="EO50" s="384"/>
      <c r="EP50" s="383"/>
      <c r="EQ50" s="383"/>
      <c r="ER50" s="404"/>
      <c r="ES50" s="383"/>
      <c r="ET50" s="383"/>
      <c r="EU50" s="383"/>
      <c r="EV50" s="384"/>
      <c r="EW50" s="384"/>
      <c r="EX50" s="384"/>
      <c r="EY50" s="383"/>
      <c r="EZ50" s="383"/>
      <c r="FA50" s="404"/>
      <c r="FB50" s="383"/>
      <c r="FC50" s="383"/>
      <c r="FD50" s="383"/>
      <c r="FE50" s="384"/>
      <c r="FF50" s="384"/>
      <c r="FG50" s="384"/>
      <c r="FH50" s="383"/>
      <c r="FI50" s="383"/>
      <c r="FJ50" s="404"/>
      <c r="FK50" s="383"/>
      <c r="FL50" s="383"/>
      <c r="FM50" s="383"/>
      <c r="FN50" s="384"/>
      <c r="FO50" s="384"/>
      <c r="FP50" s="384"/>
      <c r="FQ50" s="383"/>
      <c r="FR50" s="383"/>
      <c r="FS50" s="404"/>
      <c r="FT50" s="383"/>
      <c r="FU50" s="383"/>
      <c r="FV50" s="383"/>
      <c r="FW50" s="384"/>
      <c r="FX50" s="384"/>
      <c r="FY50" s="384"/>
      <c r="FZ50" s="383"/>
      <c r="GA50" s="383"/>
      <c r="GB50" s="404"/>
      <c r="GC50" s="383"/>
      <c r="GD50" s="383"/>
      <c r="GE50" s="383"/>
      <c r="GF50" s="384"/>
      <c r="GG50" s="384"/>
      <c r="GH50" s="384"/>
      <c r="GI50" s="383"/>
      <c r="GJ50" s="383"/>
      <c r="GK50" s="404"/>
      <c r="GL50" s="383"/>
      <c r="GM50" s="383"/>
      <c r="GN50" s="383"/>
      <c r="GO50" s="384"/>
      <c r="GP50" s="384"/>
      <c r="GQ50" s="384"/>
      <c r="GR50" s="383"/>
      <c r="GS50" s="383"/>
      <c r="GT50" s="404"/>
      <c r="GU50" s="383"/>
      <c r="GV50" s="383"/>
      <c r="GW50" s="383"/>
      <c r="GX50" s="384"/>
      <c r="GY50" s="384"/>
      <c r="GZ50" s="384"/>
      <c r="HA50" s="383"/>
      <c r="HB50" s="383"/>
      <c r="HC50" s="404"/>
      <c r="HD50" s="383"/>
      <c r="HE50" s="383"/>
      <c r="HF50" s="383"/>
      <c r="HG50" s="384"/>
      <c r="HH50" s="384"/>
      <c r="HI50" s="384"/>
      <c r="HJ50" s="383"/>
      <c r="HK50" s="383"/>
      <c r="HL50" s="404"/>
      <c r="HM50" s="383"/>
      <c r="HN50" s="383"/>
      <c r="HO50" s="383"/>
      <c r="HP50" s="384"/>
      <c r="HQ50" s="384"/>
      <c r="HR50" s="384"/>
      <c r="HS50" s="383"/>
      <c r="HT50" s="383"/>
      <c r="HU50" s="404"/>
      <c r="HV50" s="383"/>
      <c r="HW50" s="383"/>
      <c r="HX50" s="383"/>
    </row>
    <row r="51" spans="1:232" x14ac:dyDescent="0.2">
      <c r="A51" s="651" t="s">
        <v>318</v>
      </c>
      <c r="B51" s="652"/>
      <c r="C51" s="652"/>
      <c r="D51" s="652"/>
      <c r="E51" s="652"/>
      <c r="F51" s="652"/>
      <c r="G51" s="653"/>
      <c r="H51" s="652"/>
      <c r="I51" s="652"/>
      <c r="J51" s="652"/>
      <c r="K51" s="652"/>
    </row>
    <row r="52" spans="1:232" x14ac:dyDescent="0.2">
      <c r="A52" s="376"/>
      <c r="B52" s="377"/>
      <c r="C52" s="377"/>
      <c r="D52" s="377"/>
      <c r="E52" s="377"/>
      <c r="F52" s="377"/>
      <c r="G52" s="377"/>
      <c r="H52" s="377"/>
      <c r="I52" s="377"/>
      <c r="J52" s="377"/>
      <c r="K52" s="393"/>
    </row>
    <row r="53" spans="1:232" s="393" customFormat="1" ht="39" customHeight="1" outlineLevel="1" x14ac:dyDescent="0.2">
      <c r="A53" s="402" t="s">
        <v>319</v>
      </c>
      <c r="B53" s="403" t="s">
        <v>320</v>
      </c>
      <c r="C53" s="390"/>
      <c r="D53" s="392"/>
      <c r="E53" s="392"/>
      <c r="F53" s="367"/>
      <c r="G53" s="367"/>
      <c r="H53" s="367"/>
      <c r="I53" s="367"/>
      <c r="J53" s="367"/>
    </row>
    <row r="54" spans="1:232" s="393" customFormat="1" ht="42.75" customHeight="1" outlineLevel="2" x14ac:dyDescent="0.2">
      <c r="A54" s="390" t="s">
        <v>275</v>
      </c>
      <c r="B54" s="391" t="s">
        <v>321</v>
      </c>
      <c r="C54" s="390" t="s">
        <v>308</v>
      </c>
      <c r="D54" s="392">
        <f>50+10+10</f>
        <v>70</v>
      </c>
      <c r="E54" s="392">
        <v>1</v>
      </c>
      <c r="F54" s="367">
        <f>50+150</f>
        <v>200</v>
      </c>
      <c r="G54" s="367">
        <f t="shared" ref="G54:G60" si="15">(D54*E54*F54)</f>
        <v>14000</v>
      </c>
      <c r="H54" s="367">
        <f t="shared" ref="H54:H61" si="16">G54/$K$3</f>
        <v>891.71974522292999</v>
      </c>
      <c r="I54" s="367">
        <f>H54</f>
        <v>891.71974522292999</v>
      </c>
      <c r="J54" s="367"/>
    </row>
    <row r="55" spans="1:232" s="393" customFormat="1" ht="20" customHeight="1" outlineLevel="2" x14ac:dyDescent="0.2">
      <c r="A55" s="390" t="s">
        <v>322</v>
      </c>
      <c r="B55" s="391" t="s">
        <v>323</v>
      </c>
      <c r="C55" s="390" t="s">
        <v>280</v>
      </c>
      <c r="D55" s="392">
        <v>50</v>
      </c>
      <c r="E55" s="392">
        <v>1</v>
      </c>
      <c r="F55" s="367">
        <v>150</v>
      </c>
      <c r="G55" s="367">
        <f t="shared" si="15"/>
        <v>7500</v>
      </c>
      <c r="H55" s="367">
        <f t="shared" si="16"/>
        <v>477.70700636942678</v>
      </c>
      <c r="I55" s="367">
        <f t="shared" ref="I55:I61" si="17">H55</f>
        <v>477.70700636942678</v>
      </c>
      <c r="J55" s="367"/>
    </row>
    <row r="56" spans="1:232" s="393" customFormat="1" ht="20" customHeight="1" outlineLevel="2" x14ac:dyDescent="0.2">
      <c r="A56" s="390" t="s">
        <v>324</v>
      </c>
      <c r="B56" s="391" t="s">
        <v>325</v>
      </c>
      <c r="C56" s="390" t="s">
        <v>280</v>
      </c>
      <c r="D56" s="392">
        <v>50</v>
      </c>
      <c r="E56" s="392">
        <v>1</v>
      </c>
      <c r="F56" s="367">
        <v>200</v>
      </c>
      <c r="G56" s="367">
        <f t="shared" ref="G56" si="18">(D56*E56*F56)</f>
        <v>10000</v>
      </c>
      <c r="H56" s="367">
        <f t="shared" si="16"/>
        <v>636.9426751592357</v>
      </c>
      <c r="I56" s="367">
        <f t="shared" ref="I56" si="19">H56</f>
        <v>636.9426751592357</v>
      </c>
      <c r="J56" s="367"/>
    </row>
    <row r="57" spans="1:232" s="393" customFormat="1" ht="20" customHeight="1" outlineLevel="2" x14ac:dyDescent="0.2">
      <c r="A57" s="390" t="s">
        <v>326</v>
      </c>
      <c r="B57" s="391" t="s">
        <v>311</v>
      </c>
      <c r="C57" s="390" t="s">
        <v>287</v>
      </c>
      <c r="D57" s="392">
        <v>1</v>
      </c>
      <c r="E57" s="392">
        <v>1</v>
      </c>
      <c r="F57" s="367">
        <v>3000</v>
      </c>
      <c r="G57" s="367">
        <f t="shared" si="15"/>
        <v>3000</v>
      </c>
      <c r="H57" s="367">
        <f t="shared" si="16"/>
        <v>191.08280254777071</v>
      </c>
      <c r="I57" s="367">
        <f t="shared" si="17"/>
        <v>191.08280254777071</v>
      </c>
      <c r="J57" s="367"/>
    </row>
    <row r="58" spans="1:232" s="393" customFormat="1" ht="34.5" customHeight="1" outlineLevel="2" x14ac:dyDescent="0.2">
      <c r="A58" s="390" t="s">
        <v>327</v>
      </c>
      <c r="B58" s="391" t="s">
        <v>283</v>
      </c>
      <c r="C58" s="390" t="s">
        <v>284</v>
      </c>
      <c r="D58" s="392">
        <v>1</v>
      </c>
      <c r="E58" s="392">
        <v>1</v>
      </c>
      <c r="F58" s="367">
        <v>1000</v>
      </c>
      <c r="G58" s="367">
        <f t="shared" si="15"/>
        <v>1000</v>
      </c>
      <c r="H58" s="367">
        <f t="shared" si="16"/>
        <v>63.69426751592357</v>
      </c>
      <c r="I58" s="367">
        <f t="shared" si="17"/>
        <v>63.69426751592357</v>
      </c>
      <c r="J58" s="367"/>
    </row>
    <row r="59" spans="1:232" s="393" customFormat="1" ht="20" customHeight="1" outlineLevel="2" x14ac:dyDescent="0.2">
      <c r="A59" s="390"/>
      <c r="B59" s="391"/>
      <c r="C59" s="390"/>
      <c r="D59" s="392"/>
      <c r="E59" s="392"/>
      <c r="F59" s="367"/>
      <c r="G59" s="367">
        <f t="shared" si="15"/>
        <v>0</v>
      </c>
      <c r="H59" s="367">
        <f t="shared" si="16"/>
        <v>0</v>
      </c>
      <c r="I59" s="367">
        <f t="shared" si="17"/>
        <v>0</v>
      </c>
      <c r="J59" s="367"/>
    </row>
    <row r="60" spans="1:232" s="393" customFormat="1" ht="20" customHeight="1" outlineLevel="2" x14ac:dyDescent="0.2">
      <c r="A60" s="390"/>
      <c r="B60" s="391"/>
      <c r="C60" s="390"/>
      <c r="D60" s="392"/>
      <c r="E60" s="392"/>
      <c r="F60" s="367"/>
      <c r="G60" s="367">
        <f t="shared" si="15"/>
        <v>0</v>
      </c>
      <c r="H60" s="367">
        <f t="shared" si="16"/>
        <v>0</v>
      </c>
      <c r="I60" s="367">
        <f t="shared" si="17"/>
        <v>0</v>
      </c>
      <c r="J60" s="367"/>
    </row>
    <row r="61" spans="1:232" s="393" customFormat="1" ht="20" customHeight="1" outlineLevel="2" x14ac:dyDescent="0.2">
      <c r="A61" s="390"/>
      <c r="B61" s="391"/>
      <c r="C61" s="390"/>
      <c r="D61" s="392"/>
      <c r="E61" s="392"/>
      <c r="F61" s="367"/>
      <c r="G61" s="367">
        <f>(D61*E61*F61)</f>
        <v>0</v>
      </c>
      <c r="H61" s="367">
        <f t="shared" si="16"/>
        <v>0</v>
      </c>
      <c r="I61" s="367">
        <f t="shared" si="17"/>
        <v>0</v>
      </c>
      <c r="J61" s="367"/>
    </row>
    <row r="62" spans="1:232" s="405" customFormat="1" ht="17" outlineLevel="1" x14ac:dyDescent="0.2">
      <c r="A62" s="378" t="s">
        <v>288</v>
      </c>
      <c r="B62" s="379"/>
      <c r="C62" s="379"/>
      <c r="D62" s="379"/>
      <c r="E62" s="379"/>
      <c r="F62" s="380"/>
      <c r="G62" s="380">
        <f>SUM(G54:G61)</f>
        <v>35500</v>
      </c>
      <c r="H62" s="379">
        <f>SUM(H54:H61)</f>
        <v>2261.1464968152868</v>
      </c>
      <c r="I62" s="380">
        <f>SUM(I54:I61)</f>
        <v>2261.1464968152868</v>
      </c>
      <c r="J62" s="380">
        <f>SUM(J54:J61)</f>
        <v>0</v>
      </c>
      <c r="K62" s="393"/>
      <c r="L62" s="384"/>
      <c r="M62" s="384"/>
      <c r="N62" s="384"/>
      <c r="O62" s="383"/>
      <c r="P62" s="383"/>
      <c r="Q62" s="404"/>
      <c r="R62" s="383"/>
      <c r="S62" s="383"/>
      <c r="T62" s="383"/>
      <c r="U62" s="384"/>
      <c r="V62" s="384"/>
      <c r="W62" s="384"/>
      <c r="X62" s="383"/>
      <c r="Y62" s="383"/>
      <c r="Z62" s="404"/>
      <c r="AA62" s="383"/>
      <c r="AB62" s="383"/>
      <c r="AC62" s="383"/>
      <c r="AD62" s="384"/>
      <c r="AE62" s="384"/>
      <c r="AF62" s="384"/>
      <c r="AG62" s="383"/>
      <c r="AH62" s="383"/>
      <c r="AI62" s="404"/>
      <c r="AJ62" s="383"/>
      <c r="AK62" s="383"/>
      <c r="AL62" s="383"/>
      <c r="AM62" s="384"/>
      <c r="AN62" s="384"/>
      <c r="AO62" s="384"/>
      <c r="AP62" s="383"/>
      <c r="AQ62" s="383"/>
      <c r="AR62" s="404"/>
      <c r="AS62" s="383"/>
      <c r="AT62" s="383"/>
      <c r="AU62" s="383"/>
      <c r="AV62" s="384"/>
      <c r="AW62" s="384"/>
      <c r="AX62" s="384"/>
      <c r="AY62" s="383"/>
      <c r="AZ62" s="383"/>
      <c r="BA62" s="404"/>
      <c r="BB62" s="383"/>
      <c r="BC62" s="383"/>
      <c r="BD62" s="383"/>
      <c r="BE62" s="384"/>
      <c r="BF62" s="384"/>
      <c r="BG62" s="384"/>
      <c r="BH62" s="383"/>
      <c r="BI62" s="383"/>
      <c r="BJ62" s="404"/>
      <c r="BK62" s="383"/>
      <c r="BL62" s="383"/>
      <c r="BM62" s="383"/>
      <c r="BN62" s="384"/>
      <c r="BO62" s="384"/>
      <c r="BP62" s="384"/>
      <c r="BQ62" s="383"/>
      <c r="BR62" s="383"/>
      <c r="BS62" s="404"/>
      <c r="BT62" s="383"/>
      <c r="BU62" s="383"/>
      <c r="BV62" s="383"/>
      <c r="BW62" s="384"/>
      <c r="BX62" s="384"/>
      <c r="BY62" s="384"/>
      <c r="BZ62" s="383"/>
      <c r="CA62" s="383"/>
      <c r="CB62" s="404"/>
      <c r="CC62" s="383"/>
      <c r="CD62" s="383"/>
      <c r="CE62" s="383"/>
      <c r="CF62" s="384"/>
      <c r="CG62" s="384"/>
      <c r="CH62" s="384"/>
      <c r="CI62" s="383"/>
      <c r="CJ62" s="383"/>
      <c r="CK62" s="404"/>
      <c r="CL62" s="383"/>
      <c r="CM62" s="383"/>
      <c r="CN62" s="383"/>
      <c r="CO62" s="384"/>
      <c r="CP62" s="384"/>
      <c r="CQ62" s="384"/>
      <c r="CR62" s="383"/>
      <c r="CS62" s="383"/>
      <c r="CT62" s="404"/>
      <c r="CU62" s="383"/>
      <c r="CV62" s="383"/>
      <c r="CW62" s="383"/>
      <c r="CX62" s="384"/>
      <c r="CY62" s="384"/>
      <c r="CZ62" s="384"/>
      <c r="DA62" s="383"/>
      <c r="DB62" s="383"/>
      <c r="DC62" s="404"/>
      <c r="DD62" s="383"/>
      <c r="DE62" s="383"/>
      <c r="DF62" s="383"/>
      <c r="DG62" s="384"/>
      <c r="DH62" s="384"/>
      <c r="DI62" s="384"/>
      <c r="DJ62" s="383"/>
      <c r="DK62" s="383"/>
      <c r="DL62" s="404"/>
      <c r="DM62" s="383"/>
      <c r="DN62" s="383"/>
      <c r="DO62" s="383"/>
      <c r="DP62" s="384"/>
      <c r="DQ62" s="384"/>
      <c r="DR62" s="384"/>
      <c r="DS62" s="383"/>
      <c r="DT62" s="383"/>
      <c r="DU62" s="404"/>
      <c r="DV62" s="383"/>
      <c r="DW62" s="383"/>
      <c r="DX62" s="383"/>
      <c r="DY62" s="384"/>
      <c r="DZ62" s="384"/>
      <c r="EA62" s="384"/>
      <c r="EB62" s="383"/>
      <c r="EC62" s="383"/>
      <c r="ED62" s="404"/>
      <c r="EE62" s="383"/>
      <c r="EF62" s="383"/>
      <c r="EG62" s="383"/>
      <c r="EH62" s="384"/>
      <c r="EI62" s="384"/>
      <c r="EJ62" s="384"/>
      <c r="EK62" s="383"/>
      <c r="EL62" s="383"/>
      <c r="EM62" s="404"/>
      <c r="EN62" s="383"/>
      <c r="EO62" s="383"/>
      <c r="EP62" s="383"/>
      <c r="EQ62" s="384"/>
      <c r="ER62" s="384"/>
      <c r="ES62" s="384"/>
      <c r="ET62" s="383"/>
      <c r="EU62" s="383"/>
      <c r="EV62" s="404"/>
      <c r="EW62" s="383"/>
      <c r="EX62" s="383"/>
      <c r="EY62" s="383"/>
      <c r="EZ62" s="384"/>
      <c r="FA62" s="384"/>
      <c r="FB62" s="384"/>
      <c r="FC62" s="383"/>
      <c r="FD62" s="383"/>
      <c r="FE62" s="404"/>
      <c r="FF62" s="383"/>
      <c r="FG62" s="383"/>
      <c r="FH62" s="383"/>
      <c r="FI62" s="384"/>
      <c r="FJ62" s="384"/>
      <c r="FK62" s="384"/>
      <c r="FL62" s="383"/>
      <c r="FM62" s="383"/>
      <c r="FN62" s="404"/>
      <c r="FO62" s="383"/>
      <c r="FP62" s="383"/>
      <c r="FQ62" s="383"/>
      <c r="FR62" s="384"/>
      <c r="FS62" s="384"/>
      <c r="FT62" s="384"/>
      <c r="FU62" s="383"/>
      <c r="FV62" s="383"/>
      <c r="FW62" s="404"/>
      <c r="FX62" s="383"/>
      <c r="FY62" s="383"/>
      <c r="FZ62" s="383"/>
      <c r="GA62" s="384"/>
      <c r="GB62" s="384"/>
      <c r="GC62" s="384"/>
      <c r="GD62" s="383"/>
      <c r="GE62" s="383"/>
      <c r="GF62" s="404"/>
      <c r="GG62" s="383"/>
      <c r="GH62" s="383"/>
      <c r="GI62" s="383"/>
      <c r="GJ62" s="384"/>
      <c r="GK62" s="384"/>
      <c r="GL62" s="384"/>
      <c r="GM62" s="383"/>
      <c r="GN62" s="383"/>
      <c r="GO62" s="404"/>
      <c r="GP62" s="383"/>
      <c r="GQ62" s="383"/>
      <c r="GR62" s="383"/>
      <c r="GS62" s="384"/>
      <c r="GT62" s="384"/>
      <c r="GU62" s="384"/>
      <c r="GV62" s="383"/>
      <c r="GW62" s="383"/>
      <c r="GX62" s="404"/>
      <c r="GY62" s="383"/>
      <c r="GZ62" s="383"/>
      <c r="HA62" s="383"/>
      <c r="HB62" s="384"/>
      <c r="HC62" s="384"/>
      <c r="HD62" s="384"/>
      <c r="HE62" s="383"/>
      <c r="HF62" s="383"/>
      <c r="HG62" s="404"/>
      <c r="HH62" s="383"/>
      <c r="HI62" s="383"/>
      <c r="HJ62" s="383"/>
      <c r="HK62" s="384"/>
      <c r="HL62" s="384"/>
      <c r="HM62" s="384"/>
      <c r="HN62" s="383"/>
      <c r="HO62" s="383"/>
      <c r="HP62" s="404"/>
      <c r="HQ62" s="383"/>
      <c r="HR62" s="383"/>
      <c r="HS62" s="383"/>
    </row>
    <row r="63" spans="1:232" s="393" customFormat="1" ht="39" customHeight="1" outlineLevel="1" x14ac:dyDescent="0.2">
      <c r="A63" s="402" t="s">
        <v>328</v>
      </c>
      <c r="B63" s="402" t="s">
        <v>329</v>
      </c>
      <c r="C63" s="390"/>
      <c r="D63" s="392"/>
      <c r="E63" s="392"/>
      <c r="F63" s="367"/>
      <c r="G63" s="367"/>
      <c r="H63" s="367"/>
      <c r="I63" s="367"/>
      <c r="J63" s="367"/>
    </row>
    <row r="64" spans="1:232" s="393" customFormat="1" ht="20" customHeight="1" outlineLevel="2" x14ac:dyDescent="0.2">
      <c r="A64" s="390" t="s">
        <v>306</v>
      </c>
      <c r="B64" s="391" t="s">
        <v>330</v>
      </c>
      <c r="C64" s="390" t="s">
        <v>308</v>
      </c>
      <c r="D64" s="392">
        <f>25*4</f>
        <v>100</v>
      </c>
      <c r="E64" s="392">
        <v>5</v>
      </c>
      <c r="F64" s="367">
        <v>150</v>
      </c>
      <c r="G64" s="367">
        <f t="shared" ref="G64:G69" si="20">(D64*E64*F64)</f>
        <v>75000</v>
      </c>
      <c r="H64" s="367">
        <f t="shared" ref="H64:H70" si="21">G64/$K$3</f>
        <v>4777.0700636942674</v>
      </c>
      <c r="I64" s="367">
        <f>H64</f>
        <v>4777.0700636942674</v>
      </c>
      <c r="J64" s="367"/>
    </row>
    <row r="65" spans="1:227" s="393" customFormat="1" ht="20" customHeight="1" outlineLevel="2" x14ac:dyDescent="0.2">
      <c r="A65" s="390" t="s">
        <v>331</v>
      </c>
      <c r="B65" s="391" t="s">
        <v>332</v>
      </c>
      <c r="C65" s="390" t="s">
        <v>333</v>
      </c>
      <c r="D65" s="392">
        <v>5</v>
      </c>
      <c r="E65" s="392">
        <v>1</v>
      </c>
      <c r="F65" s="367">
        <v>1500</v>
      </c>
      <c r="G65" s="367">
        <f t="shared" si="20"/>
        <v>7500</v>
      </c>
      <c r="H65" s="367">
        <f t="shared" si="21"/>
        <v>477.70700636942678</v>
      </c>
      <c r="I65" s="367">
        <f t="shared" ref="I65:I70" si="22">H65</f>
        <v>477.70700636942678</v>
      </c>
      <c r="J65" s="367"/>
    </row>
    <row r="66" spans="1:227" s="393" customFormat="1" ht="20" customHeight="1" outlineLevel="2" x14ac:dyDescent="0.2">
      <c r="A66" s="390" t="s">
        <v>334</v>
      </c>
      <c r="B66" s="391" t="s">
        <v>335</v>
      </c>
      <c r="C66" s="390" t="s">
        <v>294</v>
      </c>
      <c r="D66" s="392">
        <v>100</v>
      </c>
      <c r="E66" s="392">
        <v>5</v>
      </c>
      <c r="F66" s="367">
        <v>100</v>
      </c>
      <c r="G66" s="367">
        <f t="shared" si="20"/>
        <v>50000</v>
      </c>
      <c r="H66" s="367">
        <f t="shared" si="21"/>
        <v>3184.7133757961783</v>
      </c>
      <c r="I66" s="367">
        <f t="shared" si="22"/>
        <v>3184.7133757961783</v>
      </c>
      <c r="J66" s="367"/>
    </row>
    <row r="67" spans="1:227" s="393" customFormat="1" ht="20" customHeight="1" outlineLevel="2" x14ac:dyDescent="0.2">
      <c r="A67" s="390" t="s">
        <v>336</v>
      </c>
      <c r="B67" s="391" t="s">
        <v>311</v>
      </c>
      <c r="C67" s="390" t="s">
        <v>287</v>
      </c>
      <c r="D67" s="392">
        <v>5</v>
      </c>
      <c r="E67" s="392">
        <v>1</v>
      </c>
      <c r="F67" s="367">
        <v>3000</v>
      </c>
      <c r="G67" s="367">
        <f t="shared" si="20"/>
        <v>15000</v>
      </c>
      <c r="H67" s="367">
        <f t="shared" si="21"/>
        <v>955.41401273885356</v>
      </c>
      <c r="I67" s="367">
        <f t="shared" si="22"/>
        <v>955.41401273885356</v>
      </c>
      <c r="J67" s="367"/>
    </row>
    <row r="68" spans="1:227" s="393" customFormat="1" ht="20" customHeight="1" outlineLevel="2" x14ac:dyDescent="0.2">
      <c r="A68" s="390"/>
      <c r="B68" s="391"/>
      <c r="C68" s="390"/>
      <c r="D68" s="392"/>
      <c r="E68" s="392"/>
      <c r="F68" s="367"/>
      <c r="G68" s="367">
        <f t="shared" si="20"/>
        <v>0</v>
      </c>
      <c r="H68" s="367">
        <f t="shared" si="21"/>
        <v>0</v>
      </c>
      <c r="I68" s="367">
        <f t="shared" si="22"/>
        <v>0</v>
      </c>
      <c r="J68" s="367"/>
    </row>
    <row r="69" spans="1:227" s="393" customFormat="1" ht="20" customHeight="1" outlineLevel="2" x14ac:dyDescent="0.2">
      <c r="A69" s="390"/>
      <c r="B69" s="391"/>
      <c r="C69" s="390"/>
      <c r="D69" s="392"/>
      <c r="E69" s="392"/>
      <c r="F69" s="367"/>
      <c r="G69" s="367">
        <f t="shared" si="20"/>
        <v>0</v>
      </c>
      <c r="H69" s="367">
        <f t="shared" si="21"/>
        <v>0</v>
      </c>
      <c r="I69" s="367">
        <f t="shared" si="22"/>
        <v>0</v>
      </c>
      <c r="J69" s="367"/>
    </row>
    <row r="70" spans="1:227" s="393" customFormat="1" ht="20" customHeight="1" outlineLevel="2" x14ac:dyDescent="0.2">
      <c r="A70" s="390"/>
      <c r="B70" s="391"/>
      <c r="C70" s="390"/>
      <c r="D70" s="392"/>
      <c r="E70" s="392"/>
      <c r="F70" s="367"/>
      <c r="G70" s="367">
        <f>(D70*E70*F70)</f>
        <v>0</v>
      </c>
      <c r="H70" s="367">
        <f t="shared" si="21"/>
        <v>0</v>
      </c>
      <c r="I70" s="367">
        <f t="shared" si="22"/>
        <v>0</v>
      </c>
      <c r="J70" s="367"/>
    </row>
    <row r="71" spans="1:227" s="405" customFormat="1" ht="17" outlineLevel="1" x14ac:dyDescent="0.2">
      <c r="A71" s="378" t="s">
        <v>288</v>
      </c>
      <c r="B71" s="379"/>
      <c r="C71" s="379"/>
      <c r="D71" s="379"/>
      <c r="E71" s="379"/>
      <c r="F71" s="380"/>
      <c r="G71" s="380">
        <f>SUM(G64:G70)</f>
        <v>147500</v>
      </c>
      <c r="H71" s="379">
        <f>SUM(H64:H70)</f>
        <v>9394.9044585987249</v>
      </c>
      <c r="I71" s="380">
        <f>SUM(I64:I70)</f>
        <v>9394.9044585987249</v>
      </c>
      <c r="J71" s="380">
        <f>SUM(J64:J70)</f>
        <v>0</v>
      </c>
      <c r="K71" s="393"/>
      <c r="L71" s="384"/>
      <c r="M71" s="384"/>
      <c r="N71" s="384"/>
      <c r="O71" s="383"/>
      <c r="P71" s="383"/>
      <c r="Q71" s="404"/>
      <c r="R71" s="383"/>
      <c r="S71" s="383"/>
      <c r="T71" s="383"/>
      <c r="U71" s="384"/>
      <c r="V71" s="384"/>
      <c r="W71" s="384"/>
      <c r="X71" s="383"/>
      <c r="Y71" s="383"/>
      <c r="Z71" s="404"/>
      <c r="AA71" s="383"/>
      <c r="AB71" s="383"/>
      <c r="AC71" s="383"/>
      <c r="AD71" s="384"/>
      <c r="AE71" s="384"/>
      <c r="AF71" s="384"/>
      <c r="AG71" s="383"/>
      <c r="AH71" s="383"/>
      <c r="AI71" s="404"/>
      <c r="AJ71" s="383"/>
      <c r="AK71" s="383"/>
      <c r="AL71" s="383"/>
      <c r="AM71" s="384"/>
      <c r="AN71" s="384"/>
      <c r="AO71" s="384"/>
      <c r="AP71" s="383"/>
      <c r="AQ71" s="383"/>
      <c r="AR71" s="404"/>
      <c r="AS71" s="383"/>
      <c r="AT71" s="383"/>
      <c r="AU71" s="383"/>
      <c r="AV71" s="384"/>
      <c r="AW71" s="384"/>
      <c r="AX71" s="384"/>
      <c r="AY71" s="383"/>
      <c r="AZ71" s="383"/>
      <c r="BA71" s="404"/>
      <c r="BB71" s="383"/>
      <c r="BC71" s="383"/>
      <c r="BD71" s="383"/>
      <c r="BE71" s="384"/>
      <c r="BF71" s="384"/>
      <c r="BG71" s="384"/>
      <c r="BH71" s="383"/>
      <c r="BI71" s="383"/>
      <c r="BJ71" s="404"/>
      <c r="BK71" s="383"/>
      <c r="BL71" s="383"/>
      <c r="BM71" s="383"/>
      <c r="BN71" s="384"/>
      <c r="BO71" s="384"/>
      <c r="BP71" s="384"/>
      <c r="BQ71" s="383"/>
      <c r="BR71" s="383"/>
      <c r="BS71" s="404"/>
      <c r="BT71" s="383"/>
      <c r="BU71" s="383"/>
      <c r="BV71" s="383"/>
      <c r="BW71" s="384"/>
      <c r="BX71" s="384"/>
      <c r="BY71" s="384"/>
      <c r="BZ71" s="383"/>
      <c r="CA71" s="383"/>
      <c r="CB71" s="404"/>
      <c r="CC71" s="383"/>
      <c r="CD71" s="383"/>
      <c r="CE71" s="383"/>
      <c r="CF71" s="384"/>
      <c r="CG71" s="384"/>
      <c r="CH71" s="384"/>
      <c r="CI71" s="383"/>
      <c r="CJ71" s="383"/>
      <c r="CK71" s="404"/>
      <c r="CL71" s="383"/>
      <c r="CM71" s="383"/>
      <c r="CN71" s="383"/>
      <c r="CO71" s="384"/>
      <c r="CP71" s="384"/>
      <c r="CQ71" s="384"/>
      <c r="CR71" s="383"/>
      <c r="CS71" s="383"/>
      <c r="CT71" s="404"/>
      <c r="CU71" s="383"/>
      <c r="CV71" s="383"/>
      <c r="CW71" s="383"/>
      <c r="CX71" s="384"/>
      <c r="CY71" s="384"/>
      <c r="CZ71" s="384"/>
      <c r="DA71" s="383"/>
      <c r="DB71" s="383"/>
      <c r="DC71" s="404"/>
      <c r="DD71" s="383"/>
      <c r="DE71" s="383"/>
      <c r="DF71" s="383"/>
      <c r="DG71" s="384"/>
      <c r="DH71" s="384"/>
      <c r="DI71" s="384"/>
      <c r="DJ71" s="383"/>
      <c r="DK71" s="383"/>
      <c r="DL71" s="404"/>
      <c r="DM71" s="383"/>
      <c r="DN71" s="383"/>
      <c r="DO71" s="383"/>
      <c r="DP71" s="384"/>
      <c r="DQ71" s="384"/>
      <c r="DR71" s="384"/>
      <c r="DS71" s="383"/>
      <c r="DT71" s="383"/>
      <c r="DU71" s="404"/>
      <c r="DV71" s="383"/>
      <c r="DW71" s="383"/>
      <c r="DX71" s="383"/>
      <c r="DY71" s="384"/>
      <c r="DZ71" s="384"/>
      <c r="EA71" s="384"/>
      <c r="EB71" s="383"/>
      <c r="EC71" s="383"/>
      <c r="ED71" s="404"/>
      <c r="EE71" s="383"/>
      <c r="EF71" s="383"/>
      <c r="EG71" s="383"/>
      <c r="EH71" s="384"/>
      <c r="EI71" s="384"/>
      <c r="EJ71" s="384"/>
      <c r="EK71" s="383"/>
      <c r="EL71" s="383"/>
      <c r="EM71" s="404"/>
      <c r="EN71" s="383"/>
      <c r="EO71" s="383"/>
      <c r="EP71" s="383"/>
      <c r="EQ71" s="384"/>
      <c r="ER71" s="384"/>
      <c r="ES71" s="384"/>
      <c r="ET71" s="383"/>
      <c r="EU71" s="383"/>
      <c r="EV71" s="404"/>
      <c r="EW71" s="383"/>
      <c r="EX71" s="383"/>
      <c r="EY71" s="383"/>
      <c r="EZ71" s="384"/>
      <c r="FA71" s="384"/>
      <c r="FB71" s="384"/>
      <c r="FC71" s="383"/>
      <c r="FD71" s="383"/>
      <c r="FE71" s="404"/>
      <c r="FF71" s="383"/>
      <c r="FG71" s="383"/>
      <c r="FH71" s="383"/>
      <c r="FI71" s="384"/>
      <c r="FJ71" s="384"/>
      <c r="FK71" s="384"/>
      <c r="FL71" s="383"/>
      <c r="FM71" s="383"/>
      <c r="FN71" s="404"/>
      <c r="FO71" s="383"/>
      <c r="FP71" s="383"/>
      <c r="FQ71" s="383"/>
      <c r="FR71" s="384"/>
      <c r="FS71" s="384"/>
      <c r="FT71" s="384"/>
      <c r="FU71" s="383"/>
      <c r="FV71" s="383"/>
      <c r="FW71" s="404"/>
      <c r="FX71" s="383"/>
      <c r="FY71" s="383"/>
      <c r="FZ71" s="383"/>
      <c r="GA71" s="384"/>
      <c r="GB71" s="384"/>
      <c r="GC71" s="384"/>
      <c r="GD71" s="383"/>
      <c r="GE71" s="383"/>
      <c r="GF71" s="404"/>
      <c r="GG71" s="383"/>
      <c r="GH71" s="383"/>
      <c r="GI71" s="383"/>
      <c r="GJ71" s="384"/>
      <c r="GK71" s="384"/>
      <c r="GL71" s="384"/>
      <c r="GM71" s="383"/>
      <c r="GN71" s="383"/>
      <c r="GO71" s="404"/>
      <c r="GP71" s="383"/>
      <c r="GQ71" s="383"/>
      <c r="GR71" s="383"/>
      <c r="GS71" s="384"/>
      <c r="GT71" s="384"/>
      <c r="GU71" s="384"/>
      <c r="GV71" s="383"/>
      <c r="GW71" s="383"/>
      <c r="GX71" s="404"/>
      <c r="GY71" s="383"/>
      <c r="GZ71" s="383"/>
      <c r="HA71" s="383"/>
      <c r="HB71" s="384"/>
      <c r="HC71" s="384"/>
      <c r="HD71" s="384"/>
      <c r="HE71" s="383"/>
      <c r="HF71" s="383"/>
      <c r="HG71" s="404"/>
      <c r="HH71" s="383"/>
      <c r="HI71" s="383"/>
      <c r="HJ71" s="383"/>
      <c r="HK71" s="384"/>
      <c r="HL71" s="384"/>
      <c r="HM71" s="384"/>
      <c r="HN71" s="383"/>
      <c r="HO71" s="383"/>
      <c r="HP71" s="404"/>
      <c r="HQ71" s="383"/>
      <c r="HR71" s="383"/>
      <c r="HS71" s="383"/>
    </row>
    <row r="72" spans="1:227" s="393" customFormat="1" ht="39" customHeight="1" outlineLevel="1" x14ac:dyDescent="0.2">
      <c r="A72" s="402" t="s">
        <v>337</v>
      </c>
      <c r="B72" s="391" t="s">
        <v>338</v>
      </c>
      <c r="C72" s="390"/>
      <c r="D72" s="392"/>
      <c r="E72" s="392"/>
      <c r="F72" s="367"/>
      <c r="G72" s="367"/>
      <c r="H72" s="367"/>
      <c r="I72" s="367"/>
      <c r="J72" s="367"/>
    </row>
    <row r="73" spans="1:227" s="393" customFormat="1" ht="33" customHeight="1" outlineLevel="2" x14ac:dyDescent="0.2">
      <c r="A73" s="390" t="s">
        <v>275</v>
      </c>
      <c r="B73" s="391" t="s">
        <v>338</v>
      </c>
      <c r="C73" s="390" t="s">
        <v>339</v>
      </c>
      <c r="D73" s="392">
        <f>(15*5)+5+5</f>
        <v>85</v>
      </c>
      <c r="E73" s="392">
        <v>2</v>
      </c>
      <c r="F73" s="367">
        <f>50+150</f>
        <v>200</v>
      </c>
      <c r="G73" s="367">
        <f t="shared" ref="G73:G78" si="23">(D73*E73*F73)</f>
        <v>34000</v>
      </c>
      <c r="H73" s="367">
        <f t="shared" ref="H73:H79" si="24">G73/$K$3</f>
        <v>2165.6050955414012</v>
      </c>
      <c r="I73" s="367">
        <f>H73</f>
        <v>2165.6050955414012</v>
      </c>
      <c r="J73" s="367"/>
    </row>
    <row r="74" spans="1:227" s="393" customFormat="1" ht="20" customHeight="1" outlineLevel="2" x14ac:dyDescent="0.2">
      <c r="A74" s="390" t="s">
        <v>336</v>
      </c>
      <c r="B74" s="391" t="s">
        <v>311</v>
      </c>
      <c r="C74" s="390" t="s">
        <v>287</v>
      </c>
      <c r="D74" s="392">
        <v>1</v>
      </c>
      <c r="E74" s="392">
        <v>4</v>
      </c>
      <c r="F74" s="367">
        <v>3000</v>
      </c>
      <c r="G74" s="367">
        <f t="shared" si="23"/>
        <v>12000</v>
      </c>
      <c r="H74" s="367">
        <f t="shared" si="24"/>
        <v>764.33121019108285</v>
      </c>
      <c r="I74" s="367">
        <f t="shared" ref="I74:I79" si="25">H74</f>
        <v>764.33121019108285</v>
      </c>
      <c r="J74" s="367"/>
    </row>
    <row r="75" spans="1:227" s="393" customFormat="1" ht="20" customHeight="1" outlineLevel="2" x14ac:dyDescent="0.2">
      <c r="A75" s="390" t="s">
        <v>279</v>
      </c>
      <c r="B75" s="391" t="s">
        <v>279</v>
      </c>
      <c r="C75" s="390" t="s">
        <v>280</v>
      </c>
      <c r="D75" s="392">
        <f>15*5</f>
        <v>75</v>
      </c>
      <c r="E75" s="392">
        <v>2</v>
      </c>
      <c r="F75" s="367">
        <v>300</v>
      </c>
      <c r="G75" s="367">
        <f t="shared" si="23"/>
        <v>45000</v>
      </c>
      <c r="H75" s="367">
        <f t="shared" si="24"/>
        <v>2866.2420382165606</v>
      </c>
      <c r="I75" s="367">
        <f t="shared" si="25"/>
        <v>2866.2420382165606</v>
      </c>
      <c r="J75" s="367"/>
    </row>
    <row r="76" spans="1:227" s="393" customFormat="1" ht="20" customHeight="1" outlineLevel="2" x14ac:dyDescent="0.2">
      <c r="A76" s="390" t="s">
        <v>282</v>
      </c>
      <c r="B76" s="391" t="s">
        <v>283</v>
      </c>
      <c r="C76" s="390" t="s">
        <v>284</v>
      </c>
      <c r="D76" s="392">
        <v>5</v>
      </c>
      <c r="E76" s="392">
        <v>2</v>
      </c>
      <c r="F76" s="367">
        <v>1000</v>
      </c>
      <c r="G76" s="367">
        <f t="shared" si="23"/>
        <v>10000</v>
      </c>
      <c r="H76" s="367">
        <f t="shared" si="24"/>
        <v>636.9426751592357</v>
      </c>
      <c r="I76" s="367">
        <f t="shared" si="25"/>
        <v>636.9426751592357</v>
      </c>
      <c r="J76" s="367"/>
    </row>
    <row r="77" spans="1:227" s="393" customFormat="1" ht="20" customHeight="1" outlineLevel="2" x14ac:dyDescent="0.2">
      <c r="A77" s="390"/>
      <c r="B77" s="391"/>
      <c r="C77" s="390"/>
      <c r="D77" s="392"/>
      <c r="E77" s="392"/>
      <c r="F77" s="367"/>
      <c r="G77" s="367">
        <f t="shared" si="23"/>
        <v>0</v>
      </c>
      <c r="H77" s="367">
        <f t="shared" si="24"/>
        <v>0</v>
      </c>
      <c r="I77" s="367">
        <f t="shared" si="25"/>
        <v>0</v>
      </c>
      <c r="J77" s="367"/>
    </row>
    <row r="78" spans="1:227" s="393" customFormat="1" ht="20" customHeight="1" outlineLevel="2" x14ac:dyDescent="0.2">
      <c r="A78" s="390"/>
      <c r="B78" s="391"/>
      <c r="C78" s="390"/>
      <c r="D78" s="392"/>
      <c r="E78" s="392"/>
      <c r="F78" s="367"/>
      <c r="G78" s="367">
        <f t="shared" si="23"/>
        <v>0</v>
      </c>
      <c r="H78" s="367">
        <f t="shared" si="24"/>
        <v>0</v>
      </c>
      <c r="I78" s="367">
        <f t="shared" si="25"/>
        <v>0</v>
      </c>
      <c r="J78" s="367"/>
    </row>
    <row r="79" spans="1:227" s="393" customFormat="1" ht="20" customHeight="1" outlineLevel="2" x14ac:dyDescent="0.2">
      <c r="A79" s="390"/>
      <c r="B79" s="391"/>
      <c r="C79" s="390"/>
      <c r="D79" s="392"/>
      <c r="E79" s="392"/>
      <c r="F79" s="367"/>
      <c r="G79" s="367">
        <f>(D79*E79*F79)</f>
        <v>0</v>
      </c>
      <c r="H79" s="367">
        <f t="shared" si="24"/>
        <v>0</v>
      </c>
      <c r="I79" s="367">
        <f t="shared" si="25"/>
        <v>0</v>
      </c>
      <c r="J79" s="367"/>
    </row>
    <row r="80" spans="1:227" s="405" customFormat="1" ht="17" outlineLevel="1" x14ac:dyDescent="0.2">
      <c r="A80" s="378" t="s">
        <v>288</v>
      </c>
      <c r="B80" s="379"/>
      <c r="C80" s="379"/>
      <c r="D80" s="379"/>
      <c r="E80" s="379"/>
      <c r="F80" s="380"/>
      <c r="G80" s="380">
        <f>SUM(G73:G79)</f>
        <v>101000</v>
      </c>
      <c r="H80" s="379">
        <f>SUM(H73:H79)</f>
        <v>6433.1210191082801</v>
      </c>
      <c r="I80" s="380">
        <f>SUM(I73:I79)</f>
        <v>6433.1210191082801</v>
      </c>
      <c r="J80" s="380">
        <f>SUM(J73:J79)</f>
        <v>0</v>
      </c>
      <c r="K80" s="393"/>
      <c r="L80" s="384"/>
      <c r="M80" s="384"/>
      <c r="N80" s="384"/>
      <c r="O80" s="383"/>
      <c r="P80" s="383"/>
      <c r="Q80" s="404"/>
      <c r="R80" s="383"/>
      <c r="S80" s="383"/>
      <c r="T80" s="383"/>
      <c r="U80" s="384"/>
      <c r="V80" s="384"/>
      <c r="W80" s="384"/>
      <c r="X80" s="383"/>
      <c r="Y80" s="383"/>
      <c r="Z80" s="404"/>
      <c r="AA80" s="383"/>
      <c r="AB80" s="383"/>
      <c r="AC80" s="383"/>
      <c r="AD80" s="384"/>
      <c r="AE80" s="384"/>
      <c r="AF80" s="384"/>
      <c r="AG80" s="383"/>
      <c r="AH80" s="383"/>
      <c r="AI80" s="404"/>
      <c r="AJ80" s="383"/>
      <c r="AK80" s="383"/>
      <c r="AL80" s="383"/>
      <c r="AM80" s="384"/>
      <c r="AN80" s="384"/>
      <c r="AO80" s="384"/>
      <c r="AP80" s="383"/>
      <c r="AQ80" s="383"/>
      <c r="AR80" s="404"/>
      <c r="AS80" s="383"/>
      <c r="AT80" s="383"/>
      <c r="AU80" s="383"/>
      <c r="AV80" s="384"/>
      <c r="AW80" s="384"/>
      <c r="AX80" s="384"/>
      <c r="AY80" s="383"/>
      <c r="AZ80" s="383"/>
      <c r="BA80" s="404"/>
      <c r="BB80" s="383"/>
      <c r="BC80" s="383"/>
      <c r="BD80" s="383"/>
      <c r="BE80" s="384"/>
      <c r="BF80" s="384"/>
      <c r="BG80" s="384"/>
      <c r="BH80" s="383"/>
      <c r="BI80" s="383"/>
      <c r="BJ80" s="404"/>
      <c r="BK80" s="383"/>
      <c r="BL80" s="383"/>
      <c r="BM80" s="383"/>
      <c r="BN80" s="384"/>
      <c r="BO80" s="384"/>
      <c r="BP80" s="384"/>
      <c r="BQ80" s="383"/>
      <c r="BR80" s="383"/>
      <c r="BS80" s="404"/>
      <c r="BT80" s="383"/>
      <c r="BU80" s="383"/>
      <c r="BV80" s="383"/>
      <c r="BW80" s="384"/>
      <c r="BX80" s="384"/>
      <c r="BY80" s="384"/>
      <c r="BZ80" s="383"/>
      <c r="CA80" s="383"/>
      <c r="CB80" s="404"/>
      <c r="CC80" s="383"/>
      <c r="CD80" s="383"/>
      <c r="CE80" s="383"/>
      <c r="CF80" s="384"/>
      <c r="CG80" s="384"/>
      <c r="CH80" s="384"/>
      <c r="CI80" s="383"/>
      <c r="CJ80" s="383"/>
      <c r="CK80" s="404"/>
      <c r="CL80" s="383"/>
      <c r="CM80" s="383"/>
      <c r="CN80" s="383"/>
      <c r="CO80" s="384"/>
      <c r="CP80" s="384"/>
      <c r="CQ80" s="384"/>
      <c r="CR80" s="383"/>
      <c r="CS80" s="383"/>
      <c r="CT80" s="404"/>
      <c r="CU80" s="383"/>
      <c r="CV80" s="383"/>
      <c r="CW80" s="383"/>
      <c r="CX80" s="384"/>
      <c r="CY80" s="384"/>
      <c r="CZ80" s="384"/>
      <c r="DA80" s="383"/>
      <c r="DB80" s="383"/>
      <c r="DC80" s="404"/>
      <c r="DD80" s="383"/>
      <c r="DE80" s="383"/>
      <c r="DF80" s="383"/>
      <c r="DG80" s="384"/>
      <c r="DH80" s="384"/>
      <c r="DI80" s="384"/>
      <c r="DJ80" s="383"/>
      <c r="DK80" s="383"/>
      <c r="DL80" s="404"/>
      <c r="DM80" s="383"/>
      <c r="DN80" s="383"/>
      <c r="DO80" s="383"/>
      <c r="DP80" s="384"/>
      <c r="DQ80" s="384"/>
      <c r="DR80" s="384"/>
      <c r="DS80" s="383"/>
      <c r="DT80" s="383"/>
      <c r="DU80" s="404"/>
      <c r="DV80" s="383"/>
      <c r="DW80" s="383"/>
      <c r="DX80" s="383"/>
      <c r="DY80" s="384"/>
      <c r="DZ80" s="384"/>
      <c r="EA80" s="384"/>
      <c r="EB80" s="383"/>
      <c r="EC80" s="383"/>
      <c r="ED80" s="404"/>
      <c r="EE80" s="383"/>
      <c r="EF80" s="383"/>
      <c r="EG80" s="383"/>
      <c r="EH80" s="384"/>
      <c r="EI80" s="384"/>
      <c r="EJ80" s="384"/>
      <c r="EK80" s="383"/>
      <c r="EL80" s="383"/>
      <c r="EM80" s="404"/>
      <c r="EN80" s="383"/>
      <c r="EO80" s="383"/>
      <c r="EP80" s="383"/>
      <c r="EQ80" s="384"/>
      <c r="ER80" s="384"/>
      <c r="ES80" s="384"/>
      <c r="ET80" s="383"/>
      <c r="EU80" s="383"/>
      <c r="EV80" s="404"/>
      <c r="EW80" s="383"/>
      <c r="EX80" s="383"/>
      <c r="EY80" s="383"/>
      <c r="EZ80" s="384"/>
      <c r="FA80" s="384"/>
      <c r="FB80" s="384"/>
      <c r="FC80" s="383"/>
      <c r="FD80" s="383"/>
      <c r="FE80" s="404"/>
      <c r="FF80" s="383"/>
      <c r="FG80" s="383"/>
      <c r="FH80" s="383"/>
      <c r="FI80" s="384"/>
      <c r="FJ80" s="384"/>
      <c r="FK80" s="384"/>
      <c r="FL80" s="383"/>
      <c r="FM80" s="383"/>
      <c r="FN80" s="404"/>
      <c r="FO80" s="383"/>
      <c r="FP80" s="383"/>
      <c r="FQ80" s="383"/>
      <c r="FR80" s="384"/>
      <c r="FS80" s="384"/>
      <c r="FT80" s="384"/>
      <c r="FU80" s="383"/>
      <c r="FV80" s="383"/>
      <c r="FW80" s="404"/>
      <c r="FX80" s="383"/>
      <c r="FY80" s="383"/>
      <c r="FZ80" s="383"/>
      <c r="GA80" s="384"/>
      <c r="GB80" s="384"/>
      <c r="GC80" s="384"/>
      <c r="GD80" s="383"/>
      <c r="GE80" s="383"/>
      <c r="GF80" s="404"/>
      <c r="GG80" s="383"/>
      <c r="GH80" s="383"/>
      <c r="GI80" s="383"/>
      <c r="GJ80" s="384"/>
      <c r="GK80" s="384"/>
      <c r="GL80" s="384"/>
      <c r="GM80" s="383"/>
      <c r="GN80" s="383"/>
      <c r="GO80" s="404"/>
      <c r="GP80" s="383"/>
      <c r="GQ80" s="383"/>
      <c r="GR80" s="383"/>
      <c r="GS80" s="384"/>
      <c r="GT80" s="384"/>
      <c r="GU80" s="384"/>
      <c r="GV80" s="383"/>
      <c r="GW80" s="383"/>
      <c r="GX80" s="404"/>
      <c r="GY80" s="383"/>
      <c r="GZ80" s="383"/>
      <c r="HA80" s="383"/>
      <c r="HB80" s="384"/>
      <c r="HC80" s="384"/>
      <c r="HD80" s="384"/>
      <c r="HE80" s="383"/>
      <c r="HF80" s="383"/>
      <c r="HG80" s="404"/>
      <c r="HH80" s="383"/>
      <c r="HI80" s="383"/>
      <c r="HJ80" s="383"/>
      <c r="HK80" s="384"/>
      <c r="HL80" s="384"/>
      <c r="HM80" s="384"/>
      <c r="HN80" s="383"/>
      <c r="HO80" s="383"/>
      <c r="HP80" s="404"/>
      <c r="HQ80" s="383"/>
      <c r="HR80" s="383"/>
      <c r="HS80" s="383"/>
    </row>
    <row r="81" spans="1:227" s="393" customFormat="1" ht="39" customHeight="1" outlineLevel="1" x14ac:dyDescent="0.2">
      <c r="A81" s="402" t="s">
        <v>340</v>
      </c>
      <c r="B81" s="402" t="s">
        <v>32</v>
      </c>
      <c r="C81" s="390"/>
      <c r="D81" s="392"/>
      <c r="E81" s="392"/>
      <c r="F81" s="367"/>
      <c r="G81" s="367"/>
      <c r="H81" s="367"/>
      <c r="I81" s="367"/>
      <c r="J81" s="367"/>
    </row>
    <row r="82" spans="1:227" s="393" customFormat="1" ht="20" customHeight="1" outlineLevel="2" x14ac:dyDescent="0.2">
      <c r="A82" s="390" t="s">
        <v>341</v>
      </c>
      <c r="B82" s="391" t="s">
        <v>342</v>
      </c>
      <c r="C82" s="390" t="s">
        <v>277</v>
      </c>
      <c r="D82" s="392">
        <f>(10*5)+5+5</f>
        <v>60</v>
      </c>
      <c r="E82" s="392">
        <v>3</v>
      </c>
      <c r="F82" s="367">
        <f>50+150</f>
        <v>200</v>
      </c>
      <c r="G82" s="367">
        <f t="shared" ref="G82:G87" si="26">(D82*E82*F82)</f>
        <v>36000</v>
      </c>
      <c r="H82" s="367">
        <f t="shared" ref="H82:H88" si="27">G82/$K$3</f>
        <v>2292.9936305732485</v>
      </c>
      <c r="I82" s="367">
        <f>H82</f>
        <v>2292.9936305732485</v>
      </c>
      <c r="J82" s="367"/>
    </row>
    <row r="83" spans="1:227" s="393" customFormat="1" ht="20" customHeight="1" outlineLevel="2" x14ac:dyDescent="0.2">
      <c r="A83" s="390" t="s">
        <v>343</v>
      </c>
      <c r="B83" s="391" t="s">
        <v>311</v>
      </c>
      <c r="C83" s="390" t="s">
        <v>287</v>
      </c>
      <c r="D83" s="392">
        <v>3</v>
      </c>
      <c r="E83" s="392">
        <v>4</v>
      </c>
      <c r="F83" s="367">
        <v>3000</v>
      </c>
      <c r="G83" s="367">
        <f t="shared" si="26"/>
        <v>36000</v>
      </c>
      <c r="H83" s="367">
        <f t="shared" si="27"/>
        <v>2292.9936305732485</v>
      </c>
      <c r="I83" s="367">
        <f t="shared" ref="I83:I88" si="28">H83</f>
        <v>2292.9936305732485</v>
      </c>
      <c r="J83" s="367"/>
    </row>
    <row r="84" spans="1:227" s="393" customFormat="1" ht="20" customHeight="1" outlineLevel="2" x14ac:dyDescent="0.2">
      <c r="A84" s="390" t="s">
        <v>344</v>
      </c>
      <c r="B84" s="391" t="s">
        <v>345</v>
      </c>
      <c r="C84" s="390" t="s">
        <v>280</v>
      </c>
      <c r="D84" s="392">
        <v>50</v>
      </c>
      <c r="E84" s="392">
        <v>4</v>
      </c>
      <c r="F84" s="367">
        <v>300</v>
      </c>
      <c r="G84" s="367">
        <f t="shared" si="26"/>
        <v>60000</v>
      </c>
      <c r="H84" s="367">
        <f t="shared" si="27"/>
        <v>3821.6560509554142</v>
      </c>
      <c r="I84" s="367">
        <f t="shared" si="28"/>
        <v>3821.6560509554142</v>
      </c>
      <c r="J84" s="367"/>
    </row>
    <row r="85" spans="1:227" s="393" customFormat="1" ht="20" customHeight="1" outlineLevel="2" x14ac:dyDescent="0.2">
      <c r="A85" s="390" t="s">
        <v>346</v>
      </c>
      <c r="B85" s="391" t="s">
        <v>347</v>
      </c>
      <c r="C85" s="390" t="s">
        <v>348</v>
      </c>
      <c r="D85" s="392">
        <f>4*0</f>
        <v>0</v>
      </c>
      <c r="E85" s="392">
        <f>2*2</f>
        <v>4</v>
      </c>
      <c r="F85" s="367">
        <v>500</v>
      </c>
      <c r="G85" s="367">
        <f t="shared" si="26"/>
        <v>0</v>
      </c>
      <c r="H85" s="367">
        <f t="shared" si="27"/>
        <v>0</v>
      </c>
      <c r="I85" s="367">
        <f t="shared" si="28"/>
        <v>0</v>
      </c>
      <c r="J85" s="367"/>
    </row>
    <row r="86" spans="1:227" s="393" customFormat="1" ht="20" customHeight="1" outlineLevel="2" x14ac:dyDescent="0.2">
      <c r="A86" s="390" t="s">
        <v>327</v>
      </c>
      <c r="B86" s="391" t="s">
        <v>283</v>
      </c>
      <c r="C86" s="390" t="s">
        <v>284</v>
      </c>
      <c r="D86" s="392">
        <v>1</v>
      </c>
      <c r="E86" s="392">
        <v>4</v>
      </c>
      <c r="F86" s="367">
        <v>1000</v>
      </c>
      <c r="G86" s="367">
        <f t="shared" si="26"/>
        <v>4000</v>
      </c>
      <c r="H86" s="367">
        <f t="shared" si="27"/>
        <v>254.77707006369428</v>
      </c>
      <c r="I86" s="367">
        <f t="shared" si="28"/>
        <v>254.77707006369428</v>
      </c>
      <c r="J86" s="367"/>
    </row>
    <row r="87" spans="1:227" s="393" customFormat="1" ht="20" customHeight="1" outlineLevel="2" x14ac:dyDescent="0.2">
      <c r="A87" s="390"/>
      <c r="B87" s="391"/>
      <c r="C87" s="390"/>
      <c r="D87" s="392"/>
      <c r="E87" s="392"/>
      <c r="F87" s="367"/>
      <c r="G87" s="367">
        <f t="shared" si="26"/>
        <v>0</v>
      </c>
      <c r="H87" s="367">
        <f t="shared" si="27"/>
        <v>0</v>
      </c>
      <c r="I87" s="367">
        <f t="shared" si="28"/>
        <v>0</v>
      </c>
      <c r="J87" s="367"/>
    </row>
    <row r="88" spans="1:227" s="393" customFormat="1" ht="20" customHeight="1" outlineLevel="2" x14ac:dyDescent="0.2">
      <c r="A88" s="390"/>
      <c r="B88" s="391"/>
      <c r="C88" s="390"/>
      <c r="D88" s="392"/>
      <c r="E88" s="392"/>
      <c r="F88" s="367"/>
      <c r="G88" s="367">
        <f>(D88*E88*F88)</f>
        <v>0</v>
      </c>
      <c r="H88" s="367">
        <f t="shared" si="27"/>
        <v>0</v>
      </c>
      <c r="I88" s="367">
        <f t="shared" si="28"/>
        <v>0</v>
      </c>
      <c r="J88" s="367"/>
    </row>
    <row r="89" spans="1:227" s="405" customFormat="1" ht="17" outlineLevel="1" x14ac:dyDescent="0.2">
      <c r="A89" s="378" t="s">
        <v>288</v>
      </c>
      <c r="B89" s="379"/>
      <c r="C89" s="379"/>
      <c r="D89" s="379"/>
      <c r="E89" s="379"/>
      <c r="F89" s="380"/>
      <c r="G89" s="380">
        <f>SUM(G82:G88)</f>
        <v>136000</v>
      </c>
      <c r="H89" s="379">
        <f>SUM(H82:H88)</f>
        <v>8662.4203821656047</v>
      </c>
      <c r="I89" s="380">
        <f>SUM(I82:I88)</f>
        <v>8662.4203821656047</v>
      </c>
      <c r="J89" s="380">
        <f>SUM(J82:J88)</f>
        <v>0</v>
      </c>
      <c r="K89" s="393"/>
      <c r="L89" s="384"/>
      <c r="M89" s="384"/>
      <c r="N89" s="384"/>
      <c r="O89" s="383"/>
      <c r="P89" s="383"/>
      <c r="Q89" s="404"/>
      <c r="R89" s="383"/>
      <c r="S89" s="383"/>
      <c r="T89" s="383"/>
      <c r="U89" s="384"/>
      <c r="V89" s="384"/>
      <c r="W89" s="384"/>
      <c r="X89" s="383"/>
      <c r="Y89" s="383"/>
      <c r="Z89" s="404"/>
      <c r="AA89" s="383"/>
      <c r="AB89" s="383"/>
      <c r="AC89" s="383"/>
      <c r="AD89" s="384"/>
      <c r="AE89" s="384"/>
      <c r="AF89" s="384"/>
      <c r="AG89" s="383"/>
      <c r="AH89" s="383"/>
      <c r="AI89" s="404"/>
      <c r="AJ89" s="383"/>
      <c r="AK89" s="383"/>
      <c r="AL89" s="383"/>
      <c r="AM89" s="384"/>
      <c r="AN89" s="384"/>
      <c r="AO89" s="384"/>
      <c r="AP89" s="383"/>
      <c r="AQ89" s="383"/>
      <c r="AR89" s="404"/>
      <c r="AS89" s="383"/>
      <c r="AT89" s="383"/>
      <c r="AU89" s="383"/>
      <c r="AV89" s="384"/>
      <c r="AW89" s="384"/>
      <c r="AX89" s="384"/>
      <c r="AY89" s="383"/>
      <c r="AZ89" s="383"/>
      <c r="BA89" s="404"/>
      <c r="BB89" s="383"/>
      <c r="BC89" s="383"/>
      <c r="BD89" s="383"/>
      <c r="BE89" s="384"/>
      <c r="BF89" s="384"/>
      <c r="BG89" s="384"/>
      <c r="BH89" s="383"/>
      <c r="BI89" s="383"/>
      <c r="BJ89" s="404"/>
      <c r="BK89" s="383"/>
      <c r="BL89" s="383"/>
      <c r="BM89" s="383"/>
      <c r="BN89" s="384"/>
      <c r="BO89" s="384"/>
      <c r="BP89" s="384"/>
      <c r="BQ89" s="383"/>
      <c r="BR89" s="383"/>
      <c r="BS89" s="404"/>
      <c r="BT89" s="383"/>
      <c r="BU89" s="383"/>
      <c r="BV89" s="383"/>
      <c r="BW89" s="384"/>
      <c r="BX89" s="384"/>
      <c r="BY89" s="384"/>
      <c r="BZ89" s="383"/>
      <c r="CA89" s="383"/>
      <c r="CB89" s="404"/>
      <c r="CC89" s="383"/>
      <c r="CD89" s="383"/>
      <c r="CE89" s="383"/>
      <c r="CF89" s="384"/>
      <c r="CG89" s="384"/>
      <c r="CH89" s="384"/>
      <c r="CI89" s="383"/>
      <c r="CJ89" s="383"/>
      <c r="CK89" s="404"/>
      <c r="CL89" s="383"/>
      <c r="CM89" s="383"/>
      <c r="CN89" s="383"/>
      <c r="CO89" s="384"/>
      <c r="CP89" s="384"/>
      <c r="CQ89" s="384"/>
      <c r="CR89" s="383"/>
      <c r="CS89" s="383"/>
      <c r="CT89" s="404"/>
      <c r="CU89" s="383"/>
      <c r="CV89" s="383"/>
      <c r="CW89" s="383"/>
      <c r="CX89" s="384"/>
      <c r="CY89" s="384"/>
      <c r="CZ89" s="384"/>
      <c r="DA89" s="383"/>
      <c r="DB89" s="383"/>
      <c r="DC89" s="404"/>
      <c r="DD89" s="383"/>
      <c r="DE89" s="383"/>
      <c r="DF89" s="383"/>
      <c r="DG89" s="384"/>
      <c r="DH89" s="384"/>
      <c r="DI89" s="384"/>
      <c r="DJ89" s="383"/>
      <c r="DK89" s="383"/>
      <c r="DL89" s="404"/>
      <c r="DM89" s="383"/>
      <c r="DN89" s="383"/>
      <c r="DO89" s="383"/>
      <c r="DP89" s="384"/>
      <c r="DQ89" s="384"/>
      <c r="DR89" s="384"/>
      <c r="DS89" s="383"/>
      <c r="DT89" s="383"/>
      <c r="DU89" s="404"/>
      <c r="DV89" s="383"/>
      <c r="DW89" s="383"/>
      <c r="DX89" s="383"/>
      <c r="DY89" s="384"/>
      <c r="DZ89" s="384"/>
      <c r="EA89" s="384"/>
      <c r="EB89" s="383"/>
      <c r="EC89" s="383"/>
      <c r="ED89" s="404"/>
      <c r="EE89" s="383"/>
      <c r="EF89" s="383"/>
      <c r="EG89" s="383"/>
      <c r="EH89" s="384"/>
      <c r="EI89" s="384"/>
      <c r="EJ89" s="384"/>
      <c r="EK89" s="383"/>
      <c r="EL89" s="383"/>
      <c r="EM89" s="404"/>
      <c r="EN89" s="383"/>
      <c r="EO89" s="383"/>
      <c r="EP89" s="383"/>
      <c r="EQ89" s="384"/>
      <c r="ER89" s="384"/>
      <c r="ES89" s="384"/>
      <c r="ET89" s="383"/>
      <c r="EU89" s="383"/>
      <c r="EV89" s="404"/>
      <c r="EW89" s="383"/>
      <c r="EX89" s="383"/>
      <c r="EY89" s="383"/>
      <c r="EZ89" s="384"/>
      <c r="FA89" s="384"/>
      <c r="FB89" s="384"/>
      <c r="FC89" s="383"/>
      <c r="FD89" s="383"/>
      <c r="FE89" s="404"/>
      <c r="FF89" s="383"/>
      <c r="FG89" s="383"/>
      <c r="FH89" s="383"/>
      <c r="FI89" s="384"/>
      <c r="FJ89" s="384"/>
      <c r="FK89" s="384"/>
      <c r="FL89" s="383"/>
      <c r="FM89" s="383"/>
      <c r="FN89" s="404"/>
      <c r="FO89" s="383"/>
      <c r="FP89" s="383"/>
      <c r="FQ89" s="383"/>
      <c r="FR89" s="384"/>
      <c r="FS89" s="384"/>
      <c r="FT89" s="384"/>
      <c r="FU89" s="383"/>
      <c r="FV89" s="383"/>
      <c r="FW89" s="404"/>
      <c r="FX89" s="383"/>
      <c r="FY89" s="383"/>
      <c r="FZ89" s="383"/>
      <c r="GA89" s="384"/>
      <c r="GB89" s="384"/>
      <c r="GC89" s="384"/>
      <c r="GD89" s="383"/>
      <c r="GE89" s="383"/>
      <c r="GF89" s="404"/>
      <c r="GG89" s="383"/>
      <c r="GH89" s="383"/>
      <c r="GI89" s="383"/>
      <c r="GJ89" s="384"/>
      <c r="GK89" s="384"/>
      <c r="GL89" s="384"/>
      <c r="GM89" s="383"/>
      <c r="GN89" s="383"/>
      <c r="GO89" s="404"/>
      <c r="GP89" s="383"/>
      <c r="GQ89" s="383"/>
      <c r="GR89" s="383"/>
      <c r="GS89" s="384"/>
      <c r="GT89" s="384"/>
      <c r="GU89" s="384"/>
      <c r="GV89" s="383"/>
      <c r="GW89" s="383"/>
      <c r="GX89" s="404"/>
      <c r="GY89" s="383"/>
      <c r="GZ89" s="383"/>
      <c r="HA89" s="383"/>
      <c r="HB89" s="384"/>
      <c r="HC89" s="384"/>
      <c r="HD89" s="384"/>
      <c r="HE89" s="383"/>
      <c r="HF89" s="383"/>
      <c r="HG89" s="404"/>
      <c r="HH89" s="383"/>
      <c r="HI89" s="383"/>
      <c r="HJ89" s="383"/>
      <c r="HK89" s="384"/>
      <c r="HL89" s="384"/>
      <c r="HM89" s="384"/>
      <c r="HN89" s="383"/>
      <c r="HO89" s="383"/>
      <c r="HP89" s="404"/>
      <c r="HQ89" s="383"/>
      <c r="HR89" s="383"/>
      <c r="HS89" s="383"/>
    </row>
    <row r="90" spans="1:227" s="393" customFormat="1" ht="39" customHeight="1" outlineLevel="1" x14ac:dyDescent="0.2">
      <c r="A90" s="402" t="s">
        <v>349</v>
      </c>
      <c r="B90" s="402" t="s">
        <v>350</v>
      </c>
      <c r="C90" s="390"/>
      <c r="D90" s="392"/>
      <c r="E90" s="392"/>
      <c r="F90" s="367"/>
      <c r="G90" s="367"/>
      <c r="H90" s="367"/>
      <c r="I90" s="367"/>
      <c r="J90" s="367"/>
    </row>
    <row r="91" spans="1:227" s="393" customFormat="1" ht="20" customHeight="1" outlineLevel="2" x14ac:dyDescent="0.2">
      <c r="A91" s="390" t="s">
        <v>341</v>
      </c>
      <c r="B91" s="391" t="s">
        <v>342</v>
      </c>
      <c r="C91" s="390" t="s">
        <v>277</v>
      </c>
      <c r="D91" s="392">
        <f>(10*5)+5+5</f>
        <v>60</v>
      </c>
      <c r="E91" s="392">
        <v>1</v>
      </c>
      <c r="F91" s="367">
        <f>50+150</f>
        <v>200</v>
      </c>
      <c r="G91" s="367">
        <f t="shared" ref="G91:G96" si="29">(D91*E91*F91)</f>
        <v>12000</v>
      </c>
      <c r="H91" s="367">
        <f t="shared" ref="H91:H97" si="30">G91/$K$3</f>
        <v>764.33121019108285</v>
      </c>
      <c r="I91" s="367">
        <f>H91</f>
        <v>764.33121019108285</v>
      </c>
      <c r="J91" s="367"/>
    </row>
    <row r="92" spans="1:227" s="393" customFormat="1" ht="20" customHeight="1" outlineLevel="2" x14ac:dyDescent="0.2">
      <c r="A92" s="390" t="s">
        <v>343</v>
      </c>
      <c r="B92" s="391" t="s">
        <v>311</v>
      </c>
      <c r="C92" s="390" t="s">
        <v>287</v>
      </c>
      <c r="D92" s="392">
        <v>1</v>
      </c>
      <c r="E92" s="392">
        <v>1</v>
      </c>
      <c r="F92" s="367">
        <v>5000</v>
      </c>
      <c r="G92" s="367">
        <f t="shared" si="29"/>
        <v>5000</v>
      </c>
      <c r="H92" s="367">
        <f t="shared" si="30"/>
        <v>318.47133757961785</v>
      </c>
      <c r="I92" s="367">
        <f t="shared" ref="I92:I97" si="31">H92</f>
        <v>318.47133757961785</v>
      </c>
      <c r="J92" s="367"/>
    </row>
    <row r="93" spans="1:227" s="393" customFormat="1" ht="20" customHeight="1" outlineLevel="2" x14ac:dyDescent="0.2">
      <c r="A93" s="390" t="s">
        <v>351</v>
      </c>
      <c r="B93" s="391" t="s">
        <v>345</v>
      </c>
      <c r="C93" s="390" t="s">
        <v>280</v>
      </c>
      <c r="D93" s="392">
        <v>50</v>
      </c>
      <c r="E93" s="392">
        <v>1</v>
      </c>
      <c r="F93" s="367">
        <v>300</v>
      </c>
      <c r="G93" s="367">
        <f t="shared" si="29"/>
        <v>15000</v>
      </c>
      <c r="H93" s="367">
        <f t="shared" si="30"/>
        <v>955.41401273885356</v>
      </c>
      <c r="I93" s="367">
        <f t="shared" si="31"/>
        <v>955.41401273885356</v>
      </c>
      <c r="J93" s="367"/>
    </row>
    <row r="94" spans="1:227" s="393" customFormat="1" ht="20" customHeight="1" outlineLevel="2" x14ac:dyDescent="0.2">
      <c r="A94" s="390" t="s">
        <v>346</v>
      </c>
      <c r="B94" s="391" t="s">
        <v>347</v>
      </c>
      <c r="C94" s="390" t="s">
        <v>348</v>
      </c>
      <c r="D94" s="392">
        <v>1</v>
      </c>
      <c r="E94" s="392">
        <v>1</v>
      </c>
      <c r="F94" s="367">
        <v>500</v>
      </c>
      <c r="G94" s="367">
        <f t="shared" si="29"/>
        <v>500</v>
      </c>
      <c r="H94" s="367">
        <f t="shared" si="30"/>
        <v>31.847133757961785</v>
      </c>
      <c r="I94" s="367">
        <f t="shared" si="31"/>
        <v>31.847133757961785</v>
      </c>
      <c r="J94" s="367"/>
    </row>
    <row r="95" spans="1:227" s="393" customFormat="1" ht="20" customHeight="1" outlineLevel="2" x14ac:dyDescent="0.2">
      <c r="A95" s="390" t="s">
        <v>327</v>
      </c>
      <c r="B95" s="391" t="s">
        <v>283</v>
      </c>
      <c r="C95" s="390" t="s">
        <v>284</v>
      </c>
      <c r="D95" s="392">
        <v>1</v>
      </c>
      <c r="E95" s="392">
        <v>4</v>
      </c>
      <c r="F95" s="367">
        <v>1000</v>
      </c>
      <c r="G95" s="367">
        <f t="shared" si="29"/>
        <v>4000</v>
      </c>
      <c r="H95" s="367">
        <f t="shared" si="30"/>
        <v>254.77707006369428</v>
      </c>
      <c r="I95" s="367">
        <f t="shared" si="31"/>
        <v>254.77707006369428</v>
      </c>
      <c r="J95" s="367"/>
    </row>
    <row r="96" spans="1:227" s="393" customFormat="1" ht="20" customHeight="1" outlineLevel="2" x14ac:dyDescent="0.2">
      <c r="A96" s="390"/>
      <c r="B96" s="391"/>
      <c r="C96" s="390"/>
      <c r="D96" s="392"/>
      <c r="E96" s="392"/>
      <c r="F96" s="367"/>
      <c r="G96" s="367">
        <f t="shared" si="29"/>
        <v>0</v>
      </c>
      <c r="H96" s="367">
        <f t="shared" si="30"/>
        <v>0</v>
      </c>
      <c r="I96" s="367">
        <f t="shared" si="31"/>
        <v>0</v>
      </c>
      <c r="J96" s="367"/>
    </row>
    <row r="97" spans="1:227" s="393" customFormat="1" ht="20" customHeight="1" outlineLevel="2" x14ac:dyDescent="0.2">
      <c r="A97" s="390"/>
      <c r="B97" s="391"/>
      <c r="C97" s="390"/>
      <c r="D97" s="392"/>
      <c r="E97" s="392"/>
      <c r="F97" s="367"/>
      <c r="G97" s="367">
        <f>(D97*E97*F97)</f>
        <v>0</v>
      </c>
      <c r="H97" s="367">
        <f t="shared" si="30"/>
        <v>0</v>
      </c>
      <c r="I97" s="367">
        <f t="shared" si="31"/>
        <v>0</v>
      </c>
      <c r="J97" s="367"/>
    </row>
    <row r="98" spans="1:227" s="405" customFormat="1" ht="17" outlineLevel="1" x14ac:dyDescent="0.2">
      <c r="A98" s="378" t="s">
        <v>288</v>
      </c>
      <c r="B98" s="379"/>
      <c r="C98" s="379"/>
      <c r="D98" s="379"/>
      <c r="E98" s="379"/>
      <c r="F98" s="380"/>
      <c r="G98" s="380">
        <f>SUM(G91:G97)</f>
        <v>36500</v>
      </c>
      <c r="H98" s="379">
        <f>SUM(H91:H97)</f>
        <v>2324.8407643312103</v>
      </c>
      <c r="I98" s="380">
        <f>SUM(I91:I97)</f>
        <v>2324.8407643312103</v>
      </c>
      <c r="J98" s="380">
        <f>SUM(J91:J97)</f>
        <v>0</v>
      </c>
      <c r="K98" s="393"/>
      <c r="L98" s="384"/>
      <c r="M98" s="384"/>
      <c r="N98" s="384"/>
      <c r="O98" s="383"/>
      <c r="P98" s="383"/>
      <c r="Q98" s="404"/>
      <c r="R98" s="383"/>
      <c r="S98" s="383"/>
      <c r="T98" s="383"/>
      <c r="U98" s="384"/>
      <c r="V98" s="384"/>
      <c r="W98" s="384"/>
      <c r="X98" s="383"/>
      <c r="Y98" s="383"/>
      <c r="Z98" s="404"/>
      <c r="AA98" s="383"/>
      <c r="AB98" s="383"/>
      <c r="AC98" s="383"/>
      <c r="AD98" s="384"/>
      <c r="AE98" s="384"/>
      <c r="AF98" s="384"/>
      <c r="AG98" s="383"/>
      <c r="AH98" s="383"/>
      <c r="AI98" s="404"/>
      <c r="AJ98" s="383"/>
      <c r="AK98" s="383"/>
      <c r="AL98" s="383"/>
      <c r="AM98" s="384"/>
      <c r="AN98" s="384"/>
      <c r="AO98" s="384"/>
      <c r="AP98" s="383"/>
      <c r="AQ98" s="383"/>
      <c r="AR98" s="404"/>
      <c r="AS98" s="383"/>
      <c r="AT98" s="383"/>
      <c r="AU98" s="383"/>
      <c r="AV98" s="384"/>
      <c r="AW98" s="384"/>
      <c r="AX98" s="384"/>
      <c r="AY98" s="383"/>
      <c r="AZ98" s="383"/>
      <c r="BA98" s="404"/>
      <c r="BB98" s="383"/>
      <c r="BC98" s="383"/>
      <c r="BD98" s="383"/>
      <c r="BE98" s="384"/>
      <c r="BF98" s="384"/>
      <c r="BG98" s="384"/>
      <c r="BH98" s="383"/>
      <c r="BI98" s="383"/>
      <c r="BJ98" s="404"/>
      <c r="BK98" s="383"/>
      <c r="BL98" s="383"/>
      <c r="BM98" s="383"/>
      <c r="BN98" s="384"/>
      <c r="BO98" s="384"/>
      <c r="BP98" s="384"/>
      <c r="BQ98" s="383"/>
      <c r="BR98" s="383"/>
      <c r="BS98" s="404"/>
      <c r="BT98" s="383"/>
      <c r="BU98" s="383"/>
      <c r="BV98" s="383"/>
      <c r="BW98" s="384"/>
      <c r="BX98" s="384"/>
      <c r="BY98" s="384"/>
      <c r="BZ98" s="383"/>
      <c r="CA98" s="383"/>
      <c r="CB98" s="404"/>
      <c r="CC98" s="383"/>
      <c r="CD98" s="383"/>
      <c r="CE98" s="383"/>
      <c r="CF98" s="384"/>
      <c r="CG98" s="384"/>
      <c r="CH98" s="384"/>
      <c r="CI98" s="383"/>
      <c r="CJ98" s="383"/>
      <c r="CK98" s="404"/>
      <c r="CL98" s="383"/>
      <c r="CM98" s="383"/>
      <c r="CN98" s="383"/>
      <c r="CO98" s="384"/>
      <c r="CP98" s="384"/>
      <c r="CQ98" s="384"/>
      <c r="CR98" s="383"/>
      <c r="CS98" s="383"/>
      <c r="CT98" s="404"/>
      <c r="CU98" s="383"/>
      <c r="CV98" s="383"/>
      <c r="CW98" s="383"/>
      <c r="CX98" s="384"/>
      <c r="CY98" s="384"/>
      <c r="CZ98" s="384"/>
      <c r="DA98" s="383"/>
      <c r="DB98" s="383"/>
      <c r="DC98" s="404"/>
      <c r="DD98" s="383"/>
      <c r="DE98" s="383"/>
      <c r="DF98" s="383"/>
      <c r="DG98" s="384"/>
      <c r="DH98" s="384"/>
      <c r="DI98" s="384"/>
      <c r="DJ98" s="383"/>
      <c r="DK98" s="383"/>
      <c r="DL98" s="404"/>
      <c r="DM98" s="383"/>
      <c r="DN98" s="383"/>
      <c r="DO98" s="383"/>
      <c r="DP98" s="384"/>
      <c r="DQ98" s="384"/>
      <c r="DR98" s="384"/>
      <c r="DS98" s="383"/>
      <c r="DT98" s="383"/>
      <c r="DU98" s="404"/>
      <c r="DV98" s="383"/>
      <c r="DW98" s="383"/>
      <c r="DX98" s="383"/>
      <c r="DY98" s="384"/>
      <c r="DZ98" s="384"/>
      <c r="EA98" s="384"/>
      <c r="EB98" s="383"/>
      <c r="EC98" s="383"/>
      <c r="ED98" s="404"/>
      <c r="EE98" s="383"/>
      <c r="EF98" s="383"/>
      <c r="EG98" s="383"/>
      <c r="EH98" s="384"/>
      <c r="EI98" s="384"/>
      <c r="EJ98" s="384"/>
      <c r="EK98" s="383"/>
      <c r="EL98" s="383"/>
      <c r="EM98" s="404"/>
      <c r="EN98" s="383"/>
      <c r="EO98" s="383"/>
      <c r="EP98" s="383"/>
      <c r="EQ98" s="384"/>
      <c r="ER98" s="384"/>
      <c r="ES98" s="384"/>
      <c r="ET98" s="383"/>
      <c r="EU98" s="383"/>
      <c r="EV98" s="404"/>
      <c r="EW98" s="383"/>
      <c r="EX98" s="383"/>
      <c r="EY98" s="383"/>
      <c r="EZ98" s="384"/>
      <c r="FA98" s="384"/>
      <c r="FB98" s="384"/>
      <c r="FC98" s="383"/>
      <c r="FD98" s="383"/>
      <c r="FE98" s="404"/>
      <c r="FF98" s="383"/>
      <c r="FG98" s="383"/>
      <c r="FH98" s="383"/>
      <c r="FI98" s="384"/>
      <c r="FJ98" s="384"/>
      <c r="FK98" s="384"/>
      <c r="FL98" s="383"/>
      <c r="FM98" s="383"/>
      <c r="FN98" s="404"/>
      <c r="FO98" s="383"/>
      <c r="FP98" s="383"/>
      <c r="FQ98" s="383"/>
      <c r="FR98" s="384"/>
      <c r="FS98" s="384"/>
      <c r="FT98" s="384"/>
      <c r="FU98" s="383"/>
      <c r="FV98" s="383"/>
      <c r="FW98" s="404"/>
      <c r="FX98" s="383"/>
      <c r="FY98" s="383"/>
      <c r="FZ98" s="383"/>
      <c r="GA98" s="384"/>
      <c r="GB98" s="384"/>
      <c r="GC98" s="384"/>
      <c r="GD98" s="383"/>
      <c r="GE98" s="383"/>
      <c r="GF98" s="404"/>
      <c r="GG98" s="383"/>
      <c r="GH98" s="383"/>
      <c r="GI98" s="383"/>
      <c r="GJ98" s="384"/>
      <c r="GK98" s="384"/>
      <c r="GL98" s="384"/>
      <c r="GM98" s="383"/>
      <c r="GN98" s="383"/>
      <c r="GO98" s="404"/>
      <c r="GP98" s="383"/>
      <c r="GQ98" s="383"/>
      <c r="GR98" s="383"/>
      <c r="GS98" s="384"/>
      <c r="GT98" s="384"/>
      <c r="GU98" s="384"/>
      <c r="GV98" s="383"/>
      <c r="GW98" s="383"/>
      <c r="GX98" s="404"/>
      <c r="GY98" s="383"/>
      <c r="GZ98" s="383"/>
      <c r="HA98" s="383"/>
      <c r="HB98" s="384"/>
      <c r="HC98" s="384"/>
      <c r="HD98" s="384"/>
      <c r="HE98" s="383"/>
      <c r="HF98" s="383"/>
      <c r="HG98" s="404"/>
      <c r="HH98" s="383"/>
      <c r="HI98" s="383"/>
      <c r="HJ98" s="383"/>
      <c r="HK98" s="384"/>
      <c r="HL98" s="384"/>
      <c r="HM98" s="384"/>
      <c r="HN98" s="383"/>
      <c r="HO98" s="383"/>
      <c r="HP98" s="404"/>
      <c r="HQ98" s="383"/>
      <c r="HR98" s="383"/>
      <c r="HS98" s="383"/>
    </row>
    <row r="99" spans="1:227" x14ac:dyDescent="0.2">
      <c r="A99" s="651" t="s">
        <v>352</v>
      </c>
      <c r="B99" s="652"/>
      <c r="C99" s="652"/>
      <c r="D99" s="652"/>
      <c r="E99" s="652"/>
      <c r="F99" s="652"/>
      <c r="G99" s="653"/>
      <c r="H99" s="652"/>
      <c r="I99" s="652"/>
      <c r="J99" s="652"/>
      <c r="K99" s="652"/>
    </row>
    <row r="100" spans="1:227" x14ac:dyDescent="0.2">
      <c r="A100" s="376"/>
      <c r="B100" s="377"/>
      <c r="C100" s="377"/>
      <c r="D100" s="377"/>
      <c r="E100" s="377"/>
      <c r="F100" s="377"/>
      <c r="G100" s="377"/>
      <c r="H100" s="377"/>
      <c r="I100" s="377"/>
      <c r="J100" s="377"/>
      <c r="K100" s="393"/>
    </row>
    <row r="101" spans="1:227" s="393" customFormat="1" ht="39" customHeight="1" outlineLevel="1" x14ac:dyDescent="0.2">
      <c r="A101" s="646" t="s">
        <v>353</v>
      </c>
      <c r="B101" s="402" t="s">
        <v>354</v>
      </c>
      <c r="C101" s="390"/>
      <c r="D101" s="392"/>
      <c r="E101" s="392"/>
      <c r="F101" s="367"/>
      <c r="G101" s="367"/>
      <c r="H101" s="367"/>
      <c r="I101" s="367"/>
      <c r="J101" s="367"/>
    </row>
    <row r="102" spans="1:227" s="393" customFormat="1" ht="20" customHeight="1" outlineLevel="2" x14ac:dyDescent="0.2">
      <c r="A102" s="390" t="s">
        <v>306</v>
      </c>
      <c r="B102" s="391" t="s">
        <v>355</v>
      </c>
      <c r="C102" s="390" t="s">
        <v>308</v>
      </c>
      <c r="D102" s="392">
        <f>5*1*15</f>
        <v>75</v>
      </c>
      <c r="E102" s="392">
        <v>12</v>
      </c>
      <c r="F102" s="367">
        <v>150</v>
      </c>
      <c r="G102" s="367">
        <f t="shared" ref="G102:G107" si="32">(D102*E102*F102)</f>
        <v>135000</v>
      </c>
      <c r="H102" s="367">
        <f t="shared" ref="H102:H108" si="33">G102/$K$3</f>
        <v>8598.7261146496821</v>
      </c>
      <c r="I102" s="367">
        <f>H102</f>
        <v>8598.7261146496821</v>
      </c>
      <c r="J102" s="367"/>
      <c r="N102" s="393">
        <v>30191.082802547768</v>
      </c>
    </row>
    <row r="103" spans="1:227" s="393" customFormat="1" ht="20" customHeight="1" outlineLevel="2" x14ac:dyDescent="0.2">
      <c r="A103" s="390" t="s">
        <v>356</v>
      </c>
      <c r="B103" s="391" t="s">
        <v>357</v>
      </c>
      <c r="C103" s="390" t="s">
        <v>294</v>
      </c>
      <c r="D103" s="392">
        <v>100</v>
      </c>
      <c r="E103" s="392">
        <v>5</v>
      </c>
      <c r="F103" s="367">
        <v>200</v>
      </c>
      <c r="G103" s="367">
        <f t="shared" si="32"/>
        <v>100000</v>
      </c>
      <c r="H103" s="367">
        <f t="shared" si="33"/>
        <v>6369.4267515923566</v>
      </c>
      <c r="I103" s="367">
        <f t="shared" ref="I103:I108" si="34">H103</f>
        <v>6369.4267515923566</v>
      </c>
      <c r="J103" s="367"/>
      <c r="N103" s="393">
        <v>231611.46496815287</v>
      </c>
    </row>
    <row r="104" spans="1:227" s="393" customFormat="1" ht="20" customHeight="1" outlineLevel="2" x14ac:dyDescent="0.2">
      <c r="A104" s="390" t="s">
        <v>306</v>
      </c>
      <c r="B104" s="391" t="s">
        <v>358</v>
      </c>
      <c r="C104" s="390" t="s">
        <v>308</v>
      </c>
      <c r="D104" s="392">
        <f>5*1*15+2</f>
        <v>77</v>
      </c>
      <c r="E104" s="392">
        <v>5</v>
      </c>
      <c r="F104" s="367">
        <v>150</v>
      </c>
      <c r="G104" s="367">
        <f t="shared" si="32"/>
        <v>57750</v>
      </c>
      <c r="H104" s="367">
        <f t="shared" si="33"/>
        <v>3678.3439490445862</v>
      </c>
      <c r="I104" s="367">
        <f t="shared" si="34"/>
        <v>3678.3439490445862</v>
      </c>
      <c r="J104" s="367"/>
    </row>
    <row r="105" spans="1:227" s="393" customFormat="1" ht="20" customHeight="1" outlineLevel="2" x14ac:dyDescent="0.2">
      <c r="A105" s="390" t="s">
        <v>359</v>
      </c>
      <c r="B105" s="391" t="s">
        <v>323</v>
      </c>
      <c r="C105" s="390" t="s">
        <v>280</v>
      </c>
      <c r="D105" s="392">
        <f>5*1*15</f>
        <v>75</v>
      </c>
      <c r="E105" s="392">
        <v>5</v>
      </c>
      <c r="F105" s="367">
        <v>150</v>
      </c>
      <c r="G105" s="367">
        <f t="shared" si="32"/>
        <v>56250</v>
      </c>
      <c r="H105" s="367">
        <f t="shared" si="33"/>
        <v>3582.8025477707006</v>
      </c>
      <c r="I105" s="367">
        <f t="shared" si="34"/>
        <v>3582.8025477707006</v>
      </c>
      <c r="J105" s="367"/>
    </row>
    <row r="106" spans="1:227" s="393" customFormat="1" ht="20" customHeight="1" outlineLevel="2" x14ac:dyDescent="0.2">
      <c r="A106" s="390" t="s">
        <v>360</v>
      </c>
      <c r="B106" s="391" t="s">
        <v>323</v>
      </c>
      <c r="C106" s="390" t="s">
        <v>280</v>
      </c>
      <c r="D106" s="392">
        <f>2*5</f>
        <v>10</v>
      </c>
      <c r="E106" s="392">
        <v>5</v>
      </c>
      <c r="F106" s="367">
        <v>150</v>
      </c>
      <c r="G106" s="367">
        <f t="shared" si="32"/>
        <v>7500</v>
      </c>
      <c r="H106" s="367">
        <f t="shared" si="33"/>
        <v>477.70700636942678</v>
      </c>
      <c r="I106" s="367">
        <f t="shared" si="34"/>
        <v>477.70700636942678</v>
      </c>
      <c r="J106" s="367"/>
    </row>
    <row r="107" spans="1:227" s="393" customFormat="1" ht="20" customHeight="1" outlineLevel="2" x14ac:dyDescent="0.2">
      <c r="A107" s="390" t="s">
        <v>282</v>
      </c>
      <c r="B107" s="391" t="s">
        <v>283</v>
      </c>
      <c r="C107" s="390" t="s">
        <v>284</v>
      </c>
      <c r="D107" s="392">
        <v>5</v>
      </c>
      <c r="E107" s="392">
        <v>2</v>
      </c>
      <c r="F107" s="367">
        <v>1000</v>
      </c>
      <c r="G107" s="367">
        <f t="shared" si="32"/>
        <v>10000</v>
      </c>
      <c r="H107" s="367">
        <f t="shared" si="33"/>
        <v>636.9426751592357</v>
      </c>
      <c r="I107" s="367">
        <f t="shared" si="34"/>
        <v>636.9426751592357</v>
      </c>
      <c r="J107" s="367"/>
    </row>
    <row r="108" spans="1:227" s="393" customFormat="1" ht="20" customHeight="1" outlineLevel="2" x14ac:dyDescent="0.2">
      <c r="A108" s="390"/>
      <c r="B108" s="391"/>
      <c r="C108" s="390"/>
      <c r="D108" s="392"/>
      <c r="E108" s="392"/>
      <c r="F108" s="367"/>
      <c r="G108" s="367">
        <f>(D108*E108*F108)</f>
        <v>0</v>
      </c>
      <c r="H108" s="367">
        <f t="shared" si="33"/>
        <v>0</v>
      </c>
      <c r="I108" s="367">
        <f t="shared" si="34"/>
        <v>0</v>
      </c>
      <c r="J108" s="367"/>
    </row>
    <row r="109" spans="1:227" s="405" customFormat="1" ht="17" outlineLevel="1" x14ac:dyDescent="0.2">
      <c r="A109" s="378" t="s">
        <v>288</v>
      </c>
      <c r="B109" s="379"/>
      <c r="C109" s="379"/>
      <c r="D109" s="379"/>
      <c r="E109" s="379"/>
      <c r="F109" s="380"/>
      <c r="G109" s="380">
        <f>SUM(G102:G108)</f>
        <v>366500</v>
      </c>
      <c r="H109" s="379">
        <f>SUM(H102:H108)</f>
        <v>23343.949044585988</v>
      </c>
      <c r="I109" s="380">
        <f>SUM(I102:I108)</f>
        <v>23343.949044585988</v>
      </c>
      <c r="J109" s="380">
        <f>SUM(J102:J108)</f>
        <v>0</v>
      </c>
      <c r="K109" s="393"/>
      <c r="L109" s="384"/>
      <c r="M109" s="384"/>
      <c r="N109" s="384"/>
      <c r="O109" s="383"/>
      <c r="P109" s="383"/>
      <c r="Q109" s="404"/>
      <c r="R109" s="383"/>
      <c r="S109" s="383"/>
      <c r="T109" s="383"/>
      <c r="U109" s="384"/>
      <c r="V109" s="384"/>
      <c r="W109" s="384"/>
      <c r="X109" s="383"/>
      <c r="Y109" s="383"/>
      <c r="Z109" s="404"/>
      <c r="AA109" s="383"/>
      <c r="AB109" s="383"/>
      <c r="AC109" s="383"/>
      <c r="AD109" s="384"/>
      <c r="AE109" s="384"/>
      <c r="AF109" s="384"/>
      <c r="AG109" s="383"/>
      <c r="AH109" s="383"/>
      <c r="AI109" s="404"/>
      <c r="AJ109" s="383"/>
      <c r="AK109" s="383"/>
      <c r="AL109" s="383"/>
      <c r="AM109" s="384"/>
      <c r="AN109" s="384"/>
      <c r="AO109" s="384"/>
      <c r="AP109" s="383"/>
      <c r="AQ109" s="383"/>
      <c r="AR109" s="404"/>
      <c r="AS109" s="383"/>
      <c r="AT109" s="383"/>
      <c r="AU109" s="383"/>
      <c r="AV109" s="384"/>
      <c r="AW109" s="384"/>
      <c r="AX109" s="384"/>
      <c r="AY109" s="383"/>
      <c r="AZ109" s="383"/>
      <c r="BA109" s="404"/>
      <c r="BB109" s="383"/>
      <c r="BC109" s="383"/>
      <c r="BD109" s="383"/>
      <c r="BE109" s="384"/>
      <c r="BF109" s="384"/>
      <c r="BG109" s="384"/>
      <c r="BH109" s="383"/>
      <c r="BI109" s="383"/>
      <c r="BJ109" s="404"/>
      <c r="BK109" s="383"/>
      <c r="BL109" s="383"/>
      <c r="BM109" s="383"/>
      <c r="BN109" s="384"/>
      <c r="BO109" s="384"/>
      <c r="BP109" s="384"/>
      <c r="BQ109" s="383"/>
      <c r="BR109" s="383"/>
      <c r="BS109" s="404"/>
      <c r="BT109" s="383"/>
      <c r="BU109" s="383"/>
      <c r="BV109" s="383"/>
      <c r="BW109" s="384"/>
      <c r="BX109" s="384"/>
      <c r="BY109" s="384"/>
      <c r="BZ109" s="383"/>
      <c r="CA109" s="383"/>
      <c r="CB109" s="404"/>
      <c r="CC109" s="383"/>
      <c r="CD109" s="383"/>
      <c r="CE109" s="383"/>
      <c r="CF109" s="384"/>
      <c r="CG109" s="384"/>
      <c r="CH109" s="384"/>
      <c r="CI109" s="383"/>
      <c r="CJ109" s="383"/>
      <c r="CK109" s="404"/>
      <c r="CL109" s="383"/>
      <c r="CM109" s="383"/>
      <c r="CN109" s="383"/>
      <c r="CO109" s="384"/>
      <c r="CP109" s="384"/>
      <c r="CQ109" s="384"/>
      <c r="CR109" s="383"/>
      <c r="CS109" s="383"/>
      <c r="CT109" s="404"/>
      <c r="CU109" s="383"/>
      <c r="CV109" s="383"/>
      <c r="CW109" s="383"/>
      <c r="CX109" s="384"/>
      <c r="CY109" s="384"/>
      <c r="CZ109" s="384"/>
      <c r="DA109" s="383"/>
      <c r="DB109" s="383"/>
      <c r="DC109" s="404"/>
      <c r="DD109" s="383"/>
      <c r="DE109" s="383"/>
      <c r="DF109" s="383"/>
      <c r="DG109" s="384"/>
      <c r="DH109" s="384"/>
      <c r="DI109" s="384"/>
      <c r="DJ109" s="383"/>
      <c r="DK109" s="383"/>
      <c r="DL109" s="404"/>
      <c r="DM109" s="383"/>
      <c r="DN109" s="383"/>
      <c r="DO109" s="383"/>
      <c r="DP109" s="384"/>
      <c r="DQ109" s="384"/>
      <c r="DR109" s="384"/>
      <c r="DS109" s="383"/>
      <c r="DT109" s="383"/>
      <c r="DU109" s="404"/>
      <c r="DV109" s="383"/>
      <c r="DW109" s="383"/>
      <c r="DX109" s="383"/>
      <c r="DY109" s="384"/>
      <c r="DZ109" s="384"/>
      <c r="EA109" s="384"/>
      <c r="EB109" s="383"/>
      <c r="EC109" s="383"/>
      <c r="ED109" s="404"/>
      <c r="EE109" s="383"/>
      <c r="EF109" s="383"/>
      <c r="EG109" s="383"/>
      <c r="EH109" s="384"/>
      <c r="EI109" s="384"/>
      <c r="EJ109" s="384"/>
      <c r="EK109" s="383"/>
      <c r="EL109" s="383"/>
      <c r="EM109" s="404"/>
      <c r="EN109" s="383"/>
      <c r="EO109" s="383"/>
      <c r="EP109" s="383"/>
      <c r="EQ109" s="384"/>
      <c r="ER109" s="384"/>
      <c r="ES109" s="384"/>
      <c r="ET109" s="383"/>
      <c r="EU109" s="383"/>
      <c r="EV109" s="404"/>
      <c r="EW109" s="383"/>
      <c r="EX109" s="383"/>
      <c r="EY109" s="383"/>
      <c r="EZ109" s="384"/>
      <c r="FA109" s="384"/>
      <c r="FB109" s="384"/>
      <c r="FC109" s="383"/>
      <c r="FD109" s="383"/>
      <c r="FE109" s="404"/>
      <c r="FF109" s="383"/>
      <c r="FG109" s="383"/>
      <c r="FH109" s="383"/>
      <c r="FI109" s="384"/>
      <c r="FJ109" s="384"/>
      <c r="FK109" s="384"/>
      <c r="FL109" s="383"/>
      <c r="FM109" s="383"/>
      <c r="FN109" s="404"/>
      <c r="FO109" s="383"/>
      <c r="FP109" s="383"/>
      <c r="FQ109" s="383"/>
      <c r="FR109" s="384"/>
      <c r="FS109" s="384"/>
      <c r="FT109" s="384"/>
      <c r="FU109" s="383"/>
      <c r="FV109" s="383"/>
      <c r="FW109" s="404"/>
      <c r="FX109" s="383"/>
      <c r="FY109" s="383"/>
      <c r="FZ109" s="383"/>
      <c r="GA109" s="384"/>
      <c r="GB109" s="384"/>
      <c r="GC109" s="384"/>
      <c r="GD109" s="383"/>
      <c r="GE109" s="383"/>
      <c r="GF109" s="404"/>
      <c r="GG109" s="383"/>
      <c r="GH109" s="383"/>
      <c r="GI109" s="383"/>
      <c r="GJ109" s="384"/>
      <c r="GK109" s="384"/>
      <c r="GL109" s="384"/>
      <c r="GM109" s="383"/>
      <c r="GN109" s="383"/>
      <c r="GO109" s="404"/>
      <c r="GP109" s="383"/>
      <c r="GQ109" s="383"/>
      <c r="GR109" s="383"/>
      <c r="GS109" s="384"/>
      <c r="GT109" s="384"/>
      <c r="GU109" s="384"/>
      <c r="GV109" s="383"/>
      <c r="GW109" s="383"/>
      <c r="GX109" s="404"/>
      <c r="GY109" s="383"/>
      <c r="GZ109" s="383"/>
      <c r="HA109" s="383"/>
      <c r="HB109" s="384"/>
      <c r="HC109" s="384"/>
      <c r="HD109" s="384"/>
      <c r="HE109" s="383"/>
      <c r="HF109" s="383"/>
      <c r="HG109" s="404"/>
      <c r="HH109" s="383"/>
      <c r="HI109" s="383"/>
      <c r="HJ109" s="383"/>
      <c r="HK109" s="384"/>
      <c r="HL109" s="384"/>
      <c r="HM109" s="384"/>
      <c r="HN109" s="383"/>
      <c r="HO109" s="383"/>
      <c r="HP109" s="404"/>
      <c r="HQ109" s="383"/>
      <c r="HR109" s="383"/>
      <c r="HS109" s="383"/>
    </row>
    <row r="110" spans="1:227" s="393" customFormat="1" ht="39" customHeight="1" outlineLevel="1" x14ac:dyDescent="0.2">
      <c r="A110" s="646" t="s">
        <v>361</v>
      </c>
      <c r="B110" s="402" t="s">
        <v>362</v>
      </c>
      <c r="C110" s="390"/>
      <c r="D110" s="392"/>
      <c r="E110" s="392"/>
      <c r="F110" s="367"/>
      <c r="G110" s="367"/>
      <c r="H110" s="367"/>
      <c r="I110" s="367"/>
      <c r="J110" s="367"/>
    </row>
    <row r="111" spans="1:227" s="393" customFormat="1" ht="20" customHeight="1" outlineLevel="2" x14ac:dyDescent="0.2">
      <c r="A111" s="390" t="s">
        <v>306</v>
      </c>
      <c r="B111" s="391" t="s">
        <v>363</v>
      </c>
      <c r="C111" s="390" t="s">
        <v>277</v>
      </c>
      <c r="D111" s="392">
        <f>40*20+5+5</f>
        <v>810</v>
      </c>
      <c r="E111" s="392">
        <f>2*2</f>
        <v>4</v>
      </c>
      <c r="F111" s="367">
        <v>150</v>
      </c>
      <c r="G111" s="367">
        <f t="shared" ref="G111:G116" si="35">(D111*E111*F111)</f>
        <v>486000</v>
      </c>
      <c r="H111" s="367">
        <f t="shared" ref="H111:H117" si="36">G111/$K$3</f>
        <v>30955.414012738856</v>
      </c>
      <c r="I111" s="367">
        <f>H111</f>
        <v>30955.414012738856</v>
      </c>
      <c r="J111" s="367"/>
    </row>
    <row r="112" spans="1:227" s="393" customFormat="1" ht="20" customHeight="1" outlineLevel="2" x14ac:dyDescent="0.2">
      <c r="A112" s="390" t="s">
        <v>343</v>
      </c>
      <c r="B112" s="391" t="s">
        <v>311</v>
      </c>
      <c r="C112" s="390" t="s">
        <v>287</v>
      </c>
      <c r="D112" s="392">
        <v>4</v>
      </c>
      <c r="E112" s="392">
        <f>2*2</f>
        <v>4</v>
      </c>
      <c r="F112" s="367">
        <v>3000</v>
      </c>
      <c r="G112" s="367">
        <f t="shared" si="35"/>
        <v>48000</v>
      </c>
      <c r="H112" s="367">
        <f t="shared" si="36"/>
        <v>3057.3248407643314</v>
      </c>
      <c r="I112" s="367">
        <f t="shared" ref="I112:I117" si="37">H112</f>
        <v>3057.3248407643314</v>
      </c>
      <c r="J112" s="367"/>
    </row>
    <row r="113" spans="1:227" s="393" customFormat="1" ht="20" customHeight="1" outlineLevel="2" x14ac:dyDescent="0.2">
      <c r="A113" s="390" t="s">
        <v>344</v>
      </c>
      <c r="B113" s="391" t="s">
        <v>279</v>
      </c>
      <c r="C113" s="390" t="s">
        <v>364</v>
      </c>
      <c r="D113" s="392">
        <f>20*20</f>
        <v>400</v>
      </c>
      <c r="E113" s="392">
        <f>2*2</f>
        <v>4</v>
      </c>
      <c r="F113" s="367">
        <v>300</v>
      </c>
      <c r="G113" s="367">
        <f t="shared" si="35"/>
        <v>480000</v>
      </c>
      <c r="H113" s="367">
        <f t="shared" si="36"/>
        <v>30573.248407643314</v>
      </c>
      <c r="I113" s="367">
        <f t="shared" si="37"/>
        <v>30573.248407643314</v>
      </c>
      <c r="J113" s="367"/>
    </row>
    <row r="114" spans="1:227" s="393" customFormat="1" ht="20" customHeight="1" outlineLevel="2" x14ac:dyDescent="0.2">
      <c r="A114" s="390" t="s">
        <v>346</v>
      </c>
      <c r="B114" s="391" t="s">
        <v>347</v>
      </c>
      <c r="C114" s="390" t="s">
        <v>348</v>
      </c>
      <c r="D114" s="392">
        <v>4</v>
      </c>
      <c r="E114" s="392">
        <f>2*2</f>
        <v>4</v>
      </c>
      <c r="F114" s="367">
        <v>500</v>
      </c>
      <c r="G114" s="367">
        <f t="shared" si="35"/>
        <v>8000</v>
      </c>
      <c r="H114" s="367">
        <f t="shared" si="36"/>
        <v>509.55414012738856</v>
      </c>
      <c r="I114" s="367">
        <f t="shared" si="37"/>
        <v>509.55414012738856</v>
      </c>
      <c r="J114" s="367"/>
    </row>
    <row r="115" spans="1:227" s="393" customFormat="1" ht="20" customHeight="1" outlineLevel="2" x14ac:dyDescent="0.2">
      <c r="A115" s="390" t="s">
        <v>327</v>
      </c>
      <c r="B115" s="391" t="s">
        <v>283</v>
      </c>
      <c r="C115" s="390" t="s">
        <v>284</v>
      </c>
      <c r="D115" s="392">
        <v>4</v>
      </c>
      <c r="E115" s="392">
        <f>2*2</f>
        <v>4</v>
      </c>
      <c r="F115" s="367">
        <v>1000</v>
      </c>
      <c r="G115" s="367">
        <f t="shared" si="35"/>
        <v>16000</v>
      </c>
      <c r="H115" s="367">
        <f t="shared" si="36"/>
        <v>1019.1082802547771</v>
      </c>
      <c r="I115" s="367">
        <f t="shared" si="37"/>
        <v>1019.1082802547771</v>
      </c>
      <c r="J115" s="367"/>
    </row>
    <row r="116" spans="1:227" s="393" customFormat="1" ht="20" customHeight="1" outlineLevel="2" x14ac:dyDescent="0.2">
      <c r="A116" s="390"/>
      <c r="B116" s="391"/>
      <c r="C116" s="390"/>
      <c r="D116" s="392"/>
      <c r="E116" s="392"/>
      <c r="F116" s="367"/>
      <c r="G116" s="367">
        <f t="shared" si="35"/>
        <v>0</v>
      </c>
      <c r="H116" s="367">
        <f t="shared" si="36"/>
        <v>0</v>
      </c>
      <c r="I116" s="367">
        <f t="shared" si="37"/>
        <v>0</v>
      </c>
      <c r="J116" s="367"/>
    </row>
    <row r="117" spans="1:227" s="393" customFormat="1" ht="20" customHeight="1" outlineLevel="2" x14ac:dyDescent="0.2">
      <c r="A117" s="390"/>
      <c r="B117" s="391"/>
      <c r="C117" s="390"/>
      <c r="D117" s="392"/>
      <c r="E117" s="392"/>
      <c r="F117" s="367"/>
      <c r="G117" s="367">
        <f>(D117*E117*F117)</f>
        <v>0</v>
      </c>
      <c r="H117" s="367">
        <f t="shared" si="36"/>
        <v>0</v>
      </c>
      <c r="I117" s="367">
        <f t="shared" si="37"/>
        <v>0</v>
      </c>
      <c r="J117" s="367"/>
    </row>
    <row r="118" spans="1:227" s="405" customFormat="1" ht="17" outlineLevel="1" x14ac:dyDescent="0.2">
      <c r="A118" s="378" t="s">
        <v>288</v>
      </c>
      <c r="B118" s="379"/>
      <c r="C118" s="379"/>
      <c r="D118" s="379"/>
      <c r="E118" s="379"/>
      <c r="F118" s="380"/>
      <c r="G118" s="380">
        <f>SUM(G111:G117)</f>
        <v>1038000</v>
      </c>
      <c r="H118" s="379">
        <f>SUM(H111:H117)</f>
        <v>66114.649681528666</v>
      </c>
      <c r="I118" s="380">
        <f>SUM(I111:I117)</f>
        <v>66114.649681528666</v>
      </c>
      <c r="J118" s="380">
        <f>SUM(J111:J117)</f>
        <v>0</v>
      </c>
      <c r="K118" s="393"/>
      <c r="L118" s="384"/>
      <c r="M118" s="384"/>
      <c r="N118" s="384"/>
      <c r="O118" s="383"/>
      <c r="P118" s="383"/>
      <c r="Q118" s="404"/>
      <c r="R118" s="383"/>
      <c r="S118" s="383"/>
      <c r="T118" s="383"/>
      <c r="U118" s="384"/>
      <c r="V118" s="384"/>
      <c r="W118" s="384"/>
      <c r="X118" s="383"/>
      <c r="Y118" s="383"/>
      <c r="Z118" s="404"/>
      <c r="AA118" s="383"/>
      <c r="AB118" s="383"/>
      <c r="AC118" s="383"/>
      <c r="AD118" s="384"/>
      <c r="AE118" s="384"/>
      <c r="AF118" s="384"/>
      <c r="AG118" s="383"/>
      <c r="AH118" s="383"/>
      <c r="AI118" s="404"/>
      <c r="AJ118" s="383"/>
      <c r="AK118" s="383"/>
      <c r="AL118" s="383"/>
      <c r="AM118" s="384"/>
      <c r="AN118" s="384"/>
      <c r="AO118" s="384"/>
      <c r="AP118" s="383"/>
      <c r="AQ118" s="383"/>
      <c r="AR118" s="404"/>
      <c r="AS118" s="383"/>
      <c r="AT118" s="383"/>
      <c r="AU118" s="383"/>
      <c r="AV118" s="384"/>
      <c r="AW118" s="384"/>
      <c r="AX118" s="384"/>
      <c r="AY118" s="383"/>
      <c r="AZ118" s="383"/>
      <c r="BA118" s="404"/>
      <c r="BB118" s="383"/>
      <c r="BC118" s="383"/>
      <c r="BD118" s="383"/>
      <c r="BE118" s="384"/>
      <c r="BF118" s="384"/>
      <c r="BG118" s="384"/>
      <c r="BH118" s="383"/>
      <c r="BI118" s="383"/>
      <c r="BJ118" s="404"/>
      <c r="BK118" s="383"/>
      <c r="BL118" s="383"/>
      <c r="BM118" s="383"/>
      <c r="BN118" s="384"/>
      <c r="BO118" s="384"/>
      <c r="BP118" s="384"/>
      <c r="BQ118" s="383"/>
      <c r="BR118" s="383"/>
      <c r="BS118" s="404"/>
      <c r="BT118" s="383"/>
      <c r="BU118" s="383"/>
      <c r="BV118" s="383"/>
      <c r="BW118" s="384"/>
      <c r="BX118" s="384"/>
      <c r="BY118" s="384"/>
      <c r="BZ118" s="383"/>
      <c r="CA118" s="383"/>
      <c r="CB118" s="404"/>
      <c r="CC118" s="383"/>
      <c r="CD118" s="383"/>
      <c r="CE118" s="383"/>
      <c r="CF118" s="384"/>
      <c r="CG118" s="384"/>
      <c r="CH118" s="384"/>
      <c r="CI118" s="383"/>
      <c r="CJ118" s="383"/>
      <c r="CK118" s="404"/>
      <c r="CL118" s="383"/>
      <c r="CM118" s="383"/>
      <c r="CN118" s="383"/>
      <c r="CO118" s="384"/>
      <c r="CP118" s="384"/>
      <c r="CQ118" s="384"/>
      <c r="CR118" s="383"/>
      <c r="CS118" s="383"/>
      <c r="CT118" s="404"/>
      <c r="CU118" s="383"/>
      <c r="CV118" s="383"/>
      <c r="CW118" s="383"/>
      <c r="CX118" s="384"/>
      <c r="CY118" s="384"/>
      <c r="CZ118" s="384"/>
      <c r="DA118" s="383"/>
      <c r="DB118" s="383"/>
      <c r="DC118" s="404"/>
      <c r="DD118" s="383"/>
      <c r="DE118" s="383"/>
      <c r="DF118" s="383"/>
      <c r="DG118" s="384"/>
      <c r="DH118" s="384"/>
      <c r="DI118" s="384"/>
      <c r="DJ118" s="383"/>
      <c r="DK118" s="383"/>
      <c r="DL118" s="404"/>
      <c r="DM118" s="383"/>
      <c r="DN118" s="383"/>
      <c r="DO118" s="383"/>
      <c r="DP118" s="384"/>
      <c r="DQ118" s="384"/>
      <c r="DR118" s="384"/>
      <c r="DS118" s="383"/>
      <c r="DT118" s="383"/>
      <c r="DU118" s="404"/>
      <c r="DV118" s="383"/>
      <c r="DW118" s="383"/>
      <c r="DX118" s="383"/>
      <c r="DY118" s="384"/>
      <c r="DZ118" s="384"/>
      <c r="EA118" s="384"/>
      <c r="EB118" s="383"/>
      <c r="EC118" s="383"/>
      <c r="ED118" s="404"/>
      <c r="EE118" s="383"/>
      <c r="EF118" s="383"/>
      <c r="EG118" s="383"/>
      <c r="EH118" s="384"/>
      <c r="EI118" s="384"/>
      <c r="EJ118" s="384"/>
      <c r="EK118" s="383"/>
      <c r="EL118" s="383"/>
      <c r="EM118" s="404"/>
      <c r="EN118" s="383"/>
      <c r="EO118" s="383"/>
      <c r="EP118" s="383"/>
      <c r="EQ118" s="384"/>
      <c r="ER118" s="384"/>
      <c r="ES118" s="384"/>
      <c r="ET118" s="383"/>
      <c r="EU118" s="383"/>
      <c r="EV118" s="404"/>
      <c r="EW118" s="383"/>
      <c r="EX118" s="383"/>
      <c r="EY118" s="383"/>
      <c r="EZ118" s="384"/>
      <c r="FA118" s="384"/>
      <c r="FB118" s="384"/>
      <c r="FC118" s="383"/>
      <c r="FD118" s="383"/>
      <c r="FE118" s="404"/>
      <c r="FF118" s="383"/>
      <c r="FG118" s="383"/>
      <c r="FH118" s="383"/>
      <c r="FI118" s="384"/>
      <c r="FJ118" s="384"/>
      <c r="FK118" s="384"/>
      <c r="FL118" s="383"/>
      <c r="FM118" s="383"/>
      <c r="FN118" s="404"/>
      <c r="FO118" s="383"/>
      <c r="FP118" s="383"/>
      <c r="FQ118" s="383"/>
      <c r="FR118" s="384"/>
      <c r="FS118" s="384"/>
      <c r="FT118" s="384"/>
      <c r="FU118" s="383"/>
      <c r="FV118" s="383"/>
      <c r="FW118" s="404"/>
      <c r="FX118" s="383"/>
      <c r="FY118" s="383"/>
      <c r="FZ118" s="383"/>
      <c r="GA118" s="384"/>
      <c r="GB118" s="384"/>
      <c r="GC118" s="384"/>
      <c r="GD118" s="383"/>
      <c r="GE118" s="383"/>
      <c r="GF118" s="404"/>
      <c r="GG118" s="383"/>
      <c r="GH118" s="383"/>
      <c r="GI118" s="383"/>
      <c r="GJ118" s="384"/>
      <c r="GK118" s="384"/>
      <c r="GL118" s="384"/>
      <c r="GM118" s="383"/>
      <c r="GN118" s="383"/>
      <c r="GO118" s="404"/>
      <c r="GP118" s="383"/>
      <c r="GQ118" s="383"/>
      <c r="GR118" s="383"/>
      <c r="GS118" s="384"/>
      <c r="GT118" s="384"/>
      <c r="GU118" s="384"/>
      <c r="GV118" s="383"/>
      <c r="GW118" s="383"/>
      <c r="GX118" s="404"/>
      <c r="GY118" s="383"/>
      <c r="GZ118" s="383"/>
      <c r="HA118" s="383"/>
      <c r="HB118" s="384"/>
      <c r="HC118" s="384"/>
      <c r="HD118" s="384"/>
      <c r="HE118" s="383"/>
      <c r="HF118" s="383"/>
      <c r="HG118" s="404"/>
      <c r="HH118" s="383"/>
      <c r="HI118" s="383"/>
      <c r="HJ118" s="383"/>
      <c r="HK118" s="384"/>
      <c r="HL118" s="384"/>
      <c r="HM118" s="384"/>
      <c r="HN118" s="383"/>
      <c r="HO118" s="383"/>
      <c r="HP118" s="404"/>
      <c r="HQ118" s="383"/>
      <c r="HR118" s="383"/>
      <c r="HS118" s="383"/>
    </row>
    <row r="119" spans="1:227" s="399" customFormat="1" ht="34" outlineLevel="1" x14ac:dyDescent="0.2">
      <c r="A119" s="654" t="s">
        <v>365</v>
      </c>
      <c r="B119" s="655"/>
      <c r="C119" s="655"/>
      <c r="D119" s="655"/>
      <c r="E119" s="655"/>
      <c r="F119" s="655"/>
      <c r="G119" s="383"/>
      <c r="H119" s="655"/>
      <c r="I119" s="655"/>
      <c r="J119" s="655"/>
      <c r="K119" s="655"/>
    </row>
    <row r="120" spans="1:227" s="399" customFormat="1" outlineLevel="1" x14ac:dyDescent="0.2">
      <c r="A120" s="400"/>
      <c r="B120" s="401"/>
      <c r="C120" s="401"/>
      <c r="D120" s="401"/>
      <c r="E120" s="401"/>
      <c r="F120" s="401"/>
      <c r="G120" s="401"/>
      <c r="H120" s="401"/>
      <c r="I120" s="401"/>
      <c r="J120" s="401"/>
      <c r="K120" s="401"/>
    </row>
    <row r="121" spans="1:227" s="393" customFormat="1" ht="39" customHeight="1" outlineLevel="1" x14ac:dyDescent="0.2">
      <c r="A121" s="646" t="s">
        <v>366</v>
      </c>
      <c r="B121" s="402" t="s">
        <v>362</v>
      </c>
      <c r="C121" s="390"/>
      <c r="D121" s="392"/>
      <c r="E121" s="392"/>
      <c r="F121" s="367"/>
      <c r="G121" s="367"/>
      <c r="H121" s="367"/>
      <c r="I121" s="367"/>
      <c r="J121" s="367"/>
    </row>
    <row r="122" spans="1:227" s="393" customFormat="1" ht="20" customHeight="1" outlineLevel="2" x14ac:dyDescent="0.2">
      <c r="A122" s="390" t="s">
        <v>306</v>
      </c>
      <c r="B122" s="391" t="s">
        <v>363</v>
      </c>
      <c r="C122" s="390" t="s">
        <v>277</v>
      </c>
      <c r="D122" s="392">
        <f>40*20+5+5</f>
        <v>810</v>
      </c>
      <c r="E122" s="392">
        <f>2*2</f>
        <v>4</v>
      </c>
      <c r="F122" s="367">
        <v>150</v>
      </c>
      <c r="G122" s="367">
        <f t="shared" ref="G122:G127" si="38">(D122*E122*F122)</f>
        <v>486000</v>
      </c>
      <c r="H122" s="367">
        <f t="shared" ref="H122:H128" si="39">G122/$K$3</f>
        <v>30955.414012738856</v>
      </c>
      <c r="I122" s="367">
        <f>H122</f>
        <v>30955.414012738856</v>
      </c>
      <c r="J122" s="367"/>
    </row>
    <row r="123" spans="1:227" s="393" customFormat="1" ht="20" customHeight="1" outlineLevel="2" x14ac:dyDescent="0.2">
      <c r="A123" s="390" t="s">
        <v>343</v>
      </c>
      <c r="B123" s="391" t="s">
        <v>311</v>
      </c>
      <c r="C123" s="390" t="s">
        <v>287</v>
      </c>
      <c r="D123" s="392">
        <v>4</v>
      </c>
      <c r="E123" s="392">
        <f>2*2</f>
        <v>4</v>
      </c>
      <c r="F123" s="367">
        <v>3000</v>
      </c>
      <c r="G123" s="367">
        <f t="shared" si="38"/>
        <v>48000</v>
      </c>
      <c r="H123" s="367">
        <f t="shared" si="39"/>
        <v>3057.3248407643314</v>
      </c>
      <c r="I123" s="367">
        <f t="shared" ref="I123:I128" si="40">H123</f>
        <v>3057.3248407643314</v>
      </c>
      <c r="J123" s="367"/>
    </row>
    <row r="124" spans="1:227" s="393" customFormat="1" ht="20" customHeight="1" outlineLevel="2" x14ac:dyDescent="0.2">
      <c r="A124" s="390" t="s">
        <v>344</v>
      </c>
      <c r="B124" s="391" t="s">
        <v>279</v>
      </c>
      <c r="C124" s="390" t="s">
        <v>364</v>
      </c>
      <c r="D124" s="392">
        <f>20*20</f>
        <v>400</v>
      </c>
      <c r="E124" s="392">
        <f>2*2</f>
        <v>4</v>
      </c>
      <c r="F124" s="367">
        <v>300</v>
      </c>
      <c r="G124" s="367">
        <f t="shared" si="38"/>
        <v>480000</v>
      </c>
      <c r="H124" s="367">
        <f t="shared" si="39"/>
        <v>30573.248407643314</v>
      </c>
      <c r="I124" s="367">
        <f t="shared" si="40"/>
        <v>30573.248407643314</v>
      </c>
      <c r="J124" s="367"/>
    </row>
    <row r="125" spans="1:227" s="393" customFormat="1" ht="20" customHeight="1" outlineLevel="2" x14ac:dyDescent="0.2">
      <c r="A125" s="390" t="s">
        <v>346</v>
      </c>
      <c r="B125" s="391" t="s">
        <v>347</v>
      </c>
      <c r="C125" s="390" t="s">
        <v>348</v>
      </c>
      <c r="D125" s="392">
        <v>4</v>
      </c>
      <c r="E125" s="392">
        <f>2*2</f>
        <v>4</v>
      </c>
      <c r="F125" s="367">
        <v>500</v>
      </c>
      <c r="G125" s="367">
        <f t="shared" si="38"/>
        <v>8000</v>
      </c>
      <c r="H125" s="367">
        <f t="shared" si="39"/>
        <v>509.55414012738856</v>
      </c>
      <c r="I125" s="367">
        <f t="shared" si="40"/>
        <v>509.55414012738856</v>
      </c>
      <c r="J125" s="367"/>
    </row>
    <row r="126" spans="1:227" s="393" customFormat="1" ht="20" customHeight="1" outlineLevel="2" x14ac:dyDescent="0.2">
      <c r="A126" s="390" t="s">
        <v>327</v>
      </c>
      <c r="B126" s="391" t="s">
        <v>283</v>
      </c>
      <c r="C126" s="390" t="s">
        <v>284</v>
      </c>
      <c r="D126" s="392">
        <v>4</v>
      </c>
      <c r="E126" s="392">
        <f>2*2</f>
        <v>4</v>
      </c>
      <c r="F126" s="367">
        <v>1500</v>
      </c>
      <c r="G126" s="367">
        <f t="shared" si="38"/>
        <v>24000</v>
      </c>
      <c r="H126" s="367">
        <f t="shared" si="39"/>
        <v>1528.6624203821657</v>
      </c>
      <c r="I126" s="367">
        <f t="shared" si="40"/>
        <v>1528.6624203821657</v>
      </c>
      <c r="J126" s="367"/>
    </row>
    <row r="127" spans="1:227" s="393" customFormat="1" ht="20" customHeight="1" outlineLevel="2" x14ac:dyDescent="0.2">
      <c r="A127" s="390"/>
      <c r="B127" s="391"/>
      <c r="C127" s="390"/>
      <c r="D127" s="392"/>
      <c r="E127" s="392"/>
      <c r="F127" s="367"/>
      <c r="G127" s="367">
        <f t="shared" si="38"/>
        <v>0</v>
      </c>
      <c r="H127" s="367">
        <f t="shared" si="39"/>
        <v>0</v>
      </c>
      <c r="I127" s="367">
        <f t="shared" si="40"/>
        <v>0</v>
      </c>
      <c r="J127" s="367"/>
    </row>
    <row r="128" spans="1:227" s="393" customFormat="1" ht="20" customHeight="1" outlineLevel="2" x14ac:dyDescent="0.2">
      <c r="A128" s="390"/>
      <c r="B128" s="391"/>
      <c r="C128" s="390"/>
      <c r="D128" s="392"/>
      <c r="E128" s="392"/>
      <c r="F128" s="367"/>
      <c r="G128" s="367">
        <f>(D128*E128*F128)</f>
        <v>0</v>
      </c>
      <c r="H128" s="367">
        <f t="shared" si="39"/>
        <v>0</v>
      </c>
      <c r="I128" s="367">
        <f t="shared" si="40"/>
        <v>0</v>
      </c>
      <c r="J128" s="367"/>
    </row>
    <row r="129" spans="1:227" s="405" customFormat="1" ht="17" outlineLevel="1" x14ac:dyDescent="0.2">
      <c r="A129" s="378" t="s">
        <v>288</v>
      </c>
      <c r="B129" s="379"/>
      <c r="C129" s="379"/>
      <c r="D129" s="379"/>
      <c r="E129" s="379"/>
      <c r="F129" s="380"/>
      <c r="G129" s="380">
        <f>SUM(G122:G128)</f>
        <v>1046000</v>
      </c>
      <c r="H129" s="379">
        <f>SUM(H122:H128)</f>
        <v>66624.203821656047</v>
      </c>
      <c r="I129" s="380">
        <f>SUM(I122:I128)</f>
        <v>66624.203821656047</v>
      </c>
      <c r="J129" s="380">
        <f>SUM(J122:J128)</f>
        <v>0</v>
      </c>
      <c r="K129" s="393"/>
      <c r="L129" s="384"/>
      <c r="M129" s="384"/>
      <c r="N129" s="384"/>
      <c r="O129" s="383"/>
      <c r="P129" s="383"/>
      <c r="Q129" s="404"/>
      <c r="R129" s="383"/>
      <c r="S129" s="383"/>
      <c r="T129" s="383"/>
      <c r="U129" s="384"/>
      <c r="V129" s="384"/>
      <c r="W129" s="384"/>
      <c r="X129" s="383"/>
      <c r="Y129" s="383"/>
      <c r="Z129" s="404"/>
      <c r="AA129" s="383"/>
      <c r="AB129" s="383"/>
      <c r="AC129" s="383"/>
      <c r="AD129" s="384"/>
      <c r="AE129" s="384"/>
      <c r="AF129" s="384"/>
      <c r="AG129" s="383"/>
      <c r="AH129" s="383"/>
      <c r="AI129" s="404"/>
      <c r="AJ129" s="383"/>
      <c r="AK129" s="383"/>
      <c r="AL129" s="383"/>
      <c r="AM129" s="384"/>
      <c r="AN129" s="384"/>
      <c r="AO129" s="384"/>
      <c r="AP129" s="383"/>
      <c r="AQ129" s="383"/>
      <c r="AR129" s="404"/>
      <c r="AS129" s="383"/>
      <c r="AT129" s="383"/>
      <c r="AU129" s="383"/>
      <c r="AV129" s="384"/>
      <c r="AW129" s="384"/>
      <c r="AX129" s="384"/>
      <c r="AY129" s="383"/>
      <c r="AZ129" s="383"/>
      <c r="BA129" s="404"/>
      <c r="BB129" s="383"/>
      <c r="BC129" s="383"/>
      <c r="BD129" s="383"/>
      <c r="BE129" s="384"/>
      <c r="BF129" s="384"/>
      <c r="BG129" s="384"/>
      <c r="BH129" s="383"/>
      <c r="BI129" s="383"/>
      <c r="BJ129" s="404"/>
      <c r="BK129" s="383"/>
      <c r="BL129" s="383"/>
      <c r="BM129" s="383"/>
      <c r="BN129" s="384"/>
      <c r="BO129" s="384"/>
      <c r="BP129" s="384"/>
      <c r="BQ129" s="383"/>
      <c r="BR129" s="383"/>
      <c r="BS129" s="404"/>
      <c r="BT129" s="383"/>
      <c r="BU129" s="383"/>
      <c r="BV129" s="383"/>
      <c r="BW129" s="384"/>
      <c r="BX129" s="384"/>
      <c r="BY129" s="384"/>
      <c r="BZ129" s="383"/>
      <c r="CA129" s="383"/>
      <c r="CB129" s="404"/>
      <c r="CC129" s="383"/>
      <c r="CD129" s="383"/>
      <c r="CE129" s="383"/>
      <c r="CF129" s="384"/>
      <c r="CG129" s="384"/>
      <c r="CH129" s="384"/>
      <c r="CI129" s="383"/>
      <c r="CJ129" s="383"/>
      <c r="CK129" s="404"/>
      <c r="CL129" s="383"/>
      <c r="CM129" s="383"/>
      <c r="CN129" s="383"/>
      <c r="CO129" s="384"/>
      <c r="CP129" s="384"/>
      <c r="CQ129" s="384"/>
      <c r="CR129" s="383"/>
      <c r="CS129" s="383"/>
      <c r="CT129" s="404"/>
      <c r="CU129" s="383"/>
      <c r="CV129" s="383"/>
      <c r="CW129" s="383"/>
      <c r="CX129" s="384"/>
      <c r="CY129" s="384"/>
      <c r="CZ129" s="384"/>
      <c r="DA129" s="383"/>
      <c r="DB129" s="383"/>
      <c r="DC129" s="404"/>
      <c r="DD129" s="383"/>
      <c r="DE129" s="383"/>
      <c r="DF129" s="383"/>
      <c r="DG129" s="384"/>
      <c r="DH129" s="384"/>
      <c r="DI129" s="384"/>
      <c r="DJ129" s="383"/>
      <c r="DK129" s="383"/>
      <c r="DL129" s="404"/>
      <c r="DM129" s="383"/>
      <c r="DN129" s="383"/>
      <c r="DO129" s="383"/>
      <c r="DP129" s="384"/>
      <c r="DQ129" s="384"/>
      <c r="DR129" s="384"/>
      <c r="DS129" s="383"/>
      <c r="DT129" s="383"/>
      <c r="DU129" s="404"/>
      <c r="DV129" s="383"/>
      <c r="DW129" s="383"/>
      <c r="DX129" s="383"/>
      <c r="DY129" s="384"/>
      <c r="DZ129" s="384"/>
      <c r="EA129" s="384"/>
      <c r="EB129" s="383"/>
      <c r="EC129" s="383"/>
      <c r="ED129" s="404"/>
      <c r="EE129" s="383"/>
      <c r="EF129" s="383"/>
      <c r="EG129" s="383"/>
      <c r="EH129" s="384"/>
      <c r="EI129" s="384"/>
      <c r="EJ129" s="384"/>
      <c r="EK129" s="383"/>
      <c r="EL129" s="383"/>
      <c r="EM129" s="404"/>
      <c r="EN129" s="383"/>
      <c r="EO129" s="383"/>
      <c r="EP129" s="383"/>
      <c r="EQ129" s="384"/>
      <c r="ER129" s="384"/>
      <c r="ES129" s="384"/>
      <c r="ET129" s="383"/>
      <c r="EU129" s="383"/>
      <c r="EV129" s="404"/>
      <c r="EW129" s="383"/>
      <c r="EX129" s="383"/>
      <c r="EY129" s="383"/>
      <c r="EZ129" s="384"/>
      <c r="FA129" s="384"/>
      <c r="FB129" s="384"/>
      <c r="FC129" s="383"/>
      <c r="FD129" s="383"/>
      <c r="FE129" s="404"/>
      <c r="FF129" s="383"/>
      <c r="FG129" s="383"/>
      <c r="FH129" s="383"/>
      <c r="FI129" s="384"/>
      <c r="FJ129" s="384"/>
      <c r="FK129" s="384"/>
      <c r="FL129" s="383"/>
      <c r="FM129" s="383"/>
      <c r="FN129" s="404"/>
      <c r="FO129" s="383"/>
      <c r="FP129" s="383"/>
      <c r="FQ129" s="383"/>
      <c r="FR129" s="384"/>
      <c r="FS129" s="384"/>
      <c r="FT129" s="384"/>
      <c r="FU129" s="383"/>
      <c r="FV129" s="383"/>
      <c r="FW129" s="404"/>
      <c r="FX129" s="383"/>
      <c r="FY129" s="383"/>
      <c r="FZ129" s="383"/>
      <c r="GA129" s="384"/>
      <c r="GB129" s="384"/>
      <c r="GC129" s="384"/>
      <c r="GD129" s="383"/>
      <c r="GE129" s="383"/>
      <c r="GF129" s="404"/>
      <c r="GG129" s="383"/>
      <c r="GH129" s="383"/>
      <c r="GI129" s="383"/>
      <c r="GJ129" s="384"/>
      <c r="GK129" s="384"/>
      <c r="GL129" s="384"/>
      <c r="GM129" s="383"/>
      <c r="GN129" s="383"/>
      <c r="GO129" s="404"/>
      <c r="GP129" s="383"/>
      <c r="GQ129" s="383"/>
      <c r="GR129" s="383"/>
      <c r="GS129" s="384"/>
      <c r="GT129" s="384"/>
      <c r="GU129" s="384"/>
      <c r="GV129" s="383"/>
      <c r="GW129" s="383"/>
      <c r="GX129" s="404"/>
      <c r="GY129" s="383"/>
      <c r="GZ129" s="383"/>
      <c r="HA129" s="383"/>
      <c r="HB129" s="384"/>
      <c r="HC129" s="384"/>
      <c r="HD129" s="384"/>
      <c r="HE129" s="383"/>
      <c r="HF129" s="383"/>
      <c r="HG129" s="404"/>
      <c r="HH129" s="383"/>
      <c r="HI129" s="383"/>
      <c r="HJ129" s="383"/>
      <c r="HK129" s="384"/>
      <c r="HL129" s="384"/>
      <c r="HM129" s="384"/>
      <c r="HN129" s="383"/>
      <c r="HO129" s="383"/>
      <c r="HP129" s="404"/>
      <c r="HQ129" s="383"/>
      <c r="HR129" s="383"/>
      <c r="HS129" s="383"/>
    </row>
    <row r="130" spans="1:227" s="393" customFormat="1" ht="39" customHeight="1" outlineLevel="1" x14ac:dyDescent="0.2">
      <c r="A130" s="646" t="s">
        <v>367</v>
      </c>
      <c r="B130" s="402"/>
      <c r="C130" s="390"/>
      <c r="D130" s="392"/>
      <c r="E130" s="392"/>
      <c r="F130" s="367"/>
      <c r="G130" s="367"/>
      <c r="H130" s="367"/>
      <c r="I130" s="367"/>
      <c r="J130" s="367"/>
    </row>
    <row r="131" spans="1:227" s="393" customFormat="1" ht="20" customHeight="1" outlineLevel="2" x14ac:dyDescent="0.2">
      <c r="A131" s="390" t="s">
        <v>306</v>
      </c>
      <c r="B131" s="391" t="s">
        <v>363</v>
      </c>
      <c r="C131" s="390" t="s">
        <v>277</v>
      </c>
      <c r="D131" s="392">
        <f>40*20+5+5</f>
        <v>810</v>
      </c>
      <c r="E131" s="392">
        <f>2*2</f>
        <v>4</v>
      </c>
      <c r="F131" s="367">
        <v>150</v>
      </c>
      <c r="G131" s="367">
        <f t="shared" ref="G131:G136" si="41">(D131*E131*F131)</f>
        <v>486000</v>
      </c>
      <c r="H131" s="367">
        <f t="shared" ref="H131:H137" si="42">G131/$K$3</f>
        <v>30955.414012738856</v>
      </c>
      <c r="I131" s="367">
        <f>H131</f>
        <v>30955.414012738856</v>
      </c>
      <c r="J131" s="367"/>
    </row>
    <row r="132" spans="1:227" s="393" customFormat="1" ht="20" customHeight="1" outlineLevel="2" x14ac:dyDescent="0.2">
      <c r="A132" s="390" t="s">
        <v>343</v>
      </c>
      <c r="B132" s="391" t="s">
        <v>311</v>
      </c>
      <c r="C132" s="390" t="s">
        <v>287</v>
      </c>
      <c r="D132" s="392">
        <v>4</v>
      </c>
      <c r="E132" s="392">
        <f>2*2</f>
        <v>4</v>
      </c>
      <c r="F132" s="367">
        <v>3000</v>
      </c>
      <c r="G132" s="367">
        <f t="shared" si="41"/>
        <v>48000</v>
      </c>
      <c r="H132" s="367">
        <f t="shared" si="42"/>
        <v>3057.3248407643314</v>
      </c>
      <c r="I132" s="367">
        <f t="shared" ref="I132:I137" si="43">H132</f>
        <v>3057.3248407643314</v>
      </c>
      <c r="J132" s="367"/>
    </row>
    <row r="133" spans="1:227" s="393" customFormat="1" ht="20" customHeight="1" outlineLevel="2" x14ac:dyDescent="0.2">
      <c r="A133" s="390" t="s">
        <v>344</v>
      </c>
      <c r="B133" s="391" t="s">
        <v>279</v>
      </c>
      <c r="C133" s="390" t="s">
        <v>364</v>
      </c>
      <c r="D133" s="392">
        <f>20*20</f>
        <v>400</v>
      </c>
      <c r="E133" s="392">
        <f>2*2</f>
        <v>4</v>
      </c>
      <c r="F133" s="367">
        <v>300</v>
      </c>
      <c r="G133" s="367">
        <f t="shared" si="41"/>
        <v>480000</v>
      </c>
      <c r="H133" s="367">
        <f t="shared" si="42"/>
        <v>30573.248407643314</v>
      </c>
      <c r="I133" s="367">
        <f t="shared" si="43"/>
        <v>30573.248407643314</v>
      </c>
      <c r="J133" s="367"/>
    </row>
    <row r="134" spans="1:227" s="393" customFormat="1" ht="20" customHeight="1" outlineLevel="2" x14ac:dyDescent="0.2">
      <c r="A134" s="390" t="s">
        <v>346</v>
      </c>
      <c r="B134" s="391" t="s">
        <v>347</v>
      </c>
      <c r="C134" s="390" t="s">
        <v>348</v>
      </c>
      <c r="D134" s="392">
        <v>4</v>
      </c>
      <c r="E134" s="392">
        <f>2*2</f>
        <v>4</v>
      </c>
      <c r="F134" s="367">
        <v>500</v>
      </c>
      <c r="G134" s="367">
        <f t="shared" si="41"/>
        <v>8000</v>
      </c>
      <c r="H134" s="367">
        <f t="shared" si="42"/>
        <v>509.55414012738856</v>
      </c>
      <c r="I134" s="367">
        <f t="shared" si="43"/>
        <v>509.55414012738856</v>
      </c>
      <c r="J134" s="367"/>
    </row>
    <row r="135" spans="1:227" s="393" customFormat="1" ht="20" customHeight="1" outlineLevel="2" x14ac:dyDescent="0.2">
      <c r="A135" s="390" t="s">
        <v>327</v>
      </c>
      <c r="B135" s="391" t="s">
        <v>283</v>
      </c>
      <c r="C135" s="390" t="s">
        <v>284</v>
      </c>
      <c r="D135" s="392">
        <v>4</v>
      </c>
      <c r="E135" s="392">
        <f>2*2</f>
        <v>4</v>
      </c>
      <c r="F135" s="367">
        <v>1500</v>
      </c>
      <c r="G135" s="367">
        <f t="shared" si="41"/>
        <v>24000</v>
      </c>
      <c r="H135" s="367">
        <f t="shared" si="42"/>
        <v>1528.6624203821657</v>
      </c>
      <c r="I135" s="367">
        <f t="shared" si="43"/>
        <v>1528.6624203821657</v>
      </c>
      <c r="J135" s="367"/>
    </row>
    <row r="136" spans="1:227" s="393" customFormat="1" ht="20" customHeight="1" outlineLevel="2" x14ac:dyDescent="0.2">
      <c r="A136" s="390"/>
      <c r="B136" s="391"/>
      <c r="C136" s="390"/>
      <c r="D136" s="392"/>
      <c r="E136" s="392"/>
      <c r="F136" s="367"/>
      <c r="G136" s="367">
        <f t="shared" si="41"/>
        <v>0</v>
      </c>
      <c r="H136" s="367">
        <f t="shared" si="42"/>
        <v>0</v>
      </c>
      <c r="I136" s="367">
        <f t="shared" si="43"/>
        <v>0</v>
      </c>
      <c r="J136" s="367"/>
    </row>
    <row r="137" spans="1:227" s="393" customFormat="1" ht="20" customHeight="1" outlineLevel="2" x14ac:dyDescent="0.2">
      <c r="A137" s="390"/>
      <c r="B137" s="391"/>
      <c r="C137" s="390"/>
      <c r="D137" s="392"/>
      <c r="E137" s="392"/>
      <c r="F137" s="367"/>
      <c r="G137" s="367">
        <f>(D137*E137*F137)</f>
        <v>0</v>
      </c>
      <c r="H137" s="367">
        <f t="shared" si="42"/>
        <v>0</v>
      </c>
      <c r="I137" s="367">
        <f t="shared" si="43"/>
        <v>0</v>
      </c>
      <c r="J137" s="367"/>
    </row>
    <row r="138" spans="1:227" s="405" customFormat="1" ht="17" outlineLevel="1" x14ac:dyDescent="0.2">
      <c r="A138" s="378" t="s">
        <v>288</v>
      </c>
      <c r="B138" s="379"/>
      <c r="C138" s="379"/>
      <c r="D138" s="379"/>
      <c r="E138" s="379"/>
      <c r="F138" s="380"/>
      <c r="G138" s="380">
        <f>SUM(G131:G137)</f>
        <v>1046000</v>
      </c>
      <c r="H138" s="379">
        <f>SUM(H131:H137)</f>
        <v>66624.203821656047</v>
      </c>
      <c r="I138" s="380">
        <f>SUM(I131:I137)</f>
        <v>66624.203821656047</v>
      </c>
      <c r="J138" s="380">
        <f>SUM(J131:J137)</f>
        <v>0</v>
      </c>
      <c r="K138" s="393"/>
      <c r="L138" s="384"/>
      <c r="M138" s="384"/>
      <c r="N138" s="384"/>
      <c r="O138" s="383"/>
      <c r="P138" s="383"/>
      <c r="Q138" s="404"/>
      <c r="R138" s="383"/>
      <c r="S138" s="383"/>
      <c r="T138" s="383"/>
      <c r="U138" s="384"/>
      <c r="V138" s="384"/>
      <c r="W138" s="384"/>
      <c r="X138" s="383"/>
      <c r="Y138" s="383"/>
      <c r="Z138" s="404"/>
      <c r="AA138" s="383"/>
      <c r="AB138" s="383"/>
      <c r="AC138" s="383"/>
      <c r="AD138" s="384"/>
      <c r="AE138" s="384"/>
      <c r="AF138" s="384"/>
      <c r="AG138" s="383"/>
      <c r="AH138" s="383"/>
      <c r="AI138" s="404"/>
      <c r="AJ138" s="383"/>
      <c r="AK138" s="383"/>
      <c r="AL138" s="383"/>
      <c r="AM138" s="384"/>
      <c r="AN138" s="384"/>
      <c r="AO138" s="384"/>
      <c r="AP138" s="383"/>
      <c r="AQ138" s="383"/>
      <c r="AR138" s="404"/>
      <c r="AS138" s="383"/>
      <c r="AT138" s="383"/>
      <c r="AU138" s="383"/>
      <c r="AV138" s="384"/>
      <c r="AW138" s="384"/>
      <c r="AX138" s="384"/>
      <c r="AY138" s="383"/>
      <c r="AZ138" s="383"/>
      <c r="BA138" s="404"/>
      <c r="BB138" s="383"/>
      <c r="BC138" s="383"/>
      <c r="BD138" s="383"/>
      <c r="BE138" s="384"/>
      <c r="BF138" s="384"/>
      <c r="BG138" s="384"/>
      <c r="BH138" s="383"/>
      <c r="BI138" s="383"/>
      <c r="BJ138" s="404"/>
      <c r="BK138" s="383"/>
      <c r="BL138" s="383"/>
      <c r="BM138" s="383"/>
      <c r="BN138" s="384"/>
      <c r="BO138" s="384"/>
      <c r="BP138" s="384"/>
      <c r="BQ138" s="383"/>
      <c r="BR138" s="383"/>
      <c r="BS138" s="404"/>
      <c r="BT138" s="383"/>
      <c r="BU138" s="383"/>
      <c r="BV138" s="383"/>
      <c r="BW138" s="384"/>
      <c r="BX138" s="384"/>
      <c r="BY138" s="384"/>
      <c r="BZ138" s="383"/>
      <c r="CA138" s="383"/>
      <c r="CB138" s="404"/>
      <c r="CC138" s="383"/>
      <c r="CD138" s="383"/>
      <c r="CE138" s="383"/>
      <c r="CF138" s="384"/>
      <c r="CG138" s="384"/>
      <c r="CH138" s="384"/>
      <c r="CI138" s="383"/>
      <c r="CJ138" s="383"/>
      <c r="CK138" s="404"/>
      <c r="CL138" s="383"/>
      <c r="CM138" s="383"/>
      <c r="CN138" s="383"/>
      <c r="CO138" s="384"/>
      <c r="CP138" s="384"/>
      <c r="CQ138" s="384"/>
      <c r="CR138" s="383"/>
      <c r="CS138" s="383"/>
      <c r="CT138" s="404"/>
      <c r="CU138" s="383"/>
      <c r="CV138" s="383"/>
      <c r="CW138" s="383"/>
      <c r="CX138" s="384"/>
      <c r="CY138" s="384"/>
      <c r="CZ138" s="384"/>
      <c r="DA138" s="383"/>
      <c r="DB138" s="383"/>
      <c r="DC138" s="404"/>
      <c r="DD138" s="383"/>
      <c r="DE138" s="383"/>
      <c r="DF138" s="383"/>
      <c r="DG138" s="384"/>
      <c r="DH138" s="384"/>
      <c r="DI138" s="384"/>
      <c r="DJ138" s="383"/>
      <c r="DK138" s="383"/>
      <c r="DL138" s="404"/>
      <c r="DM138" s="383"/>
      <c r="DN138" s="383"/>
      <c r="DO138" s="383"/>
      <c r="DP138" s="384"/>
      <c r="DQ138" s="384"/>
      <c r="DR138" s="384"/>
      <c r="DS138" s="383"/>
      <c r="DT138" s="383"/>
      <c r="DU138" s="404"/>
      <c r="DV138" s="383"/>
      <c r="DW138" s="383"/>
      <c r="DX138" s="383"/>
      <c r="DY138" s="384"/>
      <c r="DZ138" s="384"/>
      <c r="EA138" s="384"/>
      <c r="EB138" s="383"/>
      <c r="EC138" s="383"/>
      <c r="ED138" s="404"/>
      <c r="EE138" s="383"/>
      <c r="EF138" s="383"/>
      <c r="EG138" s="383"/>
      <c r="EH138" s="384"/>
      <c r="EI138" s="384"/>
      <c r="EJ138" s="384"/>
      <c r="EK138" s="383"/>
      <c r="EL138" s="383"/>
      <c r="EM138" s="404"/>
      <c r="EN138" s="383"/>
      <c r="EO138" s="383"/>
      <c r="EP138" s="383"/>
      <c r="EQ138" s="384"/>
      <c r="ER138" s="384"/>
      <c r="ES138" s="384"/>
      <c r="ET138" s="383"/>
      <c r="EU138" s="383"/>
      <c r="EV138" s="404"/>
      <c r="EW138" s="383"/>
      <c r="EX138" s="383"/>
      <c r="EY138" s="383"/>
      <c r="EZ138" s="384"/>
      <c r="FA138" s="384"/>
      <c r="FB138" s="384"/>
      <c r="FC138" s="383"/>
      <c r="FD138" s="383"/>
      <c r="FE138" s="404"/>
      <c r="FF138" s="383"/>
      <c r="FG138" s="383"/>
      <c r="FH138" s="383"/>
      <c r="FI138" s="384"/>
      <c r="FJ138" s="384"/>
      <c r="FK138" s="384"/>
      <c r="FL138" s="383"/>
      <c r="FM138" s="383"/>
      <c r="FN138" s="404"/>
      <c r="FO138" s="383"/>
      <c r="FP138" s="383"/>
      <c r="FQ138" s="383"/>
      <c r="FR138" s="384"/>
      <c r="FS138" s="384"/>
      <c r="FT138" s="384"/>
      <c r="FU138" s="383"/>
      <c r="FV138" s="383"/>
      <c r="FW138" s="404"/>
      <c r="FX138" s="383"/>
      <c r="FY138" s="383"/>
      <c r="FZ138" s="383"/>
      <c r="GA138" s="384"/>
      <c r="GB138" s="384"/>
      <c r="GC138" s="384"/>
      <c r="GD138" s="383"/>
      <c r="GE138" s="383"/>
      <c r="GF138" s="404"/>
      <c r="GG138" s="383"/>
      <c r="GH138" s="383"/>
      <c r="GI138" s="383"/>
      <c r="GJ138" s="384"/>
      <c r="GK138" s="384"/>
      <c r="GL138" s="384"/>
      <c r="GM138" s="383"/>
      <c r="GN138" s="383"/>
      <c r="GO138" s="404"/>
      <c r="GP138" s="383"/>
      <c r="GQ138" s="383"/>
      <c r="GR138" s="383"/>
      <c r="GS138" s="384"/>
      <c r="GT138" s="384"/>
      <c r="GU138" s="384"/>
      <c r="GV138" s="383"/>
      <c r="GW138" s="383"/>
      <c r="GX138" s="404"/>
      <c r="GY138" s="383"/>
      <c r="GZ138" s="383"/>
      <c r="HA138" s="383"/>
      <c r="HB138" s="384"/>
      <c r="HC138" s="384"/>
      <c r="HD138" s="384"/>
      <c r="HE138" s="383"/>
      <c r="HF138" s="383"/>
      <c r="HG138" s="404"/>
      <c r="HH138" s="383"/>
      <c r="HI138" s="383"/>
      <c r="HJ138" s="383"/>
      <c r="HK138" s="384"/>
      <c r="HL138" s="384"/>
      <c r="HM138" s="384"/>
      <c r="HN138" s="383"/>
      <c r="HO138" s="383"/>
      <c r="HP138" s="404"/>
      <c r="HQ138" s="383"/>
      <c r="HR138" s="383"/>
      <c r="HS138" s="383"/>
    </row>
    <row r="139" spans="1:227" s="393" customFormat="1" ht="39" customHeight="1" outlineLevel="1" x14ac:dyDescent="0.2">
      <c r="A139" s="646" t="s">
        <v>368</v>
      </c>
      <c r="B139" s="402"/>
      <c r="C139" s="390"/>
      <c r="D139" s="392"/>
      <c r="E139" s="392"/>
      <c r="F139" s="367"/>
      <c r="G139" s="367"/>
      <c r="H139" s="367"/>
      <c r="I139" s="367"/>
      <c r="J139" s="367"/>
    </row>
    <row r="140" spans="1:227" s="454" customFormat="1" ht="20" customHeight="1" outlineLevel="2" x14ac:dyDescent="0.2">
      <c r="A140" s="447" t="s">
        <v>369</v>
      </c>
      <c r="B140" s="408" t="s">
        <v>76</v>
      </c>
      <c r="C140" s="447" t="s">
        <v>339</v>
      </c>
      <c r="D140" s="448">
        <f>5*6+5+5</f>
        <v>40</v>
      </c>
      <c r="E140" s="448">
        <v>5</v>
      </c>
      <c r="F140" s="449">
        <v>200</v>
      </c>
      <c r="G140" s="450">
        <f t="shared" ref="G140:G142" si="44">(D140*E140*F140)</f>
        <v>40000</v>
      </c>
      <c r="H140" s="451">
        <f t="shared" ref="H140:H146" si="45">G140/$K$3</f>
        <v>2547.7707006369428</v>
      </c>
      <c r="I140" s="452">
        <f>H140</f>
        <v>2547.7707006369428</v>
      </c>
      <c r="J140" s="453"/>
      <c r="K140" s="446"/>
    </row>
    <row r="141" spans="1:227" s="454" customFormat="1" ht="20" customHeight="1" outlineLevel="2" x14ac:dyDescent="0.2">
      <c r="A141" s="447" t="s">
        <v>323</v>
      </c>
      <c r="B141" s="408" t="s">
        <v>323</v>
      </c>
      <c r="C141" s="447" t="s">
        <v>364</v>
      </c>
      <c r="D141" s="448">
        <f>5*6</f>
        <v>30</v>
      </c>
      <c r="E141" s="448">
        <v>5</v>
      </c>
      <c r="F141" s="449">
        <v>300</v>
      </c>
      <c r="G141" s="450">
        <f t="shared" si="44"/>
        <v>45000</v>
      </c>
      <c r="H141" s="451">
        <f t="shared" si="45"/>
        <v>2866.2420382165606</v>
      </c>
      <c r="I141" s="452">
        <f t="shared" ref="I141:I142" si="46">H141</f>
        <v>2866.2420382165606</v>
      </c>
      <c r="J141" s="453"/>
      <c r="K141" s="446"/>
    </row>
    <row r="142" spans="1:227" s="454" customFormat="1" ht="20" customHeight="1" outlineLevel="2" x14ac:dyDescent="0.2">
      <c r="A142" s="447" t="s">
        <v>336</v>
      </c>
      <c r="B142" s="408" t="s">
        <v>286</v>
      </c>
      <c r="C142" s="447" t="s">
        <v>287</v>
      </c>
      <c r="D142" s="448">
        <v>1</v>
      </c>
      <c r="E142" s="448">
        <v>5</v>
      </c>
      <c r="F142" s="449">
        <v>3000</v>
      </c>
      <c r="G142" s="450">
        <f t="shared" si="44"/>
        <v>15000</v>
      </c>
      <c r="H142" s="451">
        <f t="shared" si="45"/>
        <v>955.41401273885356</v>
      </c>
      <c r="I142" s="452">
        <f t="shared" si="46"/>
        <v>955.41401273885356</v>
      </c>
      <c r="J142" s="453"/>
      <c r="K142" s="446"/>
    </row>
    <row r="143" spans="1:227" s="393" customFormat="1" ht="20" customHeight="1" outlineLevel="2" x14ac:dyDescent="0.2">
      <c r="A143" s="390" t="s">
        <v>346</v>
      </c>
      <c r="B143" s="391" t="s">
        <v>347</v>
      </c>
      <c r="C143" s="390" t="s">
        <v>348</v>
      </c>
      <c r="D143" s="392">
        <v>4</v>
      </c>
      <c r="E143" s="392">
        <f>2*2</f>
        <v>4</v>
      </c>
      <c r="F143" s="367">
        <v>500</v>
      </c>
      <c r="G143" s="367">
        <f t="shared" ref="G143:G144" si="47">(D143*E143*F143)</f>
        <v>8000</v>
      </c>
      <c r="H143" s="367">
        <f t="shared" si="45"/>
        <v>509.55414012738856</v>
      </c>
      <c r="I143" s="367">
        <f t="shared" ref="I143:I144" si="48">H143</f>
        <v>509.55414012738856</v>
      </c>
      <c r="J143" s="367"/>
    </row>
    <row r="144" spans="1:227" s="393" customFormat="1" ht="20" customHeight="1" outlineLevel="2" x14ac:dyDescent="0.2">
      <c r="A144" s="390" t="s">
        <v>327</v>
      </c>
      <c r="B144" s="391" t="s">
        <v>283</v>
      </c>
      <c r="C144" s="390" t="s">
        <v>284</v>
      </c>
      <c r="D144" s="392">
        <v>4</v>
      </c>
      <c r="E144" s="392">
        <f>2*2</f>
        <v>4</v>
      </c>
      <c r="F144" s="367">
        <v>1000</v>
      </c>
      <c r="G144" s="367">
        <f t="shared" si="47"/>
        <v>16000</v>
      </c>
      <c r="H144" s="367">
        <f t="shared" si="45"/>
        <v>1019.1082802547771</v>
      </c>
      <c r="I144" s="367">
        <f t="shared" si="48"/>
        <v>1019.1082802547771</v>
      </c>
      <c r="J144" s="367"/>
    </row>
    <row r="145" spans="1:227" s="393" customFormat="1" ht="20" customHeight="1" outlineLevel="2" x14ac:dyDescent="0.2">
      <c r="A145" s="390" t="s">
        <v>343</v>
      </c>
      <c r="B145" s="391" t="s">
        <v>311</v>
      </c>
      <c r="C145" s="390" t="s">
        <v>287</v>
      </c>
      <c r="D145" s="392"/>
      <c r="E145" s="392"/>
      <c r="F145" s="367"/>
      <c r="G145" s="367">
        <f t="shared" ref="G145" si="49">(D145*E145*F145)</f>
        <v>0</v>
      </c>
      <c r="H145" s="367">
        <f t="shared" si="45"/>
        <v>0</v>
      </c>
      <c r="I145" s="367">
        <f t="shared" ref="I145:I146" si="50">H145</f>
        <v>0</v>
      </c>
      <c r="J145" s="367"/>
    </row>
    <row r="146" spans="1:227" s="393" customFormat="1" ht="20" customHeight="1" outlineLevel="2" x14ac:dyDescent="0.2">
      <c r="A146" s="390" t="s">
        <v>370</v>
      </c>
      <c r="B146" s="391"/>
      <c r="C146" s="390" t="s">
        <v>371</v>
      </c>
      <c r="D146" s="392"/>
      <c r="E146" s="392"/>
      <c r="F146" s="367"/>
      <c r="G146" s="367">
        <f>(D146*E146*F146)</f>
        <v>0</v>
      </c>
      <c r="H146" s="367">
        <f t="shared" si="45"/>
        <v>0</v>
      </c>
      <c r="I146" s="367">
        <f t="shared" si="50"/>
        <v>0</v>
      </c>
      <c r="J146" s="367"/>
    </row>
    <row r="147" spans="1:227" s="405" customFormat="1" ht="17" outlineLevel="1" x14ac:dyDescent="0.2">
      <c r="A147" s="378" t="s">
        <v>288</v>
      </c>
      <c r="B147" s="379"/>
      <c r="C147" s="379"/>
      <c r="D147" s="379"/>
      <c r="E147" s="379"/>
      <c r="F147" s="380"/>
      <c r="G147" s="380">
        <f>SUM(G140:G146)</f>
        <v>124000</v>
      </c>
      <c r="H147" s="379">
        <f>SUM(H140:H146)</f>
        <v>7898.0891719745232</v>
      </c>
      <c r="I147" s="380">
        <f>SUM(I140:I146)</f>
        <v>7898.0891719745232</v>
      </c>
      <c r="J147" s="380">
        <f>SUM(J140:J146)</f>
        <v>0</v>
      </c>
      <c r="K147" s="382"/>
      <c r="L147" s="384"/>
      <c r="M147" s="384"/>
      <c r="N147" s="384"/>
      <c r="O147" s="383"/>
      <c r="P147" s="383"/>
      <c r="Q147" s="404"/>
      <c r="R147" s="383"/>
      <c r="S147" s="383"/>
      <c r="T147" s="383"/>
      <c r="U147" s="384"/>
      <c r="V147" s="384"/>
      <c r="W147" s="384"/>
      <c r="X147" s="383"/>
      <c r="Y147" s="383"/>
      <c r="Z147" s="404"/>
      <c r="AA147" s="383"/>
      <c r="AB147" s="383"/>
      <c r="AC147" s="383"/>
      <c r="AD147" s="384"/>
      <c r="AE147" s="384"/>
      <c r="AF147" s="384"/>
      <c r="AG147" s="383"/>
      <c r="AH147" s="383"/>
      <c r="AI147" s="404"/>
      <c r="AJ147" s="383"/>
      <c r="AK147" s="383"/>
      <c r="AL147" s="383"/>
      <c r="AM147" s="384"/>
      <c r="AN147" s="384"/>
      <c r="AO147" s="384"/>
      <c r="AP147" s="383"/>
      <c r="AQ147" s="383"/>
      <c r="AR147" s="404"/>
      <c r="AS147" s="383"/>
      <c r="AT147" s="383"/>
      <c r="AU147" s="383"/>
      <c r="AV147" s="384"/>
      <c r="AW147" s="384"/>
      <c r="AX147" s="384"/>
      <c r="AY147" s="383"/>
      <c r="AZ147" s="383"/>
      <c r="BA147" s="404"/>
      <c r="BB147" s="383"/>
      <c r="BC147" s="383"/>
      <c r="BD147" s="383"/>
      <c r="BE147" s="384"/>
      <c r="BF147" s="384"/>
      <c r="BG147" s="384"/>
      <c r="BH147" s="383"/>
      <c r="BI147" s="383"/>
      <c r="BJ147" s="404"/>
      <c r="BK147" s="383"/>
      <c r="BL147" s="383"/>
      <c r="BM147" s="383"/>
      <c r="BN147" s="384"/>
      <c r="BO147" s="384"/>
      <c r="BP147" s="384"/>
      <c r="BQ147" s="383"/>
      <c r="BR147" s="383"/>
      <c r="BS147" s="404"/>
      <c r="BT147" s="383"/>
      <c r="BU147" s="383"/>
      <c r="BV147" s="383"/>
      <c r="BW147" s="384"/>
      <c r="BX147" s="384"/>
      <c r="BY147" s="384"/>
      <c r="BZ147" s="383"/>
      <c r="CA147" s="383"/>
      <c r="CB147" s="404"/>
      <c r="CC147" s="383"/>
      <c r="CD147" s="383"/>
      <c r="CE147" s="383"/>
      <c r="CF147" s="384"/>
      <c r="CG147" s="384"/>
      <c r="CH147" s="384"/>
      <c r="CI147" s="383"/>
      <c r="CJ147" s="383"/>
      <c r="CK147" s="404"/>
      <c r="CL147" s="383"/>
      <c r="CM147" s="383"/>
      <c r="CN147" s="383"/>
      <c r="CO147" s="384"/>
      <c r="CP147" s="384"/>
      <c r="CQ147" s="384"/>
      <c r="CR147" s="383"/>
      <c r="CS147" s="383"/>
      <c r="CT147" s="404"/>
      <c r="CU147" s="383"/>
      <c r="CV147" s="383"/>
      <c r="CW147" s="383"/>
      <c r="CX147" s="384"/>
      <c r="CY147" s="384"/>
      <c r="CZ147" s="384"/>
      <c r="DA147" s="383"/>
      <c r="DB147" s="383"/>
      <c r="DC147" s="404"/>
      <c r="DD147" s="383"/>
      <c r="DE147" s="383"/>
      <c r="DF147" s="383"/>
      <c r="DG147" s="384"/>
      <c r="DH147" s="384"/>
      <c r="DI147" s="384"/>
      <c r="DJ147" s="383"/>
      <c r="DK147" s="383"/>
      <c r="DL147" s="404"/>
      <c r="DM147" s="383"/>
      <c r="DN147" s="383"/>
      <c r="DO147" s="383"/>
      <c r="DP147" s="384"/>
      <c r="DQ147" s="384"/>
      <c r="DR147" s="384"/>
      <c r="DS147" s="383"/>
      <c r="DT147" s="383"/>
      <c r="DU147" s="404"/>
      <c r="DV147" s="383"/>
      <c r="DW147" s="383"/>
      <c r="DX147" s="383"/>
      <c r="DY147" s="384"/>
      <c r="DZ147" s="384"/>
      <c r="EA147" s="384"/>
      <c r="EB147" s="383"/>
      <c r="EC147" s="383"/>
      <c r="ED147" s="404"/>
      <c r="EE147" s="383"/>
      <c r="EF147" s="383"/>
      <c r="EG147" s="383"/>
      <c r="EH147" s="384"/>
      <c r="EI147" s="384"/>
      <c r="EJ147" s="384"/>
      <c r="EK147" s="383"/>
      <c r="EL147" s="383"/>
      <c r="EM147" s="404"/>
      <c r="EN147" s="383"/>
      <c r="EO147" s="383"/>
      <c r="EP147" s="383"/>
      <c r="EQ147" s="384"/>
      <c r="ER147" s="384"/>
      <c r="ES147" s="384"/>
      <c r="ET147" s="383"/>
      <c r="EU147" s="383"/>
      <c r="EV147" s="404"/>
      <c r="EW147" s="383"/>
      <c r="EX147" s="383"/>
      <c r="EY147" s="383"/>
      <c r="EZ147" s="384"/>
      <c r="FA147" s="384"/>
      <c r="FB147" s="384"/>
      <c r="FC147" s="383"/>
      <c r="FD147" s="383"/>
      <c r="FE147" s="404"/>
      <c r="FF147" s="383"/>
      <c r="FG147" s="383"/>
      <c r="FH147" s="383"/>
      <c r="FI147" s="384"/>
      <c r="FJ147" s="384"/>
      <c r="FK147" s="384"/>
      <c r="FL147" s="383"/>
      <c r="FM147" s="383"/>
      <c r="FN147" s="404"/>
      <c r="FO147" s="383"/>
      <c r="FP147" s="383"/>
      <c r="FQ147" s="383"/>
      <c r="FR147" s="384"/>
      <c r="FS147" s="384"/>
      <c r="FT147" s="384"/>
      <c r="FU147" s="383"/>
      <c r="FV147" s="383"/>
      <c r="FW147" s="404"/>
      <c r="FX147" s="383"/>
      <c r="FY147" s="383"/>
      <c r="FZ147" s="383"/>
      <c r="GA147" s="384"/>
      <c r="GB147" s="384"/>
      <c r="GC147" s="384"/>
      <c r="GD147" s="383"/>
      <c r="GE147" s="383"/>
      <c r="GF147" s="404"/>
      <c r="GG147" s="383"/>
      <c r="GH147" s="383"/>
      <c r="GI147" s="383"/>
      <c r="GJ147" s="384"/>
      <c r="GK147" s="384"/>
      <c r="GL147" s="384"/>
      <c r="GM147" s="383"/>
      <c r="GN147" s="383"/>
      <c r="GO147" s="404"/>
      <c r="GP147" s="383"/>
      <c r="GQ147" s="383"/>
      <c r="GR147" s="383"/>
      <c r="GS147" s="384"/>
      <c r="GT147" s="384"/>
      <c r="GU147" s="384"/>
      <c r="GV147" s="383"/>
      <c r="GW147" s="383"/>
      <c r="GX147" s="404"/>
      <c r="GY147" s="383"/>
      <c r="GZ147" s="383"/>
      <c r="HA147" s="383"/>
      <c r="HB147" s="384"/>
      <c r="HC147" s="384"/>
      <c r="HD147" s="384"/>
      <c r="HE147" s="383"/>
      <c r="HF147" s="383"/>
      <c r="HG147" s="404"/>
      <c r="HH147" s="383"/>
      <c r="HI147" s="383"/>
      <c r="HJ147" s="383"/>
      <c r="HK147" s="384"/>
      <c r="HL147" s="384"/>
      <c r="HM147" s="384"/>
      <c r="HN147" s="383"/>
      <c r="HO147" s="383"/>
      <c r="HP147" s="404"/>
      <c r="HQ147" s="383"/>
      <c r="HR147" s="383"/>
      <c r="HS147" s="383"/>
    </row>
    <row r="148" spans="1:227" s="393" customFormat="1" ht="39" customHeight="1" outlineLevel="1" x14ac:dyDescent="0.2">
      <c r="A148" s="646" t="s">
        <v>372</v>
      </c>
      <c r="B148" s="402" t="s">
        <v>373</v>
      </c>
      <c r="C148" s="390"/>
      <c r="D148" s="392"/>
      <c r="E148" s="392"/>
      <c r="F148" s="367"/>
      <c r="G148" s="367"/>
      <c r="H148" s="367"/>
      <c r="I148" s="367"/>
      <c r="J148" s="367"/>
    </row>
    <row r="149" spans="1:227" s="454" customFormat="1" ht="20" customHeight="1" outlineLevel="2" x14ac:dyDescent="0.2">
      <c r="A149" s="447" t="s">
        <v>341</v>
      </c>
      <c r="B149" s="408" t="s">
        <v>373</v>
      </c>
      <c r="C149" s="447" t="s">
        <v>277</v>
      </c>
      <c r="D149" s="448">
        <f>2*20*40+5</f>
        <v>1605</v>
      </c>
      <c r="E149" s="448">
        <v>1</v>
      </c>
      <c r="F149" s="367">
        <f>50+150</f>
        <v>200</v>
      </c>
      <c r="G149" s="450">
        <f t="shared" ref="G149:G152" si="51">(D149*E149*F149)</f>
        <v>321000</v>
      </c>
      <c r="H149" s="451">
        <f>G149/$K$3</f>
        <v>20445.859872611465</v>
      </c>
      <c r="I149" s="452">
        <f>H149</f>
        <v>20445.859872611465</v>
      </c>
      <c r="J149" s="487"/>
      <c r="K149" s="552"/>
    </row>
    <row r="150" spans="1:227" s="454" customFormat="1" ht="20" customHeight="1" outlineLevel="2" x14ac:dyDescent="0.2">
      <c r="A150" s="447" t="s">
        <v>343</v>
      </c>
      <c r="B150" s="408" t="s">
        <v>311</v>
      </c>
      <c r="C150" s="447" t="s">
        <v>374</v>
      </c>
      <c r="D150" s="448">
        <v>1</v>
      </c>
      <c r="E150" s="448">
        <v>5</v>
      </c>
      <c r="F150" s="449">
        <v>3000</v>
      </c>
      <c r="G150" s="450">
        <f t="shared" si="51"/>
        <v>15000</v>
      </c>
      <c r="H150" s="451">
        <f>G150/$K$3</f>
        <v>955.41401273885356</v>
      </c>
      <c r="I150" s="452">
        <f t="shared" ref="I150:I152" si="52">H150</f>
        <v>955.41401273885356</v>
      </c>
      <c r="J150" s="487"/>
      <c r="K150" s="552"/>
    </row>
    <row r="151" spans="1:227" s="454" customFormat="1" ht="20" customHeight="1" outlineLevel="2" x14ac:dyDescent="0.2">
      <c r="A151" s="447" t="s">
        <v>375</v>
      </c>
      <c r="B151" s="408" t="s">
        <v>345</v>
      </c>
      <c r="C151" s="447" t="s">
        <v>280</v>
      </c>
      <c r="D151" s="448">
        <f>2*20*40</f>
        <v>1600</v>
      </c>
      <c r="E151" s="448">
        <v>1</v>
      </c>
      <c r="F151" s="449">
        <v>300</v>
      </c>
      <c r="G151" s="450">
        <f t="shared" si="51"/>
        <v>480000</v>
      </c>
      <c r="H151" s="451">
        <f>G151/$K$3</f>
        <v>30573.248407643314</v>
      </c>
      <c r="I151" s="452">
        <f t="shared" si="52"/>
        <v>30573.248407643314</v>
      </c>
      <c r="J151" s="487"/>
      <c r="K151" s="552"/>
    </row>
    <row r="152" spans="1:227" s="454" customFormat="1" ht="20" customHeight="1" outlineLevel="2" x14ac:dyDescent="0.2">
      <c r="A152" s="447"/>
      <c r="B152" s="408"/>
      <c r="C152" s="447"/>
      <c r="D152" s="448"/>
      <c r="E152" s="448"/>
      <c r="F152" s="449"/>
      <c r="G152" s="450">
        <f t="shared" si="51"/>
        <v>0</v>
      </c>
      <c r="H152" s="451">
        <f>G152/$K$3</f>
        <v>0</v>
      </c>
      <c r="I152" s="452">
        <f t="shared" si="52"/>
        <v>0</v>
      </c>
      <c r="J152" s="487"/>
      <c r="K152" s="552"/>
    </row>
    <row r="153" spans="1:227" s="454" customFormat="1" ht="20" customHeight="1" outlineLevel="2" x14ac:dyDescent="0.2">
      <c r="A153" s="447"/>
      <c r="B153" s="408"/>
      <c r="C153" s="447"/>
      <c r="D153" s="448"/>
      <c r="E153" s="448"/>
      <c r="F153" s="449"/>
      <c r="G153" s="450"/>
      <c r="H153" s="451"/>
      <c r="I153" s="452"/>
      <c r="J153" s="487"/>
      <c r="K153" s="552"/>
    </row>
    <row r="154" spans="1:227" s="454" customFormat="1" ht="20" customHeight="1" outlineLevel="2" x14ac:dyDescent="0.2">
      <c r="A154" s="447"/>
      <c r="B154" s="408"/>
      <c r="C154" s="447"/>
      <c r="D154" s="448"/>
      <c r="E154" s="448"/>
      <c r="F154" s="449"/>
      <c r="G154" s="450"/>
      <c r="H154" s="451"/>
      <c r="I154" s="452"/>
      <c r="J154" s="487"/>
      <c r="K154" s="552"/>
    </row>
    <row r="155" spans="1:227" s="454" customFormat="1" ht="20" customHeight="1" outlineLevel="2" x14ac:dyDescent="0.2">
      <c r="A155" s="447"/>
      <c r="B155" s="408"/>
      <c r="C155" s="447"/>
      <c r="D155" s="448"/>
      <c r="E155" s="448"/>
      <c r="F155" s="449"/>
      <c r="G155" s="450"/>
      <c r="H155" s="451"/>
      <c r="I155" s="452"/>
      <c r="J155" s="487"/>
      <c r="K155" s="552"/>
    </row>
    <row r="156" spans="1:227" s="405" customFormat="1" ht="17" outlineLevel="1" x14ac:dyDescent="0.2">
      <c r="A156" s="378" t="s">
        <v>288</v>
      </c>
      <c r="B156" s="379"/>
      <c r="C156" s="379"/>
      <c r="D156" s="379"/>
      <c r="E156" s="379"/>
      <c r="F156" s="380"/>
      <c r="G156" s="380">
        <f>SUM(G149:G155)</f>
        <v>816000</v>
      </c>
      <c r="H156" s="379">
        <f>SUM(H149:H155)</f>
        <v>51974.522292993628</v>
      </c>
      <c r="I156" s="380">
        <f>SUM(I149:I155)</f>
        <v>51974.522292993628</v>
      </c>
      <c r="J156" s="380">
        <f>SUM(J149:J155)</f>
        <v>0</v>
      </c>
      <c r="K156" s="382"/>
      <c r="L156" s="384"/>
      <c r="M156" s="384"/>
      <c r="N156" s="384"/>
      <c r="O156" s="383"/>
      <c r="P156" s="383"/>
      <c r="Q156" s="404"/>
      <c r="R156" s="383"/>
      <c r="S156" s="383"/>
      <c r="T156" s="383"/>
      <c r="U156" s="384"/>
      <c r="V156" s="384"/>
      <c r="W156" s="384"/>
      <c r="X156" s="383"/>
      <c r="Y156" s="383"/>
      <c r="Z156" s="404"/>
      <c r="AA156" s="383"/>
      <c r="AB156" s="383"/>
      <c r="AC156" s="383"/>
      <c r="AD156" s="384"/>
      <c r="AE156" s="384"/>
      <c r="AF156" s="384"/>
      <c r="AG156" s="383"/>
      <c r="AH156" s="383"/>
      <c r="AI156" s="404"/>
      <c r="AJ156" s="383"/>
      <c r="AK156" s="383"/>
      <c r="AL156" s="383"/>
      <c r="AM156" s="384"/>
      <c r="AN156" s="384"/>
      <c r="AO156" s="384"/>
      <c r="AP156" s="383"/>
      <c r="AQ156" s="383"/>
      <c r="AR156" s="404"/>
      <c r="AS156" s="383"/>
      <c r="AT156" s="383"/>
      <c r="AU156" s="383"/>
      <c r="AV156" s="384"/>
      <c r="AW156" s="384"/>
      <c r="AX156" s="384"/>
      <c r="AY156" s="383"/>
      <c r="AZ156" s="383"/>
      <c r="BA156" s="404"/>
      <c r="BB156" s="383"/>
      <c r="BC156" s="383"/>
      <c r="BD156" s="383"/>
      <c r="BE156" s="384"/>
      <c r="BF156" s="384"/>
      <c r="BG156" s="384"/>
      <c r="BH156" s="383"/>
      <c r="BI156" s="383"/>
      <c r="BJ156" s="404"/>
      <c r="BK156" s="383"/>
      <c r="BL156" s="383"/>
      <c r="BM156" s="383"/>
      <c r="BN156" s="384"/>
      <c r="BO156" s="384"/>
      <c r="BP156" s="384"/>
      <c r="BQ156" s="383"/>
      <c r="BR156" s="383"/>
      <c r="BS156" s="404"/>
      <c r="BT156" s="383"/>
      <c r="BU156" s="383"/>
      <c r="BV156" s="383"/>
      <c r="BW156" s="384"/>
      <c r="BX156" s="384"/>
      <c r="BY156" s="384"/>
      <c r="BZ156" s="383"/>
      <c r="CA156" s="383"/>
      <c r="CB156" s="404"/>
      <c r="CC156" s="383"/>
      <c r="CD156" s="383"/>
      <c r="CE156" s="383"/>
      <c r="CF156" s="384"/>
      <c r="CG156" s="384"/>
      <c r="CH156" s="384"/>
      <c r="CI156" s="383"/>
      <c r="CJ156" s="383"/>
      <c r="CK156" s="404"/>
      <c r="CL156" s="383"/>
      <c r="CM156" s="383"/>
      <c r="CN156" s="383"/>
      <c r="CO156" s="384"/>
      <c r="CP156" s="384"/>
      <c r="CQ156" s="384"/>
      <c r="CR156" s="383"/>
      <c r="CS156" s="383"/>
      <c r="CT156" s="404"/>
      <c r="CU156" s="383"/>
      <c r="CV156" s="383"/>
      <c r="CW156" s="383"/>
      <c r="CX156" s="384"/>
      <c r="CY156" s="384"/>
      <c r="CZ156" s="384"/>
      <c r="DA156" s="383"/>
      <c r="DB156" s="383"/>
      <c r="DC156" s="404"/>
      <c r="DD156" s="383"/>
      <c r="DE156" s="383"/>
      <c r="DF156" s="383"/>
      <c r="DG156" s="384"/>
      <c r="DH156" s="384"/>
      <c r="DI156" s="384"/>
      <c r="DJ156" s="383"/>
      <c r="DK156" s="383"/>
      <c r="DL156" s="404"/>
      <c r="DM156" s="383"/>
      <c r="DN156" s="383"/>
      <c r="DO156" s="383"/>
      <c r="DP156" s="384"/>
      <c r="DQ156" s="384"/>
      <c r="DR156" s="384"/>
      <c r="DS156" s="383"/>
      <c r="DT156" s="383"/>
      <c r="DU156" s="404"/>
      <c r="DV156" s="383"/>
      <c r="DW156" s="383"/>
      <c r="DX156" s="383"/>
      <c r="DY156" s="384"/>
      <c r="DZ156" s="384"/>
      <c r="EA156" s="384"/>
      <c r="EB156" s="383"/>
      <c r="EC156" s="383"/>
      <c r="ED156" s="404"/>
      <c r="EE156" s="383"/>
      <c r="EF156" s="383"/>
      <c r="EG156" s="383"/>
      <c r="EH156" s="384"/>
      <c r="EI156" s="384"/>
      <c r="EJ156" s="384"/>
      <c r="EK156" s="383"/>
      <c r="EL156" s="383"/>
      <c r="EM156" s="404"/>
      <c r="EN156" s="383"/>
      <c r="EO156" s="383"/>
      <c r="EP156" s="383"/>
      <c r="EQ156" s="384"/>
      <c r="ER156" s="384"/>
      <c r="ES156" s="384"/>
      <c r="ET156" s="383"/>
      <c r="EU156" s="383"/>
      <c r="EV156" s="404"/>
      <c r="EW156" s="383"/>
      <c r="EX156" s="383"/>
      <c r="EY156" s="383"/>
      <c r="EZ156" s="384"/>
      <c r="FA156" s="384"/>
      <c r="FB156" s="384"/>
      <c r="FC156" s="383"/>
      <c r="FD156" s="383"/>
      <c r="FE156" s="404"/>
      <c r="FF156" s="383"/>
      <c r="FG156" s="383"/>
      <c r="FH156" s="383"/>
      <c r="FI156" s="384"/>
      <c r="FJ156" s="384"/>
      <c r="FK156" s="384"/>
      <c r="FL156" s="383"/>
      <c r="FM156" s="383"/>
      <c r="FN156" s="404"/>
      <c r="FO156" s="383"/>
      <c r="FP156" s="383"/>
      <c r="FQ156" s="383"/>
      <c r="FR156" s="384"/>
      <c r="FS156" s="384"/>
      <c r="FT156" s="384"/>
      <c r="FU156" s="383"/>
      <c r="FV156" s="383"/>
      <c r="FW156" s="404"/>
      <c r="FX156" s="383"/>
      <c r="FY156" s="383"/>
      <c r="FZ156" s="383"/>
      <c r="GA156" s="384"/>
      <c r="GB156" s="384"/>
      <c r="GC156" s="384"/>
      <c r="GD156" s="383"/>
      <c r="GE156" s="383"/>
      <c r="GF156" s="404"/>
      <c r="GG156" s="383"/>
      <c r="GH156" s="383"/>
      <c r="GI156" s="383"/>
      <c r="GJ156" s="384"/>
      <c r="GK156" s="384"/>
      <c r="GL156" s="384"/>
      <c r="GM156" s="383"/>
      <c r="GN156" s="383"/>
      <c r="GO156" s="404"/>
      <c r="GP156" s="383"/>
      <c r="GQ156" s="383"/>
      <c r="GR156" s="383"/>
      <c r="GS156" s="384"/>
      <c r="GT156" s="384"/>
      <c r="GU156" s="384"/>
      <c r="GV156" s="383"/>
      <c r="GW156" s="383"/>
      <c r="GX156" s="404"/>
      <c r="GY156" s="383"/>
      <c r="GZ156" s="383"/>
      <c r="HA156" s="383"/>
      <c r="HB156" s="384"/>
      <c r="HC156" s="384"/>
      <c r="HD156" s="384"/>
      <c r="HE156" s="383"/>
      <c r="HF156" s="383"/>
      <c r="HG156" s="404"/>
      <c r="HH156" s="383"/>
      <c r="HI156" s="383"/>
      <c r="HJ156" s="383"/>
      <c r="HK156" s="384"/>
      <c r="HL156" s="384"/>
      <c r="HM156" s="384"/>
      <c r="HN156" s="383"/>
      <c r="HO156" s="383"/>
      <c r="HP156" s="404"/>
      <c r="HQ156" s="383"/>
      <c r="HR156" s="383"/>
      <c r="HS156" s="383"/>
    </row>
    <row r="157" spans="1:227" s="393" customFormat="1" ht="39" customHeight="1" outlineLevel="1" x14ac:dyDescent="0.2">
      <c r="A157" s="402"/>
      <c r="B157" s="402"/>
      <c r="C157" s="390"/>
      <c r="D157" s="392"/>
      <c r="E157" s="392"/>
      <c r="F157" s="367"/>
      <c r="G157" s="367"/>
      <c r="H157" s="367"/>
      <c r="I157" s="367"/>
      <c r="J157" s="367"/>
    </row>
    <row r="158" spans="1:227" s="393" customFormat="1" ht="20" customHeight="1" outlineLevel="2" x14ac:dyDescent="0.2">
      <c r="A158" s="390"/>
      <c r="B158" s="391"/>
      <c r="C158" s="390"/>
      <c r="D158" s="392"/>
      <c r="E158" s="392"/>
      <c r="F158" s="367"/>
      <c r="G158" s="367">
        <f t="shared" ref="G158:G163" si="53">(D158*E158*F158)</f>
        <v>0</v>
      </c>
      <c r="H158" s="367">
        <f t="shared" ref="H158:H164" si="54">G158/$K$3</f>
        <v>0</v>
      </c>
      <c r="I158" s="367">
        <f>H158</f>
        <v>0</v>
      </c>
      <c r="J158" s="367"/>
    </row>
    <row r="159" spans="1:227" s="393" customFormat="1" ht="20" customHeight="1" outlineLevel="2" x14ac:dyDescent="0.2">
      <c r="A159" s="390"/>
      <c r="B159" s="391"/>
      <c r="C159" s="390"/>
      <c r="D159" s="392"/>
      <c r="E159" s="392"/>
      <c r="F159" s="367"/>
      <c r="G159" s="367">
        <f t="shared" si="53"/>
        <v>0</v>
      </c>
      <c r="H159" s="367">
        <f t="shared" si="54"/>
        <v>0</v>
      </c>
      <c r="I159" s="367">
        <f t="shared" ref="I159:I164" si="55">H159</f>
        <v>0</v>
      </c>
      <c r="J159" s="367"/>
    </row>
    <row r="160" spans="1:227" s="393" customFormat="1" ht="20" customHeight="1" outlineLevel="2" x14ac:dyDescent="0.2">
      <c r="A160" s="390"/>
      <c r="B160" s="391"/>
      <c r="C160" s="390"/>
      <c r="D160" s="392"/>
      <c r="E160" s="392"/>
      <c r="F160" s="367"/>
      <c r="G160" s="367">
        <f t="shared" si="53"/>
        <v>0</v>
      </c>
      <c r="H160" s="367">
        <f t="shared" si="54"/>
        <v>0</v>
      </c>
      <c r="I160" s="367">
        <f t="shared" si="55"/>
        <v>0</v>
      </c>
      <c r="J160" s="367"/>
    </row>
    <row r="161" spans="1:227" s="393" customFormat="1" ht="20" customHeight="1" outlineLevel="2" x14ac:dyDescent="0.2">
      <c r="A161" s="390"/>
      <c r="B161" s="391"/>
      <c r="C161" s="390"/>
      <c r="D161" s="392"/>
      <c r="E161" s="392"/>
      <c r="F161" s="367"/>
      <c r="G161" s="367">
        <f t="shared" si="53"/>
        <v>0</v>
      </c>
      <c r="H161" s="367">
        <f t="shared" si="54"/>
        <v>0</v>
      </c>
      <c r="I161" s="367">
        <f t="shared" si="55"/>
        <v>0</v>
      </c>
      <c r="J161" s="367"/>
    </row>
    <row r="162" spans="1:227" s="393" customFormat="1" ht="20" customHeight="1" outlineLevel="2" x14ac:dyDescent="0.2">
      <c r="A162" s="390"/>
      <c r="B162" s="391"/>
      <c r="C162" s="390"/>
      <c r="D162" s="392"/>
      <c r="E162" s="392"/>
      <c r="F162" s="367"/>
      <c r="G162" s="367">
        <f t="shared" si="53"/>
        <v>0</v>
      </c>
      <c r="H162" s="367">
        <f t="shared" si="54"/>
        <v>0</v>
      </c>
      <c r="I162" s="367">
        <f t="shared" si="55"/>
        <v>0</v>
      </c>
      <c r="J162" s="367"/>
    </row>
    <row r="163" spans="1:227" s="393" customFormat="1" ht="20" customHeight="1" outlineLevel="2" x14ac:dyDescent="0.2">
      <c r="A163" s="390"/>
      <c r="B163" s="391"/>
      <c r="C163" s="390"/>
      <c r="D163" s="392"/>
      <c r="E163" s="392"/>
      <c r="F163" s="367"/>
      <c r="G163" s="367">
        <f t="shared" si="53"/>
        <v>0</v>
      </c>
      <c r="H163" s="367">
        <f t="shared" si="54"/>
        <v>0</v>
      </c>
      <c r="I163" s="367">
        <f t="shared" si="55"/>
        <v>0</v>
      </c>
      <c r="J163" s="367"/>
    </row>
    <row r="164" spans="1:227" s="393" customFormat="1" ht="20" customHeight="1" outlineLevel="2" x14ac:dyDescent="0.2">
      <c r="A164" s="390"/>
      <c r="B164" s="391"/>
      <c r="C164" s="390"/>
      <c r="D164" s="392"/>
      <c r="E164" s="392"/>
      <c r="F164" s="367"/>
      <c r="G164" s="367">
        <f>(D164*E164*F164)</f>
        <v>0</v>
      </c>
      <c r="H164" s="367">
        <f t="shared" si="54"/>
        <v>0</v>
      </c>
      <c r="I164" s="367">
        <f t="shared" si="55"/>
        <v>0</v>
      </c>
      <c r="J164" s="367"/>
    </row>
    <row r="165" spans="1:227" s="405" customFormat="1" ht="17" outlineLevel="1" x14ac:dyDescent="0.2">
      <c r="A165" s="378" t="s">
        <v>288</v>
      </c>
      <c r="B165" s="379"/>
      <c r="C165" s="379"/>
      <c r="D165" s="379"/>
      <c r="E165" s="379"/>
      <c r="F165" s="380"/>
      <c r="G165" s="380">
        <f>SUM(G158:G164)</f>
        <v>0</v>
      </c>
      <c r="H165" s="379">
        <f>SUM(H158:H164)</f>
        <v>0</v>
      </c>
      <c r="I165" s="380">
        <f>SUM(I158:I164)</f>
        <v>0</v>
      </c>
      <c r="J165" s="380">
        <f>SUM(J158:J164)</f>
        <v>0</v>
      </c>
      <c r="K165" s="382"/>
      <c r="L165" s="384"/>
      <c r="M165" s="384"/>
      <c r="N165" s="384"/>
      <c r="O165" s="383"/>
      <c r="P165" s="383"/>
      <c r="Q165" s="404"/>
      <c r="R165" s="383"/>
      <c r="S165" s="383"/>
      <c r="T165" s="383"/>
      <c r="U165" s="384"/>
      <c r="V165" s="384"/>
      <c r="W165" s="384"/>
      <c r="X165" s="383"/>
      <c r="Y165" s="383"/>
      <c r="Z165" s="404"/>
      <c r="AA165" s="383"/>
      <c r="AB165" s="383"/>
      <c r="AC165" s="383"/>
      <c r="AD165" s="384"/>
      <c r="AE165" s="384"/>
      <c r="AF165" s="384"/>
      <c r="AG165" s="383"/>
      <c r="AH165" s="383"/>
      <c r="AI165" s="404"/>
      <c r="AJ165" s="383"/>
      <c r="AK165" s="383"/>
      <c r="AL165" s="383"/>
      <c r="AM165" s="384"/>
      <c r="AN165" s="384"/>
      <c r="AO165" s="384"/>
      <c r="AP165" s="383"/>
      <c r="AQ165" s="383"/>
      <c r="AR165" s="404"/>
      <c r="AS165" s="383"/>
      <c r="AT165" s="383"/>
      <c r="AU165" s="383"/>
      <c r="AV165" s="384"/>
      <c r="AW165" s="384"/>
      <c r="AX165" s="384"/>
      <c r="AY165" s="383"/>
      <c r="AZ165" s="383"/>
      <c r="BA165" s="404"/>
      <c r="BB165" s="383"/>
      <c r="BC165" s="383"/>
      <c r="BD165" s="383"/>
      <c r="BE165" s="384"/>
      <c r="BF165" s="384"/>
      <c r="BG165" s="384"/>
      <c r="BH165" s="383"/>
      <c r="BI165" s="383"/>
      <c r="BJ165" s="404"/>
      <c r="BK165" s="383"/>
      <c r="BL165" s="383"/>
      <c r="BM165" s="383"/>
      <c r="BN165" s="384"/>
      <c r="BO165" s="384"/>
      <c r="BP165" s="384"/>
      <c r="BQ165" s="383"/>
      <c r="BR165" s="383"/>
      <c r="BS165" s="404"/>
      <c r="BT165" s="383"/>
      <c r="BU165" s="383"/>
      <c r="BV165" s="383"/>
      <c r="BW165" s="384"/>
      <c r="BX165" s="384"/>
      <c r="BY165" s="384"/>
      <c r="BZ165" s="383"/>
      <c r="CA165" s="383"/>
      <c r="CB165" s="404"/>
      <c r="CC165" s="383"/>
      <c r="CD165" s="383"/>
      <c r="CE165" s="383"/>
      <c r="CF165" s="384"/>
      <c r="CG165" s="384"/>
      <c r="CH165" s="384"/>
      <c r="CI165" s="383"/>
      <c r="CJ165" s="383"/>
      <c r="CK165" s="404"/>
      <c r="CL165" s="383"/>
      <c r="CM165" s="383"/>
      <c r="CN165" s="383"/>
      <c r="CO165" s="384"/>
      <c r="CP165" s="384"/>
      <c r="CQ165" s="384"/>
      <c r="CR165" s="383"/>
      <c r="CS165" s="383"/>
      <c r="CT165" s="404"/>
      <c r="CU165" s="383"/>
      <c r="CV165" s="383"/>
      <c r="CW165" s="383"/>
      <c r="CX165" s="384"/>
      <c r="CY165" s="384"/>
      <c r="CZ165" s="384"/>
      <c r="DA165" s="383"/>
      <c r="DB165" s="383"/>
      <c r="DC165" s="404"/>
      <c r="DD165" s="383"/>
      <c r="DE165" s="383"/>
      <c r="DF165" s="383"/>
      <c r="DG165" s="384"/>
      <c r="DH165" s="384"/>
      <c r="DI165" s="384"/>
      <c r="DJ165" s="383"/>
      <c r="DK165" s="383"/>
      <c r="DL165" s="404"/>
      <c r="DM165" s="383"/>
      <c r="DN165" s="383"/>
      <c r="DO165" s="383"/>
      <c r="DP165" s="384"/>
      <c r="DQ165" s="384"/>
      <c r="DR165" s="384"/>
      <c r="DS165" s="383"/>
      <c r="DT165" s="383"/>
      <c r="DU165" s="404"/>
      <c r="DV165" s="383"/>
      <c r="DW165" s="383"/>
      <c r="DX165" s="383"/>
      <c r="DY165" s="384"/>
      <c r="DZ165" s="384"/>
      <c r="EA165" s="384"/>
      <c r="EB165" s="383"/>
      <c r="EC165" s="383"/>
      <c r="ED165" s="404"/>
      <c r="EE165" s="383"/>
      <c r="EF165" s="383"/>
      <c r="EG165" s="383"/>
      <c r="EH165" s="384"/>
      <c r="EI165" s="384"/>
      <c r="EJ165" s="384"/>
      <c r="EK165" s="383"/>
      <c r="EL165" s="383"/>
      <c r="EM165" s="404"/>
      <c r="EN165" s="383"/>
      <c r="EO165" s="383"/>
      <c r="EP165" s="383"/>
      <c r="EQ165" s="384"/>
      <c r="ER165" s="384"/>
      <c r="ES165" s="384"/>
      <c r="ET165" s="383"/>
      <c r="EU165" s="383"/>
      <c r="EV165" s="404"/>
      <c r="EW165" s="383"/>
      <c r="EX165" s="383"/>
      <c r="EY165" s="383"/>
      <c r="EZ165" s="384"/>
      <c r="FA165" s="384"/>
      <c r="FB165" s="384"/>
      <c r="FC165" s="383"/>
      <c r="FD165" s="383"/>
      <c r="FE165" s="404"/>
      <c r="FF165" s="383"/>
      <c r="FG165" s="383"/>
      <c r="FH165" s="383"/>
      <c r="FI165" s="384"/>
      <c r="FJ165" s="384"/>
      <c r="FK165" s="384"/>
      <c r="FL165" s="383"/>
      <c r="FM165" s="383"/>
      <c r="FN165" s="404"/>
      <c r="FO165" s="383"/>
      <c r="FP165" s="383"/>
      <c r="FQ165" s="383"/>
      <c r="FR165" s="384"/>
      <c r="FS165" s="384"/>
      <c r="FT165" s="384"/>
      <c r="FU165" s="383"/>
      <c r="FV165" s="383"/>
      <c r="FW165" s="404"/>
      <c r="FX165" s="383"/>
      <c r="FY165" s="383"/>
      <c r="FZ165" s="383"/>
      <c r="GA165" s="384"/>
      <c r="GB165" s="384"/>
      <c r="GC165" s="384"/>
      <c r="GD165" s="383"/>
      <c r="GE165" s="383"/>
      <c r="GF165" s="404"/>
      <c r="GG165" s="383"/>
      <c r="GH165" s="383"/>
      <c r="GI165" s="383"/>
      <c r="GJ165" s="384"/>
      <c r="GK165" s="384"/>
      <c r="GL165" s="384"/>
      <c r="GM165" s="383"/>
      <c r="GN165" s="383"/>
      <c r="GO165" s="404"/>
      <c r="GP165" s="383"/>
      <c r="GQ165" s="383"/>
      <c r="GR165" s="383"/>
      <c r="GS165" s="384"/>
      <c r="GT165" s="384"/>
      <c r="GU165" s="384"/>
      <c r="GV165" s="383"/>
      <c r="GW165" s="383"/>
      <c r="GX165" s="404"/>
      <c r="GY165" s="383"/>
      <c r="GZ165" s="383"/>
      <c r="HA165" s="383"/>
      <c r="HB165" s="384"/>
      <c r="HC165" s="384"/>
      <c r="HD165" s="384"/>
      <c r="HE165" s="383"/>
      <c r="HF165" s="383"/>
      <c r="HG165" s="404"/>
      <c r="HH165" s="383"/>
      <c r="HI165" s="383"/>
      <c r="HJ165" s="383"/>
      <c r="HK165" s="384"/>
      <c r="HL165" s="384"/>
      <c r="HM165" s="384"/>
      <c r="HN165" s="383"/>
      <c r="HO165" s="383"/>
      <c r="HP165" s="404"/>
      <c r="HQ165" s="383"/>
      <c r="HR165" s="383"/>
      <c r="HS165" s="383"/>
    </row>
    <row r="166" spans="1:227" s="393" customFormat="1" ht="39" customHeight="1" outlineLevel="1" x14ac:dyDescent="0.2">
      <c r="A166" s="402"/>
      <c r="B166" s="402"/>
      <c r="C166" s="390"/>
      <c r="D166" s="392"/>
      <c r="E166" s="392"/>
      <c r="F166" s="367"/>
      <c r="G166" s="367"/>
      <c r="H166" s="367"/>
      <c r="I166" s="367"/>
      <c r="J166" s="367"/>
    </row>
    <row r="167" spans="1:227" s="393" customFormat="1" ht="20" customHeight="1" outlineLevel="2" x14ac:dyDescent="0.2">
      <c r="A167" s="390"/>
      <c r="B167" s="391"/>
      <c r="C167" s="390"/>
      <c r="D167" s="392"/>
      <c r="E167" s="392"/>
      <c r="F167" s="367"/>
      <c r="G167" s="367">
        <f t="shared" ref="G167:G170" si="56">(D167*E167*F167)</f>
        <v>0</v>
      </c>
      <c r="H167" s="367">
        <f t="shared" ref="H167:H173" si="57">G167/$K$3</f>
        <v>0</v>
      </c>
      <c r="I167" s="367">
        <f>H167</f>
        <v>0</v>
      </c>
      <c r="J167" s="367"/>
    </row>
    <row r="168" spans="1:227" s="393" customFormat="1" ht="20" customHeight="1" outlineLevel="2" x14ac:dyDescent="0.2">
      <c r="A168" s="390"/>
      <c r="B168" s="391"/>
      <c r="C168" s="390"/>
      <c r="D168" s="392"/>
      <c r="E168" s="392"/>
      <c r="F168" s="367"/>
      <c r="G168" s="367">
        <f t="shared" si="56"/>
        <v>0</v>
      </c>
      <c r="H168" s="367">
        <f t="shared" si="57"/>
        <v>0</v>
      </c>
      <c r="I168" s="367">
        <f t="shared" ref="I168:I170" si="58">H168</f>
        <v>0</v>
      </c>
      <c r="J168" s="367"/>
    </row>
    <row r="169" spans="1:227" s="393" customFormat="1" ht="19.5" customHeight="1" outlineLevel="2" x14ac:dyDescent="0.2">
      <c r="A169" s="390"/>
      <c r="B169" s="391"/>
      <c r="C169" s="390"/>
      <c r="D169" s="392"/>
      <c r="E169" s="392"/>
      <c r="F169" s="367"/>
      <c r="G169" s="367">
        <f t="shared" si="56"/>
        <v>0</v>
      </c>
      <c r="H169" s="367">
        <f t="shared" si="57"/>
        <v>0</v>
      </c>
      <c r="I169" s="367">
        <f t="shared" si="58"/>
        <v>0</v>
      </c>
      <c r="J169" s="367"/>
    </row>
    <row r="170" spans="1:227" s="393" customFormat="1" ht="20" customHeight="1" outlineLevel="2" x14ac:dyDescent="0.2">
      <c r="A170" s="390"/>
      <c r="B170" s="391"/>
      <c r="C170" s="390"/>
      <c r="D170" s="392"/>
      <c r="E170" s="392"/>
      <c r="F170" s="367"/>
      <c r="G170" s="367">
        <f t="shared" si="56"/>
        <v>0</v>
      </c>
      <c r="H170" s="367">
        <f t="shared" si="57"/>
        <v>0</v>
      </c>
      <c r="I170" s="367">
        <f t="shared" si="58"/>
        <v>0</v>
      </c>
      <c r="J170" s="367"/>
    </row>
    <row r="171" spans="1:227" s="393" customFormat="1" ht="20" customHeight="1" outlineLevel="2" x14ac:dyDescent="0.2">
      <c r="A171" s="390"/>
      <c r="B171" s="391"/>
      <c r="C171" s="390"/>
      <c r="D171" s="392"/>
      <c r="E171" s="392"/>
      <c r="F171" s="367"/>
      <c r="G171" s="367">
        <f t="shared" ref="G171:G172" si="59">(D171*E171*F171)</f>
        <v>0</v>
      </c>
      <c r="H171" s="367">
        <f t="shared" si="57"/>
        <v>0</v>
      </c>
      <c r="I171" s="367">
        <f t="shared" ref="I171:I173" si="60">H171</f>
        <v>0</v>
      </c>
      <c r="J171" s="367"/>
    </row>
    <row r="172" spans="1:227" s="393" customFormat="1" ht="20" customHeight="1" outlineLevel="2" x14ac:dyDescent="0.2">
      <c r="A172" s="390"/>
      <c r="B172" s="391"/>
      <c r="C172" s="390"/>
      <c r="D172" s="392"/>
      <c r="E172" s="392"/>
      <c r="F172" s="367"/>
      <c r="G172" s="367">
        <f t="shared" si="59"/>
        <v>0</v>
      </c>
      <c r="H172" s="367">
        <f t="shared" si="57"/>
        <v>0</v>
      </c>
      <c r="I172" s="367">
        <f t="shared" si="60"/>
        <v>0</v>
      </c>
      <c r="J172" s="367"/>
    </row>
    <row r="173" spans="1:227" s="393" customFormat="1" ht="20" customHeight="1" outlineLevel="2" x14ac:dyDescent="0.2">
      <c r="A173" s="390"/>
      <c r="B173" s="391"/>
      <c r="C173" s="390"/>
      <c r="D173" s="392"/>
      <c r="E173" s="392"/>
      <c r="F173" s="367"/>
      <c r="G173" s="367">
        <f>(D173*E173*F173)</f>
        <v>0</v>
      </c>
      <c r="H173" s="367">
        <f t="shared" si="57"/>
        <v>0</v>
      </c>
      <c r="I173" s="367">
        <f t="shared" si="60"/>
        <v>0</v>
      </c>
      <c r="J173" s="367"/>
    </row>
    <row r="174" spans="1:227" s="405" customFormat="1" ht="17" outlineLevel="1" x14ac:dyDescent="0.2">
      <c r="A174" s="378" t="s">
        <v>288</v>
      </c>
      <c r="B174" s="379"/>
      <c r="C174" s="379"/>
      <c r="D174" s="379"/>
      <c r="E174" s="379"/>
      <c r="F174" s="380"/>
      <c r="G174" s="380">
        <f>SUM(G167:G173)</f>
        <v>0</v>
      </c>
      <c r="H174" s="379">
        <f>SUM(H167:H173)</f>
        <v>0</v>
      </c>
      <c r="I174" s="380">
        <f>SUM(I167:I173)</f>
        <v>0</v>
      </c>
      <c r="J174" s="380">
        <f>SUM(J167:J173)</f>
        <v>0</v>
      </c>
      <c r="K174" s="382"/>
      <c r="L174" s="384"/>
      <c r="M174" s="384"/>
      <c r="N174" s="384"/>
      <c r="O174" s="383"/>
      <c r="P174" s="383"/>
      <c r="Q174" s="404"/>
      <c r="R174" s="383"/>
      <c r="S174" s="383"/>
      <c r="T174" s="383"/>
      <c r="U174" s="384"/>
      <c r="V174" s="384"/>
      <c r="W174" s="384"/>
      <c r="X174" s="383"/>
      <c r="Y174" s="383"/>
      <c r="Z174" s="404"/>
      <c r="AA174" s="383"/>
      <c r="AB174" s="383"/>
      <c r="AC174" s="383"/>
      <c r="AD174" s="384"/>
      <c r="AE174" s="384"/>
      <c r="AF174" s="384"/>
      <c r="AG174" s="383"/>
      <c r="AH174" s="383"/>
      <c r="AI174" s="404"/>
      <c r="AJ174" s="383"/>
      <c r="AK174" s="383"/>
      <c r="AL174" s="383"/>
      <c r="AM174" s="384"/>
      <c r="AN174" s="384"/>
      <c r="AO174" s="384"/>
      <c r="AP174" s="383"/>
      <c r="AQ174" s="383"/>
      <c r="AR174" s="404"/>
      <c r="AS174" s="383"/>
      <c r="AT174" s="383"/>
      <c r="AU174" s="383"/>
      <c r="AV174" s="384"/>
      <c r="AW174" s="384"/>
      <c r="AX174" s="384"/>
      <c r="AY174" s="383"/>
      <c r="AZ174" s="383"/>
      <c r="BA174" s="404"/>
      <c r="BB174" s="383"/>
      <c r="BC174" s="383"/>
      <c r="BD174" s="383"/>
      <c r="BE174" s="384"/>
      <c r="BF174" s="384"/>
      <c r="BG174" s="384"/>
      <c r="BH174" s="383"/>
      <c r="BI174" s="383"/>
      <c r="BJ174" s="404"/>
      <c r="BK174" s="383"/>
      <c r="BL174" s="383"/>
      <c r="BM174" s="383"/>
      <c r="BN174" s="384"/>
      <c r="BO174" s="384"/>
      <c r="BP174" s="384"/>
      <c r="BQ174" s="383"/>
      <c r="BR174" s="383"/>
      <c r="BS174" s="404"/>
      <c r="BT174" s="383"/>
      <c r="BU174" s="383"/>
      <c r="BV174" s="383"/>
      <c r="BW174" s="384"/>
      <c r="BX174" s="384"/>
      <c r="BY174" s="384"/>
      <c r="BZ174" s="383"/>
      <c r="CA174" s="383"/>
      <c r="CB174" s="404"/>
      <c r="CC174" s="383"/>
      <c r="CD174" s="383"/>
      <c r="CE174" s="383"/>
      <c r="CF174" s="384"/>
      <c r="CG174" s="384"/>
      <c r="CH174" s="384"/>
      <c r="CI174" s="383"/>
      <c r="CJ174" s="383"/>
      <c r="CK174" s="404"/>
      <c r="CL174" s="383"/>
      <c r="CM174" s="383"/>
      <c r="CN174" s="383"/>
      <c r="CO174" s="384"/>
      <c r="CP174" s="384"/>
      <c r="CQ174" s="384"/>
      <c r="CR174" s="383"/>
      <c r="CS174" s="383"/>
      <c r="CT174" s="404"/>
      <c r="CU174" s="383"/>
      <c r="CV174" s="383"/>
      <c r="CW174" s="383"/>
      <c r="CX174" s="384"/>
      <c r="CY174" s="384"/>
      <c r="CZ174" s="384"/>
      <c r="DA174" s="383"/>
      <c r="DB174" s="383"/>
      <c r="DC174" s="404"/>
      <c r="DD174" s="383"/>
      <c r="DE174" s="383"/>
      <c r="DF174" s="383"/>
      <c r="DG174" s="384"/>
      <c r="DH174" s="384"/>
      <c r="DI174" s="384"/>
      <c r="DJ174" s="383"/>
      <c r="DK174" s="383"/>
      <c r="DL174" s="404"/>
      <c r="DM174" s="383"/>
      <c r="DN174" s="383"/>
      <c r="DO174" s="383"/>
      <c r="DP174" s="384"/>
      <c r="DQ174" s="384"/>
      <c r="DR174" s="384"/>
      <c r="DS174" s="383"/>
      <c r="DT174" s="383"/>
      <c r="DU174" s="404"/>
      <c r="DV174" s="383"/>
      <c r="DW174" s="383"/>
      <c r="DX174" s="383"/>
      <c r="DY174" s="384"/>
      <c r="DZ174" s="384"/>
      <c r="EA174" s="384"/>
      <c r="EB174" s="383"/>
      <c r="EC174" s="383"/>
      <c r="ED174" s="404"/>
      <c r="EE174" s="383"/>
      <c r="EF174" s="383"/>
      <c r="EG174" s="383"/>
      <c r="EH174" s="384"/>
      <c r="EI174" s="384"/>
      <c r="EJ174" s="384"/>
      <c r="EK174" s="383"/>
      <c r="EL174" s="383"/>
      <c r="EM174" s="404"/>
      <c r="EN174" s="383"/>
      <c r="EO174" s="383"/>
      <c r="EP174" s="383"/>
      <c r="EQ174" s="384"/>
      <c r="ER174" s="384"/>
      <c r="ES174" s="384"/>
      <c r="ET174" s="383"/>
      <c r="EU174" s="383"/>
      <c r="EV174" s="404"/>
      <c r="EW174" s="383"/>
      <c r="EX174" s="383"/>
      <c r="EY174" s="383"/>
      <c r="EZ174" s="384"/>
      <c r="FA174" s="384"/>
      <c r="FB174" s="384"/>
      <c r="FC174" s="383"/>
      <c r="FD174" s="383"/>
      <c r="FE174" s="404"/>
      <c r="FF174" s="383"/>
      <c r="FG174" s="383"/>
      <c r="FH174" s="383"/>
      <c r="FI174" s="384"/>
      <c r="FJ174" s="384"/>
      <c r="FK174" s="384"/>
      <c r="FL174" s="383"/>
      <c r="FM174" s="383"/>
      <c r="FN174" s="404"/>
      <c r="FO174" s="383"/>
      <c r="FP174" s="383"/>
      <c r="FQ174" s="383"/>
      <c r="FR174" s="384"/>
      <c r="FS174" s="384"/>
      <c r="FT174" s="384"/>
      <c r="FU174" s="383"/>
      <c r="FV174" s="383"/>
      <c r="FW174" s="404"/>
      <c r="FX174" s="383"/>
      <c r="FY174" s="383"/>
      <c r="FZ174" s="383"/>
      <c r="GA174" s="384"/>
      <c r="GB174" s="384"/>
      <c r="GC174" s="384"/>
      <c r="GD174" s="383"/>
      <c r="GE174" s="383"/>
      <c r="GF174" s="404"/>
      <c r="GG174" s="383"/>
      <c r="GH174" s="383"/>
      <c r="GI174" s="383"/>
      <c r="GJ174" s="384"/>
      <c r="GK174" s="384"/>
      <c r="GL174" s="384"/>
      <c r="GM174" s="383"/>
      <c r="GN174" s="383"/>
      <c r="GO174" s="404"/>
      <c r="GP174" s="383"/>
      <c r="GQ174" s="383"/>
      <c r="GR174" s="383"/>
      <c r="GS174" s="384"/>
      <c r="GT174" s="384"/>
      <c r="GU174" s="384"/>
      <c r="GV174" s="383"/>
      <c r="GW174" s="383"/>
      <c r="GX174" s="404"/>
      <c r="GY174" s="383"/>
      <c r="GZ174" s="383"/>
      <c r="HA174" s="383"/>
      <c r="HB174" s="384"/>
      <c r="HC174" s="384"/>
      <c r="HD174" s="384"/>
      <c r="HE174" s="383"/>
      <c r="HF174" s="383"/>
      <c r="HG174" s="404"/>
      <c r="HH174" s="383"/>
      <c r="HI174" s="383"/>
      <c r="HJ174" s="383"/>
      <c r="HK174" s="384"/>
      <c r="HL174" s="384"/>
      <c r="HM174" s="384"/>
      <c r="HN174" s="383"/>
      <c r="HO174" s="383"/>
      <c r="HP174" s="404"/>
      <c r="HQ174" s="383"/>
      <c r="HR174" s="383"/>
      <c r="HS174" s="383"/>
    </row>
    <row r="175" spans="1:227" s="393" customFormat="1" ht="39" customHeight="1" outlineLevel="1" x14ac:dyDescent="0.2">
      <c r="A175" s="402"/>
      <c r="B175" s="402"/>
      <c r="C175" s="390"/>
      <c r="D175" s="392"/>
      <c r="E175" s="392"/>
      <c r="F175" s="367"/>
      <c r="G175" s="367"/>
      <c r="H175" s="367"/>
      <c r="I175" s="367"/>
      <c r="J175" s="367"/>
    </row>
    <row r="176" spans="1:227" s="393" customFormat="1" ht="20" customHeight="1" outlineLevel="2" x14ac:dyDescent="0.2">
      <c r="A176" s="390"/>
      <c r="B176" s="391"/>
      <c r="C176" s="390"/>
      <c r="D176" s="392"/>
      <c r="E176" s="392"/>
      <c r="F176" s="367"/>
      <c r="G176" s="367">
        <f t="shared" ref="G176:G179" si="61">(D176*E176*F176)</f>
        <v>0</v>
      </c>
      <c r="H176" s="367">
        <f t="shared" ref="H176:H182" si="62">G176/$K$3</f>
        <v>0</v>
      </c>
      <c r="I176" s="367">
        <f>H176</f>
        <v>0</v>
      </c>
      <c r="J176" s="367"/>
    </row>
    <row r="177" spans="1:227" s="393" customFormat="1" ht="20" customHeight="1" outlineLevel="2" x14ac:dyDescent="0.2">
      <c r="A177" s="390"/>
      <c r="B177" s="391"/>
      <c r="C177" s="390"/>
      <c r="D177" s="392"/>
      <c r="E177" s="392"/>
      <c r="F177" s="367"/>
      <c r="G177" s="367">
        <f t="shared" si="61"/>
        <v>0</v>
      </c>
      <c r="H177" s="367">
        <f t="shared" si="62"/>
        <v>0</v>
      </c>
      <c r="I177" s="367">
        <f t="shared" ref="I177:I179" si="63">H177</f>
        <v>0</v>
      </c>
      <c r="J177" s="367"/>
    </row>
    <row r="178" spans="1:227" s="393" customFormat="1" ht="19.5" customHeight="1" outlineLevel="2" x14ac:dyDescent="0.2">
      <c r="A178" s="390"/>
      <c r="B178" s="391"/>
      <c r="C178" s="390"/>
      <c r="D178" s="392"/>
      <c r="E178" s="392"/>
      <c r="F178" s="367"/>
      <c r="G178" s="367">
        <f t="shared" si="61"/>
        <v>0</v>
      </c>
      <c r="H178" s="367">
        <f t="shared" si="62"/>
        <v>0</v>
      </c>
      <c r="I178" s="367">
        <f t="shared" si="63"/>
        <v>0</v>
      </c>
      <c r="J178" s="367"/>
    </row>
    <row r="179" spans="1:227" s="393" customFormat="1" ht="20" customHeight="1" outlineLevel="2" x14ac:dyDescent="0.2">
      <c r="A179" s="390"/>
      <c r="B179" s="391"/>
      <c r="C179" s="390"/>
      <c r="D179" s="392"/>
      <c r="E179" s="392"/>
      <c r="F179" s="367"/>
      <c r="G179" s="367">
        <f t="shared" si="61"/>
        <v>0</v>
      </c>
      <c r="H179" s="367">
        <f t="shared" si="62"/>
        <v>0</v>
      </c>
      <c r="I179" s="367">
        <f t="shared" si="63"/>
        <v>0</v>
      </c>
      <c r="J179" s="367"/>
    </row>
    <row r="180" spans="1:227" s="393" customFormat="1" ht="20" customHeight="1" outlineLevel="2" x14ac:dyDescent="0.2">
      <c r="A180" s="390"/>
      <c r="B180" s="391"/>
      <c r="C180" s="390"/>
      <c r="D180" s="392"/>
      <c r="E180" s="392"/>
      <c r="F180" s="367"/>
      <c r="G180" s="367">
        <f t="shared" ref="G180:G181" si="64">(D180*E180*F180)</f>
        <v>0</v>
      </c>
      <c r="H180" s="367">
        <f t="shared" si="62"/>
        <v>0</v>
      </c>
      <c r="I180" s="367">
        <f t="shared" ref="I180:I182" si="65">H180</f>
        <v>0</v>
      </c>
      <c r="J180" s="367"/>
    </row>
    <row r="181" spans="1:227" s="393" customFormat="1" ht="20" customHeight="1" outlineLevel="2" x14ac:dyDescent="0.2">
      <c r="A181" s="390"/>
      <c r="B181" s="391"/>
      <c r="C181" s="390"/>
      <c r="D181" s="392"/>
      <c r="E181" s="392"/>
      <c r="F181" s="367"/>
      <c r="G181" s="367">
        <f t="shared" si="64"/>
        <v>0</v>
      </c>
      <c r="H181" s="367">
        <f t="shared" si="62"/>
        <v>0</v>
      </c>
      <c r="I181" s="367">
        <f t="shared" si="65"/>
        <v>0</v>
      </c>
      <c r="J181" s="367"/>
    </row>
    <row r="182" spans="1:227" s="393" customFormat="1" ht="20" customHeight="1" outlineLevel="2" x14ac:dyDescent="0.2">
      <c r="A182" s="390"/>
      <c r="B182" s="391"/>
      <c r="C182" s="390"/>
      <c r="D182" s="392"/>
      <c r="E182" s="392"/>
      <c r="F182" s="367"/>
      <c r="G182" s="367">
        <f>(D182*E182*F182)</f>
        <v>0</v>
      </c>
      <c r="H182" s="367">
        <f t="shared" si="62"/>
        <v>0</v>
      </c>
      <c r="I182" s="367">
        <f t="shared" si="65"/>
        <v>0</v>
      </c>
      <c r="J182" s="367"/>
    </row>
    <row r="183" spans="1:227" s="405" customFormat="1" ht="17" outlineLevel="1" x14ac:dyDescent="0.2">
      <c r="A183" s="378" t="s">
        <v>288</v>
      </c>
      <c r="B183" s="379"/>
      <c r="C183" s="379"/>
      <c r="D183" s="379"/>
      <c r="E183" s="379"/>
      <c r="F183" s="380"/>
      <c r="G183" s="380">
        <f>SUM(G176:G182)</f>
        <v>0</v>
      </c>
      <c r="H183" s="379">
        <f>SUM(H176:H182)</f>
        <v>0</v>
      </c>
      <c r="I183" s="380">
        <f>SUM(I176:I182)</f>
        <v>0</v>
      </c>
      <c r="J183" s="380">
        <f>SUM(J176:J182)</f>
        <v>0</v>
      </c>
      <c r="K183" s="382"/>
      <c r="L183" s="384"/>
      <c r="M183" s="384"/>
      <c r="N183" s="384"/>
      <c r="O183" s="383"/>
      <c r="P183" s="383"/>
      <c r="Q183" s="404"/>
      <c r="R183" s="383"/>
      <c r="S183" s="383"/>
      <c r="T183" s="383"/>
      <c r="U183" s="384"/>
      <c r="V183" s="384"/>
      <c r="W183" s="384"/>
      <c r="X183" s="383"/>
      <c r="Y183" s="383"/>
      <c r="Z183" s="404"/>
      <c r="AA183" s="383"/>
      <c r="AB183" s="383"/>
      <c r="AC183" s="383"/>
      <c r="AD183" s="384"/>
      <c r="AE183" s="384"/>
      <c r="AF183" s="384"/>
      <c r="AG183" s="383"/>
      <c r="AH183" s="383"/>
      <c r="AI183" s="404"/>
      <c r="AJ183" s="383"/>
      <c r="AK183" s="383"/>
      <c r="AL183" s="383"/>
      <c r="AM183" s="384"/>
      <c r="AN183" s="384"/>
      <c r="AO183" s="384"/>
      <c r="AP183" s="383"/>
      <c r="AQ183" s="383"/>
      <c r="AR183" s="404"/>
      <c r="AS183" s="383"/>
      <c r="AT183" s="383"/>
      <c r="AU183" s="383"/>
      <c r="AV183" s="384"/>
      <c r="AW183" s="384"/>
      <c r="AX183" s="384"/>
      <c r="AY183" s="383"/>
      <c r="AZ183" s="383"/>
      <c r="BA183" s="404"/>
      <c r="BB183" s="383"/>
      <c r="BC183" s="383"/>
      <c r="BD183" s="383"/>
      <c r="BE183" s="384"/>
      <c r="BF183" s="384"/>
      <c r="BG183" s="384"/>
      <c r="BH183" s="383"/>
      <c r="BI183" s="383"/>
      <c r="BJ183" s="404"/>
      <c r="BK183" s="383"/>
      <c r="BL183" s="383"/>
      <c r="BM183" s="383"/>
      <c r="BN183" s="384"/>
      <c r="BO183" s="384"/>
      <c r="BP183" s="384"/>
      <c r="BQ183" s="383"/>
      <c r="BR183" s="383"/>
      <c r="BS183" s="404"/>
      <c r="BT183" s="383"/>
      <c r="BU183" s="383"/>
      <c r="BV183" s="383"/>
      <c r="BW183" s="384"/>
      <c r="BX183" s="384"/>
      <c r="BY183" s="384"/>
      <c r="BZ183" s="383"/>
      <c r="CA183" s="383"/>
      <c r="CB183" s="404"/>
      <c r="CC183" s="383"/>
      <c r="CD183" s="383"/>
      <c r="CE183" s="383"/>
      <c r="CF183" s="384"/>
      <c r="CG183" s="384"/>
      <c r="CH183" s="384"/>
      <c r="CI183" s="383"/>
      <c r="CJ183" s="383"/>
      <c r="CK183" s="404"/>
      <c r="CL183" s="383"/>
      <c r="CM183" s="383"/>
      <c r="CN183" s="383"/>
      <c r="CO183" s="384"/>
      <c r="CP183" s="384"/>
      <c r="CQ183" s="384"/>
      <c r="CR183" s="383"/>
      <c r="CS183" s="383"/>
      <c r="CT183" s="404"/>
      <c r="CU183" s="383"/>
      <c r="CV183" s="383"/>
      <c r="CW183" s="383"/>
      <c r="CX183" s="384"/>
      <c r="CY183" s="384"/>
      <c r="CZ183" s="384"/>
      <c r="DA183" s="383"/>
      <c r="DB183" s="383"/>
      <c r="DC183" s="404"/>
      <c r="DD183" s="383"/>
      <c r="DE183" s="383"/>
      <c r="DF183" s="383"/>
      <c r="DG183" s="384"/>
      <c r="DH183" s="384"/>
      <c r="DI183" s="384"/>
      <c r="DJ183" s="383"/>
      <c r="DK183" s="383"/>
      <c r="DL183" s="404"/>
      <c r="DM183" s="383"/>
      <c r="DN183" s="383"/>
      <c r="DO183" s="383"/>
      <c r="DP183" s="384"/>
      <c r="DQ183" s="384"/>
      <c r="DR183" s="384"/>
      <c r="DS183" s="383"/>
      <c r="DT183" s="383"/>
      <c r="DU183" s="404"/>
      <c r="DV183" s="383"/>
      <c r="DW183" s="383"/>
      <c r="DX183" s="383"/>
      <c r="DY183" s="384"/>
      <c r="DZ183" s="384"/>
      <c r="EA183" s="384"/>
      <c r="EB183" s="383"/>
      <c r="EC183" s="383"/>
      <c r="ED183" s="404"/>
      <c r="EE183" s="383"/>
      <c r="EF183" s="383"/>
      <c r="EG183" s="383"/>
      <c r="EH183" s="384"/>
      <c r="EI183" s="384"/>
      <c r="EJ183" s="384"/>
      <c r="EK183" s="383"/>
      <c r="EL183" s="383"/>
      <c r="EM183" s="404"/>
      <c r="EN183" s="383"/>
      <c r="EO183" s="383"/>
      <c r="EP183" s="383"/>
      <c r="EQ183" s="384"/>
      <c r="ER183" s="384"/>
      <c r="ES183" s="384"/>
      <c r="ET183" s="383"/>
      <c r="EU183" s="383"/>
      <c r="EV183" s="404"/>
      <c r="EW183" s="383"/>
      <c r="EX183" s="383"/>
      <c r="EY183" s="383"/>
      <c r="EZ183" s="384"/>
      <c r="FA183" s="384"/>
      <c r="FB183" s="384"/>
      <c r="FC183" s="383"/>
      <c r="FD183" s="383"/>
      <c r="FE183" s="404"/>
      <c r="FF183" s="383"/>
      <c r="FG183" s="383"/>
      <c r="FH183" s="383"/>
      <c r="FI183" s="384"/>
      <c r="FJ183" s="384"/>
      <c r="FK183" s="384"/>
      <c r="FL183" s="383"/>
      <c r="FM183" s="383"/>
      <c r="FN183" s="404"/>
      <c r="FO183" s="383"/>
      <c r="FP183" s="383"/>
      <c r="FQ183" s="383"/>
      <c r="FR183" s="384"/>
      <c r="FS183" s="384"/>
      <c r="FT183" s="384"/>
      <c r="FU183" s="383"/>
      <c r="FV183" s="383"/>
      <c r="FW183" s="404"/>
      <c r="FX183" s="383"/>
      <c r="FY183" s="383"/>
      <c r="FZ183" s="383"/>
      <c r="GA183" s="384"/>
      <c r="GB183" s="384"/>
      <c r="GC183" s="384"/>
      <c r="GD183" s="383"/>
      <c r="GE183" s="383"/>
      <c r="GF183" s="404"/>
      <c r="GG183" s="383"/>
      <c r="GH183" s="383"/>
      <c r="GI183" s="383"/>
      <c r="GJ183" s="384"/>
      <c r="GK183" s="384"/>
      <c r="GL183" s="384"/>
      <c r="GM183" s="383"/>
      <c r="GN183" s="383"/>
      <c r="GO183" s="404"/>
      <c r="GP183" s="383"/>
      <c r="GQ183" s="383"/>
      <c r="GR183" s="383"/>
      <c r="GS183" s="384"/>
      <c r="GT183" s="384"/>
      <c r="GU183" s="384"/>
      <c r="GV183" s="383"/>
      <c r="GW183" s="383"/>
      <c r="GX183" s="404"/>
      <c r="GY183" s="383"/>
      <c r="GZ183" s="383"/>
      <c r="HA183" s="383"/>
      <c r="HB183" s="384"/>
      <c r="HC183" s="384"/>
      <c r="HD183" s="384"/>
      <c r="HE183" s="383"/>
      <c r="HF183" s="383"/>
      <c r="HG183" s="404"/>
      <c r="HH183" s="383"/>
      <c r="HI183" s="383"/>
      <c r="HJ183" s="383"/>
      <c r="HK183" s="384"/>
      <c r="HL183" s="384"/>
      <c r="HM183" s="384"/>
      <c r="HN183" s="383"/>
      <c r="HO183" s="383"/>
      <c r="HP183" s="404"/>
      <c r="HQ183" s="383"/>
      <c r="HR183" s="383"/>
      <c r="HS183" s="383"/>
    </row>
    <row r="184" spans="1:227" s="393" customFormat="1" ht="39" customHeight="1" outlineLevel="1" x14ac:dyDescent="0.2">
      <c r="A184" s="402"/>
      <c r="B184" s="402"/>
      <c r="C184" s="390"/>
      <c r="D184" s="392"/>
      <c r="E184" s="392"/>
      <c r="F184" s="367"/>
      <c r="G184" s="367"/>
      <c r="H184" s="367"/>
      <c r="I184" s="367"/>
      <c r="J184" s="367"/>
    </row>
    <row r="185" spans="1:227" s="393" customFormat="1" ht="20" customHeight="1" outlineLevel="2" x14ac:dyDescent="0.2">
      <c r="A185" s="390"/>
      <c r="B185" s="391"/>
      <c r="C185" s="390"/>
      <c r="D185" s="392"/>
      <c r="E185" s="392"/>
      <c r="F185" s="367"/>
      <c r="G185" s="367">
        <f t="shared" ref="G185:G190" si="66">(D185*E185*F185)</f>
        <v>0</v>
      </c>
      <c r="H185" s="367">
        <f t="shared" ref="H185:H191" si="67">G185/$K$3</f>
        <v>0</v>
      </c>
      <c r="I185" s="367">
        <f>H185</f>
        <v>0</v>
      </c>
      <c r="J185" s="367"/>
    </row>
    <row r="186" spans="1:227" s="393" customFormat="1" ht="20" customHeight="1" outlineLevel="2" x14ac:dyDescent="0.2">
      <c r="A186" s="390"/>
      <c r="B186" s="391"/>
      <c r="C186" s="390"/>
      <c r="D186" s="392"/>
      <c r="E186" s="392"/>
      <c r="F186" s="367"/>
      <c r="G186" s="367">
        <f t="shared" si="66"/>
        <v>0</v>
      </c>
      <c r="H186" s="367">
        <f t="shared" si="67"/>
        <v>0</v>
      </c>
      <c r="I186" s="367">
        <f t="shared" ref="I186:I191" si="68">H186</f>
        <v>0</v>
      </c>
      <c r="J186" s="367"/>
    </row>
    <row r="187" spans="1:227" s="393" customFormat="1" ht="19.5" customHeight="1" outlineLevel="2" x14ac:dyDescent="0.2">
      <c r="A187" s="390"/>
      <c r="B187" s="391"/>
      <c r="C187" s="390"/>
      <c r="D187" s="392"/>
      <c r="E187" s="392"/>
      <c r="F187" s="367"/>
      <c r="G187" s="367">
        <f t="shared" si="66"/>
        <v>0</v>
      </c>
      <c r="H187" s="367">
        <f t="shared" si="67"/>
        <v>0</v>
      </c>
      <c r="I187" s="367">
        <f t="shared" si="68"/>
        <v>0</v>
      </c>
      <c r="J187" s="367"/>
    </row>
    <row r="188" spans="1:227" s="393" customFormat="1" ht="20" customHeight="1" outlineLevel="2" x14ac:dyDescent="0.2">
      <c r="A188" s="390"/>
      <c r="B188" s="391"/>
      <c r="C188" s="390"/>
      <c r="D188" s="392"/>
      <c r="E188" s="392"/>
      <c r="F188" s="367"/>
      <c r="G188" s="367">
        <f t="shared" si="66"/>
        <v>0</v>
      </c>
      <c r="H188" s="367">
        <f t="shared" si="67"/>
        <v>0</v>
      </c>
      <c r="I188" s="367">
        <f t="shared" si="68"/>
        <v>0</v>
      </c>
      <c r="J188" s="367"/>
    </row>
    <row r="189" spans="1:227" s="393" customFormat="1" ht="20" customHeight="1" outlineLevel="2" x14ac:dyDescent="0.2">
      <c r="A189" s="390"/>
      <c r="B189" s="391"/>
      <c r="C189" s="390"/>
      <c r="D189" s="392"/>
      <c r="E189" s="392"/>
      <c r="F189" s="367"/>
      <c r="G189" s="367">
        <f t="shared" si="66"/>
        <v>0</v>
      </c>
      <c r="H189" s="367">
        <f t="shared" si="67"/>
        <v>0</v>
      </c>
      <c r="I189" s="367">
        <f t="shared" si="68"/>
        <v>0</v>
      </c>
      <c r="J189" s="367"/>
    </row>
    <row r="190" spans="1:227" s="393" customFormat="1" ht="20" customHeight="1" outlineLevel="2" x14ac:dyDescent="0.2">
      <c r="A190" s="390"/>
      <c r="B190" s="391"/>
      <c r="C190" s="390"/>
      <c r="D190" s="392"/>
      <c r="E190" s="392"/>
      <c r="F190" s="367"/>
      <c r="G190" s="367">
        <f t="shared" si="66"/>
        <v>0</v>
      </c>
      <c r="H190" s="367">
        <f t="shared" si="67"/>
        <v>0</v>
      </c>
      <c r="I190" s="367">
        <f t="shared" si="68"/>
        <v>0</v>
      </c>
      <c r="J190" s="367"/>
    </row>
    <row r="191" spans="1:227" s="393" customFormat="1" ht="20" customHeight="1" outlineLevel="2" x14ac:dyDescent="0.2">
      <c r="A191" s="390"/>
      <c r="B191" s="391"/>
      <c r="C191" s="390"/>
      <c r="D191" s="392"/>
      <c r="E191" s="392"/>
      <c r="F191" s="367"/>
      <c r="G191" s="367">
        <f>(D191*E191*F191)</f>
        <v>0</v>
      </c>
      <c r="H191" s="367">
        <f t="shared" si="67"/>
        <v>0</v>
      </c>
      <c r="I191" s="367">
        <f t="shared" si="68"/>
        <v>0</v>
      </c>
      <c r="J191" s="367"/>
    </row>
    <row r="192" spans="1:227" s="405" customFormat="1" ht="17" outlineLevel="1" x14ac:dyDescent="0.2">
      <c r="A192" s="378" t="s">
        <v>288</v>
      </c>
      <c r="B192" s="379"/>
      <c r="C192" s="379"/>
      <c r="D192" s="379"/>
      <c r="E192" s="379"/>
      <c r="F192" s="380"/>
      <c r="G192" s="380">
        <f>SUM(G185:G191)</f>
        <v>0</v>
      </c>
      <c r="H192" s="379">
        <f>SUM(H185:H191)</f>
        <v>0</v>
      </c>
      <c r="I192" s="380">
        <f>SUM(I185:I191)</f>
        <v>0</v>
      </c>
      <c r="J192" s="380">
        <f>SUM(J185:J191)</f>
        <v>0</v>
      </c>
      <c r="K192" s="382"/>
      <c r="L192" s="384"/>
      <c r="M192" s="384"/>
      <c r="N192" s="384"/>
      <c r="O192" s="383"/>
      <c r="P192" s="383"/>
      <c r="Q192" s="404"/>
      <c r="R192" s="383"/>
      <c r="S192" s="383"/>
      <c r="T192" s="383"/>
      <c r="U192" s="384"/>
      <c r="V192" s="384"/>
      <c r="W192" s="384"/>
      <c r="X192" s="383"/>
      <c r="Y192" s="383"/>
      <c r="Z192" s="404"/>
      <c r="AA192" s="383"/>
      <c r="AB192" s="383"/>
      <c r="AC192" s="383"/>
      <c r="AD192" s="384"/>
      <c r="AE192" s="384"/>
      <c r="AF192" s="384"/>
      <c r="AG192" s="383"/>
      <c r="AH192" s="383"/>
      <c r="AI192" s="404"/>
      <c r="AJ192" s="383"/>
      <c r="AK192" s="383"/>
      <c r="AL192" s="383"/>
      <c r="AM192" s="384"/>
      <c r="AN192" s="384"/>
      <c r="AO192" s="384"/>
      <c r="AP192" s="383"/>
      <c r="AQ192" s="383"/>
      <c r="AR192" s="404"/>
      <c r="AS192" s="383"/>
      <c r="AT192" s="383"/>
      <c r="AU192" s="383"/>
      <c r="AV192" s="384"/>
      <c r="AW192" s="384"/>
      <c r="AX192" s="384"/>
      <c r="AY192" s="383"/>
      <c r="AZ192" s="383"/>
      <c r="BA192" s="404"/>
      <c r="BB192" s="383"/>
      <c r="BC192" s="383"/>
      <c r="BD192" s="383"/>
      <c r="BE192" s="384"/>
      <c r="BF192" s="384"/>
      <c r="BG192" s="384"/>
      <c r="BH192" s="383"/>
      <c r="BI192" s="383"/>
      <c r="BJ192" s="404"/>
      <c r="BK192" s="383"/>
      <c r="BL192" s="383"/>
      <c r="BM192" s="383"/>
      <c r="BN192" s="384"/>
      <c r="BO192" s="384"/>
      <c r="BP192" s="384"/>
      <c r="BQ192" s="383"/>
      <c r="BR192" s="383"/>
      <c r="BS192" s="404"/>
      <c r="BT192" s="383"/>
      <c r="BU192" s="383"/>
      <c r="BV192" s="383"/>
      <c r="BW192" s="384"/>
      <c r="BX192" s="384"/>
      <c r="BY192" s="384"/>
      <c r="BZ192" s="383"/>
      <c r="CA192" s="383"/>
      <c r="CB192" s="404"/>
      <c r="CC192" s="383"/>
      <c r="CD192" s="383"/>
      <c r="CE192" s="383"/>
      <c r="CF192" s="384"/>
      <c r="CG192" s="384"/>
      <c r="CH192" s="384"/>
      <c r="CI192" s="383"/>
      <c r="CJ192" s="383"/>
      <c r="CK192" s="404"/>
      <c r="CL192" s="383"/>
      <c r="CM192" s="383"/>
      <c r="CN192" s="383"/>
      <c r="CO192" s="384"/>
      <c r="CP192" s="384"/>
      <c r="CQ192" s="384"/>
      <c r="CR192" s="383"/>
      <c r="CS192" s="383"/>
      <c r="CT192" s="404"/>
      <c r="CU192" s="383"/>
      <c r="CV192" s="383"/>
      <c r="CW192" s="383"/>
      <c r="CX192" s="384"/>
      <c r="CY192" s="384"/>
      <c r="CZ192" s="384"/>
      <c r="DA192" s="383"/>
      <c r="DB192" s="383"/>
      <c r="DC192" s="404"/>
      <c r="DD192" s="383"/>
      <c r="DE192" s="383"/>
      <c r="DF192" s="383"/>
      <c r="DG192" s="384"/>
      <c r="DH192" s="384"/>
      <c r="DI192" s="384"/>
      <c r="DJ192" s="383"/>
      <c r="DK192" s="383"/>
      <c r="DL192" s="404"/>
      <c r="DM192" s="383"/>
      <c r="DN192" s="383"/>
      <c r="DO192" s="383"/>
      <c r="DP192" s="384"/>
      <c r="DQ192" s="384"/>
      <c r="DR192" s="384"/>
      <c r="DS192" s="383"/>
      <c r="DT192" s="383"/>
      <c r="DU192" s="404"/>
      <c r="DV192" s="383"/>
      <c r="DW192" s="383"/>
      <c r="DX192" s="383"/>
      <c r="DY192" s="384"/>
      <c r="DZ192" s="384"/>
      <c r="EA192" s="384"/>
      <c r="EB192" s="383"/>
      <c r="EC192" s="383"/>
      <c r="ED192" s="404"/>
      <c r="EE192" s="383"/>
      <c r="EF192" s="383"/>
      <c r="EG192" s="383"/>
      <c r="EH192" s="384"/>
      <c r="EI192" s="384"/>
      <c r="EJ192" s="384"/>
      <c r="EK192" s="383"/>
      <c r="EL192" s="383"/>
      <c r="EM192" s="404"/>
      <c r="EN192" s="383"/>
      <c r="EO192" s="383"/>
      <c r="EP192" s="383"/>
      <c r="EQ192" s="384"/>
      <c r="ER192" s="384"/>
      <c r="ES192" s="384"/>
      <c r="ET192" s="383"/>
      <c r="EU192" s="383"/>
      <c r="EV192" s="404"/>
      <c r="EW192" s="383"/>
      <c r="EX192" s="383"/>
      <c r="EY192" s="383"/>
      <c r="EZ192" s="384"/>
      <c r="FA192" s="384"/>
      <c r="FB192" s="384"/>
      <c r="FC192" s="383"/>
      <c r="FD192" s="383"/>
      <c r="FE192" s="404"/>
      <c r="FF192" s="383"/>
      <c r="FG192" s="383"/>
      <c r="FH192" s="383"/>
      <c r="FI192" s="384"/>
      <c r="FJ192" s="384"/>
      <c r="FK192" s="384"/>
      <c r="FL192" s="383"/>
      <c r="FM192" s="383"/>
      <c r="FN192" s="404"/>
      <c r="FO192" s="383"/>
      <c r="FP192" s="383"/>
      <c r="FQ192" s="383"/>
      <c r="FR192" s="384"/>
      <c r="FS192" s="384"/>
      <c r="FT192" s="384"/>
      <c r="FU192" s="383"/>
      <c r="FV192" s="383"/>
      <c r="FW192" s="404"/>
      <c r="FX192" s="383"/>
      <c r="FY192" s="383"/>
      <c r="FZ192" s="383"/>
      <c r="GA192" s="384"/>
      <c r="GB192" s="384"/>
      <c r="GC192" s="384"/>
      <c r="GD192" s="383"/>
      <c r="GE192" s="383"/>
      <c r="GF192" s="404"/>
      <c r="GG192" s="383"/>
      <c r="GH192" s="383"/>
      <c r="GI192" s="383"/>
      <c r="GJ192" s="384"/>
      <c r="GK192" s="384"/>
      <c r="GL192" s="384"/>
      <c r="GM192" s="383"/>
      <c r="GN192" s="383"/>
      <c r="GO192" s="404"/>
      <c r="GP192" s="383"/>
      <c r="GQ192" s="383"/>
      <c r="GR192" s="383"/>
      <c r="GS192" s="384"/>
      <c r="GT192" s="384"/>
      <c r="GU192" s="384"/>
      <c r="GV192" s="383"/>
      <c r="GW192" s="383"/>
      <c r="GX192" s="404"/>
      <c r="GY192" s="383"/>
      <c r="GZ192" s="383"/>
      <c r="HA192" s="383"/>
      <c r="HB192" s="384"/>
      <c r="HC192" s="384"/>
      <c r="HD192" s="384"/>
      <c r="HE192" s="383"/>
      <c r="HF192" s="383"/>
      <c r="HG192" s="404"/>
      <c r="HH192" s="383"/>
      <c r="HI192" s="383"/>
      <c r="HJ192" s="383"/>
      <c r="HK192" s="384"/>
      <c r="HL192" s="384"/>
      <c r="HM192" s="384"/>
      <c r="HN192" s="383"/>
      <c r="HO192" s="383"/>
      <c r="HP192" s="404"/>
      <c r="HQ192" s="383"/>
      <c r="HR192" s="383"/>
      <c r="HS192" s="383"/>
    </row>
    <row r="193" spans="1:227" s="399" customFormat="1" ht="17" outlineLevel="1" x14ac:dyDescent="0.2">
      <c r="A193" s="654" t="s">
        <v>376</v>
      </c>
      <c r="B193" s="655"/>
      <c r="C193" s="655"/>
      <c r="D193" s="655"/>
      <c r="E193" s="655"/>
      <c r="F193" s="655"/>
      <c r="G193" s="383"/>
      <c r="H193" s="655"/>
      <c r="I193" s="655"/>
      <c r="J193" s="655"/>
      <c r="K193" s="655"/>
    </row>
    <row r="194" spans="1:227" s="399" customFormat="1" outlineLevel="1" x14ac:dyDescent="0.2">
      <c r="A194" s="400"/>
      <c r="B194" s="401"/>
      <c r="C194" s="401"/>
      <c r="D194" s="401"/>
      <c r="E194" s="401"/>
      <c r="F194" s="401"/>
      <c r="G194" s="401"/>
      <c r="H194" s="401"/>
      <c r="I194" s="401"/>
      <c r="J194" s="401"/>
      <c r="K194" s="401"/>
    </row>
    <row r="195" spans="1:227" s="393" customFormat="1" ht="39" customHeight="1" outlineLevel="1" x14ac:dyDescent="0.2">
      <c r="A195" s="402"/>
      <c r="B195" s="403"/>
      <c r="C195" s="390"/>
      <c r="D195" s="392"/>
      <c r="E195" s="392"/>
      <c r="F195" s="367"/>
      <c r="G195" s="367"/>
      <c r="H195" s="367"/>
      <c r="I195" s="367"/>
      <c r="J195" s="367"/>
    </row>
    <row r="196" spans="1:227" s="393" customFormat="1" ht="20" customHeight="1" outlineLevel="2" x14ac:dyDescent="0.2">
      <c r="A196" s="390"/>
      <c r="B196" s="391"/>
      <c r="C196" s="390"/>
      <c r="D196" s="392"/>
      <c r="E196" s="392"/>
      <c r="F196" s="367"/>
      <c r="G196" s="367">
        <f t="shared" ref="G196:G201" si="69">(D196*E196*F196)</f>
        <v>0</v>
      </c>
      <c r="H196" s="367">
        <f t="shared" ref="H196:H202" si="70">G196/$K$3</f>
        <v>0</v>
      </c>
      <c r="I196" s="367">
        <f>H196</f>
        <v>0</v>
      </c>
      <c r="J196" s="367"/>
    </row>
    <row r="197" spans="1:227" s="393" customFormat="1" ht="20" customHeight="1" outlineLevel="2" x14ac:dyDescent="0.2">
      <c r="A197" s="390"/>
      <c r="B197" s="391"/>
      <c r="C197" s="390"/>
      <c r="D197" s="392"/>
      <c r="E197" s="392"/>
      <c r="F197" s="367"/>
      <c r="G197" s="367">
        <f t="shared" si="69"/>
        <v>0</v>
      </c>
      <c r="H197" s="367">
        <f t="shared" si="70"/>
        <v>0</v>
      </c>
      <c r="I197" s="367">
        <f t="shared" ref="I197:I202" si="71">H197</f>
        <v>0</v>
      </c>
      <c r="J197" s="367"/>
    </row>
    <row r="198" spans="1:227" s="393" customFormat="1" ht="20" customHeight="1" outlineLevel="2" x14ac:dyDescent="0.2">
      <c r="A198" s="390"/>
      <c r="B198" s="391"/>
      <c r="C198" s="390"/>
      <c r="D198" s="392"/>
      <c r="E198" s="392"/>
      <c r="F198" s="367"/>
      <c r="G198" s="367">
        <f t="shared" si="69"/>
        <v>0</v>
      </c>
      <c r="H198" s="367">
        <f t="shared" si="70"/>
        <v>0</v>
      </c>
      <c r="I198" s="367">
        <f t="shared" si="71"/>
        <v>0</v>
      </c>
      <c r="J198" s="367"/>
    </row>
    <row r="199" spans="1:227" s="393" customFormat="1" ht="20" customHeight="1" outlineLevel="2" x14ac:dyDescent="0.2">
      <c r="A199" s="390"/>
      <c r="B199" s="391"/>
      <c r="C199" s="390"/>
      <c r="D199" s="392"/>
      <c r="E199" s="392"/>
      <c r="F199" s="367"/>
      <c r="G199" s="367">
        <f t="shared" si="69"/>
        <v>0</v>
      </c>
      <c r="H199" s="367">
        <f t="shared" si="70"/>
        <v>0</v>
      </c>
      <c r="I199" s="367">
        <f t="shared" si="71"/>
        <v>0</v>
      </c>
      <c r="J199" s="367"/>
    </row>
    <row r="200" spans="1:227" s="393" customFormat="1" ht="20" customHeight="1" outlineLevel="2" x14ac:dyDescent="0.2">
      <c r="A200" s="390"/>
      <c r="B200" s="391"/>
      <c r="C200" s="390"/>
      <c r="D200" s="392"/>
      <c r="E200" s="392"/>
      <c r="F200" s="367"/>
      <c r="G200" s="367">
        <f t="shared" si="69"/>
        <v>0</v>
      </c>
      <c r="H200" s="367">
        <f t="shared" si="70"/>
        <v>0</v>
      </c>
      <c r="I200" s="367">
        <f t="shared" si="71"/>
        <v>0</v>
      </c>
      <c r="J200" s="367"/>
    </row>
    <row r="201" spans="1:227" s="393" customFormat="1" ht="20" customHeight="1" outlineLevel="2" x14ac:dyDescent="0.2">
      <c r="A201" s="390"/>
      <c r="B201" s="391"/>
      <c r="C201" s="390"/>
      <c r="D201" s="392"/>
      <c r="E201" s="392"/>
      <c r="F201" s="367"/>
      <c r="G201" s="367">
        <f t="shared" si="69"/>
        <v>0</v>
      </c>
      <c r="H201" s="367">
        <f t="shared" si="70"/>
        <v>0</v>
      </c>
      <c r="I201" s="367">
        <f t="shared" si="71"/>
        <v>0</v>
      </c>
      <c r="J201" s="367"/>
    </row>
    <row r="202" spans="1:227" s="393" customFormat="1" ht="20" customHeight="1" outlineLevel="2" x14ac:dyDescent="0.2">
      <c r="A202" s="390"/>
      <c r="B202" s="391"/>
      <c r="C202" s="390"/>
      <c r="D202" s="392"/>
      <c r="E202" s="392"/>
      <c r="F202" s="367"/>
      <c r="G202" s="367">
        <f>(D202*E202*F202)</f>
        <v>0</v>
      </c>
      <c r="H202" s="367">
        <f t="shared" si="70"/>
        <v>0</v>
      </c>
      <c r="I202" s="367">
        <f t="shared" si="71"/>
        <v>0</v>
      </c>
      <c r="J202" s="367"/>
    </row>
    <row r="203" spans="1:227" s="405" customFormat="1" ht="17" outlineLevel="1" x14ac:dyDescent="0.2">
      <c r="A203" s="378" t="s">
        <v>288</v>
      </c>
      <c r="B203" s="379"/>
      <c r="C203" s="379"/>
      <c r="D203" s="379"/>
      <c r="E203" s="379"/>
      <c r="F203" s="380"/>
      <c r="G203" s="380">
        <f>SUM(G196:G202)</f>
        <v>0</v>
      </c>
      <c r="H203" s="379">
        <f>SUM(H196:H202)</f>
        <v>0</v>
      </c>
      <c r="I203" s="380">
        <f>SUM(I196:I202)</f>
        <v>0</v>
      </c>
      <c r="J203" s="380">
        <f>SUM(J196:J202)</f>
        <v>0</v>
      </c>
      <c r="K203" s="382"/>
      <c r="L203" s="384"/>
      <c r="M203" s="384"/>
      <c r="N203" s="384"/>
      <c r="O203" s="383"/>
      <c r="P203" s="383"/>
      <c r="Q203" s="404"/>
      <c r="R203" s="383"/>
      <c r="S203" s="383"/>
      <c r="T203" s="383"/>
      <c r="U203" s="384"/>
      <c r="V203" s="384"/>
      <c r="W203" s="384"/>
      <c r="X203" s="383"/>
      <c r="Y203" s="383"/>
      <c r="Z203" s="404"/>
      <c r="AA203" s="383"/>
      <c r="AB203" s="383"/>
      <c r="AC203" s="383"/>
      <c r="AD203" s="384"/>
      <c r="AE203" s="384"/>
      <c r="AF203" s="384"/>
      <c r="AG203" s="383"/>
      <c r="AH203" s="383"/>
      <c r="AI203" s="404"/>
      <c r="AJ203" s="383"/>
      <c r="AK203" s="383"/>
      <c r="AL203" s="383"/>
      <c r="AM203" s="384"/>
      <c r="AN203" s="384"/>
      <c r="AO203" s="384"/>
      <c r="AP203" s="383"/>
      <c r="AQ203" s="383"/>
      <c r="AR203" s="404"/>
      <c r="AS203" s="383"/>
      <c r="AT203" s="383"/>
      <c r="AU203" s="383"/>
      <c r="AV203" s="384"/>
      <c r="AW203" s="384"/>
      <c r="AX203" s="384"/>
      <c r="AY203" s="383"/>
      <c r="AZ203" s="383"/>
      <c r="BA203" s="404"/>
      <c r="BB203" s="383"/>
      <c r="BC203" s="383"/>
      <c r="BD203" s="383"/>
      <c r="BE203" s="384"/>
      <c r="BF203" s="384"/>
      <c r="BG203" s="384"/>
      <c r="BH203" s="383"/>
      <c r="BI203" s="383"/>
      <c r="BJ203" s="404"/>
      <c r="BK203" s="383"/>
      <c r="BL203" s="383"/>
      <c r="BM203" s="383"/>
      <c r="BN203" s="384"/>
      <c r="BO203" s="384"/>
      <c r="BP203" s="384"/>
      <c r="BQ203" s="383"/>
      <c r="BR203" s="383"/>
      <c r="BS203" s="404"/>
      <c r="BT203" s="383"/>
      <c r="BU203" s="383"/>
      <c r="BV203" s="383"/>
      <c r="BW203" s="384"/>
      <c r="BX203" s="384"/>
      <c r="BY203" s="384"/>
      <c r="BZ203" s="383"/>
      <c r="CA203" s="383"/>
      <c r="CB203" s="404"/>
      <c r="CC203" s="383"/>
      <c r="CD203" s="383"/>
      <c r="CE203" s="383"/>
      <c r="CF203" s="384"/>
      <c r="CG203" s="384"/>
      <c r="CH203" s="384"/>
      <c r="CI203" s="383"/>
      <c r="CJ203" s="383"/>
      <c r="CK203" s="404"/>
      <c r="CL203" s="383"/>
      <c r="CM203" s="383"/>
      <c r="CN203" s="383"/>
      <c r="CO203" s="384"/>
      <c r="CP203" s="384"/>
      <c r="CQ203" s="384"/>
      <c r="CR203" s="383"/>
      <c r="CS203" s="383"/>
      <c r="CT203" s="404"/>
      <c r="CU203" s="383"/>
      <c r="CV203" s="383"/>
      <c r="CW203" s="383"/>
      <c r="CX203" s="384"/>
      <c r="CY203" s="384"/>
      <c r="CZ203" s="384"/>
      <c r="DA203" s="383"/>
      <c r="DB203" s="383"/>
      <c r="DC203" s="404"/>
      <c r="DD203" s="383"/>
      <c r="DE203" s="383"/>
      <c r="DF203" s="383"/>
      <c r="DG203" s="384"/>
      <c r="DH203" s="384"/>
      <c r="DI203" s="384"/>
      <c r="DJ203" s="383"/>
      <c r="DK203" s="383"/>
      <c r="DL203" s="404"/>
      <c r="DM203" s="383"/>
      <c r="DN203" s="383"/>
      <c r="DO203" s="383"/>
      <c r="DP203" s="384"/>
      <c r="DQ203" s="384"/>
      <c r="DR203" s="384"/>
      <c r="DS203" s="383"/>
      <c r="DT203" s="383"/>
      <c r="DU203" s="404"/>
      <c r="DV203" s="383"/>
      <c r="DW203" s="383"/>
      <c r="DX203" s="383"/>
      <c r="DY203" s="384"/>
      <c r="DZ203" s="384"/>
      <c r="EA203" s="384"/>
      <c r="EB203" s="383"/>
      <c r="EC203" s="383"/>
      <c r="ED203" s="404"/>
      <c r="EE203" s="383"/>
      <c r="EF203" s="383"/>
      <c r="EG203" s="383"/>
      <c r="EH203" s="384"/>
      <c r="EI203" s="384"/>
      <c r="EJ203" s="384"/>
      <c r="EK203" s="383"/>
      <c r="EL203" s="383"/>
      <c r="EM203" s="404"/>
      <c r="EN203" s="383"/>
      <c r="EO203" s="383"/>
      <c r="EP203" s="383"/>
      <c r="EQ203" s="384"/>
      <c r="ER203" s="384"/>
      <c r="ES203" s="384"/>
      <c r="ET203" s="383"/>
      <c r="EU203" s="383"/>
      <c r="EV203" s="404"/>
      <c r="EW203" s="383"/>
      <c r="EX203" s="383"/>
      <c r="EY203" s="383"/>
      <c r="EZ203" s="384"/>
      <c r="FA203" s="384"/>
      <c r="FB203" s="384"/>
      <c r="FC203" s="383"/>
      <c r="FD203" s="383"/>
      <c r="FE203" s="404"/>
      <c r="FF203" s="383"/>
      <c r="FG203" s="383"/>
      <c r="FH203" s="383"/>
      <c r="FI203" s="384"/>
      <c r="FJ203" s="384"/>
      <c r="FK203" s="384"/>
      <c r="FL203" s="383"/>
      <c r="FM203" s="383"/>
      <c r="FN203" s="404"/>
      <c r="FO203" s="383"/>
      <c r="FP203" s="383"/>
      <c r="FQ203" s="383"/>
      <c r="FR203" s="384"/>
      <c r="FS203" s="384"/>
      <c r="FT203" s="384"/>
      <c r="FU203" s="383"/>
      <c r="FV203" s="383"/>
      <c r="FW203" s="404"/>
      <c r="FX203" s="383"/>
      <c r="FY203" s="383"/>
      <c r="FZ203" s="383"/>
      <c r="GA203" s="384"/>
      <c r="GB203" s="384"/>
      <c r="GC203" s="384"/>
      <c r="GD203" s="383"/>
      <c r="GE203" s="383"/>
      <c r="GF203" s="404"/>
      <c r="GG203" s="383"/>
      <c r="GH203" s="383"/>
      <c r="GI203" s="383"/>
      <c r="GJ203" s="384"/>
      <c r="GK203" s="384"/>
      <c r="GL203" s="384"/>
      <c r="GM203" s="383"/>
      <c r="GN203" s="383"/>
      <c r="GO203" s="404"/>
      <c r="GP203" s="383"/>
      <c r="GQ203" s="383"/>
      <c r="GR203" s="383"/>
      <c r="GS203" s="384"/>
      <c r="GT203" s="384"/>
      <c r="GU203" s="384"/>
      <c r="GV203" s="383"/>
      <c r="GW203" s="383"/>
      <c r="GX203" s="404"/>
      <c r="GY203" s="383"/>
      <c r="GZ203" s="383"/>
      <c r="HA203" s="383"/>
      <c r="HB203" s="384"/>
      <c r="HC203" s="384"/>
      <c r="HD203" s="384"/>
      <c r="HE203" s="383"/>
      <c r="HF203" s="383"/>
      <c r="HG203" s="404"/>
      <c r="HH203" s="383"/>
      <c r="HI203" s="383"/>
      <c r="HJ203" s="383"/>
      <c r="HK203" s="384"/>
      <c r="HL203" s="384"/>
      <c r="HM203" s="384"/>
      <c r="HN203" s="383"/>
      <c r="HO203" s="383"/>
      <c r="HP203" s="404"/>
      <c r="HQ203" s="383"/>
      <c r="HR203" s="383"/>
      <c r="HS203" s="383"/>
    </row>
    <row r="204" spans="1:227" s="393" customFormat="1" ht="39" customHeight="1" outlineLevel="1" x14ac:dyDescent="0.2">
      <c r="A204" s="402"/>
      <c r="B204" s="402"/>
      <c r="C204" s="390"/>
      <c r="D204" s="392"/>
      <c r="E204" s="392"/>
      <c r="F204" s="367"/>
      <c r="G204" s="367"/>
      <c r="H204" s="367"/>
      <c r="I204" s="367"/>
      <c r="J204" s="367"/>
    </row>
    <row r="205" spans="1:227" s="393" customFormat="1" ht="20" customHeight="1" outlineLevel="2" x14ac:dyDescent="0.2">
      <c r="A205" s="390"/>
      <c r="B205" s="391"/>
      <c r="C205" s="390"/>
      <c r="D205" s="392"/>
      <c r="E205" s="392"/>
      <c r="F205" s="367"/>
      <c r="G205" s="367">
        <f t="shared" ref="G205:G210" si="72">(D205*E205*F205)</f>
        <v>0</v>
      </c>
      <c r="H205" s="367">
        <f t="shared" ref="H205:H211" si="73">G205/$K$3</f>
        <v>0</v>
      </c>
      <c r="I205" s="367">
        <f>H205</f>
        <v>0</v>
      </c>
      <c r="J205" s="367"/>
    </row>
    <row r="206" spans="1:227" s="393" customFormat="1" ht="20" customHeight="1" outlineLevel="2" x14ac:dyDescent="0.2">
      <c r="A206" s="390"/>
      <c r="B206" s="391"/>
      <c r="C206" s="390"/>
      <c r="D206" s="392"/>
      <c r="E206" s="392"/>
      <c r="F206" s="367"/>
      <c r="G206" s="367">
        <f t="shared" si="72"/>
        <v>0</v>
      </c>
      <c r="H206" s="367">
        <f t="shared" si="73"/>
        <v>0</v>
      </c>
      <c r="I206" s="367">
        <f t="shared" ref="I206:I211" si="74">H206</f>
        <v>0</v>
      </c>
      <c r="J206" s="367"/>
    </row>
    <row r="207" spans="1:227" s="393" customFormat="1" ht="20" customHeight="1" outlineLevel="2" x14ac:dyDescent="0.2">
      <c r="A207" s="390"/>
      <c r="B207" s="391"/>
      <c r="C207" s="390"/>
      <c r="D207" s="392"/>
      <c r="E207" s="392"/>
      <c r="F207" s="367"/>
      <c r="G207" s="367">
        <f t="shared" si="72"/>
        <v>0</v>
      </c>
      <c r="H207" s="367">
        <f t="shared" si="73"/>
        <v>0</v>
      </c>
      <c r="I207" s="367">
        <f t="shared" si="74"/>
        <v>0</v>
      </c>
      <c r="J207" s="367"/>
    </row>
    <row r="208" spans="1:227" s="393" customFormat="1" ht="20" customHeight="1" outlineLevel="2" x14ac:dyDescent="0.2">
      <c r="A208" s="390"/>
      <c r="B208" s="391"/>
      <c r="C208" s="390"/>
      <c r="D208" s="392"/>
      <c r="E208" s="392"/>
      <c r="F208" s="367"/>
      <c r="G208" s="367">
        <f t="shared" si="72"/>
        <v>0</v>
      </c>
      <c r="H208" s="367">
        <f t="shared" si="73"/>
        <v>0</v>
      </c>
      <c r="I208" s="367">
        <f t="shared" si="74"/>
        <v>0</v>
      </c>
      <c r="J208" s="367"/>
    </row>
    <row r="209" spans="1:227" s="393" customFormat="1" ht="20" customHeight="1" outlineLevel="2" x14ac:dyDescent="0.2">
      <c r="A209" s="390"/>
      <c r="B209" s="391"/>
      <c r="C209" s="390"/>
      <c r="D209" s="392"/>
      <c r="E209" s="392"/>
      <c r="F209" s="367"/>
      <c r="G209" s="367">
        <f t="shared" si="72"/>
        <v>0</v>
      </c>
      <c r="H209" s="367">
        <f t="shared" si="73"/>
        <v>0</v>
      </c>
      <c r="I209" s="367">
        <f t="shared" si="74"/>
        <v>0</v>
      </c>
      <c r="J209" s="367"/>
    </row>
    <row r="210" spans="1:227" s="393" customFormat="1" ht="20" customHeight="1" outlineLevel="2" x14ac:dyDescent="0.2">
      <c r="A210" s="390"/>
      <c r="B210" s="391"/>
      <c r="C210" s="390"/>
      <c r="D210" s="392"/>
      <c r="E210" s="392"/>
      <c r="F210" s="367"/>
      <c r="G210" s="367">
        <f t="shared" si="72"/>
        <v>0</v>
      </c>
      <c r="H210" s="367">
        <f t="shared" si="73"/>
        <v>0</v>
      </c>
      <c r="I210" s="367">
        <f t="shared" si="74"/>
        <v>0</v>
      </c>
      <c r="J210" s="367"/>
    </row>
    <row r="211" spans="1:227" s="393" customFormat="1" ht="20" customHeight="1" outlineLevel="2" x14ac:dyDescent="0.2">
      <c r="A211" s="390"/>
      <c r="B211" s="391"/>
      <c r="C211" s="390"/>
      <c r="D211" s="392"/>
      <c r="E211" s="392"/>
      <c r="F211" s="367"/>
      <c r="G211" s="367">
        <f>(D211*E211*F211)</f>
        <v>0</v>
      </c>
      <c r="H211" s="367">
        <f t="shared" si="73"/>
        <v>0</v>
      </c>
      <c r="I211" s="367">
        <f t="shared" si="74"/>
        <v>0</v>
      </c>
      <c r="J211" s="367"/>
    </row>
    <row r="212" spans="1:227" s="405" customFormat="1" ht="17" outlineLevel="1" x14ac:dyDescent="0.2">
      <c r="A212" s="378" t="s">
        <v>288</v>
      </c>
      <c r="B212" s="379"/>
      <c r="C212" s="379"/>
      <c r="D212" s="379"/>
      <c r="E212" s="379"/>
      <c r="F212" s="380"/>
      <c r="G212" s="380">
        <f>SUM(G205:G211)</f>
        <v>0</v>
      </c>
      <c r="H212" s="379">
        <f>SUM(H205:H211)</f>
        <v>0</v>
      </c>
      <c r="I212" s="380">
        <f>SUM(I205:I211)</f>
        <v>0</v>
      </c>
      <c r="J212" s="380">
        <f>SUM(J205:J211)</f>
        <v>0</v>
      </c>
      <c r="K212" s="382"/>
      <c r="L212" s="384"/>
      <c r="M212" s="384"/>
      <c r="N212" s="384"/>
      <c r="O212" s="383"/>
      <c r="P212" s="383"/>
      <c r="Q212" s="404"/>
      <c r="R212" s="383"/>
      <c r="S212" s="383"/>
      <c r="T212" s="383"/>
      <c r="U212" s="384"/>
      <c r="V212" s="384"/>
      <c r="W212" s="384"/>
      <c r="X212" s="383"/>
      <c r="Y212" s="383"/>
      <c r="Z212" s="404"/>
      <c r="AA212" s="383"/>
      <c r="AB212" s="383"/>
      <c r="AC212" s="383"/>
      <c r="AD212" s="384"/>
      <c r="AE212" s="384"/>
      <c r="AF212" s="384"/>
      <c r="AG212" s="383"/>
      <c r="AH212" s="383"/>
      <c r="AI212" s="404"/>
      <c r="AJ212" s="383"/>
      <c r="AK212" s="383"/>
      <c r="AL212" s="383"/>
      <c r="AM212" s="384"/>
      <c r="AN212" s="384"/>
      <c r="AO212" s="384"/>
      <c r="AP212" s="383"/>
      <c r="AQ212" s="383"/>
      <c r="AR212" s="404"/>
      <c r="AS212" s="383"/>
      <c r="AT212" s="383"/>
      <c r="AU212" s="383"/>
      <c r="AV212" s="384"/>
      <c r="AW212" s="384"/>
      <c r="AX212" s="384"/>
      <c r="AY212" s="383"/>
      <c r="AZ212" s="383"/>
      <c r="BA212" s="404"/>
      <c r="BB212" s="383"/>
      <c r="BC212" s="383"/>
      <c r="BD212" s="383"/>
      <c r="BE212" s="384"/>
      <c r="BF212" s="384"/>
      <c r="BG212" s="384"/>
      <c r="BH212" s="383"/>
      <c r="BI212" s="383"/>
      <c r="BJ212" s="404"/>
      <c r="BK212" s="383"/>
      <c r="BL212" s="383"/>
      <c r="BM212" s="383"/>
      <c r="BN212" s="384"/>
      <c r="BO212" s="384"/>
      <c r="BP212" s="384"/>
      <c r="BQ212" s="383"/>
      <c r="BR212" s="383"/>
      <c r="BS212" s="404"/>
      <c r="BT212" s="383"/>
      <c r="BU212" s="383"/>
      <c r="BV212" s="383"/>
      <c r="BW212" s="384"/>
      <c r="BX212" s="384"/>
      <c r="BY212" s="384"/>
      <c r="BZ212" s="383"/>
      <c r="CA212" s="383"/>
      <c r="CB212" s="404"/>
      <c r="CC212" s="383"/>
      <c r="CD212" s="383"/>
      <c r="CE212" s="383"/>
      <c r="CF212" s="384"/>
      <c r="CG212" s="384"/>
      <c r="CH212" s="384"/>
      <c r="CI212" s="383"/>
      <c r="CJ212" s="383"/>
      <c r="CK212" s="404"/>
      <c r="CL212" s="383"/>
      <c r="CM212" s="383"/>
      <c r="CN212" s="383"/>
      <c r="CO212" s="384"/>
      <c r="CP212" s="384"/>
      <c r="CQ212" s="384"/>
      <c r="CR212" s="383"/>
      <c r="CS212" s="383"/>
      <c r="CT212" s="404"/>
      <c r="CU212" s="383"/>
      <c r="CV212" s="383"/>
      <c r="CW212" s="383"/>
      <c r="CX212" s="384"/>
      <c r="CY212" s="384"/>
      <c r="CZ212" s="384"/>
      <c r="DA212" s="383"/>
      <c r="DB212" s="383"/>
      <c r="DC212" s="404"/>
      <c r="DD212" s="383"/>
      <c r="DE212" s="383"/>
      <c r="DF212" s="383"/>
      <c r="DG212" s="384"/>
      <c r="DH212" s="384"/>
      <c r="DI212" s="384"/>
      <c r="DJ212" s="383"/>
      <c r="DK212" s="383"/>
      <c r="DL212" s="404"/>
      <c r="DM212" s="383"/>
      <c r="DN212" s="383"/>
      <c r="DO212" s="383"/>
      <c r="DP212" s="384"/>
      <c r="DQ212" s="384"/>
      <c r="DR212" s="384"/>
      <c r="DS212" s="383"/>
      <c r="DT212" s="383"/>
      <c r="DU212" s="404"/>
      <c r="DV212" s="383"/>
      <c r="DW212" s="383"/>
      <c r="DX212" s="383"/>
      <c r="DY212" s="384"/>
      <c r="DZ212" s="384"/>
      <c r="EA212" s="384"/>
      <c r="EB212" s="383"/>
      <c r="EC212" s="383"/>
      <c r="ED212" s="404"/>
      <c r="EE212" s="383"/>
      <c r="EF212" s="383"/>
      <c r="EG212" s="383"/>
      <c r="EH212" s="384"/>
      <c r="EI212" s="384"/>
      <c r="EJ212" s="384"/>
      <c r="EK212" s="383"/>
      <c r="EL212" s="383"/>
      <c r="EM212" s="404"/>
      <c r="EN212" s="383"/>
      <c r="EO212" s="383"/>
      <c r="EP212" s="383"/>
      <c r="EQ212" s="384"/>
      <c r="ER212" s="384"/>
      <c r="ES212" s="384"/>
      <c r="ET212" s="383"/>
      <c r="EU212" s="383"/>
      <c r="EV212" s="404"/>
      <c r="EW212" s="383"/>
      <c r="EX212" s="383"/>
      <c r="EY212" s="383"/>
      <c r="EZ212" s="384"/>
      <c r="FA212" s="384"/>
      <c r="FB212" s="384"/>
      <c r="FC212" s="383"/>
      <c r="FD212" s="383"/>
      <c r="FE212" s="404"/>
      <c r="FF212" s="383"/>
      <c r="FG212" s="383"/>
      <c r="FH212" s="383"/>
      <c r="FI212" s="384"/>
      <c r="FJ212" s="384"/>
      <c r="FK212" s="384"/>
      <c r="FL212" s="383"/>
      <c r="FM212" s="383"/>
      <c r="FN212" s="404"/>
      <c r="FO212" s="383"/>
      <c r="FP212" s="383"/>
      <c r="FQ212" s="383"/>
      <c r="FR212" s="384"/>
      <c r="FS212" s="384"/>
      <c r="FT212" s="384"/>
      <c r="FU212" s="383"/>
      <c r="FV212" s="383"/>
      <c r="FW212" s="404"/>
      <c r="FX212" s="383"/>
      <c r="FY212" s="383"/>
      <c r="FZ212" s="383"/>
      <c r="GA212" s="384"/>
      <c r="GB212" s="384"/>
      <c r="GC212" s="384"/>
      <c r="GD212" s="383"/>
      <c r="GE212" s="383"/>
      <c r="GF212" s="404"/>
      <c r="GG212" s="383"/>
      <c r="GH212" s="383"/>
      <c r="GI212" s="383"/>
      <c r="GJ212" s="384"/>
      <c r="GK212" s="384"/>
      <c r="GL212" s="384"/>
      <c r="GM212" s="383"/>
      <c r="GN212" s="383"/>
      <c r="GO212" s="404"/>
      <c r="GP212" s="383"/>
      <c r="GQ212" s="383"/>
      <c r="GR212" s="383"/>
      <c r="GS212" s="384"/>
      <c r="GT212" s="384"/>
      <c r="GU212" s="384"/>
      <c r="GV212" s="383"/>
      <c r="GW212" s="383"/>
      <c r="GX212" s="404"/>
      <c r="GY212" s="383"/>
      <c r="GZ212" s="383"/>
      <c r="HA212" s="383"/>
      <c r="HB212" s="384"/>
      <c r="HC212" s="384"/>
      <c r="HD212" s="384"/>
      <c r="HE212" s="383"/>
      <c r="HF212" s="383"/>
      <c r="HG212" s="404"/>
      <c r="HH212" s="383"/>
      <c r="HI212" s="383"/>
      <c r="HJ212" s="383"/>
      <c r="HK212" s="384"/>
      <c r="HL212" s="384"/>
      <c r="HM212" s="384"/>
      <c r="HN212" s="383"/>
      <c r="HO212" s="383"/>
      <c r="HP212" s="404"/>
      <c r="HQ212" s="383"/>
      <c r="HR212" s="383"/>
      <c r="HS212" s="383"/>
    </row>
    <row r="213" spans="1:227" s="393" customFormat="1" ht="39" customHeight="1" outlineLevel="1" x14ac:dyDescent="0.2">
      <c r="A213" s="402"/>
      <c r="B213" s="402"/>
      <c r="C213" s="390"/>
      <c r="D213" s="392"/>
      <c r="E213" s="392"/>
      <c r="F213" s="367"/>
      <c r="G213" s="367"/>
      <c r="H213" s="367"/>
      <c r="I213" s="367"/>
      <c r="J213" s="367"/>
    </row>
    <row r="214" spans="1:227" s="393" customFormat="1" ht="20" customHeight="1" outlineLevel="2" x14ac:dyDescent="0.2">
      <c r="A214" s="390"/>
      <c r="B214" s="391"/>
      <c r="C214" s="390"/>
      <c r="D214" s="392"/>
      <c r="E214" s="392"/>
      <c r="F214" s="367"/>
      <c r="G214" s="367">
        <f t="shared" ref="G214:G219" si="75">(D214*E214*F214)</f>
        <v>0</v>
      </c>
      <c r="H214" s="367">
        <f t="shared" ref="H214:H220" si="76">G214/$K$3</f>
        <v>0</v>
      </c>
      <c r="I214" s="367">
        <f>H214</f>
        <v>0</v>
      </c>
      <c r="J214" s="367"/>
    </row>
    <row r="215" spans="1:227" s="393" customFormat="1" ht="20" customHeight="1" outlineLevel="2" x14ac:dyDescent="0.2">
      <c r="A215" s="390"/>
      <c r="B215" s="391"/>
      <c r="C215" s="390"/>
      <c r="D215" s="392"/>
      <c r="E215" s="392"/>
      <c r="F215" s="367"/>
      <c r="G215" s="367">
        <f t="shared" si="75"/>
        <v>0</v>
      </c>
      <c r="H215" s="367">
        <f t="shared" si="76"/>
        <v>0</v>
      </c>
      <c r="I215" s="367">
        <f t="shared" ref="I215:I220" si="77">H215</f>
        <v>0</v>
      </c>
      <c r="J215" s="367"/>
    </row>
    <row r="216" spans="1:227" s="393" customFormat="1" ht="20" customHeight="1" outlineLevel="2" x14ac:dyDescent="0.2">
      <c r="A216" s="390"/>
      <c r="B216" s="391"/>
      <c r="C216" s="390"/>
      <c r="D216" s="392"/>
      <c r="E216" s="392"/>
      <c r="F216" s="367"/>
      <c r="G216" s="367">
        <f t="shared" si="75"/>
        <v>0</v>
      </c>
      <c r="H216" s="367">
        <f t="shared" si="76"/>
        <v>0</v>
      </c>
      <c r="I216" s="367">
        <f t="shared" si="77"/>
        <v>0</v>
      </c>
      <c r="J216" s="367"/>
    </row>
    <row r="217" spans="1:227" s="393" customFormat="1" ht="20" customHeight="1" outlineLevel="2" x14ac:dyDescent="0.2">
      <c r="A217" s="390"/>
      <c r="B217" s="391"/>
      <c r="C217" s="390"/>
      <c r="D217" s="392"/>
      <c r="E217" s="392"/>
      <c r="F217" s="367"/>
      <c r="G217" s="367">
        <f t="shared" si="75"/>
        <v>0</v>
      </c>
      <c r="H217" s="367">
        <f t="shared" si="76"/>
        <v>0</v>
      </c>
      <c r="I217" s="367">
        <f t="shared" si="77"/>
        <v>0</v>
      </c>
      <c r="J217" s="367"/>
    </row>
    <row r="218" spans="1:227" s="393" customFormat="1" ht="20" customHeight="1" outlineLevel="2" x14ac:dyDescent="0.2">
      <c r="A218" s="390"/>
      <c r="B218" s="391"/>
      <c r="C218" s="390"/>
      <c r="D218" s="392"/>
      <c r="E218" s="392"/>
      <c r="F218" s="367"/>
      <c r="G218" s="367">
        <f t="shared" si="75"/>
        <v>0</v>
      </c>
      <c r="H218" s="367">
        <f t="shared" si="76"/>
        <v>0</v>
      </c>
      <c r="I218" s="367">
        <f t="shared" si="77"/>
        <v>0</v>
      </c>
      <c r="J218" s="367"/>
    </row>
    <row r="219" spans="1:227" s="393" customFormat="1" ht="20" customHeight="1" outlineLevel="2" x14ac:dyDescent="0.2">
      <c r="A219" s="390"/>
      <c r="B219" s="391"/>
      <c r="C219" s="390"/>
      <c r="D219" s="392"/>
      <c r="E219" s="392"/>
      <c r="F219" s="367"/>
      <c r="G219" s="367">
        <f t="shared" si="75"/>
        <v>0</v>
      </c>
      <c r="H219" s="367">
        <f t="shared" si="76"/>
        <v>0</v>
      </c>
      <c r="I219" s="367">
        <f t="shared" si="77"/>
        <v>0</v>
      </c>
      <c r="J219" s="367"/>
    </row>
    <row r="220" spans="1:227" s="393" customFormat="1" ht="20" customHeight="1" outlineLevel="2" x14ac:dyDescent="0.2">
      <c r="A220" s="390"/>
      <c r="B220" s="391"/>
      <c r="C220" s="390"/>
      <c r="D220" s="392"/>
      <c r="E220" s="392"/>
      <c r="F220" s="367"/>
      <c r="G220" s="367">
        <f>(D220*E220*F220)</f>
        <v>0</v>
      </c>
      <c r="H220" s="367">
        <f t="shared" si="76"/>
        <v>0</v>
      </c>
      <c r="I220" s="367">
        <f t="shared" si="77"/>
        <v>0</v>
      </c>
      <c r="J220" s="367"/>
    </row>
    <row r="221" spans="1:227" s="405" customFormat="1" ht="17" outlineLevel="1" x14ac:dyDescent="0.2">
      <c r="A221" s="378" t="s">
        <v>288</v>
      </c>
      <c r="B221" s="379"/>
      <c r="C221" s="379"/>
      <c r="D221" s="379"/>
      <c r="E221" s="379"/>
      <c r="F221" s="380"/>
      <c r="G221" s="380">
        <f>SUM(G214:G220)</f>
        <v>0</v>
      </c>
      <c r="H221" s="379">
        <f>SUM(H214:H220)</f>
        <v>0</v>
      </c>
      <c r="I221" s="380">
        <f>SUM(I214:I220)</f>
        <v>0</v>
      </c>
      <c r="J221" s="380">
        <f>SUM(J214:J220)</f>
        <v>0</v>
      </c>
      <c r="K221" s="382"/>
      <c r="L221" s="384"/>
      <c r="M221" s="384"/>
      <c r="N221" s="384"/>
      <c r="O221" s="383"/>
      <c r="P221" s="383"/>
      <c r="Q221" s="404"/>
      <c r="R221" s="383"/>
      <c r="S221" s="383"/>
      <c r="T221" s="383"/>
      <c r="U221" s="384"/>
      <c r="V221" s="384"/>
      <c r="W221" s="384"/>
      <c r="X221" s="383"/>
      <c r="Y221" s="383"/>
      <c r="Z221" s="404"/>
      <c r="AA221" s="383"/>
      <c r="AB221" s="383"/>
      <c r="AC221" s="383"/>
      <c r="AD221" s="384"/>
      <c r="AE221" s="384"/>
      <c r="AF221" s="384"/>
      <c r="AG221" s="383"/>
      <c r="AH221" s="383"/>
      <c r="AI221" s="404"/>
      <c r="AJ221" s="383"/>
      <c r="AK221" s="383"/>
      <c r="AL221" s="383"/>
      <c r="AM221" s="384"/>
      <c r="AN221" s="384"/>
      <c r="AO221" s="384"/>
      <c r="AP221" s="383"/>
      <c r="AQ221" s="383"/>
      <c r="AR221" s="404"/>
      <c r="AS221" s="383"/>
      <c r="AT221" s="383"/>
      <c r="AU221" s="383"/>
      <c r="AV221" s="384"/>
      <c r="AW221" s="384"/>
      <c r="AX221" s="384"/>
      <c r="AY221" s="383"/>
      <c r="AZ221" s="383"/>
      <c r="BA221" s="404"/>
      <c r="BB221" s="383"/>
      <c r="BC221" s="383"/>
      <c r="BD221" s="383"/>
      <c r="BE221" s="384"/>
      <c r="BF221" s="384"/>
      <c r="BG221" s="384"/>
      <c r="BH221" s="383"/>
      <c r="BI221" s="383"/>
      <c r="BJ221" s="404"/>
      <c r="BK221" s="383"/>
      <c r="BL221" s="383"/>
      <c r="BM221" s="383"/>
      <c r="BN221" s="384"/>
      <c r="BO221" s="384"/>
      <c r="BP221" s="384"/>
      <c r="BQ221" s="383"/>
      <c r="BR221" s="383"/>
      <c r="BS221" s="404"/>
      <c r="BT221" s="383"/>
      <c r="BU221" s="383"/>
      <c r="BV221" s="383"/>
      <c r="BW221" s="384"/>
      <c r="BX221" s="384"/>
      <c r="BY221" s="384"/>
      <c r="BZ221" s="383"/>
      <c r="CA221" s="383"/>
      <c r="CB221" s="404"/>
      <c r="CC221" s="383"/>
      <c r="CD221" s="383"/>
      <c r="CE221" s="383"/>
      <c r="CF221" s="384"/>
      <c r="CG221" s="384"/>
      <c r="CH221" s="384"/>
      <c r="CI221" s="383"/>
      <c r="CJ221" s="383"/>
      <c r="CK221" s="404"/>
      <c r="CL221" s="383"/>
      <c r="CM221" s="383"/>
      <c r="CN221" s="383"/>
      <c r="CO221" s="384"/>
      <c r="CP221" s="384"/>
      <c r="CQ221" s="384"/>
      <c r="CR221" s="383"/>
      <c r="CS221" s="383"/>
      <c r="CT221" s="404"/>
      <c r="CU221" s="383"/>
      <c r="CV221" s="383"/>
      <c r="CW221" s="383"/>
      <c r="CX221" s="384"/>
      <c r="CY221" s="384"/>
      <c r="CZ221" s="384"/>
      <c r="DA221" s="383"/>
      <c r="DB221" s="383"/>
      <c r="DC221" s="404"/>
      <c r="DD221" s="383"/>
      <c r="DE221" s="383"/>
      <c r="DF221" s="383"/>
      <c r="DG221" s="384"/>
      <c r="DH221" s="384"/>
      <c r="DI221" s="384"/>
      <c r="DJ221" s="383"/>
      <c r="DK221" s="383"/>
      <c r="DL221" s="404"/>
      <c r="DM221" s="383"/>
      <c r="DN221" s="383"/>
      <c r="DO221" s="383"/>
      <c r="DP221" s="384"/>
      <c r="DQ221" s="384"/>
      <c r="DR221" s="384"/>
      <c r="DS221" s="383"/>
      <c r="DT221" s="383"/>
      <c r="DU221" s="404"/>
      <c r="DV221" s="383"/>
      <c r="DW221" s="383"/>
      <c r="DX221" s="383"/>
      <c r="DY221" s="384"/>
      <c r="DZ221" s="384"/>
      <c r="EA221" s="384"/>
      <c r="EB221" s="383"/>
      <c r="EC221" s="383"/>
      <c r="ED221" s="404"/>
      <c r="EE221" s="383"/>
      <c r="EF221" s="383"/>
      <c r="EG221" s="383"/>
      <c r="EH221" s="384"/>
      <c r="EI221" s="384"/>
      <c r="EJ221" s="384"/>
      <c r="EK221" s="383"/>
      <c r="EL221" s="383"/>
      <c r="EM221" s="404"/>
      <c r="EN221" s="383"/>
      <c r="EO221" s="383"/>
      <c r="EP221" s="383"/>
      <c r="EQ221" s="384"/>
      <c r="ER221" s="384"/>
      <c r="ES221" s="384"/>
      <c r="ET221" s="383"/>
      <c r="EU221" s="383"/>
      <c r="EV221" s="404"/>
      <c r="EW221" s="383"/>
      <c r="EX221" s="383"/>
      <c r="EY221" s="383"/>
      <c r="EZ221" s="384"/>
      <c r="FA221" s="384"/>
      <c r="FB221" s="384"/>
      <c r="FC221" s="383"/>
      <c r="FD221" s="383"/>
      <c r="FE221" s="404"/>
      <c r="FF221" s="383"/>
      <c r="FG221" s="383"/>
      <c r="FH221" s="383"/>
      <c r="FI221" s="384"/>
      <c r="FJ221" s="384"/>
      <c r="FK221" s="384"/>
      <c r="FL221" s="383"/>
      <c r="FM221" s="383"/>
      <c r="FN221" s="404"/>
      <c r="FO221" s="383"/>
      <c r="FP221" s="383"/>
      <c r="FQ221" s="383"/>
      <c r="FR221" s="384"/>
      <c r="FS221" s="384"/>
      <c r="FT221" s="384"/>
      <c r="FU221" s="383"/>
      <c r="FV221" s="383"/>
      <c r="FW221" s="404"/>
      <c r="FX221" s="383"/>
      <c r="FY221" s="383"/>
      <c r="FZ221" s="383"/>
      <c r="GA221" s="384"/>
      <c r="GB221" s="384"/>
      <c r="GC221" s="384"/>
      <c r="GD221" s="383"/>
      <c r="GE221" s="383"/>
      <c r="GF221" s="404"/>
      <c r="GG221" s="383"/>
      <c r="GH221" s="383"/>
      <c r="GI221" s="383"/>
      <c r="GJ221" s="384"/>
      <c r="GK221" s="384"/>
      <c r="GL221" s="384"/>
      <c r="GM221" s="383"/>
      <c r="GN221" s="383"/>
      <c r="GO221" s="404"/>
      <c r="GP221" s="383"/>
      <c r="GQ221" s="383"/>
      <c r="GR221" s="383"/>
      <c r="GS221" s="384"/>
      <c r="GT221" s="384"/>
      <c r="GU221" s="384"/>
      <c r="GV221" s="383"/>
      <c r="GW221" s="383"/>
      <c r="GX221" s="404"/>
      <c r="GY221" s="383"/>
      <c r="GZ221" s="383"/>
      <c r="HA221" s="383"/>
      <c r="HB221" s="384"/>
      <c r="HC221" s="384"/>
      <c r="HD221" s="384"/>
      <c r="HE221" s="383"/>
      <c r="HF221" s="383"/>
      <c r="HG221" s="404"/>
      <c r="HH221" s="383"/>
      <c r="HI221" s="383"/>
      <c r="HJ221" s="383"/>
      <c r="HK221" s="384"/>
      <c r="HL221" s="384"/>
      <c r="HM221" s="384"/>
      <c r="HN221" s="383"/>
      <c r="HO221" s="383"/>
      <c r="HP221" s="404"/>
      <c r="HQ221" s="383"/>
      <c r="HR221" s="383"/>
      <c r="HS221" s="383"/>
    </row>
    <row r="222" spans="1:227" s="393" customFormat="1" ht="39" customHeight="1" outlineLevel="1" x14ac:dyDescent="0.2">
      <c r="A222" s="402"/>
      <c r="B222" s="402"/>
      <c r="C222" s="390"/>
      <c r="D222" s="392"/>
      <c r="E222" s="392"/>
      <c r="F222" s="367"/>
      <c r="G222" s="367"/>
      <c r="H222" s="367"/>
      <c r="I222" s="367"/>
      <c r="J222" s="367"/>
    </row>
    <row r="223" spans="1:227" s="393" customFormat="1" ht="20" customHeight="1" outlineLevel="2" x14ac:dyDescent="0.2">
      <c r="A223" s="390"/>
      <c r="B223" s="391"/>
      <c r="C223" s="390"/>
      <c r="D223" s="392"/>
      <c r="E223" s="392"/>
      <c r="F223" s="367"/>
      <c r="G223" s="367">
        <f t="shared" ref="G223:G228" si="78">(D223*E223*F223)</f>
        <v>0</v>
      </c>
      <c r="H223" s="367">
        <f t="shared" ref="H223:H229" si="79">G223/$K$3</f>
        <v>0</v>
      </c>
      <c r="I223" s="367">
        <f>H223</f>
        <v>0</v>
      </c>
      <c r="J223" s="367"/>
    </row>
    <row r="224" spans="1:227" s="393" customFormat="1" ht="20" customHeight="1" outlineLevel="2" x14ac:dyDescent="0.2">
      <c r="A224" s="390"/>
      <c r="B224" s="391"/>
      <c r="C224" s="390"/>
      <c r="D224" s="392"/>
      <c r="E224" s="392"/>
      <c r="F224" s="367"/>
      <c r="G224" s="367">
        <f t="shared" si="78"/>
        <v>0</v>
      </c>
      <c r="H224" s="367">
        <f t="shared" si="79"/>
        <v>0</v>
      </c>
      <c r="I224" s="367">
        <f t="shared" ref="I224:I229" si="80">H224</f>
        <v>0</v>
      </c>
      <c r="J224" s="367"/>
    </row>
    <row r="225" spans="1:227" s="393" customFormat="1" ht="20" customHeight="1" outlineLevel="2" x14ac:dyDescent="0.2">
      <c r="A225" s="390"/>
      <c r="B225" s="391"/>
      <c r="C225" s="390"/>
      <c r="D225" s="392"/>
      <c r="E225" s="392"/>
      <c r="F225" s="367"/>
      <c r="G225" s="367">
        <f t="shared" si="78"/>
        <v>0</v>
      </c>
      <c r="H225" s="367">
        <f t="shared" si="79"/>
        <v>0</v>
      </c>
      <c r="I225" s="367">
        <f t="shared" si="80"/>
        <v>0</v>
      </c>
      <c r="J225" s="367"/>
    </row>
    <row r="226" spans="1:227" s="393" customFormat="1" ht="20" customHeight="1" outlineLevel="2" x14ac:dyDescent="0.2">
      <c r="A226" s="390"/>
      <c r="B226" s="391"/>
      <c r="C226" s="390"/>
      <c r="D226" s="392"/>
      <c r="E226" s="392"/>
      <c r="F226" s="367"/>
      <c r="G226" s="367">
        <f t="shared" si="78"/>
        <v>0</v>
      </c>
      <c r="H226" s="367">
        <f t="shared" si="79"/>
        <v>0</v>
      </c>
      <c r="I226" s="367">
        <f t="shared" si="80"/>
        <v>0</v>
      </c>
      <c r="J226" s="367"/>
    </row>
    <row r="227" spans="1:227" s="393" customFormat="1" ht="20" customHeight="1" outlineLevel="2" x14ac:dyDescent="0.2">
      <c r="A227" s="390"/>
      <c r="B227" s="391"/>
      <c r="C227" s="390"/>
      <c r="D227" s="392"/>
      <c r="E227" s="392"/>
      <c r="F227" s="367"/>
      <c r="G227" s="367">
        <f t="shared" si="78"/>
        <v>0</v>
      </c>
      <c r="H227" s="367">
        <f t="shared" si="79"/>
        <v>0</v>
      </c>
      <c r="I227" s="367">
        <f t="shared" si="80"/>
        <v>0</v>
      </c>
      <c r="J227" s="367"/>
    </row>
    <row r="228" spans="1:227" s="393" customFormat="1" ht="20" customHeight="1" outlineLevel="2" x14ac:dyDescent="0.2">
      <c r="A228" s="390"/>
      <c r="B228" s="391"/>
      <c r="C228" s="390"/>
      <c r="D228" s="392"/>
      <c r="E228" s="392"/>
      <c r="F228" s="367"/>
      <c r="G228" s="367">
        <f t="shared" si="78"/>
        <v>0</v>
      </c>
      <c r="H228" s="367">
        <f t="shared" si="79"/>
        <v>0</v>
      </c>
      <c r="I228" s="367">
        <f t="shared" si="80"/>
        <v>0</v>
      </c>
      <c r="J228" s="367"/>
    </row>
    <row r="229" spans="1:227" s="393" customFormat="1" ht="20" customHeight="1" outlineLevel="2" x14ac:dyDescent="0.2">
      <c r="A229" s="390"/>
      <c r="B229" s="391"/>
      <c r="C229" s="390"/>
      <c r="D229" s="392"/>
      <c r="E229" s="392"/>
      <c r="F229" s="367"/>
      <c r="G229" s="367">
        <f>(D229*E229*F229)</f>
        <v>0</v>
      </c>
      <c r="H229" s="367">
        <f t="shared" si="79"/>
        <v>0</v>
      </c>
      <c r="I229" s="367">
        <f t="shared" si="80"/>
        <v>0</v>
      </c>
      <c r="J229" s="367"/>
    </row>
    <row r="230" spans="1:227" s="405" customFormat="1" ht="17" outlineLevel="1" x14ac:dyDescent="0.2">
      <c r="A230" s="378" t="s">
        <v>288</v>
      </c>
      <c r="B230" s="379"/>
      <c r="C230" s="379"/>
      <c r="D230" s="379"/>
      <c r="E230" s="379"/>
      <c r="F230" s="380"/>
      <c r="G230" s="380">
        <f>SUM(G223:G229)</f>
        <v>0</v>
      </c>
      <c r="H230" s="379">
        <f>SUM(H223:H229)</f>
        <v>0</v>
      </c>
      <c r="I230" s="380">
        <f>SUM(I223:I229)</f>
        <v>0</v>
      </c>
      <c r="J230" s="380">
        <f>SUM(J223:J229)</f>
        <v>0</v>
      </c>
      <c r="K230" s="382"/>
      <c r="L230" s="384"/>
      <c r="M230" s="384"/>
      <c r="N230" s="384"/>
      <c r="O230" s="383"/>
      <c r="P230" s="383"/>
      <c r="Q230" s="404"/>
      <c r="R230" s="383"/>
      <c r="S230" s="383"/>
      <c r="T230" s="383"/>
      <c r="U230" s="384"/>
      <c r="V230" s="384"/>
      <c r="W230" s="384"/>
      <c r="X230" s="383"/>
      <c r="Y230" s="383"/>
      <c r="Z230" s="404"/>
      <c r="AA230" s="383"/>
      <c r="AB230" s="383"/>
      <c r="AC230" s="383"/>
      <c r="AD230" s="384"/>
      <c r="AE230" s="384"/>
      <c r="AF230" s="384"/>
      <c r="AG230" s="383"/>
      <c r="AH230" s="383"/>
      <c r="AI230" s="404"/>
      <c r="AJ230" s="383"/>
      <c r="AK230" s="383"/>
      <c r="AL230" s="383"/>
      <c r="AM230" s="384"/>
      <c r="AN230" s="384"/>
      <c r="AO230" s="384"/>
      <c r="AP230" s="383"/>
      <c r="AQ230" s="383"/>
      <c r="AR230" s="404"/>
      <c r="AS230" s="383"/>
      <c r="AT230" s="383"/>
      <c r="AU230" s="383"/>
      <c r="AV230" s="384"/>
      <c r="AW230" s="384"/>
      <c r="AX230" s="384"/>
      <c r="AY230" s="383"/>
      <c r="AZ230" s="383"/>
      <c r="BA230" s="404"/>
      <c r="BB230" s="383"/>
      <c r="BC230" s="383"/>
      <c r="BD230" s="383"/>
      <c r="BE230" s="384"/>
      <c r="BF230" s="384"/>
      <c r="BG230" s="384"/>
      <c r="BH230" s="383"/>
      <c r="BI230" s="383"/>
      <c r="BJ230" s="404"/>
      <c r="BK230" s="383"/>
      <c r="BL230" s="383"/>
      <c r="BM230" s="383"/>
      <c r="BN230" s="384"/>
      <c r="BO230" s="384"/>
      <c r="BP230" s="384"/>
      <c r="BQ230" s="383"/>
      <c r="BR230" s="383"/>
      <c r="BS230" s="404"/>
      <c r="BT230" s="383"/>
      <c r="BU230" s="383"/>
      <c r="BV230" s="383"/>
      <c r="BW230" s="384"/>
      <c r="BX230" s="384"/>
      <c r="BY230" s="384"/>
      <c r="BZ230" s="383"/>
      <c r="CA230" s="383"/>
      <c r="CB230" s="404"/>
      <c r="CC230" s="383"/>
      <c r="CD230" s="383"/>
      <c r="CE230" s="383"/>
      <c r="CF230" s="384"/>
      <c r="CG230" s="384"/>
      <c r="CH230" s="384"/>
      <c r="CI230" s="383"/>
      <c r="CJ230" s="383"/>
      <c r="CK230" s="404"/>
      <c r="CL230" s="383"/>
      <c r="CM230" s="383"/>
      <c r="CN230" s="383"/>
      <c r="CO230" s="384"/>
      <c r="CP230" s="384"/>
      <c r="CQ230" s="384"/>
      <c r="CR230" s="383"/>
      <c r="CS230" s="383"/>
      <c r="CT230" s="404"/>
      <c r="CU230" s="383"/>
      <c r="CV230" s="383"/>
      <c r="CW230" s="383"/>
      <c r="CX230" s="384"/>
      <c r="CY230" s="384"/>
      <c r="CZ230" s="384"/>
      <c r="DA230" s="383"/>
      <c r="DB230" s="383"/>
      <c r="DC230" s="404"/>
      <c r="DD230" s="383"/>
      <c r="DE230" s="383"/>
      <c r="DF230" s="383"/>
      <c r="DG230" s="384"/>
      <c r="DH230" s="384"/>
      <c r="DI230" s="384"/>
      <c r="DJ230" s="383"/>
      <c r="DK230" s="383"/>
      <c r="DL230" s="404"/>
      <c r="DM230" s="383"/>
      <c r="DN230" s="383"/>
      <c r="DO230" s="383"/>
      <c r="DP230" s="384"/>
      <c r="DQ230" s="384"/>
      <c r="DR230" s="384"/>
      <c r="DS230" s="383"/>
      <c r="DT230" s="383"/>
      <c r="DU230" s="404"/>
      <c r="DV230" s="383"/>
      <c r="DW230" s="383"/>
      <c r="DX230" s="383"/>
      <c r="DY230" s="384"/>
      <c r="DZ230" s="384"/>
      <c r="EA230" s="384"/>
      <c r="EB230" s="383"/>
      <c r="EC230" s="383"/>
      <c r="ED230" s="404"/>
      <c r="EE230" s="383"/>
      <c r="EF230" s="383"/>
      <c r="EG230" s="383"/>
      <c r="EH230" s="384"/>
      <c r="EI230" s="384"/>
      <c r="EJ230" s="384"/>
      <c r="EK230" s="383"/>
      <c r="EL230" s="383"/>
      <c r="EM230" s="404"/>
      <c r="EN230" s="383"/>
      <c r="EO230" s="383"/>
      <c r="EP230" s="383"/>
      <c r="EQ230" s="384"/>
      <c r="ER230" s="384"/>
      <c r="ES230" s="384"/>
      <c r="ET230" s="383"/>
      <c r="EU230" s="383"/>
      <c r="EV230" s="404"/>
      <c r="EW230" s="383"/>
      <c r="EX230" s="383"/>
      <c r="EY230" s="383"/>
      <c r="EZ230" s="384"/>
      <c r="FA230" s="384"/>
      <c r="FB230" s="384"/>
      <c r="FC230" s="383"/>
      <c r="FD230" s="383"/>
      <c r="FE230" s="404"/>
      <c r="FF230" s="383"/>
      <c r="FG230" s="383"/>
      <c r="FH230" s="383"/>
      <c r="FI230" s="384"/>
      <c r="FJ230" s="384"/>
      <c r="FK230" s="384"/>
      <c r="FL230" s="383"/>
      <c r="FM230" s="383"/>
      <c r="FN230" s="404"/>
      <c r="FO230" s="383"/>
      <c r="FP230" s="383"/>
      <c r="FQ230" s="383"/>
      <c r="FR230" s="384"/>
      <c r="FS230" s="384"/>
      <c r="FT230" s="384"/>
      <c r="FU230" s="383"/>
      <c r="FV230" s="383"/>
      <c r="FW230" s="404"/>
      <c r="FX230" s="383"/>
      <c r="FY230" s="383"/>
      <c r="FZ230" s="383"/>
      <c r="GA230" s="384"/>
      <c r="GB230" s="384"/>
      <c r="GC230" s="384"/>
      <c r="GD230" s="383"/>
      <c r="GE230" s="383"/>
      <c r="GF230" s="404"/>
      <c r="GG230" s="383"/>
      <c r="GH230" s="383"/>
      <c r="GI230" s="383"/>
      <c r="GJ230" s="384"/>
      <c r="GK230" s="384"/>
      <c r="GL230" s="384"/>
      <c r="GM230" s="383"/>
      <c r="GN230" s="383"/>
      <c r="GO230" s="404"/>
      <c r="GP230" s="383"/>
      <c r="GQ230" s="383"/>
      <c r="GR230" s="383"/>
      <c r="GS230" s="384"/>
      <c r="GT230" s="384"/>
      <c r="GU230" s="384"/>
      <c r="GV230" s="383"/>
      <c r="GW230" s="383"/>
      <c r="GX230" s="404"/>
      <c r="GY230" s="383"/>
      <c r="GZ230" s="383"/>
      <c r="HA230" s="383"/>
      <c r="HB230" s="384"/>
      <c r="HC230" s="384"/>
      <c r="HD230" s="384"/>
      <c r="HE230" s="383"/>
      <c r="HF230" s="383"/>
      <c r="HG230" s="404"/>
      <c r="HH230" s="383"/>
      <c r="HI230" s="383"/>
      <c r="HJ230" s="383"/>
      <c r="HK230" s="384"/>
      <c r="HL230" s="384"/>
      <c r="HM230" s="384"/>
      <c r="HN230" s="383"/>
      <c r="HO230" s="383"/>
      <c r="HP230" s="404"/>
      <c r="HQ230" s="383"/>
      <c r="HR230" s="383"/>
      <c r="HS230" s="383"/>
    </row>
    <row r="231" spans="1:227" s="393" customFormat="1" ht="39" customHeight="1" outlineLevel="1" x14ac:dyDescent="0.2">
      <c r="A231" s="402"/>
      <c r="B231" s="402"/>
      <c r="C231" s="390"/>
      <c r="D231" s="392"/>
      <c r="E231" s="392"/>
      <c r="F231" s="367"/>
      <c r="G231" s="367"/>
      <c r="H231" s="367"/>
      <c r="I231" s="367"/>
      <c r="J231" s="367"/>
    </row>
    <row r="232" spans="1:227" s="393" customFormat="1" ht="20" customHeight="1" outlineLevel="2" x14ac:dyDescent="0.2">
      <c r="A232" s="390"/>
      <c r="B232" s="391"/>
      <c r="C232" s="390"/>
      <c r="D232" s="392"/>
      <c r="E232" s="392"/>
      <c r="F232" s="367"/>
      <c r="G232" s="367">
        <f t="shared" ref="G232:G237" si="81">(D232*E232*F232)</f>
        <v>0</v>
      </c>
      <c r="H232" s="367">
        <f t="shared" ref="H232:H238" si="82">G232/$K$3</f>
        <v>0</v>
      </c>
      <c r="I232" s="367">
        <f>H232</f>
        <v>0</v>
      </c>
      <c r="J232" s="367"/>
    </row>
    <row r="233" spans="1:227" s="393" customFormat="1" ht="20" customHeight="1" outlineLevel="2" x14ac:dyDescent="0.2">
      <c r="A233" s="390"/>
      <c r="B233" s="391"/>
      <c r="C233" s="390"/>
      <c r="D233" s="392"/>
      <c r="E233" s="392"/>
      <c r="F233" s="367"/>
      <c r="G233" s="367">
        <f t="shared" si="81"/>
        <v>0</v>
      </c>
      <c r="H233" s="367">
        <f t="shared" si="82"/>
        <v>0</v>
      </c>
      <c r="I233" s="367">
        <f t="shared" ref="I233:I238" si="83">H233</f>
        <v>0</v>
      </c>
      <c r="J233" s="367"/>
    </row>
    <row r="234" spans="1:227" s="393" customFormat="1" ht="20" customHeight="1" outlineLevel="2" x14ac:dyDescent="0.2">
      <c r="A234" s="390"/>
      <c r="B234" s="391"/>
      <c r="C234" s="390"/>
      <c r="D234" s="392"/>
      <c r="E234" s="392"/>
      <c r="F234" s="367"/>
      <c r="G234" s="367">
        <f t="shared" si="81"/>
        <v>0</v>
      </c>
      <c r="H234" s="367">
        <f t="shared" si="82"/>
        <v>0</v>
      </c>
      <c r="I234" s="367">
        <f t="shared" si="83"/>
        <v>0</v>
      </c>
      <c r="J234" s="367"/>
    </row>
    <row r="235" spans="1:227" s="393" customFormat="1" ht="20" customHeight="1" outlineLevel="2" x14ac:dyDescent="0.2">
      <c r="A235" s="390"/>
      <c r="B235" s="391"/>
      <c r="C235" s="390"/>
      <c r="D235" s="392"/>
      <c r="E235" s="392"/>
      <c r="F235" s="367"/>
      <c r="G235" s="367">
        <f t="shared" si="81"/>
        <v>0</v>
      </c>
      <c r="H235" s="367">
        <f t="shared" si="82"/>
        <v>0</v>
      </c>
      <c r="I235" s="367">
        <f t="shared" si="83"/>
        <v>0</v>
      </c>
      <c r="J235" s="367"/>
    </row>
    <row r="236" spans="1:227" s="393" customFormat="1" ht="20" customHeight="1" outlineLevel="2" x14ac:dyDescent="0.2">
      <c r="A236" s="390"/>
      <c r="B236" s="391"/>
      <c r="C236" s="390"/>
      <c r="D236" s="392"/>
      <c r="E236" s="392"/>
      <c r="F236" s="367"/>
      <c r="G236" s="367">
        <f t="shared" si="81"/>
        <v>0</v>
      </c>
      <c r="H236" s="367">
        <f t="shared" si="82"/>
        <v>0</v>
      </c>
      <c r="I236" s="367">
        <f t="shared" si="83"/>
        <v>0</v>
      </c>
      <c r="J236" s="367"/>
    </row>
    <row r="237" spans="1:227" s="393" customFormat="1" ht="20" customHeight="1" outlineLevel="2" x14ac:dyDescent="0.2">
      <c r="A237" s="390"/>
      <c r="B237" s="391"/>
      <c r="C237" s="390"/>
      <c r="D237" s="392"/>
      <c r="E237" s="392"/>
      <c r="F237" s="367"/>
      <c r="G237" s="367">
        <f t="shared" si="81"/>
        <v>0</v>
      </c>
      <c r="H237" s="367">
        <f t="shared" si="82"/>
        <v>0</v>
      </c>
      <c r="I237" s="367">
        <f t="shared" si="83"/>
        <v>0</v>
      </c>
      <c r="J237" s="367"/>
    </row>
    <row r="238" spans="1:227" s="393" customFormat="1" ht="20" customHeight="1" outlineLevel="2" x14ac:dyDescent="0.2">
      <c r="A238" s="390"/>
      <c r="B238" s="391"/>
      <c r="C238" s="390"/>
      <c r="D238" s="392"/>
      <c r="E238" s="392"/>
      <c r="F238" s="367"/>
      <c r="G238" s="367">
        <f>(D238*E238*F238)</f>
        <v>0</v>
      </c>
      <c r="H238" s="367">
        <f t="shared" si="82"/>
        <v>0</v>
      </c>
      <c r="I238" s="367">
        <f t="shared" si="83"/>
        <v>0</v>
      </c>
      <c r="J238" s="367"/>
    </row>
    <row r="239" spans="1:227" s="405" customFormat="1" ht="17" outlineLevel="1" x14ac:dyDescent="0.2">
      <c r="A239" s="378" t="s">
        <v>288</v>
      </c>
      <c r="B239" s="379"/>
      <c r="C239" s="379"/>
      <c r="D239" s="379"/>
      <c r="E239" s="379"/>
      <c r="F239" s="380"/>
      <c r="G239" s="380">
        <f>SUM(G232:G238)</f>
        <v>0</v>
      </c>
      <c r="H239" s="379">
        <f>SUM(H232:H238)</f>
        <v>0</v>
      </c>
      <c r="I239" s="380">
        <f>SUM(I232:I238)</f>
        <v>0</v>
      </c>
      <c r="J239" s="380">
        <f>SUM(J232:J238)</f>
        <v>0</v>
      </c>
      <c r="K239" s="382"/>
      <c r="L239" s="384"/>
      <c r="M239" s="384"/>
      <c r="N239" s="384"/>
      <c r="O239" s="383"/>
      <c r="P239" s="383"/>
      <c r="Q239" s="404"/>
      <c r="R239" s="383"/>
      <c r="S239" s="383"/>
      <c r="T239" s="383"/>
      <c r="U239" s="384"/>
      <c r="V239" s="384"/>
      <c r="W239" s="384"/>
      <c r="X239" s="383"/>
      <c r="Y239" s="383"/>
      <c r="Z239" s="404"/>
      <c r="AA239" s="383"/>
      <c r="AB239" s="383"/>
      <c r="AC239" s="383"/>
      <c r="AD239" s="384"/>
      <c r="AE239" s="384"/>
      <c r="AF239" s="384"/>
      <c r="AG239" s="383"/>
      <c r="AH239" s="383"/>
      <c r="AI239" s="404"/>
      <c r="AJ239" s="383"/>
      <c r="AK239" s="383"/>
      <c r="AL239" s="383"/>
      <c r="AM239" s="384"/>
      <c r="AN239" s="384"/>
      <c r="AO239" s="384"/>
      <c r="AP239" s="383"/>
      <c r="AQ239" s="383"/>
      <c r="AR239" s="404"/>
      <c r="AS239" s="383"/>
      <c r="AT239" s="383"/>
      <c r="AU239" s="383"/>
      <c r="AV239" s="384"/>
      <c r="AW239" s="384"/>
      <c r="AX239" s="384"/>
      <c r="AY239" s="383"/>
      <c r="AZ239" s="383"/>
      <c r="BA239" s="404"/>
      <c r="BB239" s="383"/>
      <c r="BC239" s="383"/>
      <c r="BD239" s="383"/>
      <c r="BE239" s="384"/>
      <c r="BF239" s="384"/>
      <c r="BG239" s="384"/>
      <c r="BH239" s="383"/>
      <c r="BI239" s="383"/>
      <c r="BJ239" s="404"/>
      <c r="BK239" s="383"/>
      <c r="BL239" s="383"/>
      <c r="BM239" s="383"/>
      <c r="BN239" s="384"/>
      <c r="BO239" s="384"/>
      <c r="BP239" s="384"/>
      <c r="BQ239" s="383"/>
      <c r="BR239" s="383"/>
      <c r="BS239" s="404"/>
      <c r="BT239" s="383"/>
      <c r="BU239" s="383"/>
      <c r="BV239" s="383"/>
      <c r="BW239" s="384"/>
      <c r="BX239" s="384"/>
      <c r="BY239" s="384"/>
      <c r="BZ239" s="383"/>
      <c r="CA239" s="383"/>
      <c r="CB239" s="404"/>
      <c r="CC239" s="383"/>
      <c r="CD239" s="383"/>
      <c r="CE239" s="383"/>
      <c r="CF239" s="384"/>
      <c r="CG239" s="384"/>
      <c r="CH239" s="384"/>
      <c r="CI239" s="383"/>
      <c r="CJ239" s="383"/>
      <c r="CK239" s="404"/>
      <c r="CL239" s="383"/>
      <c r="CM239" s="383"/>
      <c r="CN239" s="383"/>
      <c r="CO239" s="384"/>
      <c r="CP239" s="384"/>
      <c r="CQ239" s="384"/>
      <c r="CR239" s="383"/>
      <c r="CS239" s="383"/>
      <c r="CT239" s="404"/>
      <c r="CU239" s="383"/>
      <c r="CV239" s="383"/>
      <c r="CW239" s="383"/>
      <c r="CX239" s="384"/>
      <c r="CY239" s="384"/>
      <c r="CZ239" s="384"/>
      <c r="DA239" s="383"/>
      <c r="DB239" s="383"/>
      <c r="DC239" s="404"/>
      <c r="DD239" s="383"/>
      <c r="DE239" s="383"/>
      <c r="DF239" s="383"/>
      <c r="DG239" s="384"/>
      <c r="DH239" s="384"/>
      <c r="DI239" s="384"/>
      <c r="DJ239" s="383"/>
      <c r="DK239" s="383"/>
      <c r="DL239" s="404"/>
      <c r="DM239" s="383"/>
      <c r="DN239" s="383"/>
      <c r="DO239" s="383"/>
      <c r="DP239" s="384"/>
      <c r="DQ239" s="384"/>
      <c r="DR239" s="384"/>
      <c r="DS239" s="383"/>
      <c r="DT239" s="383"/>
      <c r="DU239" s="404"/>
      <c r="DV239" s="383"/>
      <c r="DW239" s="383"/>
      <c r="DX239" s="383"/>
      <c r="DY239" s="384"/>
      <c r="DZ239" s="384"/>
      <c r="EA239" s="384"/>
      <c r="EB239" s="383"/>
      <c r="EC239" s="383"/>
      <c r="ED239" s="404"/>
      <c r="EE239" s="383"/>
      <c r="EF239" s="383"/>
      <c r="EG239" s="383"/>
      <c r="EH239" s="384"/>
      <c r="EI239" s="384"/>
      <c r="EJ239" s="384"/>
      <c r="EK239" s="383"/>
      <c r="EL239" s="383"/>
      <c r="EM239" s="404"/>
      <c r="EN239" s="383"/>
      <c r="EO239" s="383"/>
      <c r="EP239" s="383"/>
      <c r="EQ239" s="384"/>
      <c r="ER239" s="384"/>
      <c r="ES239" s="384"/>
      <c r="ET239" s="383"/>
      <c r="EU239" s="383"/>
      <c r="EV239" s="404"/>
      <c r="EW239" s="383"/>
      <c r="EX239" s="383"/>
      <c r="EY239" s="383"/>
      <c r="EZ239" s="384"/>
      <c r="FA239" s="384"/>
      <c r="FB239" s="384"/>
      <c r="FC239" s="383"/>
      <c r="FD239" s="383"/>
      <c r="FE239" s="404"/>
      <c r="FF239" s="383"/>
      <c r="FG239" s="383"/>
      <c r="FH239" s="383"/>
      <c r="FI239" s="384"/>
      <c r="FJ239" s="384"/>
      <c r="FK239" s="384"/>
      <c r="FL239" s="383"/>
      <c r="FM239" s="383"/>
      <c r="FN239" s="404"/>
      <c r="FO239" s="383"/>
      <c r="FP239" s="383"/>
      <c r="FQ239" s="383"/>
      <c r="FR239" s="384"/>
      <c r="FS239" s="384"/>
      <c r="FT239" s="384"/>
      <c r="FU239" s="383"/>
      <c r="FV239" s="383"/>
      <c r="FW239" s="404"/>
      <c r="FX239" s="383"/>
      <c r="FY239" s="383"/>
      <c r="FZ239" s="383"/>
      <c r="GA239" s="384"/>
      <c r="GB239" s="384"/>
      <c r="GC239" s="384"/>
      <c r="GD239" s="383"/>
      <c r="GE239" s="383"/>
      <c r="GF239" s="404"/>
      <c r="GG239" s="383"/>
      <c r="GH239" s="383"/>
      <c r="GI239" s="383"/>
      <c r="GJ239" s="384"/>
      <c r="GK239" s="384"/>
      <c r="GL239" s="384"/>
      <c r="GM239" s="383"/>
      <c r="GN239" s="383"/>
      <c r="GO239" s="404"/>
      <c r="GP239" s="383"/>
      <c r="GQ239" s="383"/>
      <c r="GR239" s="383"/>
      <c r="GS239" s="384"/>
      <c r="GT239" s="384"/>
      <c r="GU239" s="384"/>
      <c r="GV239" s="383"/>
      <c r="GW239" s="383"/>
      <c r="GX239" s="404"/>
      <c r="GY239" s="383"/>
      <c r="GZ239" s="383"/>
      <c r="HA239" s="383"/>
      <c r="HB239" s="384"/>
      <c r="HC239" s="384"/>
      <c r="HD239" s="384"/>
      <c r="HE239" s="383"/>
      <c r="HF239" s="383"/>
      <c r="HG239" s="404"/>
      <c r="HH239" s="383"/>
      <c r="HI239" s="383"/>
      <c r="HJ239" s="383"/>
      <c r="HK239" s="384"/>
      <c r="HL239" s="384"/>
      <c r="HM239" s="384"/>
      <c r="HN239" s="383"/>
      <c r="HO239" s="383"/>
      <c r="HP239" s="404"/>
      <c r="HQ239" s="383"/>
      <c r="HR239" s="383"/>
      <c r="HS239" s="383"/>
    </row>
    <row r="240" spans="1:227" s="393" customFormat="1" ht="39" customHeight="1" outlineLevel="1" x14ac:dyDescent="0.2">
      <c r="A240" s="402"/>
      <c r="B240" s="402"/>
      <c r="C240" s="390"/>
      <c r="D240" s="392"/>
      <c r="E240" s="392"/>
      <c r="F240" s="367"/>
      <c r="G240" s="367"/>
      <c r="H240" s="367"/>
      <c r="I240" s="367"/>
      <c r="J240" s="367"/>
    </row>
    <row r="241" spans="1:227" s="393" customFormat="1" ht="20" customHeight="1" outlineLevel="2" x14ac:dyDescent="0.2">
      <c r="A241" s="390"/>
      <c r="B241" s="391"/>
      <c r="C241" s="390"/>
      <c r="D241" s="392"/>
      <c r="E241" s="392"/>
      <c r="F241" s="367"/>
      <c r="G241" s="367">
        <f t="shared" ref="G241:G246" si="84">(D241*E241*F241)</f>
        <v>0</v>
      </c>
      <c r="H241" s="367">
        <f t="shared" ref="H241:H247" si="85">G241/$K$3</f>
        <v>0</v>
      </c>
      <c r="I241" s="367">
        <f>H241</f>
        <v>0</v>
      </c>
      <c r="J241" s="367"/>
    </row>
    <row r="242" spans="1:227" s="393" customFormat="1" ht="20" customHeight="1" outlineLevel="2" x14ac:dyDescent="0.2">
      <c r="A242" s="390"/>
      <c r="B242" s="391"/>
      <c r="C242" s="390"/>
      <c r="D242" s="392"/>
      <c r="E242" s="392"/>
      <c r="F242" s="367"/>
      <c r="G242" s="367">
        <f t="shared" si="84"/>
        <v>0</v>
      </c>
      <c r="H242" s="367">
        <f t="shared" si="85"/>
        <v>0</v>
      </c>
      <c r="I242" s="367">
        <f t="shared" ref="I242:I247" si="86">H242</f>
        <v>0</v>
      </c>
      <c r="J242" s="367"/>
    </row>
    <row r="243" spans="1:227" s="393" customFormat="1" ht="20" customHeight="1" outlineLevel="2" x14ac:dyDescent="0.2">
      <c r="A243" s="390"/>
      <c r="B243" s="391"/>
      <c r="C243" s="390"/>
      <c r="D243" s="392"/>
      <c r="E243" s="392"/>
      <c r="F243" s="367"/>
      <c r="G243" s="367">
        <f t="shared" si="84"/>
        <v>0</v>
      </c>
      <c r="H243" s="367">
        <f t="shared" si="85"/>
        <v>0</v>
      </c>
      <c r="I243" s="367">
        <f t="shared" si="86"/>
        <v>0</v>
      </c>
      <c r="J243" s="367"/>
    </row>
    <row r="244" spans="1:227" s="393" customFormat="1" ht="20" customHeight="1" outlineLevel="2" x14ac:dyDescent="0.2">
      <c r="A244" s="390"/>
      <c r="B244" s="391"/>
      <c r="C244" s="390"/>
      <c r="D244" s="392"/>
      <c r="E244" s="392"/>
      <c r="F244" s="367"/>
      <c r="G244" s="367">
        <f t="shared" si="84"/>
        <v>0</v>
      </c>
      <c r="H244" s="367">
        <f t="shared" si="85"/>
        <v>0</v>
      </c>
      <c r="I244" s="367">
        <f t="shared" si="86"/>
        <v>0</v>
      </c>
      <c r="J244" s="367"/>
    </row>
    <row r="245" spans="1:227" s="393" customFormat="1" ht="20" customHeight="1" outlineLevel="2" x14ac:dyDescent="0.2">
      <c r="A245" s="390"/>
      <c r="B245" s="391"/>
      <c r="C245" s="390"/>
      <c r="D245" s="392"/>
      <c r="E245" s="392"/>
      <c r="F245" s="367"/>
      <c r="G245" s="367">
        <f t="shared" si="84"/>
        <v>0</v>
      </c>
      <c r="H245" s="367">
        <f t="shared" si="85"/>
        <v>0</v>
      </c>
      <c r="I245" s="367">
        <f t="shared" si="86"/>
        <v>0</v>
      </c>
      <c r="J245" s="367"/>
    </row>
    <row r="246" spans="1:227" s="393" customFormat="1" ht="20" customHeight="1" outlineLevel="2" x14ac:dyDescent="0.2">
      <c r="A246" s="390"/>
      <c r="B246" s="391"/>
      <c r="C246" s="390"/>
      <c r="D246" s="392"/>
      <c r="E246" s="392"/>
      <c r="F246" s="367"/>
      <c r="G246" s="367">
        <f t="shared" si="84"/>
        <v>0</v>
      </c>
      <c r="H246" s="367">
        <f t="shared" si="85"/>
        <v>0</v>
      </c>
      <c r="I246" s="367">
        <f t="shared" si="86"/>
        <v>0</v>
      </c>
      <c r="J246" s="367"/>
    </row>
    <row r="247" spans="1:227" s="393" customFormat="1" ht="20" customHeight="1" outlineLevel="2" x14ac:dyDescent="0.2">
      <c r="A247" s="390"/>
      <c r="B247" s="391"/>
      <c r="C247" s="390"/>
      <c r="D247" s="392"/>
      <c r="E247" s="392"/>
      <c r="F247" s="367"/>
      <c r="G247" s="367">
        <f>(D247*E247*F247)</f>
        <v>0</v>
      </c>
      <c r="H247" s="367">
        <f t="shared" si="85"/>
        <v>0</v>
      </c>
      <c r="I247" s="367">
        <f t="shared" si="86"/>
        <v>0</v>
      </c>
      <c r="J247" s="367"/>
    </row>
    <row r="248" spans="1:227" s="405" customFormat="1" ht="17" outlineLevel="1" x14ac:dyDescent="0.2">
      <c r="A248" s="378" t="s">
        <v>288</v>
      </c>
      <c r="B248" s="379"/>
      <c r="C248" s="379"/>
      <c r="D248" s="379"/>
      <c r="E248" s="379"/>
      <c r="F248" s="380"/>
      <c r="G248" s="380">
        <f>SUM(G241:G247)</f>
        <v>0</v>
      </c>
      <c r="H248" s="379">
        <f>SUM(H241:H247)</f>
        <v>0</v>
      </c>
      <c r="I248" s="380">
        <f>SUM(I241:I247)</f>
        <v>0</v>
      </c>
      <c r="J248" s="380">
        <f>SUM(J241:J247)</f>
        <v>0</v>
      </c>
      <c r="K248" s="382"/>
      <c r="L248" s="384"/>
      <c r="M248" s="384"/>
      <c r="N248" s="384"/>
      <c r="O248" s="383"/>
      <c r="P248" s="383"/>
      <c r="Q248" s="404"/>
      <c r="R248" s="383"/>
      <c r="S248" s="383"/>
      <c r="T248" s="383"/>
      <c r="U248" s="384"/>
      <c r="V248" s="384"/>
      <c r="W248" s="384"/>
      <c r="X248" s="383"/>
      <c r="Y248" s="383"/>
      <c r="Z248" s="404"/>
      <c r="AA248" s="383"/>
      <c r="AB248" s="383"/>
      <c r="AC248" s="383"/>
      <c r="AD248" s="384"/>
      <c r="AE248" s="384"/>
      <c r="AF248" s="384"/>
      <c r="AG248" s="383"/>
      <c r="AH248" s="383"/>
      <c r="AI248" s="404"/>
      <c r="AJ248" s="383"/>
      <c r="AK248" s="383"/>
      <c r="AL248" s="383"/>
      <c r="AM248" s="384"/>
      <c r="AN248" s="384"/>
      <c r="AO248" s="384"/>
      <c r="AP248" s="383"/>
      <c r="AQ248" s="383"/>
      <c r="AR248" s="404"/>
      <c r="AS248" s="383"/>
      <c r="AT248" s="383"/>
      <c r="AU248" s="383"/>
      <c r="AV248" s="384"/>
      <c r="AW248" s="384"/>
      <c r="AX248" s="384"/>
      <c r="AY248" s="383"/>
      <c r="AZ248" s="383"/>
      <c r="BA248" s="404"/>
      <c r="BB248" s="383"/>
      <c r="BC248" s="383"/>
      <c r="BD248" s="383"/>
      <c r="BE248" s="384"/>
      <c r="BF248" s="384"/>
      <c r="BG248" s="384"/>
      <c r="BH248" s="383"/>
      <c r="BI248" s="383"/>
      <c r="BJ248" s="404"/>
      <c r="BK248" s="383"/>
      <c r="BL248" s="383"/>
      <c r="BM248" s="383"/>
      <c r="BN248" s="384"/>
      <c r="BO248" s="384"/>
      <c r="BP248" s="384"/>
      <c r="BQ248" s="383"/>
      <c r="BR248" s="383"/>
      <c r="BS248" s="404"/>
      <c r="BT248" s="383"/>
      <c r="BU248" s="383"/>
      <c r="BV248" s="383"/>
      <c r="BW248" s="384"/>
      <c r="BX248" s="384"/>
      <c r="BY248" s="384"/>
      <c r="BZ248" s="383"/>
      <c r="CA248" s="383"/>
      <c r="CB248" s="404"/>
      <c r="CC248" s="383"/>
      <c r="CD248" s="383"/>
      <c r="CE248" s="383"/>
      <c r="CF248" s="384"/>
      <c r="CG248" s="384"/>
      <c r="CH248" s="384"/>
      <c r="CI248" s="383"/>
      <c r="CJ248" s="383"/>
      <c r="CK248" s="404"/>
      <c r="CL248" s="383"/>
      <c r="CM248" s="383"/>
      <c r="CN248" s="383"/>
      <c r="CO248" s="384"/>
      <c r="CP248" s="384"/>
      <c r="CQ248" s="384"/>
      <c r="CR248" s="383"/>
      <c r="CS248" s="383"/>
      <c r="CT248" s="404"/>
      <c r="CU248" s="383"/>
      <c r="CV248" s="383"/>
      <c r="CW248" s="383"/>
      <c r="CX248" s="384"/>
      <c r="CY248" s="384"/>
      <c r="CZ248" s="384"/>
      <c r="DA248" s="383"/>
      <c r="DB248" s="383"/>
      <c r="DC248" s="404"/>
      <c r="DD248" s="383"/>
      <c r="DE248" s="383"/>
      <c r="DF248" s="383"/>
      <c r="DG248" s="384"/>
      <c r="DH248" s="384"/>
      <c r="DI248" s="384"/>
      <c r="DJ248" s="383"/>
      <c r="DK248" s="383"/>
      <c r="DL248" s="404"/>
      <c r="DM248" s="383"/>
      <c r="DN248" s="383"/>
      <c r="DO248" s="383"/>
      <c r="DP248" s="384"/>
      <c r="DQ248" s="384"/>
      <c r="DR248" s="384"/>
      <c r="DS248" s="383"/>
      <c r="DT248" s="383"/>
      <c r="DU248" s="404"/>
      <c r="DV248" s="383"/>
      <c r="DW248" s="383"/>
      <c r="DX248" s="383"/>
      <c r="DY248" s="384"/>
      <c r="DZ248" s="384"/>
      <c r="EA248" s="384"/>
      <c r="EB248" s="383"/>
      <c r="EC248" s="383"/>
      <c r="ED248" s="404"/>
      <c r="EE248" s="383"/>
      <c r="EF248" s="383"/>
      <c r="EG248" s="383"/>
      <c r="EH248" s="384"/>
      <c r="EI248" s="384"/>
      <c r="EJ248" s="384"/>
      <c r="EK248" s="383"/>
      <c r="EL248" s="383"/>
      <c r="EM248" s="404"/>
      <c r="EN248" s="383"/>
      <c r="EO248" s="383"/>
      <c r="EP248" s="383"/>
      <c r="EQ248" s="384"/>
      <c r="ER248" s="384"/>
      <c r="ES248" s="384"/>
      <c r="ET248" s="383"/>
      <c r="EU248" s="383"/>
      <c r="EV248" s="404"/>
      <c r="EW248" s="383"/>
      <c r="EX248" s="383"/>
      <c r="EY248" s="383"/>
      <c r="EZ248" s="384"/>
      <c r="FA248" s="384"/>
      <c r="FB248" s="384"/>
      <c r="FC248" s="383"/>
      <c r="FD248" s="383"/>
      <c r="FE248" s="404"/>
      <c r="FF248" s="383"/>
      <c r="FG248" s="383"/>
      <c r="FH248" s="383"/>
      <c r="FI248" s="384"/>
      <c r="FJ248" s="384"/>
      <c r="FK248" s="384"/>
      <c r="FL248" s="383"/>
      <c r="FM248" s="383"/>
      <c r="FN248" s="404"/>
      <c r="FO248" s="383"/>
      <c r="FP248" s="383"/>
      <c r="FQ248" s="383"/>
      <c r="FR248" s="384"/>
      <c r="FS248" s="384"/>
      <c r="FT248" s="384"/>
      <c r="FU248" s="383"/>
      <c r="FV248" s="383"/>
      <c r="FW248" s="404"/>
      <c r="FX248" s="383"/>
      <c r="FY248" s="383"/>
      <c r="FZ248" s="383"/>
      <c r="GA248" s="384"/>
      <c r="GB248" s="384"/>
      <c r="GC248" s="384"/>
      <c r="GD248" s="383"/>
      <c r="GE248" s="383"/>
      <c r="GF248" s="404"/>
      <c r="GG248" s="383"/>
      <c r="GH248" s="383"/>
      <c r="GI248" s="383"/>
      <c r="GJ248" s="384"/>
      <c r="GK248" s="384"/>
      <c r="GL248" s="384"/>
      <c r="GM248" s="383"/>
      <c r="GN248" s="383"/>
      <c r="GO248" s="404"/>
      <c r="GP248" s="383"/>
      <c r="GQ248" s="383"/>
      <c r="GR248" s="383"/>
      <c r="GS248" s="384"/>
      <c r="GT248" s="384"/>
      <c r="GU248" s="384"/>
      <c r="GV248" s="383"/>
      <c r="GW248" s="383"/>
      <c r="GX248" s="404"/>
      <c r="GY248" s="383"/>
      <c r="GZ248" s="383"/>
      <c r="HA248" s="383"/>
      <c r="HB248" s="384"/>
      <c r="HC248" s="384"/>
      <c r="HD248" s="384"/>
      <c r="HE248" s="383"/>
      <c r="HF248" s="383"/>
      <c r="HG248" s="404"/>
      <c r="HH248" s="383"/>
      <c r="HI248" s="383"/>
      <c r="HJ248" s="383"/>
      <c r="HK248" s="384"/>
      <c r="HL248" s="384"/>
      <c r="HM248" s="384"/>
      <c r="HN248" s="383"/>
      <c r="HO248" s="383"/>
      <c r="HP248" s="404"/>
      <c r="HQ248" s="383"/>
      <c r="HR248" s="383"/>
      <c r="HS248" s="383"/>
    </row>
    <row r="249" spans="1:227" s="393" customFormat="1" ht="39" customHeight="1" outlineLevel="1" x14ac:dyDescent="0.2">
      <c r="A249" s="402"/>
      <c r="B249" s="402"/>
      <c r="C249" s="390"/>
      <c r="D249" s="392"/>
      <c r="E249" s="392"/>
      <c r="F249" s="367"/>
      <c r="G249" s="367"/>
      <c r="H249" s="367"/>
      <c r="I249" s="367"/>
      <c r="J249" s="367"/>
    </row>
    <row r="250" spans="1:227" s="393" customFormat="1" ht="20" customHeight="1" outlineLevel="2" x14ac:dyDescent="0.2">
      <c r="A250" s="390"/>
      <c r="B250" s="391"/>
      <c r="C250" s="390"/>
      <c r="D250" s="392"/>
      <c r="E250" s="392"/>
      <c r="F250" s="367"/>
      <c r="G250" s="367">
        <f t="shared" ref="G250:G255" si="87">(D250*E250*F250)</f>
        <v>0</v>
      </c>
      <c r="H250" s="367">
        <f t="shared" ref="H250:H256" si="88">G250/$K$3</f>
        <v>0</v>
      </c>
      <c r="I250" s="367">
        <f>H250</f>
        <v>0</v>
      </c>
      <c r="J250" s="367"/>
    </row>
    <row r="251" spans="1:227" s="393" customFormat="1" ht="20" customHeight="1" outlineLevel="2" x14ac:dyDescent="0.2">
      <c r="A251" s="390"/>
      <c r="B251" s="391"/>
      <c r="C251" s="390"/>
      <c r="D251" s="392"/>
      <c r="E251" s="392"/>
      <c r="F251" s="367"/>
      <c r="G251" s="367">
        <f t="shared" si="87"/>
        <v>0</v>
      </c>
      <c r="H251" s="367">
        <f t="shared" si="88"/>
        <v>0</v>
      </c>
      <c r="I251" s="367">
        <f t="shared" ref="I251:I256" si="89">H251</f>
        <v>0</v>
      </c>
      <c r="J251" s="367"/>
    </row>
    <row r="252" spans="1:227" s="393" customFormat="1" ht="20" customHeight="1" outlineLevel="2" x14ac:dyDescent="0.2">
      <c r="A252" s="390"/>
      <c r="B252" s="391"/>
      <c r="C252" s="390"/>
      <c r="D252" s="392"/>
      <c r="E252" s="392"/>
      <c r="F252" s="367"/>
      <c r="G252" s="367">
        <f t="shared" si="87"/>
        <v>0</v>
      </c>
      <c r="H252" s="367">
        <f t="shared" si="88"/>
        <v>0</v>
      </c>
      <c r="I252" s="367">
        <f t="shared" si="89"/>
        <v>0</v>
      </c>
      <c r="J252" s="367"/>
    </row>
    <row r="253" spans="1:227" s="393" customFormat="1" ht="20" customHeight="1" outlineLevel="2" x14ac:dyDescent="0.2">
      <c r="A253" s="390"/>
      <c r="B253" s="391"/>
      <c r="C253" s="390"/>
      <c r="D253" s="392"/>
      <c r="E253" s="392"/>
      <c r="F253" s="367"/>
      <c r="G253" s="367">
        <f t="shared" si="87"/>
        <v>0</v>
      </c>
      <c r="H253" s="367">
        <f t="shared" si="88"/>
        <v>0</v>
      </c>
      <c r="I253" s="367">
        <f t="shared" si="89"/>
        <v>0</v>
      </c>
      <c r="J253" s="367"/>
    </row>
    <row r="254" spans="1:227" s="393" customFormat="1" ht="20" customHeight="1" outlineLevel="2" x14ac:dyDescent="0.2">
      <c r="A254" s="390"/>
      <c r="B254" s="391"/>
      <c r="C254" s="390"/>
      <c r="D254" s="392"/>
      <c r="E254" s="392"/>
      <c r="F254" s="367"/>
      <c r="G254" s="367">
        <f t="shared" si="87"/>
        <v>0</v>
      </c>
      <c r="H254" s="367">
        <f t="shared" si="88"/>
        <v>0</v>
      </c>
      <c r="I254" s="367">
        <f t="shared" si="89"/>
        <v>0</v>
      </c>
      <c r="J254" s="367"/>
    </row>
    <row r="255" spans="1:227" s="393" customFormat="1" ht="20" customHeight="1" outlineLevel="2" x14ac:dyDescent="0.2">
      <c r="A255" s="390"/>
      <c r="B255" s="391"/>
      <c r="C255" s="390"/>
      <c r="D255" s="392"/>
      <c r="E255" s="392"/>
      <c r="F255" s="367"/>
      <c r="G255" s="367">
        <f t="shared" si="87"/>
        <v>0</v>
      </c>
      <c r="H255" s="367">
        <f t="shared" si="88"/>
        <v>0</v>
      </c>
      <c r="I255" s="367">
        <f t="shared" si="89"/>
        <v>0</v>
      </c>
      <c r="J255" s="367"/>
    </row>
    <row r="256" spans="1:227" s="393" customFormat="1" ht="20" customHeight="1" outlineLevel="2" x14ac:dyDescent="0.2">
      <c r="A256" s="390"/>
      <c r="B256" s="391"/>
      <c r="C256" s="390"/>
      <c r="D256" s="392"/>
      <c r="E256" s="392"/>
      <c r="F256" s="367"/>
      <c r="G256" s="367">
        <f>(D256*E256*F256)</f>
        <v>0</v>
      </c>
      <c r="H256" s="367">
        <f t="shared" si="88"/>
        <v>0</v>
      </c>
      <c r="I256" s="367">
        <f t="shared" si="89"/>
        <v>0</v>
      </c>
      <c r="J256" s="367"/>
    </row>
    <row r="257" spans="1:227" s="405" customFormat="1" ht="17" outlineLevel="1" x14ac:dyDescent="0.2">
      <c r="A257" s="378" t="s">
        <v>288</v>
      </c>
      <c r="B257" s="379"/>
      <c r="C257" s="379"/>
      <c r="D257" s="379"/>
      <c r="E257" s="379"/>
      <c r="F257" s="380"/>
      <c r="G257" s="380">
        <f>SUM(G250:G256)</f>
        <v>0</v>
      </c>
      <c r="H257" s="379">
        <f>SUM(H250:H256)</f>
        <v>0</v>
      </c>
      <c r="I257" s="380">
        <f>SUM(I250:I256)</f>
        <v>0</v>
      </c>
      <c r="J257" s="380">
        <f>SUM(J250:J256)</f>
        <v>0</v>
      </c>
      <c r="K257" s="382"/>
      <c r="L257" s="384"/>
      <c r="M257" s="384"/>
      <c r="N257" s="384"/>
      <c r="O257" s="383"/>
      <c r="P257" s="383"/>
      <c r="Q257" s="404"/>
      <c r="R257" s="383"/>
      <c r="S257" s="383"/>
      <c r="T257" s="383"/>
      <c r="U257" s="384"/>
      <c r="V257" s="384"/>
      <c r="W257" s="384"/>
      <c r="X257" s="383"/>
      <c r="Y257" s="383"/>
      <c r="Z257" s="404"/>
      <c r="AA257" s="383"/>
      <c r="AB257" s="383"/>
      <c r="AC257" s="383"/>
      <c r="AD257" s="384"/>
      <c r="AE257" s="384"/>
      <c r="AF257" s="384"/>
      <c r="AG257" s="383"/>
      <c r="AH257" s="383"/>
      <c r="AI257" s="404"/>
      <c r="AJ257" s="383"/>
      <c r="AK257" s="383"/>
      <c r="AL257" s="383"/>
      <c r="AM257" s="384"/>
      <c r="AN257" s="384"/>
      <c r="AO257" s="384"/>
      <c r="AP257" s="383"/>
      <c r="AQ257" s="383"/>
      <c r="AR257" s="404"/>
      <c r="AS257" s="383"/>
      <c r="AT257" s="383"/>
      <c r="AU257" s="383"/>
      <c r="AV257" s="384"/>
      <c r="AW257" s="384"/>
      <c r="AX257" s="384"/>
      <c r="AY257" s="383"/>
      <c r="AZ257" s="383"/>
      <c r="BA257" s="404"/>
      <c r="BB257" s="383"/>
      <c r="BC257" s="383"/>
      <c r="BD257" s="383"/>
      <c r="BE257" s="384"/>
      <c r="BF257" s="384"/>
      <c r="BG257" s="384"/>
      <c r="BH257" s="383"/>
      <c r="BI257" s="383"/>
      <c r="BJ257" s="404"/>
      <c r="BK257" s="383"/>
      <c r="BL257" s="383"/>
      <c r="BM257" s="383"/>
      <c r="BN257" s="384"/>
      <c r="BO257" s="384"/>
      <c r="BP257" s="384"/>
      <c r="BQ257" s="383"/>
      <c r="BR257" s="383"/>
      <c r="BS257" s="404"/>
      <c r="BT257" s="383"/>
      <c r="BU257" s="383"/>
      <c r="BV257" s="383"/>
      <c r="BW257" s="384"/>
      <c r="BX257" s="384"/>
      <c r="BY257" s="384"/>
      <c r="BZ257" s="383"/>
      <c r="CA257" s="383"/>
      <c r="CB257" s="404"/>
      <c r="CC257" s="383"/>
      <c r="CD257" s="383"/>
      <c r="CE257" s="383"/>
      <c r="CF257" s="384"/>
      <c r="CG257" s="384"/>
      <c r="CH257" s="384"/>
      <c r="CI257" s="383"/>
      <c r="CJ257" s="383"/>
      <c r="CK257" s="404"/>
      <c r="CL257" s="383"/>
      <c r="CM257" s="383"/>
      <c r="CN257" s="383"/>
      <c r="CO257" s="384"/>
      <c r="CP257" s="384"/>
      <c r="CQ257" s="384"/>
      <c r="CR257" s="383"/>
      <c r="CS257" s="383"/>
      <c r="CT257" s="404"/>
      <c r="CU257" s="383"/>
      <c r="CV257" s="383"/>
      <c r="CW257" s="383"/>
      <c r="CX257" s="384"/>
      <c r="CY257" s="384"/>
      <c r="CZ257" s="384"/>
      <c r="DA257" s="383"/>
      <c r="DB257" s="383"/>
      <c r="DC257" s="404"/>
      <c r="DD257" s="383"/>
      <c r="DE257" s="383"/>
      <c r="DF257" s="383"/>
      <c r="DG257" s="384"/>
      <c r="DH257" s="384"/>
      <c r="DI257" s="384"/>
      <c r="DJ257" s="383"/>
      <c r="DK257" s="383"/>
      <c r="DL257" s="404"/>
      <c r="DM257" s="383"/>
      <c r="DN257" s="383"/>
      <c r="DO257" s="383"/>
      <c r="DP257" s="384"/>
      <c r="DQ257" s="384"/>
      <c r="DR257" s="384"/>
      <c r="DS257" s="383"/>
      <c r="DT257" s="383"/>
      <c r="DU257" s="404"/>
      <c r="DV257" s="383"/>
      <c r="DW257" s="383"/>
      <c r="DX257" s="383"/>
      <c r="DY257" s="384"/>
      <c r="DZ257" s="384"/>
      <c r="EA257" s="384"/>
      <c r="EB257" s="383"/>
      <c r="EC257" s="383"/>
      <c r="ED257" s="404"/>
      <c r="EE257" s="383"/>
      <c r="EF257" s="383"/>
      <c r="EG257" s="383"/>
      <c r="EH257" s="384"/>
      <c r="EI257" s="384"/>
      <c r="EJ257" s="384"/>
      <c r="EK257" s="383"/>
      <c r="EL257" s="383"/>
      <c r="EM257" s="404"/>
      <c r="EN257" s="383"/>
      <c r="EO257" s="383"/>
      <c r="EP257" s="383"/>
      <c r="EQ257" s="384"/>
      <c r="ER257" s="384"/>
      <c r="ES257" s="384"/>
      <c r="ET257" s="383"/>
      <c r="EU257" s="383"/>
      <c r="EV257" s="404"/>
      <c r="EW257" s="383"/>
      <c r="EX257" s="383"/>
      <c r="EY257" s="383"/>
      <c r="EZ257" s="384"/>
      <c r="FA257" s="384"/>
      <c r="FB257" s="384"/>
      <c r="FC257" s="383"/>
      <c r="FD257" s="383"/>
      <c r="FE257" s="404"/>
      <c r="FF257" s="383"/>
      <c r="FG257" s="383"/>
      <c r="FH257" s="383"/>
      <c r="FI257" s="384"/>
      <c r="FJ257" s="384"/>
      <c r="FK257" s="384"/>
      <c r="FL257" s="383"/>
      <c r="FM257" s="383"/>
      <c r="FN257" s="404"/>
      <c r="FO257" s="383"/>
      <c r="FP257" s="383"/>
      <c r="FQ257" s="383"/>
      <c r="FR257" s="384"/>
      <c r="FS257" s="384"/>
      <c r="FT257" s="384"/>
      <c r="FU257" s="383"/>
      <c r="FV257" s="383"/>
      <c r="FW257" s="404"/>
      <c r="FX257" s="383"/>
      <c r="FY257" s="383"/>
      <c r="FZ257" s="383"/>
      <c r="GA257" s="384"/>
      <c r="GB257" s="384"/>
      <c r="GC257" s="384"/>
      <c r="GD257" s="383"/>
      <c r="GE257" s="383"/>
      <c r="GF257" s="404"/>
      <c r="GG257" s="383"/>
      <c r="GH257" s="383"/>
      <c r="GI257" s="383"/>
      <c r="GJ257" s="384"/>
      <c r="GK257" s="384"/>
      <c r="GL257" s="384"/>
      <c r="GM257" s="383"/>
      <c r="GN257" s="383"/>
      <c r="GO257" s="404"/>
      <c r="GP257" s="383"/>
      <c r="GQ257" s="383"/>
      <c r="GR257" s="383"/>
      <c r="GS257" s="384"/>
      <c r="GT257" s="384"/>
      <c r="GU257" s="384"/>
      <c r="GV257" s="383"/>
      <c r="GW257" s="383"/>
      <c r="GX257" s="404"/>
      <c r="GY257" s="383"/>
      <c r="GZ257" s="383"/>
      <c r="HA257" s="383"/>
      <c r="HB257" s="384"/>
      <c r="HC257" s="384"/>
      <c r="HD257" s="384"/>
      <c r="HE257" s="383"/>
      <c r="HF257" s="383"/>
      <c r="HG257" s="404"/>
      <c r="HH257" s="383"/>
      <c r="HI257" s="383"/>
      <c r="HJ257" s="383"/>
      <c r="HK257" s="384"/>
      <c r="HL257" s="384"/>
      <c r="HM257" s="384"/>
      <c r="HN257" s="383"/>
      <c r="HO257" s="383"/>
      <c r="HP257" s="404"/>
      <c r="HQ257" s="383"/>
      <c r="HR257" s="383"/>
      <c r="HS257" s="383"/>
    </row>
    <row r="258" spans="1:227" s="393" customFormat="1" ht="39" customHeight="1" outlineLevel="1" x14ac:dyDescent="0.2">
      <c r="A258" s="402"/>
      <c r="B258" s="402"/>
      <c r="C258" s="390"/>
      <c r="D258" s="392"/>
      <c r="E258" s="392"/>
      <c r="F258" s="367"/>
      <c r="G258" s="367"/>
      <c r="H258" s="367"/>
      <c r="I258" s="367"/>
      <c r="J258" s="367"/>
    </row>
    <row r="259" spans="1:227" s="393" customFormat="1" ht="20" customHeight="1" outlineLevel="2" x14ac:dyDescent="0.2">
      <c r="A259" s="390"/>
      <c r="B259" s="391"/>
      <c r="C259" s="390"/>
      <c r="D259" s="392"/>
      <c r="E259" s="392"/>
      <c r="F259" s="367"/>
      <c r="G259" s="367">
        <f t="shared" ref="G259:G264" si="90">(D259*E259*F259)</f>
        <v>0</v>
      </c>
      <c r="H259" s="367">
        <f t="shared" ref="H259:H265" si="91">G259/$K$3</f>
        <v>0</v>
      </c>
      <c r="I259" s="367">
        <f>H259</f>
        <v>0</v>
      </c>
      <c r="J259" s="367"/>
    </row>
    <row r="260" spans="1:227" s="393" customFormat="1" ht="20" customHeight="1" outlineLevel="2" x14ac:dyDescent="0.2">
      <c r="A260" s="390"/>
      <c r="B260" s="391"/>
      <c r="C260" s="390"/>
      <c r="D260" s="392"/>
      <c r="E260" s="392"/>
      <c r="F260" s="367"/>
      <c r="G260" s="367">
        <f t="shared" si="90"/>
        <v>0</v>
      </c>
      <c r="H260" s="367">
        <f t="shared" si="91"/>
        <v>0</v>
      </c>
      <c r="I260" s="367">
        <f t="shared" ref="I260:I265" si="92">H260</f>
        <v>0</v>
      </c>
      <c r="J260" s="367"/>
    </row>
    <row r="261" spans="1:227" s="393" customFormat="1" ht="20" customHeight="1" outlineLevel="2" x14ac:dyDescent="0.2">
      <c r="A261" s="390"/>
      <c r="B261" s="391"/>
      <c r="C261" s="390"/>
      <c r="D261" s="392"/>
      <c r="E261" s="392"/>
      <c r="F261" s="367"/>
      <c r="G261" s="367">
        <f t="shared" si="90"/>
        <v>0</v>
      </c>
      <c r="H261" s="367">
        <f t="shared" si="91"/>
        <v>0</v>
      </c>
      <c r="I261" s="367">
        <f t="shared" si="92"/>
        <v>0</v>
      </c>
      <c r="J261" s="367"/>
    </row>
    <row r="262" spans="1:227" s="393" customFormat="1" ht="20" customHeight="1" outlineLevel="2" x14ac:dyDescent="0.2">
      <c r="A262" s="390"/>
      <c r="B262" s="391"/>
      <c r="C262" s="390"/>
      <c r="D262" s="392"/>
      <c r="E262" s="392"/>
      <c r="F262" s="367"/>
      <c r="G262" s="367">
        <f t="shared" si="90"/>
        <v>0</v>
      </c>
      <c r="H262" s="367">
        <f t="shared" si="91"/>
        <v>0</v>
      </c>
      <c r="I262" s="367">
        <f t="shared" si="92"/>
        <v>0</v>
      </c>
      <c r="J262" s="367"/>
    </row>
    <row r="263" spans="1:227" s="393" customFormat="1" ht="20" customHeight="1" outlineLevel="2" x14ac:dyDescent="0.2">
      <c r="A263" s="390"/>
      <c r="B263" s="391"/>
      <c r="C263" s="390"/>
      <c r="D263" s="392"/>
      <c r="E263" s="392"/>
      <c r="F263" s="367"/>
      <c r="G263" s="367">
        <f t="shared" si="90"/>
        <v>0</v>
      </c>
      <c r="H263" s="367">
        <f t="shared" si="91"/>
        <v>0</v>
      </c>
      <c r="I263" s="367">
        <f t="shared" si="92"/>
        <v>0</v>
      </c>
      <c r="J263" s="367"/>
    </row>
    <row r="264" spans="1:227" s="393" customFormat="1" ht="20" customHeight="1" outlineLevel="2" x14ac:dyDescent="0.2">
      <c r="A264" s="390"/>
      <c r="B264" s="391"/>
      <c r="C264" s="390"/>
      <c r="D264" s="392"/>
      <c r="E264" s="392"/>
      <c r="F264" s="367"/>
      <c r="G264" s="367">
        <f t="shared" si="90"/>
        <v>0</v>
      </c>
      <c r="H264" s="367">
        <f t="shared" si="91"/>
        <v>0</v>
      </c>
      <c r="I264" s="367">
        <f t="shared" si="92"/>
        <v>0</v>
      </c>
      <c r="J264" s="367"/>
    </row>
    <row r="265" spans="1:227" s="393" customFormat="1" ht="20" customHeight="1" outlineLevel="2" x14ac:dyDescent="0.2">
      <c r="A265" s="390"/>
      <c r="B265" s="391"/>
      <c r="C265" s="390"/>
      <c r="D265" s="392"/>
      <c r="E265" s="392"/>
      <c r="F265" s="367"/>
      <c r="G265" s="367">
        <f>(D265*E265*F265)</f>
        <v>0</v>
      </c>
      <c r="H265" s="367">
        <f t="shared" si="91"/>
        <v>0</v>
      </c>
      <c r="I265" s="367">
        <f t="shared" si="92"/>
        <v>0</v>
      </c>
      <c r="J265" s="367"/>
    </row>
    <row r="266" spans="1:227" s="386" customFormat="1" ht="17" outlineLevel="1" x14ac:dyDescent="0.2">
      <c r="A266" s="378" t="s">
        <v>288</v>
      </c>
      <c r="B266" s="379"/>
      <c r="C266" s="379"/>
      <c r="D266" s="379"/>
      <c r="E266" s="379"/>
      <c r="F266" s="380"/>
      <c r="G266" s="380">
        <f>SUM(G259:G265)</f>
        <v>0</v>
      </c>
      <c r="H266" s="381">
        <f>SUM(H259:H265)</f>
        <v>0</v>
      </c>
      <c r="I266" s="380">
        <f>SUM(I259:I265)</f>
        <v>0</v>
      </c>
      <c r="J266" s="380">
        <f>SUM(J259:J265)</f>
        <v>0</v>
      </c>
      <c r="K266" s="382"/>
      <c r="L266" s="384"/>
      <c r="M266" s="384"/>
      <c r="N266" s="384"/>
      <c r="O266" s="383"/>
      <c r="P266" s="383"/>
      <c r="Q266" s="385"/>
      <c r="R266" s="383"/>
      <c r="S266" s="383"/>
      <c r="T266" s="383"/>
      <c r="U266" s="384"/>
      <c r="V266" s="384"/>
      <c r="W266" s="384"/>
      <c r="X266" s="383"/>
      <c r="Y266" s="383"/>
      <c r="Z266" s="385"/>
      <c r="AA266" s="383"/>
      <c r="AB266" s="383"/>
      <c r="AC266" s="383"/>
      <c r="AD266" s="384"/>
      <c r="AE266" s="384"/>
      <c r="AF266" s="384"/>
      <c r="AG266" s="383"/>
      <c r="AH266" s="383"/>
      <c r="AI266" s="385"/>
      <c r="AJ266" s="383"/>
      <c r="AK266" s="383"/>
      <c r="AL266" s="383"/>
      <c r="AM266" s="384"/>
      <c r="AN266" s="384"/>
      <c r="AO266" s="384"/>
      <c r="AP266" s="383"/>
      <c r="AQ266" s="383"/>
      <c r="AR266" s="385"/>
      <c r="AS266" s="383"/>
      <c r="AT266" s="383"/>
      <c r="AU266" s="383"/>
      <c r="AV266" s="384"/>
      <c r="AW266" s="384"/>
      <c r="AX266" s="384"/>
      <c r="AY266" s="383"/>
      <c r="AZ266" s="383"/>
      <c r="BA266" s="385"/>
      <c r="BB266" s="383"/>
      <c r="BC266" s="383"/>
      <c r="BD266" s="383"/>
      <c r="BE266" s="384"/>
      <c r="BF266" s="384"/>
      <c r="BG266" s="384"/>
      <c r="BH266" s="383"/>
      <c r="BI266" s="383"/>
      <c r="BJ266" s="385"/>
      <c r="BK266" s="383"/>
      <c r="BL266" s="383"/>
      <c r="BM266" s="383"/>
      <c r="BN266" s="384"/>
      <c r="BO266" s="384"/>
      <c r="BP266" s="384"/>
      <c r="BQ266" s="383"/>
      <c r="BR266" s="383"/>
      <c r="BS266" s="385"/>
      <c r="BT266" s="383"/>
      <c r="BU266" s="383"/>
      <c r="BV266" s="383"/>
      <c r="BW266" s="384"/>
      <c r="BX266" s="384"/>
      <c r="BY266" s="384"/>
      <c r="BZ266" s="383"/>
      <c r="CA266" s="383"/>
      <c r="CB266" s="385"/>
      <c r="CC266" s="383"/>
      <c r="CD266" s="383"/>
      <c r="CE266" s="383"/>
      <c r="CF266" s="384"/>
      <c r="CG266" s="384"/>
      <c r="CH266" s="384"/>
      <c r="CI266" s="383"/>
      <c r="CJ266" s="383"/>
      <c r="CK266" s="385"/>
      <c r="CL266" s="383"/>
      <c r="CM266" s="383"/>
      <c r="CN266" s="383"/>
      <c r="CO266" s="384"/>
      <c r="CP266" s="384"/>
      <c r="CQ266" s="384"/>
      <c r="CR266" s="383"/>
      <c r="CS266" s="383"/>
      <c r="CT266" s="385"/>
      <c r="CU266" s="383"/>
      <c r="CV266" s="383"/>
      <c r="CW266" s="383"/>
      <c r="CX266" s="384"/>
      <c r="CY266" s="384"/>
      <c r="CZ266" s="384"/>
      <c r="DA266" s="383"/>
      <c r="DB266" s="383"/>
      <c r="DC266" s="385"/>
      <c r="DD266" s="383"/>
      <c r="DE266" s="383"/>
      <c r="DF266" s="383"/>
      <c r="DG266" s="384"/>
      <c r="DH266" s="384"/>
      <c r="DI266" s="384"/>
      <c r="DJ266" s="383"/>
      <c r="DK266" s="383"/>
      <c r="DL266" s="385"/>
      <c r="DM266" s="383"/>
      <c r="DN266" s="383"/>
      <c r="DO266" s="383"/>
      <c r="DP266" s="384"/>
      <c r="DQ266" s="384"/>
      <c r="DR266" s="384"/>
      <c r="DS266" s="383"/>
      <c r="DT266" s="383"/>
      <c r="DU266" s="385"/>
      <c r="DV266" s="383"/>
      <c r="DW266" s="383"/>
      <c r="DX266" s="383"/>
      <c r="DY266" s="384"/>
      <c r="DZ266" s="384"/>
      <c r="EA266" s="384"/>
      <c r="EB266" s="383"/>
      <c r="EC266" s="383"/>
      <c r="ED266" s="385"/>
      <c r="EE266" s="383"/>
      <c r="EF266" s="383"/>
      <c r="EG266" s="383"/>
      <c r="EH266" s="384"/>
      <c r="EI266" s="384"/>
      <c r="EJ266" s="384"/>
      <c r="EK266" s="383"/>
      <c r="EL266" s="383"/>
      <c r="EM266" s="385"/>
      <c r="EN266" s="383"/>
      <c r="EO266" s="383"/>
      <c r="EP266" s="383"/>
      <c r="EQ266" s="384"/>
      <c r="ER266" s="384"/>
      <c r="ES266" s="384"/>
      <c r="ET266" s="383"/>
      <c r="EU266" s="383"/>
      <c r="EV266" s="385"/>
      <c r="EW266" s="383"/>
      <c r="EX266" s="383"/>
      <c r="EY266" s="383"/>
      <c r="EZ266" s="384"/>
      <c r="FA266" s="384"/>
      <c r="FB266" s="384"/>
      <c r="FC266" s="383"/>
      <c r="FD266" s="383"/>
      <c r="FE266" s="385"/>
      <c r="FF266" s="383"/>
      <c r="FG266" s="383"/>
      <c r="FH266" s="383"/>
      <c r="FI266" s="384"/>
      <c r="FJ266" s="384"/>
      <c r="FK266" s="384"/>
      <c r="FL266" s="383"/>
      <c r="FM266" s="383"/>
      <c r="FN266" s="385"/>
      <c r="FO266" s="383"/>
      <c r="FP266" s="383"/>
      <c r="FQ266" s="383"/>
      <c r="FR266" s="384"/>
      <c r="FS266" s="384"/>
      <c r="FT266" s="384"/>
      <c r="FU266" s="383"/>
      <c r="FV266" s="383"/>
      <c r="FW266" s="385"/>
      <c r="FX266" s="383"/>
      <c r="FY266" s="383"/>
      <c r="FZ266" s="383"/>
      <c r="GA266" s="384"/>
      <c r="GB266" s="384"/>
      <c r="GC266" s="384"/>
      <c r="GD266" s="383"/>
      <c r="GE266" s="383"/>
      <c r="GF266" s="385"/>
      <c r="GG266" s="383"/>
      <c r="GH266" s="383"/>
      <c r="GI266" s="383"/>
      <c r="GJ266" s="384"/>
      <c r="GK266" s="384"/>
      <c r="GL266" s="384"/>
      <c r="GM266" s="383"/>
      <c r="GN266" s="383"/>
      <c r="GO266" s="385"/>
      <c r="GP266" s="383"/>
      <c r="GQ266" s="383"/>
      <c r="GR266" s="383"/>
      <c r="GS266" s="384"/>
      <c r="GT266" s="384"/>
      <c r="GU266" s="384"/>
      <c r="GV266" s="383"/>
      <c r="GW266" s="383"/>
      <c r="GX266" s="385"/>
      <c r="GY266" s="383"/>
      <c r="GZ266" s="383"/>
      <c r="HA266" s="383"/>
      <c r="HB266" s="384"/>
      <c r="HC266" s="384"/>
      <c r="HD266" s="384"/>
      <c r="HE266" s="383"/>
      <c r="HF266" s="383"/>
      <c r="HG266" s="385"/>
      <c r="HH266" s="383"/>
      <c r="HI266" s="383"/>
      <c r="HJ266" s="383"/>
      <c r="HK266" s="384"/>
      <c r="HL266" s="384"/>
      <c r="HM266" s="384"/>
      <c r="HN266" s="383"/>
      <c r="HO266" s="383"/>
      <c r="HP266" s="385"/>
      <c r="HQ266" s="383"/>
      <c r="HR266" s="383"/>
      <c r="HS266" s="383"/>
    </row>
    <row r="267" spans="1:227" outlineLevel="1" x14ac:dyDescent="0.2"/>
    <row r="268" spans="1:227" ht="17" x14ac:dyDescent="0.2">
      <c r="A268" s="387" t="s">
        <v>377</v>
      </c>
      <c r="B268" s="387"/>
      <c r="C268" s="388"/>
      <c r="D268" s="388"/>
      <c r="E268" s="388"/>
      <c r="F268" s="388"/>
      <c r="G268" s="389">
        <f>SUM(G15,G24,G41,G62,G71,G80,G89,G118,G129,G147,G156,G165,G174,G183,G203,G221,G230,G239,G248,G257,G266,G98,G138,G109,G50,G32)</f>
        <v>5515600</v>
      </c>
      <c r="H268" s="389">
        <f>SUM(H15,H24,H41,H62,H71,H80,H89,H118,H129,H147,H156,H165,H174,H183,H203,H221,H230,H239,H248,H257,H266,H98,H138,H109,H50,H32)</f>
        <v>351312.10191082803</v>
      </c>
      <c r="I268" s="389">
        <f>SUM(I15,I24,I41,I62,I71,I80,I89,I118,I129,I147,I156,I165,I174,I183,I203,I221,I230,I239,I248,I257,I266,I98,I138,I109,I50,I32)</f>
        <v>351312.10191082803</v>
      </c>
      <c r="J268" s="389">
        <f>SUM(J15,J24,J41,J62,J71,J80,J89,J118,J129,J147,J156,J165,J174,J183,J203,J221,J230,J239,J248,J257,J266,J98)</f>
        <v>0</v>
      </c>
    </row>
    <row r="276" spans="8:8" x14ac:dyDescent="0.2">
      <c r="H276" s="648"/>
    </row>
  </sheetData>
  <autoFilter ref="A6:HX268" xr:uid="{FBA28FB9-AB4D-4858-8EFE-CA6F51CE5D75}"/>
  <pageMargins left="0.7" right="0.7" top="0.75" bottom="0.75" header="0.3" footer="0.3"/>
  <pageSetup paperSize="9" scale="2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MPTF_00006_00996</ProjectId>
    <FundCode xmlns="f9695bc1-6109-4dcd-a27a-f8a0370b00e2">MPTF_00006</FundCode>
    <Comments xmlns="f9695bc1-6109-4dcd-a27a-f8a0370b00e2">Annual Financial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54EB7-5DB4-40A6-AEE8-186D72BF95CC}">
  <ds:schemaRefs>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abfbb7f8-8328-4d2d-8665-9273d1839316"/>
    <ds:schemaRef ds:uri="http://www.w3.org/XML/1998/namespace"/>
    <ds:schemaRef ds:uri="http://schemas.microsoft.com/office/2006/metadata/properties"/>
    <ds:schemaRef ds:uri="http://schemas.microsoft.com/office/infopath/2007/PartnerControls"/>
    <ds:schemaRef ds:uri="6ed85ed6-ac34-4e3e-bfc6-141a2e82e272"/>
  </ds:schemaRefs>
</ds:datastoreItem>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77EBB119-3233-4479-965C-DC2307863EB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8</vt:i4>
      </vt:variant>
    </vt:vector>
  </HeadingPairs>
  <TitlesOfParts>
    <vt:vector size="31" baseType="lpstr">
      <vt:lpstr>Instructions</vt:lpstr>
      <vt:lpstr>1) Budget Tables</vt:lpstr>
      <vt:lpstr>2) By Category</vt:lpstr>
      <vt:lpstr>3) Explanatory Notes</vt:lpstr>
      <vt:lpstr>4) For PBSO Use</vt:lpstr>
      <vt:lpstr>5) For MPTF Use</vt:lpstr>
      <vt:lpstr>Assumption==&gt;</vt:lpstr>
      <vt:lpstr>Summary</vt:lpstr>
      <vt:lpstr>Outcom 1</vt:lpstr>
      <vt:lpstr>Outcom 2</vt:lpstr>
      <vt:lpstr>Outcom 3</vt:lpstr>
      <vt:lpstr>HR_Natl</vt:lpstr>
      <vt:lpstr>HR_Intl</vt:lpstr>
      <vt:lpstr>Sheet3</vt:lpstr>
      <vt:lpstr>Supervisions</vt:lpstr>
      <vt:lpstr>Operations</vt:lpstr>
      <vt:lpstr>LOE_CRS</vt:lpstr>
      <vt:lpstr>LOE_Partners</vt:lpstr>
      <vt:lpstr>Equipment</vt:lpstr>
      <vt:lpstr>CA_912</vt:lpstr>
      <vt:lpstr>CA_922</vt:lpstr>
      <vt:lpstr>CA_932</vt:lpstr>
      <vt:lpstr>Sheet2</vt:lpstr>
      <vt:lpstr>'1) Budget Tables'!Print_Area</vt:lpstr>
      <vt:lpstr>'2) By Category'!Print_Area</vt:lpstr>
      <vt:lpstr>HR_Natl!Print_Area</vt:lpstr>
      <vt:lpstr>Instructions!Print_Area</vt:lpstr>
      <vt:lpstr>'Outcom 1'!Print_Area</vt:lpstr>
      <vt:lpstr>'Outcom 2'!Print_Area</vt:lpstr>
      <vt:lpstr>'Outcom 3'!Print_Area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20231115-Annual Cfinancial Annex D project budget Report(1).xlsx</dc:title>
  <dc:subject/>
  <dc:creator>Jelena Zelenovic</dc:creator>
  <cp:keywords/>
  <dc:description/>
  <cp:lastModifiedBy>Simonetta Rossi</cp:lastModifiedBy>
  <cp:revision/>
  <dcterms:created xsi:type="dcterms:W3CDTF">2017-11-15T21:17:43Z</dcterms:created>
  <dcterms:modified xsi:type="dcterms:W3CDTF">2023-11-16T11:07:53Z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