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Tony Kouemo\Desktop\Dossiers-Haiti5\Documents_PBF_Agences\Projet_PAPEH\"/>
    </mc:Choice>
  </mc:AlternateContent>
  <xr:revisionPtr revIDLastSave="0" documentId="8_{F3D8A76D-BDE7-40DE-8B0F-838753ED8E5D}" xr6:coauthVersionLast="47" xr6:coauthVersionMax="47" xr10:uidLastSave="{00000000-0000-0000-0000-000000000000}"/>
  <bookViews>
    <workbookView xWindow="-108" yWindow="-108" windowWidth="23256" windowHeight="12456" firstSheet="3" activeTab="3" xr2:uid="{00000000-000D-0000-FFFF-FFFF00000000}"/>
  </bookViews>
  <sheets>
    <sheet name="Sheet1" sheetId="1" state="hidden" r:id="rId1"/>
    <sheet name="Rapp 10 nov 2021" sheetId="2" state="hidden" r:id="rId2"/>
    <sheet name="INFOS 10 NOV 21" sheetId="3" state="hidden" r:id="rId3"/>
    <sheet name="Rapport 31 OCT" sheetId="6" r:id="rId4"/>
    <sheet name="Sheet2" sheetId="5" r:id="rId5"/>
  </sheets>
  <externalReferences>
    <externalReference r:id="rId6"/>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8" i="6" l="1"/>
  <c r="D39" i="6"/>
  <c r="L44" i="6" s="1"/>
  <c r="L45" i="6" s="1"/>
  <c r="E38" i="6"/>
  <c r="E39" i="6"/>
  <c r="H39" i="6"/>
  <c r="H38" i="6"/>
  <c r="C38" i="6"/>
  <c r="I12" i="6"/>
  <c r="I7" i="6"/>
  <c r="I10" i="6"/>
  <c r="E25" i="6"/>
  <c r="D25" i="6"/>
  <c r="D24" i="6"/>
  <c r="D28" i="6"/>
  <c r="E28" i="6"/>
  <c r="D29" i="6"/>
  <c r="E29" i="6"/>
  <c r="E27" i="6"/>
  <c r="F38" i="6" l="1"/>
  <c r="D27" i="6"/>
  <c r="F36" i="6"/>
  <c r="F33" i="6"/>
  <c r="F32" i="6"/>
  <c r="F29" i="6"/>
  <c r="F28" i="6"/>
  <c r="F26" i="6"/>
  <c r="F25" i="6"/>
  <c r="F24" i="6"/>
  <c r="F21" i="6"/>
  <c r="F19" i="6"/>
  <c r="F20" i="6"/>
  <c r="F18" i="6"/>
  <c r="F17" i="6"/>
  <c r="F16" i="6"/>
  <c r="F27" i="6" l="1"/>
  <c r="E17" i="6" l="1"/>
  <c r="E32" i="6" l="1"/>
  <c r="D36" i="6"/>
  <c r="G32" i="6"/>
  <c r="G45" i="6" l="1"/>
  <c r="G36" i="6"/>
  <c r="E36" i="6"/>
  <c r="H36" i="6"/>
  <c r="H30" i="6"/>
  <c r="E30" i="6"/>
  <c r="E21" i="6"/>
  <c r="D21" i="6" l="1"/>
  <c r="H48" i="6"/>
  <c r="E48" i="6"/>
  <c r="D48" i="6"/>
  <c r="G47" i="6"/>
  <c r="G46" i="6"/>
  <c r="L39" i="6"/>
  <c r="I36" i="6"/>
  <c r="C36" i="6"/>
  <c r="M35" i="6"/>
  <c r="K35" i="6"/>
  <c r="J35" i="6"/>
  <c r="M34" i="6"/>
  <c r="K34" i="6"/>
  <c r="J34" i="6"/>
  <c r="M33" i="6"/>
  <c r="K33" i="6"/>
  <c r="J33" i="6"/>
  <c r="M32" i="6"/>
  <c r="K32" i="6"/>
  <c r="J32" i="6"/>
  <c r="G30" i="6"/>
  <c r="D30" i="6"/>
  <c r="F30" i="6" s="1"/>
  <c r="C30" i="6"/>
  <c r="M29" i="6"/>
  <c r="K29" i="6"/>
  <c r="J29" i="6"/>
  <c r="M28" i="6"/>
  <c r="K28" i="6"/>
  <c r="J28" i="6"/>
  <c r="M27" i="6"/>
  <c r="K27" i="6"/>
  <c r="J27" i="6"/>
  <c r="M26" i="6"/>
  <c r="K26" i="6"/>
  <c r="J26" i="6"/>
  <c r="M25" i="6"/>
  <c r="K25" i="6"/>
  <c r="J25" i="6"/>
  <c r="M24" i="6"/>
  <c r="K24" i="6"/>
  <c r="J24" i="6"/>
  <c r="I21" i="6"/>
  <c r="H21" i="6"/>
  <c r="G21" i="6"/>
  <c r="G37" i="6" s="1"/>
  <c r="G38" i="6" s="1"/>
  <c r="C21" i="6"/>
  <c r="M20" i="6"/>
  <c r="K20" i="6"/>
  <c r="J20" i="6"/>
  <c r="M19" i="6"/>
  <c r="K19" i="6"/>
  <c r="J19" i="6"/>
  <c r="M18" i="6"/>
  <c r="K18" i="6"/>
  <c r="J18" i="6"/>
  <c r="M17" i="6"/>
  <c r="K17" i="6"/>
  <c r="J17" i="6"/>
  <c r="M16" i="6"/>
  <c r="K16" i="6"/>
  <c r="J16" i="6"/>
  <c r="I13" i="6"/>
  <c r="H13" i="6"/>
  <c r="G13" i="6"/>
  <c r="C13" i="6"/>
  <c r="M12" i="6"/>
  <c r="K12" i="6"/>
  <c r="J12" i="6"/>
  <c r="M11" i="6"/>
  <c r="K11" i="6"/>
  <c r="J11" i="6"/>
  <c r="M10" i="6"/>
  <c r="K10" i="6"/>
  <c r="J10" i="6"/>
  <c r="I8" i="6"/>
  <c r="H8" i="6"/>
  <c r="G8" i="6"/>
  <c r="E8" i="6"/>
  <c r="E37" i="6" s="1"/>
  <c r="C8" i="6"/>
  <c r="M7" i="6"/>
  <c r="K7" i="6"/>
  <c r="J7" i="6"/>
  <c r="M6" i="6"/>
  <c r="J6" i="6"/>
  <c r="H37" i="6" l="1"/>
  <c r="I37" i="6"/>
  <c r="I39" i="6" s="1"/>
  <c r="D37" i="6"/>
  <c r="F37" i="6" s="1"/>
  <c r="G48" i="6"/>
  <c r="K13" i="6"/>
  <c r="K36" i="6"/>
  <c r="L8" i="6"/>
  <c r="K21" i="6"/>
  <c r="J36" i="6"/>
  <c r="M8" i="6"/>
  <c r="M30" i="6"/>
  <c r="K30" i="6"/>
  <c r="L21" i="6"/>
  <c r="L30" i="6"/>
  <c r="K8" i="6"/>
  <c r="J21" i="6"/>
  <c r="M21" i="6"/>
  <c r="L13" i="6"/>
  <c r="J30" i="6"/>
  <c r="M13" i="6"/>
  <c r="M36" i="6"/>
  <c r="C37" i="6"/>
  <c r="K37" i="6" s="1"/>
  <c r="J8" i="6"/>
  <c r="J13" i="6"/>
  <c r="J37" i="6" l="1"/>
  <c r="J38" i="6" s="1"/>
  <c r="J39" i="6" s="1"/>
  <c r="G39" i="6"/>
  <c r="C39" i="6"/>
  <c r="M37" i="6"/>
  <c r="H11" i="5"/>
  <c r="F11" i="5"/>
  <c r="E11" i="5"/>
  <c r="G11" i="5" s="1"/>
  <c r="G10" i="5"/>
  <c r="G9" i="5"/>
  <c r="G8" i="5"/>
  <c r="B29" i="3"/>
  <c r="B30" i="3" s="1"/>
  <c r="B28" i="3"/>
  <c r="D27" i="3"/>
  <c r="E27" i="3" s="1"/>
  <c r="C27" i="3"/>
  <c r="B27" i="3"/>
  <c r="B26" i="3"/>
  <c r="I43" i="2"/>
  <c r="C41" i="2"/>
  <c r="C42" i="2" s="1"/>
  <c r="F40" i="2"/>
  <c r="E40" i="2"/>
  <c r="E41" i="2" s="1"/>
  <c r="D40" i="2"/>
  <c r="D41" i="2" s="1"/>
  <c r="C40" i="2"/>
  <c r="J39" i="2"/>
  <c r="H39" i="2"/>
  <c r="J38" i="2"/>
  <c r="H38" i="2"/>
  <c r="J37" i="2"/>
  <c r="H37" i="2"/>
  <c r="H36" i="2"/>
  <c r="G36" i="2"/>
  <c r="J36" i="2" s="1"/>
  <c r="F34" i="2"/>
  <c r="E34" i="2"/>
  <c r="C34" i="2"/>
  <c r="J33" i="2"/>
  <c r="H33" i="2"/>
  <c r="J32" i="2"/>
  <c r="H32" i="2"/>
  <c r="J31" i="2"/>
  <c r="H31" i="2"/>
  <c r="J30" i="2"/>
  <c r="H30" i="2"/>
  <c r="J29" i="2"/>
  <c r="H29" i="2"/>
  <c r="H34" i="2" s="1"/>
  <c r="J28" i="2"/>
  <c r="J34" i="2" s="1"/>
  <c r="H28" i="2"/>
  <c r="I34" i="2" s="1"/>
  <c r="G25" i="2"/>
  <c r="F25" i="2"/>
  <c r="E25" i="2"/>
  <c r="D25" i="2"/>
  <c r="C25" i="2"/>
  <c r="J24" i="2"/>
  <c r="H24" i="2"/>
  <c r="J23" i="2"/>
  <c r="J25" i="2" s="1"/>
  <c r="H23" i="2"/>
  <c r="J22" i="2"/>
  <c r="H22" i="2"/>
  <c r="I25" i="2" s="1"/>
  <c r="J21" i="2"/>
  <c r="H21" i="2"/>
  <c r="J20" i="2"/>
  <c r="H20" i="2"/>
  <c r="F17" i="2"/>
  <c r="F41" i="2" s="1"/>
  <c r="E17" i="2"/>
  <c r="C17" i="2"/>
  <c r="H16" i="2"/>
  <c r="G16" i="2"/>
  <c r="J16" i="2" s="1"/>
  <c r="H15" i="2"/>
  <c r="I17" i="2" s="1"/>
  <c r="G15" i="2"/>
  <c r="J15" i="2" s="1"/>
  <c r="J14" i="2"/>
  <c r="H14" i="2"/>
  <c r="H17" i="2" s="1"/>
  <c r="H12" i="2"/>
  <c r="G12" i="2"/>
  <c r="F12" i="2"/>
  <c r="E12" i="2"/>
  <c r="D12" i="2"/>
  <c r="C12" i="2"/>
  <c r="J11" i="2"/>
  <c r="H11" i="2"/>
  <c r="I12" i="2" s="1"/>
  <c r="J10" i="2"/>
  <c r="J12" i="2" s="1"/>
  <c r="H10" i="2"/>
  <c r="I43" i="1"/>
  <c r="G40" i="1"/>
  <c r="F40" i="1"/>
  <c r="F41" i="1" s="1"/>
  <c r="E40" i="1"/>
  <c r="H40" i="1" s="1"/>
  <c r="D40" i="1"/>
  <c r="C40" i="1"/>
  <c r="C41" i="1" s="1"/>
  <c r="J39" i="1"/>
  <c r="H39" i="1"/>
  <c r="J38" i="1"/>
  <c r="H38" i="1"/>
  <c r="J37" i="1"/>
  <c r="H37" i="1"/>
  <c r="J36" i="1"/>
  <c r="H36" i="1"/>
  <c r="G36" i="1"/>
  <c r="F34" i="1"/>
  <c r="E34" i="1"/>
  <c r="C34" i="1"/>
  <c r="J33" i="1"/>
  <c r="H33" i="1"/>
  <c r="J32" i="1"/>
  <c r="H32" i="1"/>
  <c r="J31" i="1"/>
  <c r="H31" i="1"/>
  <c r="J30" i="1"/>
  <c r="H30" i="1"/>
  <c r="J29" i="1"/>
  <c r="H29" i="1"/>
  <c r="J28" i="1"/>
  <c r="J34" i="1" s="1"/>
  <c r="H28" i="1"/>
  <c r="H34" i="1" s="1"/>
  <c r="H25" i="1"/>
  <c r="G25" i="1"/>
  <c r="F25" i="1"/>
  <c r="E25" i="1"/>
  <c r="D25" i="1"/>
  <c r="D41" i="1" s="1"/>
  <c r="C25" i="1"/>
  <c r="J24" i="1"/>
  <c r="H24" i="1"/>
  <c r="I25" i="1" s="1"/>
  <c r="J23" i="1"/>
  <c r="H23" i="1"/>
  <c r="J22" i="1"/>
  <c r="J25" i="1" s="1"/>
  <c r="H22" i="1"/>
  <c r="J21" i="1"/>
  <c r="H21" i="1"/>
  <c r="J20" i="1"/>
  <c r="H20" i="1"/>
  <c r="J17" i="1"/>
  <c r="F17" i="1"/>
  <c r="E17" i="1"/>
  <c r="C17" i="1"/>
  <c r="J16" i="1"/>
  <c r="H16" i="1"/>
  <c r="J15" i="1"/>
  <c r="H15" i="1"/>
  <c r="G15" i="1"/>
  <c r="G17" i="1" s="1"/>
  <c r="G41" i="1" s="1"/>
  <c r="J14" i="1"/>
  <c r="H14" i="1"/>
  <c r="I17" i="1" s="1"/>
  <c r="H12" i="1"/>
  <c r="G12" i="1"/>
  <c r="F12" i="1"/>
  <c r="E12" i="1"/>
  <c r="D12" i="1"/>
  <c r="C12" i="1"/>
  <c r="J11" i="1"/>
  <c r="H11" i="1"/>
  <c r="I12" i="1" s="1"/>
  <c r="J10" i="1"/>
  <c r="J12" i="1" s="1"/>
  <c r="H10" i="1"/>
  <c r="F39" i="6" l="1"/>
  <c r="M39" i="6"/>
  <c r="K38" i="6"/>
  <c r="K39" i="6" s="1"/>
  <c r="J17" i="2"/>
  <c r="J41" i="1"/>
  <c r="D42" i="1"/>
  <c r="D43" i="1" s="1"/>
  <c r="J43" i="1" s="1"/>
  <c r="F42" i="1"/>
  <c r="F43" i="1"/>
  <c r="G42" i="1"/>
  <c r="G43" i="1"/>
  <c r="C42" i="1"/>
  <c r="C43" i="1" s="1"/>
  <c r="F42" i="2"/>
  <c r="F43" i="2"/>
  <c r="D42" i="2"/>
  <c r="D43" i="2"/>
  <c r="E42" i="2"/>
  <c r="E43" i="2"/>
  <c r="J40" i="1"/>
  <c r="H25" i="2"/>
  <c r="I34" i="1"/>
  <c r="H17" i="1"/>
  <c r="H41" i="1" s="1"/>
  <c r="G40" i="2"/>
  <c r="G41" i="2" s="1"/>
  <c r="J41" i="2" s="1"/>
  <c r="C43" i="2"/>
  <c r="E41" i="1"/>
  <c r="G17" i="2"/>
  <c r="H42" i="1" l="1"/>
  <c r="H43" i="1"/>
  <c r="E42" i="1"/>
  <c r="E43" i="1"/>
  <c r="J40" i="2"/>
  <c r="G42" i="2"/>
  <c r="G43" i="2"/>
  <c r="J43" i="2" s="1"/>
  <c r="H40" i="2"/>
  <c r="H41" i="2" s="1"/>
  <c r="H42" i="2" l="1"/>
  <c r="H43" i="2" s="1"/>
</calcChain>
</file>

<file path=xl/sharedStrings.xml><?xml version="1.0" encoding="utf-8"?>
<sst xmlns="http://schemas.openxmlformats.org/spreadsheetml/2006/main" count="269" uniqueCount="113">
  <si>
    <t>Financial Report au 10 septembre 2021 and commitments</t>
  </si>
  <si>
    <t>Tableau 1 - Budget du projet PBF par resultat, produit et activite</t>
  </si>
  <si>
    <t>Formulation du resultat/ produit/activite</t>
  </si>
  <si>
    <t>Budget ONU FEMMES</t>
  </si>
  <si>
    <t>Dépenses ONU FEMMES</t>
  </si>
  <si>
    <t>Budget  PNUD</t>
  </si>
  <si>
    <t>Dépenses PNUD</t>
  </si>
  <si>
    <t>Nombre de resultat/ produit</t>
  </si>
  <si>
    <t>Engamement</t>
  </si>
  <si>
    <t>Dépenses</t>
  </si>
  <si>
    <t>Total</t>
  </si>
  <si>
    <t xml:space="preserve">Pourcentage du budget pour chaque produit ou activite reserve pour action directe sur égalité des sexes et autonomisation des femmes (GEWE) (cas echeant) </t>
  </si>
  <si>
    <t>Niveau de depense total/ engagement actuel en USD (a remplir au moment des rapports de projet)</t>
  </si>
  <si>
    <t xml:space="preserve">RESULTAT 1: </t>
  </si>
  <si>
    <t xml:space="preserve">Dialogue renforcé et capacités accrues des acteurs du processus électoral pour la prévention et la gestion des conflits et de la violence   </t>
  </si>
  <si>
    <t>Produit 1.1:</t>
  </si>
  <si>
    <t xml:space="preserve">Les acteurs du processus électoral disposent des capacités de prévention de la violence électorale et le renforcement du dialogue </t>
  </si>
  <si>
    <t>Activite 1.1.1:</t>
  </si>
  <si>
    <t xml:space="preserve">Appui à la mise en place au niveau du CEP d’une unité d’évaluation et de prévention des risques liés au conflit et à la violence </t>
  </si>
  <si>
    <t>Activite 1.1.2:</t>
  </si>
  <si>
    <t>Préparation et mise en œuvre d'une stratégie pour la prévention et la gestion de la violence liée aux élections, incluant des actions spécifiques pour les jeunes</t>
  </si>
  <si>
    <t>Produit total</t>
  </si>
  <si>
    <t>Produit 1.2:</t>
  </si>
  <si>
    <t xml:space="preserve">Les acteurs du processus électoral disposent des capacités de gestion de conflits liés au processus électoral  </t>
  </si>
  <si>
    <t>Activite 1.2.1</t>
  </si>
  <si>
    <t>Renforcement des capacités du CEP pour faire face aux cas de violence électorale</t>
  </si>
  <si>
    <t>Activite 1.2.2</t>
  </si>
  <si>
    <t xml:space="preserve">Mise en place de mécanismes de résolution alternatives des conflits liés aux élections </t>
  </si>
  <si>
    <t>Activite 1.2.3</t>
  </si>
  <si>
    <t xml:space="preserve">Suivi et analyse des cas de violence observés pour une meilleure compréhension du phénomène de la violence électorale </t>
  </si>
  <si>
    <t xml:space="preserve">RESULTAT 2: </t>
  </si>
  <si>
    <t xml:space="preserve">Les femmes candidates et électrices se sentent plus en sécurité et participent activement au processus électoral </t>
  </si>
  <si>
    <t>Produit 2.1</t>
  </si>
  <si>
    <t>La Police Nationale d’Haïti dispose de capacités spécifiques pour prévenir et combattre la violence électorale et politique à l'égard des femmes</t>
  </si>
  <si>
    <t>Activite 2.1.1</t>
  </si>
  <si>
    <t xml:space="preserve">Accompagnement de la PNH dans la mise à jour des curricula existants de la PNH sur la prévention de la violence électorale à l'égard des femmes </t>
  </si>
  <si>
    <t>Activite 2.1.2</t>
  </si>
  <si>
    <t>Développement et mise en œuvre des activités de sensibilisation à l’intention des officier-e-s supérieur-e-s de la PNH.</t>
  </si>
  <si>
    <t>Activite 2.1.3</t>
  </si>
  <si>
    <t>Mise en place de capacités de collecte de données et de suivi de la violence électorale à l'égard des femmes au sein de la PNH.</t>
  </si>
  <si>
    <t>Activite 2.1.4</t>
  </si>
  <si>
    <t>Élaboration / mise à jour des procédures opérationnelles standards pour la protection des candidat-e-s et des électeurs-trices.</t>
  </si>
  <si>
    <t>Activite 2.1.5</t>
  </si>
  <si>
    <t>Développement d’un partenariat entre la PNH et la plateforme communautaire.</t>
  </si>
  <si>
    <t>Produit 2.2</t>
  </si>
  <si>
    <t xml:space="preserve">Les mécanismes de prévention de la violence électorale et d'alerte rapide basés sur la communauté et dirigés par des femmes sont renforcés et liés à la PNH </t>
  </si>
  <si>
    <t>Activite 2.2.1</t>
  </si>
  <si>
    <t>Conception d’un mécanisme communautaire d’alerte rapide et de suivi pour prévenir et combattre la violence électorale contre les femmes à l’aide de la technologie et des médias sociaux.</t>
  </si>
  <si>
    <t>Activite' 2.2.2</t>
  </si>
  <si>
    <t>Élaboration des modules de formation et formation des organisations de femmes au mécanisme communautaire d’alerte rapide et de suivi pour prévenir et combattre la violence électorale à l’égard des femmes.</t>
  </si>
  <si>
    <t>Activite 2.2.3</t>
  </si>
  <si>
    <t>Fourniture du matériel technique nécessaire pour activer et gérer les mécanismes d'alerte précoce et de suivi pour lutter contre la violence électorale à l'égard des femmes.</t>
  </si>
  <si>
    <t>Activite 2.2.4</t>
  </si>
  <si>
    <t>Accompagnement pour le pilotage et la mise en œuvre du mécanisme communautaire d'alerte précoce prévenant et combattant la violence électorale à l'égard des femmes</t>
  </si>
  <si>
    <t>Activite 2.2.5</t>
  </si>
  <si>
    <t>Accompagnement pour l’établissement et la mise en œuvre d’un accord de coopération / partenariat formel entre les réseaux de femmes et la PNH afin de rendre opérationnel le mécanisme communautaire d'alerte précoce et de suivi soutenu par les Nations Unies.</t>
  </si>
  <si>
    <t>Activite 2.2.6</t>
  </si>
  <si>
    <t xml:space="preserve">Élaboration et mise en œuvre d’une stratégie de sensibilisation des communautés sur la prévention de la violence électorale et politique contre les femmes, et le leadership politique des femmes et en utilisant le dialogue communautaire et les nouvelles technologies </t>
  </si>
  <si>
    <t>Cout de personnel du projet si pas inclus dans les activites si-dessus</t>
  </si>
  <si>
    <t>Couts operationnels si pas inclus dans les activites si-dessus</t>
  </si>
  <si>
    <t>Budget de suivi</t>
  </si>
  <si>
    <t>Budget pour l'évaluation finale indépendante</t>
  </si>
  <si>
    <t>SOUS-TOTAL DU BUDGET DE PROJET:</t>
  </si>
  <si>
    <t>Couts indirects (7%):</t>
  </si>
  <si>
    <t>TOTAL DU BUDGET DE PROJET:</t>
  </si>
  <si>
    <t>PROJET PBF :127898 /30000 / 11363</t>
  </si>
  <si>
    <t>Activity</t>
  </si>
  <si>
    <t>Account</t>
  </si>
  <si>
    <t>Approved</t>
  </si>
  <si>
    <t>Commitments</t>
  </si>
  <si>
    <t>Expenses+Full</t>
  </si>
  <si>
    <t>Budget Balance</t>
  </si>
  <si>
    <t>Dept</t>
  </si>
  <si>
    <t>ACTIVITY1:Sensiblisation &amp; education</t>
  </si>
  <si>
    <t>71300-Loca</t>
  </si>
  <si>
    <t>72500-Supp</t>
  </si>
  <si>
    <t>75100-Faci</t>
  </si>
  <si>
    <t>75700-Trai</t>
  </si>
  <si>
    <t>TOTAL ACTIVITY1:Sensiblisation &amp; edu</t>
  </si>
  <si>
    <t>ACTIVITY4:Prévention gestion conflit</t>
  </si>
  <si>
    <t>72700-Hosp</t>
  </si>
  <si>
    <t>TOTAL ACTIVITY4:Prévention gestion c</t>
  </si>
  <si>
    <t>ACTIVITY5:Prévention violence Femmes</t>
  </si>
  <si>
    <t>71600-Trav</t>
  </si>
  <si>
    <t>76100-Fore</t>
  </si>
  <si>
    <t>TOTAL ACTIVITY5:Prévention violence</t>
  </si>
  <si>
    <t>ACTIVITY8:Coordinnation &amp; gestion pr</t>
  </si>
  <si>
    <t>71400-Cont</t>
  </si>
  <si>
    <t>77300-Sala</t>
  </si>
  <si>
    <t>TOTAL ACTIVITY8:Coordinnation &amp; gest</t>
  </si>
  <si>
    <t>FUND TOTAL FOR OUTPUT 00127898</t>
  </si>
  <si>
    <t>SALAIRES</t>
  </si>
  <si>
    <t>FORMATIONS</t>
  </si>
  <si>
    <t>CONSULTANT LOCAL</t>
  </si>
  <si>
    <t>Total Depenses</t>
  </si>
  <si>
    <t>GMS 7%</t>
  </si>
  <si>
    <t>Engagement</t>
  </si>
  <si>
    <t>Total Budget</t>
  </si>
  <si>
    <t>Répartition des tranches basée sur la performance</t>
  </si>
  <si>
    <t xml:space="preserve">Organisation recipiendiaire 1 (budget en USD)ONUFemmes 
</t>
  </si>
  <si>
    <t xml:space="preserve">Organisation recipiendiaire 2 (budget en USD) UNDP
</t>
  </si>
  <si>
    <t>Tranche %</t>
  </si>
  <si>
    <t>Total des dépenses</t>
  </si>
  <si>
    <t>Première tranche</t>
  </si>
  <si>
    <t>Taux d'exécution/1ere tranche</t>
  </si>
  <si>
    <t>Deuxième tranche</t>
  </si>
  <si>
    <t>Troisième tranche (le cas échéant)</t>
  </si>
  <si>
    <t>Organisation recipiendiaire 1 (budget en USD)
ONU FEMMES</t>
  </si>
  <si>
    <t>Organisation recipiendiaire 2 (budget en USD)
UNDP</t>
  </si>
  <si>
    <t>Financial Report  au 31 décembre 2022</t>
  </si>
  <si>
    <t>Total ONU Femmes</t>
  </si>
  <si>
    <t>\</t>
  </si>
  <si>
    <t>RAPPORT FINANCIER AU 31 OCTOBRE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</si>
</sst>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_(&quot;$&quot;* \(#,##0.00\);_(&quot;$&quot;* &quot;-&quot;??_);_(@_)"/>
    <numFmt numFmtId="165" formatCode="_(* #,##0.00_);_(* \(#,##0.00\);_(* &quot;-&quot;??_);_(@_)"/>
    <numFmt numFmtId="166" formatCode="_(&quot;$&quot;* #,##0_);_(&quot;$&quot;* \(#,##0\);_(&quot;$&quot;* &quot;-&quot;??_);_(@_)"/>
    <numFmt numFmtId="167" formatCode="_-* #,##0.00\ _€_-;\-* #,##0.00\ _€_-;_-* &quot;-&quot;??\ _€_-;_-@_-"/>
    <numFmt numFmtId="168" formatCode="_(* #,##0_);_(* \(#,##0\);_(* &quot;-&quot;??_);_(@_)"/>
  </numFmts>
  <fonts count="12">
    <font>
      <sz val="11"/>
      <color theme="1"/>
      <name val="Calibri"/>
      <charset val="134"/>
      <scheme val="minor"/>
    </font>
    <font>
      <b/>
      <sz val="12"/>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sz val="12"/>
      <color theme="1"/>
      <name val="Calibri"/>
      <family val="2"/>
      <scheme val="minor"/>
    </font>
    <font>
      <b/>
      <sz val="14"/>
      <color theme="1"/>
      <name val="Calibri"/>
      <family val="2"/>
      <scheme val="minor"/>
    </font>
    <font>
      <sz val="11"/>
      <color theme="1"/>
      <name val="Calibri"/>
      <family val="2"/>
      <scheme val="minor"/>
    </font>
    <font>
      <b/>
      <sz val="11"/>
      <color theme="1"/>
      <name val="Calibri"/>
      <family val="2"/>
      <scheme val="minor"/>
    </font>
    <font>
      <b/>
      <sz val="9"/>
      <color theme="1"/>
      <name val="Calibri"/>
      <family val="2"/>
      <scheme val="minor"/>
    </font>
    <font>
      <sz val="9"/>
      <name val="Calibri"/>
      <family val="2"/>
      <scheme val="minor"/>
    </font>
    <font>
      <sz val="9"/>
      <color rgb="FFFF0000"/>
      <name val="Calibri"/>
      <family val="2"/>
      <scheme val="minor"/>
    </font>
  </fonts>
  <fills count="10">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6"/>
        <bgColor indexed="64"/>
      </patternFill>
    </fill>
    <fill>
      <patternFill patternType="solid">
        <fgColor theme="0" tint="-0.14999847407452621"/>
        <bgColor indexed="64"/>
      </patternFill>
    </fill>
  </fills>
  <borders count="2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s>
  <cellStyleXfs count="4">
    <xf numFmtId="0" fontId="0" fillId="0" borderId="0"/>
    <xf numFmtId="165" fontId="7" fillId="0" borderId="0" applyFont="0" applyFill="0" applyBorder="0" applyAlignment="0" applyProtection="0"/>
    <xf numFmtId="164" fontId="7" fillId="0" borderId="0" applyFont="0" applyFill="0" applyBorder="0" applyAlignment="0" applyProtection="0"/>
    <xf numFmtId="9" fontId="7" fillId="0" borderId="0" applyFont="0" applyFill="0" applyBorder="0" applyAlignment="0" applyProtection="0"/>
  </cellStyleXfs>
  <cellXfs count="204">
    <xf numFmtId="0" fontId="0" fillId="0" borderId="0" xfId="0"/>
    <xf numFmtId="0" fontId="1" fillId="2" borderId="5" xfId="0" applyFont="1" applyFill="1" applyBorder="1" applyAlignment="1">
      <alignment horizontal="center" vertical="center" wrapText="1"/>
    </xf>
    <xf numFmtId="164" fontId="1" fillId="2" borderId="6" xfId="2" applyFont="1" applyFill="1" applyBorder="1" applyAlignment="1" applyProtection="1">
      <alignment horizontal="center" vertical="center" wrapText="1"/>
      <protection locked="0"/>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5" xfId="0" applyFont="1" applyFill="1" applyBorder="1" applyAlignment="1">
      <alignment vertical="center" wrapText="1"/>
    </xf>
    <xf numFmtId="166" fontId="1" fillId="2" borderId="6" xfId="2" applyNumberFormat="1" applyFont="1" applyFill="1" applyBorder="1" applyAlignment="1" applyProtection="1">
      <alignment vertical="center" wrapText="1"/>
    </xf>
    <xf numFmtId="166" fontId="1" fillId="2" borderId="9" xfId="2" applyNumberFormat="1" applyFont="1" applyFill="1" applyBorder="1" applyAlignment="1" applyProtection="1">
      <alignment vertical="center" wrapText="1"/>
    </xf>
    <xf numFmtId="9" fontId="1" fillId="3" borderId="10" xfId="3" applyFont="1" applyFill="1" applyBorder="1" applyAlignment="1" applyProtection="1">
      <alignment vertical="center" wrapText="1"/>
      <protection locked="0"/>
    </xf>
    <xf numFmtId="0" fontId="1" fillId="2" borderId="11" xfId="0" applyFont="1" applyFill="1" applyBorder="1" applyAlignment="1">
      <alignment vertical="center" wrapText="1"/>
    </xf>
    <xf numFmtId="9" fontId="1" fillId="3" borderId="8" xfId="3" applyFont="1" applyFill="1" applyBorder="1" applyAlignment="1" applyProtection="1">
      <alignment vertical="center" wrapText="1"/>
      <protection locked="0"/>
    </xf>
    <xf numFmtId="9" fontId="1" fillId="3" borderId="8" xfId="3" applyFont="1" applyFill="1" applyBorder="1" applyAlignment="1" applyProtection="1">
      <alignment horizontal="right" vertical="center" wrapText="1"/>
      <protection locked="0"/>
    </xf>
    <xf numFmtId="0" fontId="1" fillId="2" borderId="12" xfId="0" applyFont="1" applyFill="1" applyBorder="1" applyAlignment="1">
      <alignment vertical="center" wrapText="1"/>
    </xf>
    <xf numFmtId="166" fontId="1" fillId="2" borderId="13" xfId="2" applyNumberFormat="1" applyFont="1" applyFill="1" applyBorder="1" applyAlignment="1" applyProtection="1">
      <alignment vertical="center" wrapText="1"/>
    </xf>
    <xf numFmtId="9" fontId="1" fillId="2" borderId="14" xfId="3" applyFont="1" applyFill="1" applyBorder="1" applyAlignment="1" applyProtection="1">
      <alignment vertical="center" wrapText="1"/>
    </xf>
    <xf numFmtId="0" fontId="2" fillId="0" borderId="0" xfId="0" applyFont="1" applyAlignment="1">
      <alignment wrapText="1"/>
    </xf>
    <xf numFmtId="0" fontId="2" fillId="3" borderId="0" xfId="0" applyFont="1" applyFill="1" applyAlignment="1">
      <alignment wrapText="1"/>
    </xf>
    <xf numFmtId="0" fontId="2" fillId="0" borderId="0" xfId="0" applyFont="1"/>
    <xf numFmtId="165" fontId="2" fillId="0" borderId="0" xfId="1" applyFont="1"/>
    <xf numFmtId="0" fontId="0" fillId="0" borderId="0" xfId="0" applyAlignment="1">
      <alignment wrapText="1"/>
    </xf>
    <xf numFmtId="0" fontId="3" fillId="0" borderId="0" xfId="0" applyFont="1"/>
    <xf numFmtId="0" fontId="3" fillId="2" borderId="0" xfId="0" applyFont="1" applyFill="1" applyAlignment="1">
      <alignment horizontal="center" vertical="center" wrapText="1"/>
    </xf>
    <xf numFmtId="0" fontId="3" fillId="2" borderId="6" xfId="0" applyFont="1" applyFill="1" applyBorder="1" applyAlignment="1">
      <alignment horizontal="center" vertical="center" wrapText="1"/>
    </xf>
    <xf numFmtId="165" fontId="3" fillId="2" borderId="6" xfId="1" applyFont="1" applyFill="1" applyBorder="1" applyAlignment="1">
      <alignment horizontal="center" vertical="center" wrapText="1"/>
    </xf>
    <xf numFmtId="0" fontId="3" fillId="4" borderId="6" xfId="0" applyFont="1" applyFill="1" applyBorder="1" applyAlignment="1">
      <alignment vertical="center" wrapText="1"/>
    </xf>
    <xf numFmtId="0" fontId="3" fillId="4" borderId="9" xfId="0" applyFont="1" applyFill="1" applyBorder="1" applyAlignment="1">
      <alignment vertical="center" wrapText="1"/>
    </xf>
    <xf numFmtId="0" fontId="2" fillId="4" borderId="9" xfId="0" applyFont="1" applyFill="1" applyBorder="1" applyAlignment="1">
      <alignment vertical="center" wrapText="1"/>
    </xf>
    <xf numFmtId="0" fontId="2" fillId="0" borderId="6" xfId="0" applyFont="1" applyBorder="1" applyAlignment="1" applyProtection="1">
      <alignment horizontal="left" vertical="top" wrapText="1"/>
      <protection locked="0"/>
    </xf>
    <xf numFmtId="164" fontId="2" fillId="0" borderId="6" xfId="2" applyFont="1" applyBorder="1" applyAlignment="1" applyProtection="1">
      <alignment horizontal="center" vertical="center" wrapText="1"/>
      <protection locked="0"/>
    </xf>
    <xf numFmtId="164" fontId="2" fillId="0" borderId="6" xfId="2" applyFont="1" applyFill="1" applyBorder="1" applyAlignment="1" applyProtection="1">
      <alignment horizontal="center" vertical="center" wrapText="1"/>
      <protection locked="0"/>
    </xf>
    <xf numFmtId="165" fontId="2" fillId="0" borderId="6" xfId="1" applyFont="1" applyBorder="1" applyAlignment="1" applyProtection="1">
      <alignment horizontal="center" vertical="center" wrapText="1"/>
      <protection locked="0"/>
    </xf>
    <xf numFmtId="166" fontId="2" fillId="0" borderId="6" xfId="2" applyNumberFormat="1" applyFont="1" applyBorder="1" applyAlignment="1" applyProtection="1">
      <alignment horizontal="center" vertical="center" wrapText="1"/>
      <protection locked="0"/>
    </xf>
    <xf numFmtId="0" fontId="3" fillId="2" borderId="6" xfId="0" applyFont="1" applyFill="1" applyBorder="1" applyAlignment="1">
      <alignment vertical="center" wrapText="1"/>
    </xf>
    <xf numFmtId="164" fontId="3" fillId="2" borderId="6" xfId="2" applyFont="1" applyFill="1" applyBorder="1" applyAlignment="1">
      <alignment horizontal="center" vertical="center" wrapText="1"/>
    </xf>
    <xf numFmtId="166" fontId="3" fillId="2" borderId="6" xfId="2" applyNumberFormat="1" applyFont="1" applyFill="1" applyBorder="1" applyAlignment="1">
      <alignment horizontal="center" vertical="center" wrapText="1"/>
    </xf>
    <xf numFmtId="0" fontId="2" fillId="3" borderId="6" xfId="0" applyFont="1" applyFill="1" applyBorder="1" applyAlignment="1" applyProtection="1">
      <alignment horizontal="left" vertical="top" wrapText="1"/>
      <protection locked="0"/>
    </xf>
    <xf numFmtId="166" fontId="2" fillId="0" borderId="6" xfId="2" applyNumberFormat="1" applyFont="1" applyFill="1" applyBorder="1" applyAlignment="1" applyProtection="1">
      <alignment horizontal="center" vertical="center" wrapText="1"/>
      <protection locked="0"/>
    </xf>
    <xf numFmtId="164" fontId="3" fillId="2" borderId="7" xfId="2" applyFont="1" applyFill="1" applyBorder="1" applyAlignment="1">
      <alignment horizontal="center" vertical="center" wrapText="1"/>
    </xf>
    <xf numFmtId="166" fontId="3" fillId="2" borderId="7" xfId="2" applyNumberFormat="1" applyFont="1" applyFill="1" applyBorder="1" applyAlignment="1">
      <alignment horizontal="center" vertical="center" wrapText="1"/>
    </xf>
    <xf numFmtId="165" fontId="3" fillId="2" borderId="7" xfId="1" applyFont="1" applyFill="1" applyBorder="1" applyAlignment="1">
      <alignment horizontal="center" vertical="center" wrapText="1"/>
    </xf>
    <xf numFmtId="0" fontId="3" fillId="4" borderId="16" xfId="0" applyFont="1" applyFill="1" applyBorder="1" applyAlignment="1">
      <alignment vertical="center" wrapText="1"/>
    </xf>
    <xf numFmtId="0" fontId="2" fillId="4" borderId="6" xfId="0" applyFont="1" applyFill="1" applyBorder="1" applyAlignment="1">
      <alignment vertical="center" wrapText="1"/>
    </xf>
    <xf numFmtId="165" fontId="2" fillId="3" borderId="6" xfId="1" applyFont="1" applyFill="1" applyBorder="1" applyAlignment="1" applyProtection="1">
      <alignment horizontal="left" vertical="top" wrapText="1"/>
      <protection locked="0"/>
    </xf>
    <xf numFmtId="0" fontId="2" fillId="3" borderId="0" xfId="0" applyFont="1" applyFill="1" applyAlignment="1" applyProtection="1">
      <alignment vertical="center" wrapText="1"/>
      <protection locked="0"/>
    </xf>
    <xf numFmtId="0" fontId="2" fillId="3" borderId="18" xfId="0" applyFont="1" applyFill="1" applyBorder="1" applyAlignment="1" applyProtection="1">
      <alignment horizontal="left" vertical="top" wrapText="1"/>
      <protection locked="0"/>
    </xf>
    <xf numFmtId="164" fontId="2" fillId="3" borderId="0" xfId="2" applyFont="1" applyFill="1" applyBorder="1" applyAlignment="1" applyProtection="1">
      <alignment horizontal="center" vertical="center" wrapText="1"/>
      <protection locked="0"/>
    </xf>
    <xf numFmtId="164" fontId="2" fillId="0" borderId="0" xfId="2" applyFont="1" applyFill="1" applyBorder="1" applyAlignment="1" applyProtection="1">
      <alignment horizontal="center" vertical="center" wrapText="1"/>
      <protection locked="0"/>
    </xf>
    <xf numFmtId="165" fontId="2" fillId="3" borderId="0" xfId="1" applyFont="1" applyFill="1" applyBorder="1" applyAlignment="1" applyProtection="1">
      <alignment horizontal="center" vertical="center" wrapText="1"/>
      <protection locked="0"/>
    </xf>
    <xf numFmtId="0" fontId="2" fillId="3" borderId="6" xfId="0" applyFont="1" applyFill="1" applyBorder="1" applyAlignment="1" applyProtection="1">
      <alignment vertical="center" wrapText="1"/>
      <protection locked="0"/>
    </xf>
    <xf numFmtId="166" fontId="2" fillId="0" borderId="6" xfId="2" applyNumberFormat="1" applyFont="1" applyBorder="1" applyAlignment="1" applyProtection="1">
      <alignment vertical="center" wrapText="1"/>
      <protection locked="0"/>
    </xf>
    <xf numFmtId="164" fontId="2" fillId="0" borderId="6" xfId="2" applyFont="1" applyFill="1" applyBorder="1" applyAlignment="1" applyProtection="1">
      <alignment vertical="center" wrapText="1"/>
      <protection locked="0"/>
    </xf>
    <xf numFmtId="165" fontId="2" fillId="0" borderId="6" xfId="1" applyFont="1" applyBorder="1" applyAlignment="1" applyProtection="1">
      <alignment vertical="center" wrapText="1"/>
      <protection locked="0"/>
    </xf>
    <xf numFmtId="0" fontId="3" fillId="2" borderId="19" xfId="0" applyFont="1" applyFill="1" applyBorder="1" applyAlignment="1">
      <alignment vertical="center" wrapText="1"/>
    </xf>
    <xf numFmtId="0" fontId="3" fillId="0" borderId="20" xfId="0" applyFont="1" applyBorder="1" applyAlignment="1">
      <alignment vertical="center"/>
    </xf>
    <xf numFmtId="0" fontId="3" fillId="2" borderId="21" xfId="0" applyFont="1" applyFill="1" applyBorder="1" applyAlignment="1">
      <alignment vertical="center"/>
    </xf>
    <xf numFmtId="166" fontId="3" fillId="2" borderId="6" xfId="0" applyNumberFormat="1" applyFont="1" applyFill="1" applyBorder="1"/>
    <xf numFmtId="164" fontId="3" fillId="2" borderId="6" xfId="0" applyNumberFormat="1" applyFont="1" applyFill="1" applyBorder="1"/>
    <xf numFmtId="165" fontId="3" fillId="2" borderId="6" xfId="1" applyFont="1" applyFill="1" applyBorder="1"/>
    <xf numFmtId="0" fontId="3" fillId="0" borderId="16" xfId="0" applyFont="1" applyBorder="1" applyAlignment="1">
      <alignment vertical="center"/>
    </xf>
    <xf numFmtId="0" fontId="3" fillId="0" borderId="9" xfId="0" applyFont="1" applyBorder="1" applyAlignment="1">
      <alignment vertical="center"/>
    </xf>
    <xf numFmtId="168" fontId="3" fillId="0" borderId="6" xfId="1" applyNumberFormat="1" applyFont="1" applyBorder="1"/>
    <xf numFmtId="165" fontId="3" fillId="0" borderId="6" xfId="1" applyFont="1" applyBorder="1"/>
    <xf numFmtId="166" fontId="3" fillId="0" borderId="6" xfId="0" applyNumberFormat="1" applyFont="1" applyBorder="1"/>
    <xf numFmtId="0" fontId="2" fillId="2" borderId="6" xfId="0" applyFont="1" applyFill="1" applyBorder="1" applyAlignment="1">
      <alignment vertical="center"/>
    </xf>
    <xf numFmtId="168" fontId="2" fillId="0" borderId="0" xfId="1" applyNumberFormat="1" applyFont="1"/>
    <xf numFmtId="166" fontId="2" fillId="0" borderId="0" xfId="1" applyNumberFormat="1" applyFont="1"/>
    <xf numFmtId="0" fontId="3" fillId="2" borderId="17" xfId="0" applyFont="1" applyFill="1" applyBorder="1" applyAlignment="1">
      <alignment vertical="center"/>
    </xf>
    <xf numFmtId="168" fontId="3" fillId="2" borderId="6" xfId="1" applyNumberFormat="1" applyFont="1" applyFill="1" applyBorder="1"/>
    <xf numFmtId="166" fontId="3" fillId="2" borderId="6" xfId="1" applyNumberFormat="1" applyFont="1" applyFill="1" applyBorder="1"/>
    <xf numFmtId="165" fontId="2" fillId="0" borderId="0" xfId="0" applyNumberFormat="1" applyFont="1"/>
    <xf numFmtId="164" fontId="2" fillId="0" borderId="0" xfId="0" applyNumberFormat="1" applyFont="1"/>
    <xf numFmtId="0" fontId="4" fillId="2" borderId="5" xfId="0" applyFont="1" applyFill="1" applyBorder="1" applyAlignment="1">
      <alignment horizontal="center" vertical="center" wrapText="1"/>
    </xf>
    <xf numFmtId="164" fontId="4" fillId="2" borderId="6" xfId="2" applyFont="1" applyFill="1" applyBorder="1" applyAlignment="1" applyProtection="1">
      <alignment horizontal="center" vertical="center" wrapText="1"/>
      <protection locked="0"/>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5" xfId="0" applyFont="1" applyFill="1" applyBorder="1" applyAlignment="1">
      <alignment vertical="center" wrapText="1"/>
    </xf>
    <xf numFmtId="166" fontId="4" fillId="2" borderId="6" xfId="2" applyNumberFormat="1" applyFont="1" applyFill="1" applyBorder="1" applyAlignment="1" applyProtection="1">
      <alignment vertical="center" wrapText="1"/>
    </xf>
    <xf numFmtId="166" fontId="4" fillId="2" borderId="9" xfId="2" applyNumberFormat="1" applyFont="1" applyFill="1" applyBorder="1" applyAlignment="1" applyProtection="1">
      <alignment vertical="center" wrapText="1"/>
    </xf>
    <xf numFmtId="9" fontId="4" fillId="4" borderId="10" xfId="3" applyFont="1" applyFill="1" applyBorder="1" applyAlignment="1" applyProtection="1">
      <alignment vertical="center" wrapText="1"/>
      <protection locked="0"/>
    </xf>
    <xf numFmtId="0" fontId="4" fillId="2" borderId="11" xfId="0" applyFont="1" applyFill="1" applyBorder="1" applyAlignment="1">
      <alignment vertical="center" wrapText="1"/>
    </xf>
    <xf numFmtId="9" fontId="4" fillId="4" borderId="8" xfId="3" applyFont="1" applyFill="1" applyBorder="1" applyAlignment="1" applyProtection="1">
      <alignment vertical="center" wrapText="1"/>
      <protection locked="0"/>
    </xf>
    <xf numFmtId="9" fontId="4" fillId="4" borderId="8" xfId="3" applyFont="1" applyFill="1" applyBorder="1" applyAlignment="1" applyProtection="1">
      <alignment horizontal="right" vertical="center" wrapText="1"/>
      <protection locked="0"/>
    </xf>
    <xf numFmtId="0" fontId="4" fillId="2" borderId="12" xfId="0" applyFont="1" applyFill="1" applyBorder="1" applyAlignment="1">
      <alignment vertical="center" wrapText="1"/>
    </xf>
    <xf numFmtId="166" fontId="4" fillId="2" borderId="13" xfId="2" applyNumberFormat="1" applyFont="1" applyFill="1" applyBorder="1" applyAlignment="1" applyProtection="1">
      <alignment vertical="center" wrapText="1"/>
    </xf>
    <xf numFmtId="9" fontId="4" fillId="2" borderId="14" xfId="3" applyFont="1" applyFill="1" applyBorder="1" applyAlignment="1" applyProtection="1">
      <alignment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164" fontId="2" fillId="2" borderId="6" xfId="2" applyFont="1" applyFill="1" applyBorder="1" applyAlignment="1">
      <alignment horizontal="center" vertical="center" wrapText="1"/>
    </xf>
    <xf numFmtId="166" fontId="2" fillId="2" borderId="6" xfId="2" applyNumberFormat="1" applyFont="1" applyFill="1" applyBorder="1" applyAlignment="1">
      <alignment horizontal="center" vertical="center" wrapText="1"/>
    </xf>
    <xf numFmtId="9" fontId="2" fillId="0" borderId="6" xfId="3" applyFont="1" applyBorder="1" applyAlignment="1" applyProtection="1">
      <alignment horizontal="center" vertical="center" wrapText="1"/>
      <protection locked="0"/>
    </xf>
    <xf numFmtId="164" fontId="2" fillId="0" borderId="6" xfId="3" applyNumberFormat="1" applyFont="1" applyBorder="1" applyAlignment="1" applyProtection="1">
      <alignment horizontal="center" vertical="center" wrapText="1"/>
      <protection locked="0"/>
    </xf>
    <xf numFmtId="164" fontId="2" fillId="3" borderId="20" xfId="2" applyFont="1" applyFill="1" applyBorder="1" applyAlignment="1" applyProtection="1">
      <alignment horizontal="center" vertical="center" wrapText="1"/>
      <protection locked="0"/>
    </xf>
    <xf numFmtId="164" fontId="2" fillId="2" borderId="6" xfId="2" applyFont="1" applyFill="1" applyBorder="1" applyAlignment="1">
      <alignment vertical="center" wrapText="1"/>
    </xf>
    <xf numFmtId="166" fontId="2" fillId="2" borderId="6" xfId="2" applyNumberFormat="1" applyFont="1" applyFill="1" applyBorder="1" applyAlignment="1">
      <alignment vertical="center" wrapText="1"/>
    </xf>
    <xf numFmtId="9" fontId="2" fillId="0" borderId="6" xfId="3" applyFont="1" applyBorder="1" applyAlignment="1" applyProtection="1">
      <alignment vertical="center" wrapText="1"/>
      <protection locked="0"/>
    </xf>
    <xf numFmtId="0" fontId="2" fillId="2" borderId="6" xfId="0" applyFont="1" applyFill="1" applyBorder="1"/>
    <xf numFmtId="164" fontId="2" fillId="2" borderId="6" xfId="3" applyNumberFormat="1" applyFont="1" applyFill="1" applyBorder="1" applyAlignment="1" applyProtection="1">
      <alignment horizontal="center" vertical="center" wrapText="1"/>
      <protection locked="0"/>
    </xf>
    <xf numFmtId="164" fontId="3" fillId="0" borderId="6" xfId="0" applyNumberFormat="1" applyFont="1" applyBorder="1"/>
    <xf numFmtId="0" fontId="2" fillId="0" borderId="6" xfId="0" applyFont="1" applyBorder="1"/>
    <xf numFmtId="165" fontId="0" fillId="0" borderId="0" xfId="1" applyFont="1"/>
    <xf numFmtId="0" fontId="0" fillId="0" borderId="6" xfId="0" applyBorder="1"/>
    <xf numFmtId="165" fontId="0" fillId="0" borderId="6" xfId="1" applyFont="1" applyBorder="1"/>
    <xf numFmtId="165" fontId="0" fillId="5" borderId="6" xfId="1" applyFont="1" applyFill="1" applyBorder="1"/>
    <xf numFmtId="165" fontId="0" fillId="6" borderId="6" xfId="1" applyFont="1" applyFill="1" applyBorder="1"/>
    <xf numFmtId="0" fontId="0" fillId="7" borderId="6" xfId="0" applyFill="1" applyBorder="1"/>
    <xf numFmtId="165" fontId="0" fillId="7" borderId="6" xfId="1" applyFont="1" applyFill="1" applyBorder="1"/>
    <xf numFmtId="165" fontId="0" fillId="8" borderId="6" xfId="1" applyFont="1" applyFill="1" applyBorder="1"/>
    <xf numFmtId="3" fontId="0" fillId="0" borderId="0" xfId="0" applyNumberFormat="1"/>
    <xf numFmtId="0" fontId="0" fillId="8" borderId="0" xfId="0" applyFill="1"/>
    <xf numFmtId="165" fontId="0" fillId="8" borderId="0" xfId="1" applyFont="1" applyFill="1"/>
    <xf numFmtId="3" fontId="0" fillId="6" borderId="0" xfId="0" applyNumberFormat="1" applyFill="1"/>
    <xf numFmtId="165" fontId="0" fillId="6" borderId="0" xfId="1" applyFont="1" applyFill="1"/>
    <xf numFmtId="167" fontId="0" fillId="0" borderId="0" xfId="0" applyNumberFormat="1"/>
    <xf numFmtId="0" fontId="0" fillId="5" borderId="0" xfId="0" applyFill="1"/>
    <xf numFmtId="165" fontId="0" fillId="5" borderId="0" xfId="1" applyFont="1" applyFill="1"/>
    <xf numFmtId="165" fontId="0" fillId="0" borderId="0" xfId="0" applyNumberFormat="1"/>
    <xf numFmtId="0" fontId="0" fillId="3" borderId="0" xfId="0" applyFill="1" applyAlignment="1">
      <alignment wrapText="1"/>
    </xf>
    <xf numFmtId="0" fontId="5" fillId="0" borderId="0" xfId="0" applyFont="1"/>
    <xf numFmtId="0" fontId="1" fillId="0" borderId="0" xfId="0" applyFont="1"/>
    <xf numFmtId="0" fontId="1" fillId="2" borderId="0" xfId="0" applyFont="1" applyFill="1" applyAlignment="1">
      <alignment horizontal="center" vertical="center" wrapText="1"/>
    </xf>
    <xf numFmtId="0" fontId="1" fillId="2" borderId="6"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4" borderId="6" xfId="0" applyFont="1" applyFill="1" applyBorder="1" applyAlignment="1">
      <alignment vertical="center" wrapText="1"/>
    </xf>
    <xf numFmtId="0" fontId="1" fillId="4" borderId="9" xfId="0" applyFont="1" applyFill="1" applyBorder="1" applyAlignment="1">
      <alignment vertical="center" wrapText="1"/>
    </xf>
    <xf numFmtId="0" fontId="5" fillId="4" borderId="9" xfId="0" applyFont="1" applyFill="1" applyBorder="1" applyAlignment="1">
      <alignment vertical="center" wrapText="1"/>
    </xf>
    <xf numFmtId="0" fontId="5" fillId="0" borderId="6" xfId="0" applyFont="1" applyBorder="1" applyAlignment="1" applyProtection="1">
      <alignment horizontal="left" vertical="top" wrapText="1"/>
      <protection locked="0"/>
    </xf>
    <xf numFmtId="164" fontId="5" fillId="0" borderId="6" xfId="2" applyFont="1" applyBorder="1" applyAlignment="1" applyProtection="1">
      <alignment horizontal="center" vertical="center" wrapText="1"/>
      <protection locked="0"/>
    </xf>
    <xf numFmtId="164" fontId="5" fillId="0" borderId="6" xfId="2" applyFont="1" applyFill="1" applyBorder="1" applyAlignment="1" applyProtection="1">
      <alignment horizontal="center" vertical="center" wrapText="1"/>
      <protection locked="0"/>
    </xf>
    <xf numFmtId="164" fontId="5" fillId="2" borderId="6" xfId="2" applyFont="1" applyFill="1" applyBorder="1" applyAlignment="1">
      <alignment horizontal="center" vertical="center" wrapText="1"/>
    </xf>
    <xf numFmtId="0" fontId="1" fillId="2" borderId="6" xfId="0" applyFont="1" applyFill="1" applyBorder="1" applyAlignment="1">
      <alignment vertical="center" wrapText="1"/>
    </xf>
    <xf numFmtId="164" fontId="1" fillId="2" borderId="6" xfId="2" applyFont="1" applyFill="1" applyBorder="1" applyAlignment="1">
      <alignment horizontal="center" vertical="center" wrapText="1"/>
    </xf>
    <xf numFmtId="0" fontId="5" fillId="3" borderId="6" xfId="0" applyFont="1" applyFill="1" applyBorder="1" applyAlignment="1" applyProtection="1">
      <alignment horizontal="left" vertical="top" wrapText="1"/>
      <protection locked="0"/>
    </xf>
    <xf numFmtId="164" fontId="1" fillId="2" borderId="7" xfId="2" applyFont="1" applyFill="1" applyBorder="1" applyAlignment="1">
      <alignment horizontal="center" vertical="center" wrapText="1"/>
    </xf>
    <xf numFmtId="0" fontId="1" fillId="4" borderId="16" xfId="0" applyFont="1" applyFill="1" applyBorder="1" applyAlignment="1">
      <alignment vertical="center" wrapText="1"/>
    </xf>
    <xf numFmtId="0" fontId="5" fillId="4" borderId="6" xfId="0" applyFont="1" applyFill="1" applyBorder="1" applyAlignment="1">
      <alignment vertical="center" wrapText="1"/>
    </xf>
    <xf numFmtId="166" fontId="5" fillId="0" borderId="6" xfId="2" applyNumberFormat="1" applyFont="1" applyBorder="1" applyAlignment="1" applyProtection="1">
      <alignment horizontal="center" vertical="center" wrapText="1"/>
      <protection locked="0"/>
    </xf>
    <xf numFmtId="0" fontId="5" fillId="3" borderId="0" xfId="0" applyFont="1" applyFill="1" applyAlignment="1" applyProtection="1">
      <alignment vertical="center" wrapText="1"/>
      <protection locked="0"/>
    </xf>
    <xf numFmtId="0" fontId="5" fillId="3" borderId="18" xfId="0" applyFont="1" applyFill="1" applyBorder="1" applyAlignment="1" applyProtection="1">
      <alignment horizontal="left" vertical="top" wrapText="1"/>
      <protection locked="0"/>
    </xf>
    <xf numFmtId="164" fontId="5" fillId="3" borderId="0" xfId="2" applyFont="1" applyFill="1" applyBorder="1" applyAlignment="1" applyProtection="1">
      <alignment horizontal="center" vertical="center" wrapText="1"/>
      <protection locked="0"/>
    </xf>
    <xf numFmtId="164" fontId="5" fillId="0" borderId="0" xfId="2" applyFont="1" applyFill="1" applyBorder="1" applyAlignment="1" applyProtection="1">
      <alignment horizontal="center" vertical="center" wrapText="1"/>
      <protection locked="0"/>
    </xf>
    <xf numFmtId="0" fontId="5" fillId="3" borderId="6" xfId="0" applyFont="1" applyFill="1" applyBorder="1" applyAlignment="1" applyProtection="1">
      <alignment vertical="center" wrapText="1"/>
      <protection locked="0"/>
    </xf>
    <xf numFmtId="166" fontId="5" fillId="0" borderId="6" xfId="2" applyNumberFormat="1" applyFont="1" applyBorder="1" applyAlignment="1" applyProtection="1">
      <alignment vertical="center" wrapText="1"/>
      <protection locked="0"/>
    </xf>
    <xf numFmtId="164" fontId="5" fillId="0" borderId="6" xfId="2" applyFont="1" applyFill="1" applyBorder="1" applyAlignment="1" applyProtection="1">
      <alignment vertical="center" wrapText="1"/>
      <protection locked="0"/>
    </xf>
    <xf numFmtId="164" fontId="5" fillId="0" borderId="6" xfId="2" applyFont="1" applyBorder="1" applyAlignment="1" applyProtection="1">
      <alignment vertical="center" wrapText="1"/>
      <protection locked="0"/>
    </xf>
    <xf numFmtId="164" fontId="5" fillId="2" borderId="6" xfId="2" applyFont="1" applyFill="1" applyBorder="1" applyAlignment="1">
      <alignment vertical="center" wrapText="1"/>
    </xf>
    <xf numFmtId="0" fontId="1" fillId="2" borderId="19" xfId="0" applyFont="1" applyFill="1" applyBorder="1" applyAlignment="1">
      <alignment vertical="center" wrapText="1"/>
    </xf>
    <xf numFmtId="0" fontId="1" fillId="0" borderId="20" xfId="0" applyFont="1" applyBorder="1" applyAlignment="1">
      <alignment vertical="center"/>
    </xf>
    <xf numFmtId="0" fontId="1" fillId="2" borderId="21" xfId="0" applyFont="1" applyFill="1" applyBorder="1" applyAlignment="1">
      <alignment vertical="center"/>
    </xf>
    <xf numFmtId="164" fontId="1" fillId="2" borderId="6" xfId="0" applyNumberFormat="1" applyFont="1" applyFill="1" applyBorder="1"/>
    <xf numFmtId="0" fontId="1" fillId="0" borderId="16" xfId="0" applyFont="1" applyBorder="1" applyAlignment="1">
      <alignment vertical="center"/>
    </xf>
    <xf numFmtId="0" fontId="1" fillId="0" borderId="9" xfId="0" applyFont="1" applyBorder="1" applyAlignment="1">
      <alignment vertical="center"/>
    </xf>
    <xf numFmtId="165" fontId="1" fillId="0" borderId="6" xfId="1" applyFont="1" applyBorder="1"/>
    <xf numFmtId="164" fontId="1" fillId="0" borderId="6" xfId="0" applyNumberFormat="1" applyFont="1" applyBorder="1"/>
    <xf numFmtId="0" fontId="5" fillId="2" borderId="6" xfId="0" applyFont="1" applyFill="1" applyBorder="1" applyAlignment="1">
      <alignment vertical="center"/>
    </xf>
    <xf numFmtId="0" fontId="1" fillId="2" borderId="17" xfId="0" applyFont="1" applyFill="1" applyBorder="1" applyAlignment="1">
      <alignment vertical="center"/>
    </xf>
    <xf numFmtId="165" fontId="6" fillId="2" borderId="6" xfId="1" applyFont="1" applyFill="1" applyBorder="1"/>
    <xf numFmtId="164" fontId="0" fillId="0" borderId="0" xfId="0" applyNumberFormat="1"/>
    <xf numFmtId="0" fontId="1" fillId="2" borderId="23" xfId="0" applyFont="1" applyFill="1" applyBorder="1" applyAlignment="1">
      <alignment horizontal="center" vertical="center" wrapText="1"/>
    </xf>
    <xf numFmtId="9" fontId="5" fillId="0" borderId="6" xfId="3" applyFont="1" applyBorder="1" applyAlignment="1" applyProtection="1">
      <alignment horizontal="center" vertical="center" wrapText="1"/>
      <protection locked="0"/>
    </xf>
    <xf numFmtId="164" fontId="5" fillId="0" borderId="6" xfId="3" applyNumberFormat="1" applyFont="1" applyBorder="1" applyAlignment="1" applyProtection="1">
      <alignment horizontal="center" vertical="center" wrapText="1"/>
      <protection locked="0"/>
    </xf>
    <xf numFmtId="164" fontId="5" fillId="3" borderId="20" xfId="2" applyFont="1" applyFill="1" applyBorder="1" applyAlignment="1" applyProtection="1">
      <alignment horizontal="center" vertical="center" wrapText="1"/>
      <protection locked="0"/>
    </xf>
    <xf numFmtId="9" fontId="5" fillId="0" borderId="6" xfId="3" applyFont="1" applyBorder="1" applyAlignment="1" applyProtection="1">
      <alignment vertical="center" wrapText="1"/>
      <protection locked="0"/>
    </xf>
    <xf numFmtId="0" fontId="5" fillId="2" borderId="6" xfId="0" applyFont="1" applyFill="1" applyBorder="1"/>
    <xf numFmtId="164" fontId="5" fillId="2" borderId="6" xfId="3" applyNumberFormat="1" applyFont="1" applyFill="1" applyBorder="1" applyAlignment="1" applyProtection="1">
      <alignment horizontal="center" vertical="center" wrapText="1"/>
      <protection locked="0"/>
    </xf>
    <xf numFmtId="0" fontId="5" fillId="0" borderId="6" xfId="0" applyFont="1" applyBorder="1"/>
    <xf numFmtId="165" fontId="2" fillId="0" borderId="6" xfId="1" applyFont="1" applyFill="1" applyBorder="1" applyAlignment="1" applyProtection="1">
      <alignment vertical="center" wrapText="1"/>
      <protection locked="0"/>
    </xf>
    <xf numFmtId="164" fontId="1" fillId="0" borderId="1" xfId="0" applyNumberFormat="1" applyFont="1" applyBorder="1" applyAlignment="1">
      <alignment vertical="center" wrapText="1"/>
    </xf>
    <xf numFmtId="164" fontId="0" fillId="0" borderId="4" xfId="2" applyFont="1" applyFill="1" applyBorder="1" applyAlignment="1">
      <alignment horizontal="center" vertical="center" wrapText="1"/>
    </xf>
    <xf numFmtId="0" fontId="0" fillId="0" borderId="12" xfId="0" applyBorder="1" applyAlignment="1">
      <alignment wrapText="1"/>
    </xf>
    <xf numFmtId="10" fontId="8" fillId="0" borderId="14" xfId="3" applyNumberFormat="1" applyFont="1" applyFill="1" applyBorder="1" applyAlignment="1">
      <alignment horizontal="right" wrapText="1"/>
    </xf>
    <xf numFmtId="165" fontId="2" fillId="3" borderId="6" xfId="1" applyFont="1" applyFill="1" applyBorder="1" applyAlignment="1" applyProtection="1">
      <alignment vertical="center" wrapText="1"/>
      <protection locked="0"/>
    </xf>
    <xf numFmtId="164" fontId="3" fillId="3" borderId="6" xfId="0" applyNumberFormat="1" applyFont="1" applyFill="1" applyBorder="1"/>
    <xf numFmtId="164" fontId="3" fillId="3" borderId="6" xfId="1" applyNumberFormat="1" applyFont="1" applyFill="1" applyBorder="1"/>
    <xf numFmtId="166" fontId="11" fillId="0" borderId="6" xfId="2" applyNumberFormat="1" applyFont="1" applyBorder="1" applyAlignment="1" applyProtection="1">
      <alignment vertical="center" wrapText="1"/>
      <protection locked="0"/>
    </xf>
    <xf numFmtId="164" fontId="4" fillId="2" borderId="7" xfId="2" applyFont="1" applyFill="1" applyBorder="1" applyAlignment="1" applyProtection="1">
      <alignment horizontal="center" vertical="center" wrapText="1"/>
      <protection locked="0"/>
    </xf>
    <xf numFmtId="166" fontId="4" fillId="2" borderId="24" xfId="2" applyNumberFormat="1" applyFont="1" applyFill="1" applyBorder="1" applyAlignment="1" applyProtection="1">
      <alignment vertical="center" wrapText="1"/>
    </xf>
    <xf numFmtId="166" fontId="2" fillId="0" borderId="6" xfId="2" applyNumberFormat="1" applyFont="1" applyFill="1" applyBorder="1" applyAlignment="1" applyProtection="1">
      <alignment vertical="center" wrapText="1"/>
      <protection locked="0"/>
    </xf>
    <xf numFmtId="166" fontId="10" fillId="0" borderId="6" xfId="2" applyNumberFormat="1" applyFont="1" applyFill="1" applyBorder="1" applyAlignment="1" applyProtection="1">
      <alignment horizontal="center" vertical="center" wrapText="1"/>
      <protection locked="0"/>
    </xf>
    <xf numFmtId="164" fontId="3" fillId="9" borderId="6" xfId="2" applyFont="1" applyFill="1" applyBorder="1" applyAlignment="1">
      <alignment horizontal="center" vertical="center" wrapText="1"/>
    </xf>
    <xf numFmtId="168" fontId="10" fillId="0" borderId="0" xfId="1" applyNumberFormat="1" applyFont="1" applyFill="1"/>
    <xf numFmtId="0" fontId="5" fillId="3" borderId="6" xfId="0" applyFont="1" applyFill="1" applyBorder="1" applyAlignment="1" applyProtection="1">
      <alignment horizontal="left" vertical="top" wrapText="1"/>
      <protection locked="0"/>
    </xf>
    <xf numFmtId="0" fontId="1" fillId="2" borderId="6" xfId="0" applyFont="1" applyFill="1" applyBorder="1" applyAlignment="1">
      <alignment horizontal="center" vertical="center" wrapText="1"/>
    </xf>
    <xf numFmtId="49" fontId="1" fillId="3" borderId="15" xfId="0" applyNumberFormat="1" applyFont="1" applyFill="1" applyBorder="1" applyAlignment="1" applyProtection="1">
      <alignment horizontal="left" vertical="top" wrapText="1"/>
      <protection locked="0"/>
    </xf>
    <xf numFmtId="49" fontId="1" fillId="3" borderId="6" xfId="0" applyNumberFormat="1" applyFont="1" applyFill="1" applyBorder="1" applyAlignment="1" applyProtection="1">
      <alignment horizontal="left" vertical="top" wrapText="1"/>
      <protection locked="0"/>
    </xf>
    <xf numFmtId="0" fontId="1" fillId="0" borderId="9" xfId="0" applyFont="1" applyBorder="1" applyAlignment="1">
      <alignment horizontal="left" vertical="center" wrapText="1"/>
    </xf>
    <xf numFmtId="0" fontId="1" fillId="0" borderId="17" xfId="0" applyFont="1" applyBorder="1" applyAlignment="1">
      <alignment horizontal="left" vertical="center" wrapText="1"/>
    </xf>
    <xf numFmtId="0" fontId="1" fillId="0" borderId="21" xfId="0" applyFont="1" applyBorder="1" applyAlignment="1">
      <alignment horizontal="left" vertical="center" wrapText="1"/>
    </xf>
    <xf numFmtId="0" fontId="3" fillId="0" borderId="0" xfId="0" applyFont="1" applyAlignment="1">
      <alignment horizontal="center" vertical="center"/>
    </xf>
    <xf numFmtId="0" fontId="9" fillId="0" borderId="0" xfId="0" applyFont="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49" fontId="3" fillId="3" borderId="15" xfId="0" applyNumberFormat="1" applyFont="1" applyFill="1" applyBorder="1" applyAlignment="1" applyProtection="1">
      <alignment horizontal="left" vertical="top" wrapText="1"/>
      <protection locked="0"/>
    </xf>
    <xf numFmtId="49" fontId="3" fillId="3" borderId="6" xfId="0" applyNumberFormat="1" applyFont="1" applyFill="1" applyBorder="1" applyAlignment="1" applyProtection="1">
      <alignment horizontal="left" vertical="top" wrapText="1"/>
      <protection locked="0"/>
    </xf>
    <xf numFmtId="0" fontId="2" fillId="3" borderId="6" xfId="0" applyFont="1" applyFill="1" applyBorder="1" applyAlignment="1" applyProtection="1">
      <alignment horizontal="left" vertical="top" wrapText="1"/>
      <protection locked="0"/>
    </xf>
    <xf numFmtId="0" fontId="3" fillId="0" borderId="9" xfId="0" applyFont="1" applyBorder="1" applyAlignment="1">
      <alignment horizontal="left" vertical="center" wrapText="1"/>
    </xf>
    <xf numFmtId="0" fontId="3" fillId="0" borderId="17" xfId="0" applyFont="1" applyBorder="1" applyAlignment="1">
      <alignment horizontal="left" vertical="center" wrapText="1"/>
    </xf>
    <xf numFmtId="0" fontId="3" fillId="0" borderId="21" xfId="0" applyFont="1" applyBorder="1" applyAlignment="1">
      <alignment horizontal="left" vertical="center" wrapText="1"/>
    </xf>
    <xf numFmtId="0" fontId="3" fillId="2" borderId="6"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cellXfs>
  <cellStyles count="4">
    <cellStyle name="Comma" xfId="1" builtinId="3"/>
    <cellStyle name="Currency" xfId="2" builtinId="4"/>
    <cellStyle name="Normal" xfId="0" builtinId="0"/>
    <cellStyle name="Percent" xfId="3" builtinId="5"/>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rienne.vilton.UNDPCO/OneDrive%20-%20United%20Nations%20Development%20Programme/Documents/Projet%20Elections/FINANCES/RAPPORT%20PBF/Rapport%20financier%20PBF_Violence%20electorale%2031%20Octobre%20202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Rapp 10 nov 2021"/>
      <sheetName val="INFOS 10 NOV 21"/>
      <sheetName val="Rapport 31 OCT"/>
      <sheetName val="Sheet2"/>
    </sheetNames>
    <sheetDataSet>
      <sheetData sheetId="0"/>
      <sheetData sheetId="1"/>
      <sheetData sheetId="2"/>
      <sheetData sheetId="3">
        <row r="7">
          <cell r="H7">
            <v>196571.60000000003</v>
          </cell>
        </row>
        <row r="10">
          <cell r="H10">
            <v>27600.58</v>
          </cell>
        </row>
        <row r="12">
          <cell r="H12">
            <v>14000</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48"/>
  <sheetViews>
    <sheetView zoomScale="60" zoomScaleNormal="60" workbookViewId="0">
      <pane ySplit="7" topLeftCell="A8" activePane="bottomLeft" state="frozen"/>
      <selection pane="bottomLeft" activeCell="G11" sqref="G11"/>
    </sheetView>
  </sheetViews>
  <sheetFormatPr defaultColWidth="9" defaultRowHeight="14.4"/>
  <cols>
    <col min="1" max="1" width="45.21875" customWidth="1"/>
    <col min="2" max="2" width="66" customWidth="1"/>
    <col min="3" max="3" width="41.21875" customWidth="1"/>
    <col min="4" max="4" width="21.5546875" customWidth="1"/>
    <col min="5" max="5" width="33.21875" customWidth="1"/>
    <col min="6" max="6" width="32.5546875" customWidth="1"/>
    <col min="7" max="7" width="25" customWidth="1"/>
    <col min="8" max="8" width="19.77734375" hidden="1" customWidth="1"/>
    <col min="9" max="9" width="43.77734375" customWidth="1"/>
    <col min="10" max="10" width="36.77734375" customWidth="1"/>
    <col min="11" max="11" width="24.77734375" customWidth="1"/>
  </cols>
  <sheetData>
    <row r="2" spans="1:10" ht="15.6">
      <c r="A2" s="118" t="s">
        <v>0</v>
      </c>
      <c r="B2" s="118"/>
      <c r="C2" s="117"/>
      <c r="D2" s="117"/>
      <c r="I2" s="156"/>
    </row>
    <row r="3" spans="1:10" ht="15.6">
      <c r="A3" s="118"/>
      <c r="B3" s="118"/>
      <c r="C3" s="117"/>
      <c r="D3" s="117"/>
      <c r="J3" s="99"/>
    </row>
    <row r="4" spans="1:10" ht="15.6">
      <c r="A4" s="118" t="s">
        <v>1</v>
      </c>
      <c r="B4" s="117"/>
      <c r="C4" s="117"/>
      <c r="D4" s="117"/>
    </row>
    <row r="6" spans="1:10" ht="27.6" customHeight="1">
      <c r="A6" s="119"/>
      <c r="B6" s="181" t="s">
        <v>2</v>
      </c>
      <c r="C6" s="181" t="s">
        <v>3</v>
      </c>
      <c r="D6" s="181" t="s">
        <v>4</v>
      </c>
      <c r="E6" s="181" t="s">
        <v>5</v>
      </c>
      <c r="F6" s="181" t="s">
        <v>6</v>
      </c>
      <c r="G6" s="181"/>
      <c r="H6" s="121"/>
      <c r="I6" s="121"/>
      <c r="J6" s="157"/>
    </row>
    <row r="7" spans="1:10" s="19" customFormat="1" ht="102" customHeight="1">
      <c r="A7" s="120" t="s">
        <v>7</v>
      </c>
      <c r="B7" s="181"/>
      <c r="C7" s="181"/>
      <c r="D7" s="181"/>
      <c r="E7" s="181"/>
      <c r="F7" s="120" t="s">
        <v>8</v>
      </c>
      <c r="G7" s="120" t="s">
        <v>9</v>
      </c>
      <c r="H7" s="120" t="s">
        <v>10</v>
      </c>
      <c r="I7" s="120" t="s">
        <v>11</v>
      </c>
      <c r="J7" s="120" t="s">
        <v>12</v>
      </c>
    </row>
    <row r="8" spans="1:10" s="19" customFormat="1" ht="38.25" customHeight="1">
      <c r="A8" s="122" t="s">
        <v>13</v>
      </c>
      <c r="B8" s="182" t="s">
        <v>14</v>
      </c>
      <c r="C8" s="182"/>
      <c r="D8" s="183"/>
      <c r="E8" s="183"/>
      <c r="F8" s="183"/>
      <c r="G8" s="183"/>
      <c r="H8" s="183"/>
      <c r="I8" s="183"/>
      <c r="J8" s="183"/>
    </row>
    <row r="9" spans="1:10" s="19" customFormat="1" ht="24.75" customHeight="1">
      <c r="A9" s="123" t="s">
        <v>15</v>
      </c>
      <c r="B9" s="183" t="s">
        <v>16</v>
      </c>
      <c r="C9" s="183"/>
      <c r="D9" s="183"/>
      <c r="E9" s="183"/>
      <c r="F9" s="183"/>
      <c r="G9" s="183"/>
      <c r="H9" s="183"/>
      <c r="I9" s="183"/>
      <c r="J9" s="183"/>
    </row>
    <row r="10" spans="1:10" s="19" customFormat="1" ht="46.8">
      <c r="A10" s="124" t="s">
        <v>17</v>
      </c>
      <c r="B10" s="125" t="s">
        <v>18</v>
      </c>
      <c r="C10" s="126">
        <v>0</v>
      </c>
      <c r="D10" s="126">
        <v>0</v>
      </c>
      <c r="E10" s="127"/>
      <c r="F10" s="127">
        <v>35500</v>
      </c>
      <c r="G10" s="126">
        <v>4000</v>
      </c>
      <c r="H10" s="128">
        <f>SUM(C10:E10)</f>
        <v>0</v>
      </c>
      <c r="I10" s="158">
        <v>0.5</v>
      </c>
      <c r="J10" s="159">
        <f>D10+F10+G10</f>
        <v>39500</v>
      </c>
    </row>
    <row r="11" spans="1:10" s="19" customFormat="1" ht="46.8">
      <c r="A11" s="124" t="s">
        <v>19</v>
      </c>
      <c r="B11" s="125" t="s">
        <v>20</v>
      </c>
      <c r="C11" s="126">
        <v>0</v>
      </c>
      <c r="D11" s="126">
        <v>0</v>
      </c>
      <c r="E11" s="126">
        <v>270000</v>
      </c>
      <c r="F11" s="127"/>
      <c r="G11" s="126">
        <v>1397.44</v>
      </c>
      <c r="H11" s="128">
        <f>SUM(C11:E11)</f>
        <v>270000</v>
      </c>
      <c r="I11" s="158">
        <v>0.6</v>
      </c>
      <c r="J11" s="159">
        <f>D11+F11+G11</f>
        <v>1397.44</v>
      </c>
    </row>
    <row r="12" spans="1:10" s="19" customFormat="1" ht="15.6">
      <c r="B12" s="129" t="s">
        <v>21</v>
      </c>
      <c r="C12" s="130">
        <f>SUM(C10:C11)</f>
        <v>0</v>
      </c>
      <c r="D12" s="130">
        <f>SUM(D10:D11)</f>
        <v>0</v>
      </c>
      <c r="E12" s="130">
        <f>SUM(E10:E11)</f>
        <v>270000</v>
      </c>
      <c r="F12" s="130">
        <f t="shared" ref="F12:H12" si="0">SUM(F10:F11)</f>
        <v>35500</v>
      </c>
      <c r="G12" s="130">
        <f t="shared" si="0"/>
        <v>5397.4400000000005</v>
      </c>
      <c r="H12" s="130">
        <f t="shared" si="0"/>
        <v>270000</v>
      </c>
      <c r="I12" s="130">
        <f>(I10*H10)+(I11*H11)</f>
        <v>162000</v>
      </c>
      <c r="J12" s="130">
        <f>(J10*I10)+(J11*I11)</f>
        <v>20588.464</v>
      </c>
    </row>
    <row r="13" spans="1:10" s="19" customFormat="1" ht="15.6">
      <c r="A13" s="123" t="s">
        <v>22</v>
      </c>
      <c r="B13" s="180" t="s">
        <v>23</v>
      </c>
      <c r="C13" s="180"/>
      <c r="D13" s="180"/>
      <c r="E13" s="180"/>
      <c r="F13" s="180"/>
      <c r="G13" s="180"/>
      <c r="H13" s="180"/>
      <c r="I13" s="180"/>
      <c r="J13" s="180"/>
    </row>
    <row r="14" spans="1:10" s="19" customFormat="1" ht="31.2">
      <c r="A14" s="124" t="s">
        <v>24</v>
      </c>
      <c r="B14" s="125" t="s">
        <v>25</v>
      </c>
      <c r="C14" s="126">
        <v>0</v>
      </c>
      <c r="D14" s="126"/>
      <c r="E14" s="126">
        <v>10000</v>
      </c>
      <c r="F14" s="127"/>
      <c r="G14" s="126"/>
      <c r="H14" s="128">
        <f t="shared" ref="H14:H16" si="1">SUM(C14:E14)</f>
        <v>10000</v>
      </c>
      <c r="I14" s="158">
        <v>0.5</v>
      </c>
      <c r="J14" s="159">
        <f>D14+F14+G14</f>
        <v>0</v>
      </c>
    </row>
    <row r="15" spans="1:10" s="19" customFormat="1" ht="95.7" customHeight="1">
      <c r="A15" s="124" t="s">
        <v>26</v>
      </c>
      <c r="B15" s="125" t="s">
        <v>27</v>
      </c>
      <c r="C15" s="126">
        <v>0</v>
      </c>
      <c r="D15" s="126">
        <v>0</v>
      </c>
      <c r="E15" s="126">
        <v>20000</v>
      </c>
      <c r="F15" s="127"/>
      <c r="G15" s="126">
        <f>7808.95+5500+2418</f>
        <v>15726.95</v>
      </c>
      <c r="H15" s="128">
        <f t="shared" si="1"/>
        <v>20000</v>
      </c>
      <c r="I15" s="158">
        <v>0.5</v>
      </c>
      <c r="J15" s="159">
        <f t="shared" ref="J15:J16" si="2">D15+F15+G15</f>
        <v>15726.95</v>
      </c>
    </row>
    <row r="16" spans="1:10" s="19" customFormat="1" ht="83.7" customHeight="1">
      <c r="A16" s="124" t="s">
        <v>28</v>
      </c>
      <c r="B16" s="125" t="s">
        <v>29</v>
      </c>
      <c r="C16" s="126">
        <v>0</v>
      </c>
      <c r="D16" s="126">
        <v>0</v>
      </c>
      <c r="E16" s="126">
        <v>92000</v>
      </c>
      <c r="F16" s="127"/>
      <c r="G16" s="126"/>
      <c r="H16" s="128">
        <f t="shared" si="1"/>
        <v>92000</v>
      </c>
      <c r="I16" s="158">
        <v>0.6</v>
      </c>
      <c r="J16" s="159">
        <f t="shared" si="2"/>
        <v>0</v>
      </c>
    </row>
    <row r="17" spans="1:10" s="19" customFormat="1" ht="15.6">
      <c r="B17" s="129" t="s">
        <v>21</v>
      </c>
      <c r="C17" s="132">
        <f>SUM(C14:C16)</f>
        <v>0</v>
      </c>
      <c r="D17" s="132">
        <v>0</v>
      </c>
      <c r="E17" s="132">
        <f>SUM(E14:E16)</f>
        <v>122000</v>
      </c>
      <c r="F17" s="132">
        <f t="shared" ref="F17:H17" si="3">SUM(F14:F16)</f>
        <v>0</v>
      </c>
      <c r="G17" s="132">
        <f t="shared" si="3"/>
        <v>15726.95</v>
      </c>
      <c r="H17" s="132">
        <f t="shared" si="3"/>
        <v>122000</v>
      </c>
      <c r="I17" s="130">
        <f>(I14*H14)+(I15*H15)+(I16*H16)</f>
        <v>70200</v>
      </c>
      <c r="J17" s="132">
        <f>SUM(J14:J16)</f>
        <v>15726.95</v>
      </c>
    </row>
    <row r="18" spans="1:10" s="19" customFormat="1" ht="31.2" customHeight="1">
      <c r="A18" s="133" t="s">
        <v>30</v>
      </c>
      <c r="B18" s="184" t="s">
        <v>31</v>
      </c>
      <c r="C18" s="185"/>
      <c r="D18" s="185"/>
      <c r="E18" s="185"/>
      <c r="F18" s="185"/>
      <c r="G18" s="185"/>
      <c r="H18" s="185"/>
      <c r="I18" s="185"/>
      <c r="J18" s="186"/>
    </row>
    <row r="19" spans="1:10" s="19" customFormat="1" ht="15.6">
      <c r="A19" s="122" t="s">
        <v>32</v>
      </c>
      <c r="B19" s="180" t="s">
        <v>33</v>
      </c>
      <c r="C19" s="180"/>
      <c r="D19" s="180"/>
      <c r="E19" s="180"/>
      <c r="F19" s="180"/>
      <c r="G19" s="180"/>
      <c r="H19" s="180"/>
      <c r="I19" s="180"/>
      <c r="J19" s="180"/>
    </row>
    <row r="20" spans="1:10" s="19" customFormat="1" ht="46.8">
      <c r="A20" s="134" t="s">
        <v>34</v>
      </c>
      <c r="B20" s="125" t="s">
        <v>35</v>
      </c>
      <c r="C20" s="135">
        <v>30000</v>
      </c>
      <c r="D20" s="135">
        <v>0</v>
      </c>
      <c r="E20" s="131"/>
      <c r="F20" s="131"/>
      <c r="G20" s="131"/>
      <c r="H20" s="128">
        <f t="shared" ref="H20:H24" si="4">SUM(C20:E20)</f>
        <v>30000</v>
      </c>
      <c r="I20" s="158">
        <v>1</v>
      </c>
      <c r="J20" s="159">
        <f t="shared" ref="J20:J24" si="5">D20+F20+G20</f>
        <v>0</v>
      </c>
    </row>
    <row r="21" spans="1:10" s="19" customFormat="1" ht="31.2">
      <c r="A21" s="134" t="s">
        <v>36</v>
      </c>
      <c r="B21" s="125" t="s">
        <v>37</v>
      </c>
      <c r="C21" s="135">
        <v>20000</v>
      </c>
      <c r="D21" s="135">
        <v>0</v>
      </c>
      <c r="E21" s="131"/>
      <c r="F21" s="131"/>
      <c r="G21" s="131"/>
      <c r="H21" s="128">
        <f t="shared" si="4"/>
        <v>20000</v>
      </c>
      <c r="I21" s="158">
        <v>1</v>
      </c>
      <c r="J21" s="159">
        <f t="shared" si="5"/>
        <v>0</v>
      </c>
    </row>
    <row r="22" spans="1:10" s="19" customFormat="1" ht="60.75" customHeight="1">
      <c r="A22" s="134" t="s">
        <v>38</v>
      </c>
      <c r="B22" s="125" t="s">
        <v>39</v>
      </c>
      <c r="C22" s="135">
        <v>30000</v>
      </c>
      <c r="D22" s="135">
        <v>0</v>
      </c>
      <c r="E22" s="127"/>
      <c r="F22" s="127"/>
      <c r="G22" s="126"/>
      <c r="H22" s="128">
        <f t="shared" si="4"/>
        <v>30000</v>
      </c>
      <c r="I22" s="158">
        <v>1</v>
      </c>
      <c r="J22" s="159">
        <f t="shared" si="5"/>
        <v>0</v>
      </c>
    </row>
    <row r="23" spans="1:10" s="19" customFormat="1" ht="67.95" customHeight="1">
      <c r="A23" s="134" t="s">
        <v>40</v>
      </c>
      <c r="B23" s="125" t="s">
        <v>41</v>
      </c>
      <c r="C23" s="135">
        <v>15000</v>
      </c>
      <c r="D23" s="135">
        <v>0</v>
      </c>
      <c r="E23" s="127"/>
      <c r="F23" s="127"/>
      <c r="G23" s="126"/>
      <c r="H23" s="128">
        <f t="shared" si="4"/>
        <v>15000</v>
      </c>
      <c r="I23" s="158">
        <v>1</v>
      </c>
      <c r="J23" s="159">
        <f t="shared" si="5"/>
        <v>0</v>
      </c>
    </row>
    <row r="24" spans="1:10" s="19" customFormat="1" ht="62.25" customHeight="1">
      <c r="A24" s="134" t="s">
        <v>42</v>
      </c>
      <c r="B24" s="125" t="s">
        <v>43</v>
      </c>
      <c r="C24" s="135">
        <v>20000</v>
      </c>
      <c r="D24" s="135">
        <v>0</v>
      </c>
      <c r="E24" s="127"/>
      <c r="F24" s="127"/>
      <c r="G24" s="126"/>
      <c r="H24" s="128">
        <f t="shared" si="4"/>
        <v>20000</v>
      </c>
      <c r="I24" s="158">
        <v>1</v>
      </c>
      <c r="J24" s="159">
        <f t="shared" si="5"/>
        <v>0</v>
      </c>
    </row>
    <row r="25" spans="1:10" s="19" customFormat="1" ht="15.6">
      <c r="B25" s="129" t="s">
        <v>21</v>
      </c>
      <c r="C25" s="132">
        <f>SUM(C20:C24)</f>
        <v>115000</v>
      </c>
      <c r="D25" s="132">
        <f>SUM(D22:D24)</f>
        <v>0</v>
      </c>
      <c r="E25" s="132">
        <f>SUM(E22:E24)</f>
        <v>0</v>
      </c>
      <c r="F25" s="132">
        <f t="shared" ref="F25:G25" si="6">SUM(F22:F24)</f>
        <v>0</v>
      </c>
      <c r="G25" s="132">
        <f t="shared" si="6"/>
        <v>0</v>
      </c>
      <c r="H25" s="132">
        <f>SUM(H20:H24)</f>
        <v>115000</v>
      </c>
      <c r="I25" s="130">
        <f>(I22*H22)+(I23*H23)+(I24*H24)+(I21*H21)+(I20*H20)</f>
        <v>115000</v>
      </c>
      <c r="J25" s="132">
        <f>SUM(J22:J24)</f>
        <v>0</v>
      </c>
    </row>
    <row r="26" spans="1:10" s="19" customFormat="1" ht="15.6">
      <c r="A26" s="136"/>
      <c r="B26" s="137"/>
      <c r="C26" s="138"/>
      <c r="D26" s="138"/>
      <c r="E26" s="139"/>
      <c r="F26" s="139"/>
      <c r="G26" s="138"/>
      <c r="H26" s="138"/>
      <c r="I26" s="138"/>
      <c r="J26" s="160"/>
    </row>
    <row r="27" spans="1:10" s="19" customFormat="1" ht="15.6">
      <c r="A27" s="123" t="s">
        <v>44</v>
      </c>
      <c r="B27" s="180" t="s">
        <v>45</v>
      </c>
      <c r="C27" s="180"/>
      <c r="D27" s="180"/>
      <c r="E27" s="180"/>
      <c r="F27" s="180"/>
      <c r="G27" s="180"/>
      <c r="H27" s="180"/>
      <c r="I27" s="180"/>
      <c r="J27" s="180"/>
    </row>
    <row r="28" spans="1:10" s="19" customFormat="1" ht="46.8">
      <c r="A28" s="134" t="s">
        <v>46</v>
      </c>
      <c r="B28" s="125" t="s">
        <v>47</v>
      </c>
      <c r="C28" s="135">
        <v>135175</v>
      </c>
      <c r="D28" s="126"/>
      <c r="E28" s="127">
        <v>0</v>
      </c>
      <c r="F28" s="127"/>
      <c r="G28" s="126"/>
      <c r="H28" s="128">
        <f t="shared" ref="H28:H33" si="7">SUM(C28:E28)</f>
        <v>135175</v>
      </c>
      <c r="I28" s="158">
        <v>1</v>
      </c>
      <c r="J28" s="159">
        <f>D28+F28+G28</f>
        <v>0</v>
      </c>
    </row>
    <row r="29" spans="1:10" s="19" customFormat="1" ht="52.95" customHeight="1">
      <c r="A29" s="134" t="s">
        <v>48</v>
      </c>
      <c r="B29" s="125" t="s">
        <v>49</v>
      </c>
      <c r="C29" s="135">
        <v>30000</v>
      </c>
      <c r="D29" s="126"/>
      <c r="E29" s="127">
        <v>0</v>
      </c>
      <c r="F29" s="127"/>
      <c r="G29" s="126"/>
      <c r="H29" s="128">
        <f t="shared" si="7"/>
        <v>30000</v>
      </c>
      <c r="I29" s="158">
        <v>1</v>
      </c>
      <c r="J29" s="159">
        <f t="shared" ref="J29:J33" si="8">D29+F29+G29</f>
        <v>0</v>
      </c>
    </row>
    <row r="30" spans="1:10" s="19" customFormat="1" ht="61.5" customHeight="1">
      <c r="A30" s="134" t="s">
        <v>50</v>
      </c>
      <c r="B30" s="125" t="s">
        <v>51</v>
      </c>
      <c r="C30" s="135">
        <v>184771.55</v>
      </c>
      <c r="D30" s="126"/>
      <c r="E30" s="127">
        <v>0</v>
      </c>
      <c r="F30" s="127"/>
      <c r="G30" s="126"/>
      <c r="H30" s="128">
        <f t="shared" si="7"/>
        <v>184771.55</v>
      </c>
      <c r="I30" s="158">
        <v>1</v>
      </c>
      <c r="J30" s="159">
        <f t="shared" si="8"/>
        <v>0</v>
      </c>
    </row>
    <row r="31" spans="1:10" s="19" customFormat="1" ht="60" customHeight="1">
      <c r="A31" s="134" t="s">
        <v>52</v>
      </c>
      <c r="B31" s="125" t="s">
        <v>53</v>
      </c>
      <c r="C31" s="135">
        <v>96175</v>
      </c>
      <c r="D31" s="126"/>
      <c r="E31" s="127">
        <v>0</v>
      </c>
      <c r="F31" s="127"/>
      <c r="G31" s="126"/>
      <c r="H31" s="128">
        <f t="shared" si="7"/>
        <v>96175</v>
      </c>
      <c r="I31" s="158">
        <v>1</v>
      </c>
      <c r="J31" s="159">
        <f t="shared" si="8"/>
        <v>0</v>
      </c>
    </row>
    <row r="32" spans="1:10" s="19" customFormat="1" ht="60.45" customHeight="1">
      <c r="A32" s="134" t="s">
        <v>54</v>
      </c>
      <c r="B32" s="125" t="s">
        <v>55</v>
      </c>
      <c r="C32" s="135">
        <v>30000</v>
      </c>
      <c r="D32" s="126"/>
      <c r="E32" s="127">
        <v>0</v>
      </c>
      <c r="F32" s="127"/>
      <c r="G32" s="126"/>
      <c r="H32" s="128">
        <f t="shared" si="7"/>
        <v>30000</v>
      </c>
      <c r="I32" s="158">
        <v>1</v>
      </c>
      <c r="J32" s="159">
        <f t="shared" si="8"/>
        <v>0</v>
      </c>
    </row>
    <row r="33" spans="1:10" s="19" customFormat="1" ht="78" customHeight="1">
      <c r="A33" s="134" t="s">
        <v>56</v>
      </c>
      <c r="B33" s="125" t="s">
        <v>57</v>
      </c>
      <c r="C33" s="135">
        <v>110000</v>
      </c>
      <c r="D33" s="126"/>
      <c r="E33" s="127">
        <v>0</v>
      </c>
      <c r="F33" s="127">
        <v>0</v>
      </c>
      <c r="G33" s="126"/>
      <c r="H33" s="128">
        <f t="shared" si="7"/>
        <v>110000</v>
      </c>
      <c r="I33" s="158">
        <v>1</v>
      </c>
      <c r="J33" s="159">
        <f t="shared" si="8"/>
        <v>0</v>
      </c>
    </row>
    <row r="34" spans="1:10" s="116" customFormat="1" ht="15.6">
      <c r="A34" s="19"/>
      <c r="B34" s="129" t="s">
        <v>21</v>
      </c>
      <c r="C34" s="130">
        <f>SUM(C28:C33)</f>
        <v>586121.55000000005</v>
      </c>
      <c r="D34" s="130">
        <v>0</v>
      </c>
      <c r="E34" s="130">
        <f>SUM(E28:E33)</f>
        <v>0</v>
      </c>
      <c r="F34" s="132">
        <f>SUM(F29:F33)</f>
        <v>0</v>
      </c>
      <c r="G34" s="132">
        <v>0</v>
      </c>
      <c r="H34" s="132">
        <f>SUM(H28:H33)</f>
        <v>586121.55000000005</v>
      </c>
      <c r="I34" s="130">
        <f>(I28*H28)+(I29*H29)+(I30*H30)+(I31*H31)+(I32*H32)+(I33*H33)</f>
        <v>586121.55000000005</v>
      </c>
      <c r="J34" s="130">
        <f>SUM(J28:J33)</f>
        <v>0</v>
      </c>
    </row>
    <row r="35" spans="1:10" s="116" customFormat="1" ht="15.6">
      <c r="A35" s="19"/>
      <c r="B35" s="129"/>
      <c r="C35" s="130"/>
      <c r="D35" s="130"/>
      <c r="E35" s="130"/>
      <c r="F35" s="132"/>
      <c r="G35" s="132"/>
      <c r="H35" s="132"/>
      <c r="I35" s="130"/>
      <c r="J35" s="130"/>
    </row>
    <row r="36" spans="1:10" s="19" customFormat="1" ht="63.75" customHeight="1">
      <c r="A36" s="129" t="s">
        <v>58</v>
      </c>
      <c r="B36" s="140"/>
      <c r="C36" s="141">
        <v>80000</v>
      </c>
      <c r="D36" s="141"/>
      <c r="E36" s="141">
        <v>143500</v>
      </c>
      <c r="F36" s="142"/>
      <c r="G36" s="143">
        <f>34552.25+8803.68</f>
        <v>43355.93</v>
      </c>
      <c r="H36" s="144">
        <f>SUM(C36:E36)</f>
        <v>223500</v>
      </c>
      <c r="I36" s="161"/>
      <c r="J36" s="159">
        <f t="shared" ref="J36:J41" si="9">D36+F36+G36</f>
        <v>43355.93</v>
      </c>
    </row>
    <row r="37" spans="1:10" s="19" customFormat="1" ht="69.75" customHeight="1">
      <c r="A37" s="129" t="s">
        <v>59</v>
      </c>
      <c r="B37" s="140"/>
      <c r="C37" s="141">
        <v>10000</v>
      </c>
      <c r="D37" s="141"/>
      <c r="E37" s="141"/>
      <c r="F37" s="142"/>
      <c r="G37" s="143">
        <v>0</v>
      </c>
      <c r="H37" s="144">
        <f>SUM(C37:E37)</f>
        <v>10000</v>
      </c>
      <c r="I37" s="161"/>
      <c r="J37" s="159">
        <f t="shared" si="9"/>
        <v>0</v>
      </c>
    </row>
    <row r="38" spans="1:10" s="19" customFormat="1" ht="57" customHeight="1">
      <c r="A38" s="129" t="s">
        <v>60</v>
      </c>
      <c r="B38" s="140"/>
      <c r="C38" s="141">
        <v>10000</v>
      </c>
      <c r="D38" s="141"/>
      <c r="E38" s="141">
        <v>10247.66</v>
      </c>
      <c r="F38" s="142"/>
      <c r="G38" s="143">
        <v>0</v>
      </c>
      <c r="H38" s="144">
        <f>SUM(C38:G38)</f>
        <v>20247.66</v>
      </c>
      <c r="I38" s="161"/>
      <c r="J38" s="159">
        <f t="shared" si="9"/>
        <v>0</v>
      </c>
    </row>
    <row r="39" spans="1:10" s="19" customFormat="1" ht="65.25" customHeight="1">
      <c r="A39" s="145" t="s">
        <v>61</v>
      </c>
      <c r="B39" s="140"/>
      <c r="C39" s="141">
        <v>40000</v>
      </c>
      <c r="D39" s="141"/>
      <c r="E39" s="141">
        <v>15000</v>
      </c>
      <c r="F39" s="142"/>
      <c r="G39" s="143"/>
      <c r="H39" s="144">
        <f t="shared" ref="H39:H40" si="10">SUM(C39:G39)</f>
        <v>55000</v>
      </c>
      <c r="I39" s="161"/>
      <c r="J39" s="159">
        <f t="shared" si="9"/>
        <v>0</v>
      </c>
    </row>
    <row r="40" spans="1:10" s="117" customFormat="1" ht="15.6">
      <c r="A40" s="146"/>
      <c r="B40" s="147" t="s">
        <v>10</v>
      </c>
      <c r="C40" s="148">
        <f>SUM(C36:C39)</f>
        <v>140000</v>
      </c>
      <c r="D40" s="148">
        <f>SUM(D36:D39)</f>
        <v>0</v>
      </c>
      <c r="E40" s="148">
        <f>SUM(E36:E39)</f>
        <v>168747.66</v>
      </c>
      <c r="F40" s="148">
        <f t="shared" ref="F40:G40" si="11">SUM(F36:F39)</f>
        <v>0</v>
      </c>
      <c r="G40" s="148">
        <f t="shared" si="11"/>
        <v>43355.93</v>
      </c>
      <c r="H40" s="144">
        <f t="shared" si="10"/>
        <v>352103.59</v>
      </c>
      <c r="I40" s="162"/>
      <c r="J40" s="163">
        <f t="shared" si="9"/>
        <v>43355.93</v>
      </c>
    </row>
    <row r="41" spans="1:10" s="117" customFormat="1" ht="39" customHeight="1">
      <c r="A41" s="149"/>
      <c r="B41" s="150" t="s">
        <v>62</v>
      </c>
      <c r="C41" s="151">
        <f>C40+C34+C25+C17+C12</f>
        <v>841121.55</v>
      </c>
      <c r="D41" s="151">
        <f>D40+D34+D25+D17+D12</f>
        <v>0</v>
      </c>
      <c r="E41" s="151">
        <f>E40+E34+E25+E17+E12</f>
        <v>560747.66</v>
      </c>
      <c r="F41" s="152">
        <f t="shared" ref="F41:H41" si="12">F40+F34+F25+F17+F12</f>
        <v>35500</v>
      </c>
      <c r="G41" s="152">
        <f t="shared" si="12"/>
        <v>64480.320000000007</v>
      </c>
      <c r="H41" s="152">
        <f t="shared" si="12"/>
        <v>1445225.1400000001</v>
      </c>
      <c r="I41" s="164"/>
      <c r="J41" s="159">
        <f t="shared" si="9"/>
        <v>99980.32</v>
      </c>
    </row>
    <row r="42" spans="1:10" ht="15.6">
      <c r="A42" s="153" t="s">
        <v>63</v>
      </c>
      <c r="C42" s="99">
        <f>C41*7%</f>
        <v>58878.508500000011</v>
      </c>
      <c r="D42" s="99">
        <f t="shared" ref="D42:E42" si="13">D41*7%</f>
        <v>0</v>
      </c>
      <c r="E42" s="99">
        <f t="shared" si="13"/>
        <v>39252.336200000005</v>
      </c>
      <c r="F42" s="99">
        <f t="shared" ref="F42" si="14">F41*7%</f>
        <v>2485.0000000000005</v>
      </c>
      <c r="G42" s="99">
        <f t="shared" ref="G42" si="15">G41*7%</f>
        <v>4513.6224000000011</v>
      </c>
      <c r="H42" s="99">
        <f t="shared" ref="H42" si="16">H41*7%</f>
        <v>101165.75980000001</v>
      </c>
      <c r="I42" s="99"/>
      <c r="J42" s="156"/>
    </row>
    <row r="43" spans="1:10" ht="18">
      <c r="A43" s="146"/>
      <c r="B43" s="154" t="s">
        <v>64</v>
      </c>
      <c r="C43" s="155">
        <f>C41+C42</f>
        <v>900000.05850000004</v>
      </c>
      <c r="D43" s="155">
        <f t="shared" ref="D43:E43" si="17">D41+D42</f>
        <v>0</v>
      </c>
      <c r="E43" s="155">
        <f t="shared" si="17"/>
        <v>599999.99620000005</v>
      </c>
      <c r="F43" s="155">
        <f t="shared" ref="F43" si="18">F41+F42</f>
        <v>37985</v>
      </c>
      <c r="G43" s="155">
        <f t="shared" ref="G43" si="19">G41+G42</f>
        <v>68993.942400000014</v>
      </c>
      <c r="H43" s="155">
        <f t="shared" ref="H43:I43" si="20">H41+H42</f>
        <v>1546390.8998000002</v>
      </c>
      <c r="I43" s="155">
        <f t="shared" si="20"/>
        <v>0</v>
      </c>
      <c r="J43" s="163">
        <f>D43+F43+G43</f>
        <v>106978.94240000001</v>
      </c>
    </row>
    <row r="44" spans="1:10">
      <c r="J44" s="99"/>
    </row>
    <row r="48" spans="1:10">
      <c r="J48" s="156"/>
    </row>
  </sheetData>
  <mergeCells count="11">
    <mergeCell ref="B19:J19"/>
    <mergeCell ref="B27:J27"/>
    <mergeCell ref="B6:B7"/>
    <mergeCell ref="C6:C7"/>
    <mergeCell ref="D6:D7"/>
    <mergeCell ref="E6:E7"/>
    <mergeCell ref="F6:G6"/>
    <mergeCell ref="B8:J8"/>
    <mergeCell ref="B9:J9"/>
    <mergeCell ref="B13:J13"/>
    <mergeCell ref="B18:J18"/>
  </mergeCells>
  <dataValidations count="3">
    <dataValidation allowBlank="1" showInputMessage="1" showErrorMessage="1" prompt="Insert *text* description of Activity here" sqref="B10 B14 B20 B28" xr:uid="{00000000-0002-0000-0000-000000000000}"/>
    <dataValidation allowBlank="1" showInputMessage="1" showErrorMessage="1" prompt="Insert *text* description of Outcome here" sqref="B8:J8" xr:uid="{00000000-0002-0000-0000-000001000000}"/>
    <dataValidation allowBlank="1" showInputMessage="1" showErrorMessage="1" prompt="Insert *text* description of Output here" sqref="B9 B13 B19 B27" xr:uid="{00000000-0002-0000-0000-000002000000}"/>
  </dataValidations>
  <pageMargins left="0.7" right="0.7" top="0.75" bottom="0.75" header="0.3" footer="0.3"/>
  <pageSetup orientation="portrait"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48"/>
  <sheetViews>
    <sheetView zoomScale="55" zoomScaleNormal="55" workbookViewId="0">
      <selection activeCell="J40" sqref="J40"/>
    </sheetView>
  </sheetViews>
  <sheetFormatPr defaultColWidth="9" defaultRowHeight="14.4"/>
  <cols>
    <col min="1" max="1" width="45.21875" customWidth="1"/>
    <col min="2" max="2" width="66" customWidth="1"/>
    <col min="3" max="3" width="41.21875" customWidth="1"/>
    <col min="4" max="4" width="21.5546875" customWidth="1"/>
    <col min="5" max="5" width="33.21875" customWidth="1"/>
    <col min="6" max="6" width="32.5546875" customWidth="1"/>
    <col min="7" max="7" width="25" customWidth="1"/>
    <col min="8" max="8" width="19.77734375" hidden="1" customWidth="1"/>
    <col min="9" max="9" width="43.77734375" customWidth="1"/>
    <col min="10" max="10" width="36.77734375" customWidth="1"/>
    <col min="11" max="11" width="24.77734375" customWidth="1"/>
  </cols>
  <sheetData>
    <row r="2" spans="1:10" ht="15.6">
      <c r="A2" s="118" t="s">
        <v>0</v>
      </c>
      <c r="B2" s="118"/>
      <c r="C2" s="117"/>
      <c r="D2" s="117"/>
      <c r="I2" s="156"/>
    </row>
    <row r="3" spans="1:10" ht="15.6">
      <c r="A3" s="118"/>
      <c r="B3" s="118"/>
      <c r="C3" s="117"/>
      <c r="D3" s="117"/>
      <c r="J3" s="99"/>
    </row>
    <row r="4" spans="1:10" ht="15.6">
      <c r="A4" s="118" t="s">
        <v>1</v>
      </c>
      <c r="B4" s="117"/>
      <c r="C4" s="117"/>
      <c r="D4" s="117"/>
    </row>
    <row r="6" spans="1:10" ht="27.6" customHeight="1">
      <c r="A6" s="119"/>
      <c r="B6" s="181" t="s">
        <v>2</v>
      </c>
      <c r="C6" s="181" t="s">
        <v>3</v>
      </c>
      <c r="D6" s="181" t="s">
        <v>4</v>
      </c>
      <c r="E6" s="181" t="s">
        <v>5</v>
      </c>
      <c r="F6" s="181" t="s">
        <v>6</v>
      </c>
      <c r="G6" s="181"/>
      <c r="H6" s="121"/>
      <c r="I6" s="121"/>
      <c r="J6" s="157"/>
    </row>
    <row r="7" spans="1:10" s="19" customFormat="1" ht="102" customHeight="1">
      <c r="A7" s="120" t="s">
        <v>7</v>
      </c>
      <c r="B7" s="181"/>
      <c r="C7" s="181"/>
      <c r="D7" s="181"/>
      <c r="E7" s="181"/>
      <c r="F7" s="120" t="s">
        <v>8</v>
      </c>
      <c r="G7" s="120" t="s">
        <v>9</v>
      </c>
      <c r="H7" s="120" t="s">
        <v>10</v>
      </c>
      <c r="I7" s="120" t="s">
        <v>11</v>
      </c>
      <c r="J7" s="120" t="s">
        <v>12</v>
      </c>
    </row>
    <row r="8" spans="1:10" s="19" customFormat="1" ht="38.25" customHeight="1">
      <c r="A8" s="122" t="s">
        <v>13</v>
      </c>
      <c r="B8" s="182" t="s">
        <v>14</v>
      </c>
      <c r="C8" s="182"/>
      <c r="D8" s="183"/>
      <c r="E8" s="183"/>
      <c r="F8" s="183"/>
      <c r="G8" s="183"/>
      <c r="H8" s="183"/>
      <c r="I8" s="183"/>
      <c r="J8" s="183"/>
    </row>
    <row r="9" spans="1:10" s="19" customFormat="1" ht="24.75" customHeight="1">
      <c r="A9" s="123" t="s">
        <v>15</v>
      </c>
      <c r="B9" s="183" t="s">
        <v>16</v>
      </c>
      <c r="C9" s="183"/>
      <c r="D9" s="183"/>
      <c r="E9" s="183"/>
      <c r="F9" s="183"/>
      <c r="G9" s="183"/>
      <c r="H9" s="183"/>
      <c r="I9" s="183"/>
      <c r="J9" s="183"/>
    </row>
    <row r="10" spans="1:10" s="19" customFormat="1" ht="46.8">
      <c r="A10" s="124" t="s">
        <v>17</v>
      </c>
      <c r="B10" s="125" t="s">
        <v>18</v>
      </c>
      <c r="C10" s="126">
        <v>0</v>
      </c>
      <c r="D10" s="126">
        <v>0</v>
      </c>
      <c r="E10" s="127"/>
      <c r="F10" s="127"/>
      <c r="G10" s="126">
        <v>4000</v>
      </c>
      <c r="H10" s="128">
        <f>SUM(C10:E10)</f>
        <v>0</v>
      </c>
      <c r="I10" s="158">
        <v>0.5</v>
      </c>
      <c r="J10" s="159">
        <f>D10+F10+G10</f>
        <v>4000</v>
      </c>
    </row>
    <row r="11" spans="1:10" s="19" customFormat="1" ht="46.8">
      <c r="A11" s="124" t="s">
        <v>19</v>
      </c>
      <c r="B11" s="125" t="s">
        <v>20</v>
      </c>
      <c r="C11" s="126">
        <v>0</v>
      </c>
      <c r="D11" s="126">
        <v>0</v>
      </c>
      <c r="E11" s="126">
        <v>270000</v>
      </c>
      <c r="F11" s="127"/>
      <c r="G11" s="126">
        <v>1397.44</v>
      </c>
      <c r="H11" s="128">
        <f>SUM(C11:E11)</f>
        <v>270000</v>
      </c>
      <c r="I11" s="158">
        <v>0.6</v>
      </c>
      <c r="J11" s="159">
        <f>D11+F11+G11</f>
        <v>1397.44</v>
      </c>
    </row>
    <row r="12" spans="1:10" s="19" customFormat="1" ht="15.6">
      <c r="B12" s="129" t="s">
        <v>21</v>
      </c>
      <c r="C12" s="130">
        <f>SUM(C10:C11)</f>
        <v>0</v>
      </c>
      <c r="D12" s="130">
        <f>SUM(D10:D11)</f>
        <v>0</v>
      </c>
      <c r="E12" s="130">
        <f>SUM(E10:E11)</f>
        <v>270000</v>
      </c>
      <c r="F12" s="130">
        <f t="shared" ref="F12:H12" si="0">SUM(F10:F11)</f>
        <v>0</v>
      </c>
      <c r="G12" s="130">
        <f t="shared" si="0"/>
        <v>5397.4400000000005</v>
      </c>
      <c r="H12" s="130">
        <f t="shared" si="0"/>
        <v>270000</v>
      </c>
      <c r="I12" s="130">
        <f>(I10*H10)+(I11*H11)</f>
        <v>162000</v>
      </c>
      <c r="J12" s="130">
        <f>(J10*I10)+(J11*I11)</f>
        <v>2838.4639999999999</v>
      </c>
    </row>
    <row r="13" spans="1:10" s="19" customFormat="1" ht="15.6">
      <c r="A13" s="123" t="s">
        <v>22</v>
      </c>
      <c r="B13" s="180" t="s">
        <v>23</v>
      </c>
      <c r="C13" s="180"/>
      <c r="D13" s="180"/>
      <c r="E13" s="180"/>
      <c r="F13" s="180"/>
      <c r="G13" s="180"/>
      <c r="H13" s="180"/>
      <c r="I13" s="180"/>
      <c r="J13" s="180"/>
    </row>
    <row r="14" spans="1:10" s="19" customFormat="1" ht="31.2">
      <c r="A14" s="124" t="s">
        <v>24</v>
      </c>
      <c r="B14" s="125" t="s">
        <v>25</v>
      </c>
      <c r="C14" s="126">
        <v>0</v>
      </c>
      <c r="D14" s="126"/>
      <c r="E14" s="126">
        <v>10000</v>
      </c>
      <c r="F14" s="127"/>
      <c r="G14" s="126"/>
      <c r="H14" s="128">
        <f t="shared" ref="H14:H16" si="1">SUM(C14:E14)</f>
        <v>10000</v>
      </c>
      <c r="I14" s="158">
        <v>0.5</v>
      </c>
      <c r="J14" s="159">
        <f>D14+F14+G14</f>
        <v>0</v>
      </c>
    </row>
    <row r="15" spans="1:10" s="19" customFormat="1" ht="95.7" customHeight="1">
      <c r="A15" s="124" t="s">
        <v>26</v>
      </c>
      <c r="B15" s="125" t="s">
        <v>27</v>
      </c>
      <c r="C15" s="126">
        <v>0</v>
      </c>
      <c r="D15" s="126">
        <v>0</v>
      </c>
      <c r="E15" s="126">
        <v>20000</v>
      </c>
      <c r="F15" s="127"/>
      <c r="G15" s="126">
        <f>'INFOS 10 NOV 21'!B27-G11</f>
        <v>11568.56</v>
      </c>
      <c r="H15" s="128">
        <f t="shared" si="1"/>
        <v>20000</v>
      </c>
      <c r="I15" s="158">
        <v>0.5</v>
      </c>
      <c r="J15" s="159">
        <f t="shared" ref="J15:J16" si="2">D15+F15+G15</f>
        <v>11568.56</v>
      </c>
    </row>
    <row r="16" spans="1:10" s="19" customFormat="1" ht="83.7" customHeight="1">
      <c r="A16" s="124" t="s">
        <v>28</v>
      </c>
      <c r="B16" s="125" t="s">
        <v>29</v>
      </c>
      <c r="C16" s="126">
        <v>0</v>
      </c>
      <c r="D16" s="126">
        <v>0</v>
      </c>
      <c r="E16" s="126">
        <v>92000</v>
      </c>
      <c r="F16" s="127"/>
      <c r="G16" s="126">
        <f>'INFOS 10 NOV 21'!B28-G10</f>
        <v>10720</v>
      </c>
      <c r="H16" s="128">
        <f t="shared" si="1"/>
        <v>92000</v>
      </c>
      <c r="I16" s="158">
        <v>0.6</v>
      </c>
      <c r="J16" s="159">
        <f t="shared" si="2"/>
        <v>10720</v>
      </c>
    </row>
    <row r="17" spans="1:10" s="19" customFormat="1" ht="15.6">
      <c r="B17" s="129" t="s">
        <v>21</v>
      </c>
      <c r="C17" s="132">
        <f>SUM(C14:C16)</f>
        <v>0</v>
      </c>
      <c r="D17" s="132">
        <v>0</v>
      </c>
      <c r="E17" s="132">
        <f>SUM(E14:E16)</f>
        <v>122000</v>
      </c>
      <c r="F17" s="132">
        <f t="shared" ref="F17:H17" si="3">SUM(F14:F16)</f>
        <v>0</v>
      </c>
      <c r="G17" s="132">
        <f t="shared" si="3"/>
        <v>22288.559999999998</v>
      </c>
      <c r="H17" s="132">
        <f t="shared" si="3"/>
        <v>122000</v>
      </c>
      <c r="I17" s="130">
        <f>(I14*H14)+(I15*H15)+(I16*H16)</f>
        <v>70200</v>
      </c>
      <c r="J17" s="132">
        <f>SUM(J14:J16)</f>
        <v>22288.559999999998</v>
      </c>
    </row>
    <row r="18" spans="1:10" s="19" customFormat="1" ht="31.2" customHeight="1">
      <c r="A18" s="133" t="s">
        <v>30</v>
      </c>
      <c r="B18" s="184" t="s">
        <v>31</v>
      </c>
      <c r="C18" s="185"/>
      <c r="D18" s="185"/>
      <c r="E18" s="185"/>
      <c r="F18" s="185"/>
      <c r="G18" s="185"/>
      <c r="H18" s="185"/>
      <c r="I18" s="185"/>
      <c r="J18" s="186"/>
    </row>
    <row r="19" spans="1:10" s="19" customFormat="1" ht="15.6">
      <c r="A19" s="122" t="s">
        <v>32</v>
      </c>
      <c r="B19" s="180" t="s">
        <v>33</v>
      </c>
      <c r="C19" s="180"/>
      <c r="D19" s="180"/>
      <c r="E19" s="180"/>
      <c r="F19" s="180"/>
      <c r="G19" s="180"/>
      <c r="H19" s="180"/>
      <c r="I19" s="180"/>
      <c r="J19" s="180"/>
    </row>
    <row r="20" spans="1:10" s="19" customFormat="1" ht="46.8">
      <c r="A20" s="134" t="s">
        <v>34</v>
      </c>
      <c r="B20" s="125" t="s">
        <v>35</v>
      </c>
      <c r="C20" s="135">
        <v>30000</v>
      </c>
      <c r="D20" s="135">
        <v>0</v>
      </c>
      <c r="E20" s="131"/>
      <c r="F20" s="131"/>
      <c r="G20" s="131"/>
      <c r="H20" s="128">
        <f t="shared" ref="H20:H24" si="4">SUM(C20:E20)</f>
        <v>30000</v>
      </c>
      <c r="I20" s="158">
        <v>1</v>
      </c>
      <c r="J20" s="159">
        <f t="shared" ref="J20:J24" si="5">D20+F20+G20</f>
        <v>0</v>
      </c>
    </row>
    <row r="21" spans="1:10" s="19" customFormat="1" ht="31.2">
      <c r="A21" s="134" t="s">
        <v>36</v>
      </c>
      <c r="B21" s="125" t="s">
        <v>37</v>
      </c>
      <c r="C21" s="135">
        <v>20000</v>
      </c>
      <c r="D21" s="135">
        <v>0</v>
      </c>
      <c r="E21" s="131"/>
      <c r="F21" s="131"/>
      <c r="G21" s="131"/>
      <c r="H21" s="128">
        <f t="shared" si="4"/>
        <v>20000</v>
      </c>
      <c r="I21" s="158">
        <v>1</v>
      </c>
      <c r="J21" s="159">
        <f t="shared" si="5"/>
        <v>0</v>
      </c>
    </row>
    <row r="22" spans="1:10" s="19" customFormat="1" ht="60.75" customHeight="1">
      <c r="A22" s="134" t="s">
        <v>38</v>
      </c>
      <c r="B22" s="125" t="s">
        <v>39</v>
      </c>
      <c r="C22" s="135">
        <v>30000</v>
      </c>
      <c r="D22" s="135">
        <v>0</v>
      </c>
      <c r="E22" s="127"/>
      <c r="F22" s="127"/>
      <c r="G22" s="126"/>
      <c r="H22" s="128">
        <f t="shared" si="4"/>
        <v>30000</v>
      </c>
      <c r="I22" s="158">
        <v>1</v>
      </c>
      <c r="J22" s="159">
        <f t="shared" si="5"/>
        <v>0</v>
      </c>
    </row>
    <row r="23" spans="1:10" s="19" customFormat="1" ht="67.95" customHeight="1">
      <c r="A23" s="134" t="s">
        <v>40</v>
      </c>
      <c r="B23" s="125" t="s">
        <v>41</v>
      </c>
      <c r="C23" s="135">
        <v>15000</v>
      </c>
      <c r="D23" s="135">
        <v>0</v>
      </c>
      <c r="E23" s="127"/>
      <c r="F23" s="127"/>
      <c r="G23" s="126"/>
      <c r="H23" s="128">
        <f t="shared" si="4"/>
        <v>15000</v>
      </c>
      <c r="I23" s="158">
        <v>1</v>
      </c>
      <c r="J23" s="159">
        <f t="shared" si="5"/>
        <v>0</v>
      </c>
    </row>
    <row r="24" spans="1:10" s="19" customFormat="1" ht="62.25" customHeight="1">
      <c r="A24" s="134" t="s">
        <v>42</v>
      </c>
      <c r="B24" s="125" t="s">
        <v>43</v>
      </c>
      <c r="C24" s="135">
        <v>20000</v>
      </c>
      <c r="D24" s="135">
        <v>0</v>
      </c>
      <c r="E24" s="127"/>
      <c r="F24" s="127"/>
      <c r="G24" s="126"/>
      <c r="H24" s="128">
        <f t="shared" si="4"/>
        <v>20000</v>
      </c>
      <c r="I24" s="158">
        <v>1</v>
      </c>
      <c r="J24" s="159">
        <f t="shared" si="5"/>
        <v>0</v>
      </c>
    </row>
    <row r="25" spans="1:10" s="19" customFormat="1" ht="15.6">
      <c r="B25" s="129" t="s">
        <v>21</v>
      </c>
      <c r="C25" s="132">
        <f>SUM(C20:C24)</f>
        <v>115000</v>
      </c>
      <c r="D25" s="132">
        <f>SUM(D22:D24)</f>
        <v>0</v>
      </c>
      <c r="E25" s="132">
        <f>SUM(E22:E24)</f>
        <v>0</v>
      </c>
      <c r="F25" s="132">
        <f t="shared" ref="F25:G25" si="6">SUM(F22:F24)</f>
        <v>0</v>
      </c>
      <c r="G25" s="132">
        <f t="shared" si="6"/>
        <v>0</v>
      </c>
      <c r="H25" s="132">
        <f>SUM(H20:H24)</f>
        <v>115000</v>
      </c>
      <c r="I25" s="130">
        <f>(I22*H22)+(I23*H23)+(I24*H24)+(I21*H21)+(I20*H20)</f>
        <v>115000</v>
      </c>
      <c r="J25" s="132">
        <f>SUM(J22:J24)</f>
        <v>0</v>
      </c>
    </row>
    <row r="26" spans="1:10" s="19" customFormat="1" ht="15.6">
      <c r="A26" s="136"/>
      <c r="B26" s="137"/>
      <c r="C26" s="138"/>
      <c r="D26" s="138"/>
      <c r="E26" s="139"/>
      <c r="F26" s="139"/>
      <c r="G26" s="138"/>
      <c r="H26" s="138"/>
      <c r="I26" s="138"/>
      <c r="J26" s="160"/>
    </row>
    <row r="27" spans="1:10" s="19" customFormat="1" ht="15.6">
      <c r="A27" s="123" t="s">
        <v>44</v>
      </c>
      <c r="B27" s="180" t="s">
        <v>45</v>
      </c>
      <c r="C27" s="180"/>
      <c r="D27" s="180"/>
      <c r="E27" s="180"/>
      <c r="F27" s="180"/>
      <c r="G27" s="180"/>
      <c r="H27" s="180"/>
      <c r="I27" s="180"/>
      <c r="J27" s="180"/>
    </row>
    <row r="28" spans="1:10" s="19" customFormat="1" ht="46.8">
      <c r="A28" s="134" t="s">
        <v>46</v>
      </c>
      <c r="B28" s="125" t="s">
        <v>47</v>
      </c>
      <c r="C28" s="135">
        <v>135175</v>
      </c>
      <c r="D28" s="126"/>
      <c r="E28" s="127">
        <v>0</v>
      </c>
      <c r="F28" s="127"/>
      <c r="G28" s="126"/>
      <c r="H28" s="128">
        <f t="shared" ref="H28:H33" si="7">SUM(C28:E28)</f>
        <v>135175</v>
      </c>
      <c r="I28" s="158">
        <v>1</v>
      </c>
      <c r="J28" s="159">
        <f>D28+F28+G28</f>
        <v>0</v>
      </c>
    </row>
    <row r="29" spans="1:10" s="19" customFormat="1" ht="52.95" customHeight="1">
      <c r="A29" s="134" t="s">
        <v>48</v>
      </c>
      <c r="B29" s="125" t="s">
        <v>49</v>
      </c>
      <c r="C29" s="135">
        <v>30000</v>
      </c>
      <c r="D29" s="126"/>
      <c r="E29" s="127">
        <v>0</v>
      </c>
      <c r="F29" s="127"/>
      <c r="G29" s="126"/>
      <c r="H29" s="128">
        <f t="shared" si="7"/>
        <v>30000</v>
      </c>
      <c r="I29" s="158">
        <v>1</v>
      </c>
      <c r="J29" s="159">
        <f t="shared" ref="J29:J33" si="8">D29+F29+G29</f>
        <v>0</v>
      </c>
    </row>
    <row r="30" spans="1:10" s="19" customFormat="1" ht="61.5" customHeight="1">
      <c r="A30" s="134" t="s">
        <v>50</v>
      </c>
      <c r="B30" s="125" t="s">
        <v>51</v>
      </c>
      <c r="C30" s="135">
        <v>184771.55</v>
      </c>
      <c r="D30" s="126"/>
      <c r="E30" s="127">
        <v>0</v>
      </c>
      <c r="F30" s="127"/>
      <c r="G30" s="126"/>
      <c r="H30" s="128">
        <f t="shared" si="7"/>
        <v>184771.55</v>
      </c>
      <c r="I30" s="158">
        <v>1</v>
      </c>
      <c r="J30" s="159">
        <f t="shared" si="8"/>
        <v>0</v>
      </c>
    </row>
    <row r="31" spans="1:10" s="19" customFormat="1" ht="60" customHeight="1">
      <c r="A31" s="134" t="s">
        <v>52</v>
      </c>
      <c r="B31" s="125" t="s">
        <v>53</v>
      </c>
      <c r="C31" s="135">
        <v>96175</v>
      </c>
      <c r="D31" s="126"/>
      <c r="E31" s="127">
        <v>0</v>
      </c>
      <c r="F31" s="127"/>
      <c r="G31" s="126"/>
      <c r="H31" s="128">
        <f t="shared" si="7"/>
        <v>96175</v>
      </c>
      <c r="I31" s="158">
        <v>1</v>
      </c>
      <c r="J31" s="159">
        <f t="shared" si="8"/>
        <v>0</v>
      </c>
    </row>
    <row r="32" spans="1:10" s="19" customFormat="1" ht="60.45" customHeight="1">
      <c r="A32" s="134" t="s">
        <v>54</v>
      </c>
      <c r="B32" s="125" t="s">
        <v>55</v>
      </c>
      <c r="C32" s="135">
        <v>30000</v>
      </c>
      <c r="D32" s="126"/>
      <c r="E32" s="127">
        <v>0</v>
      </c>
      <c r="F32" s="127"/>
      <c r="G32" s="126"/>
      <c r="H32" s="128">
        <f t="shared" si="7"/>
        <v>30000</v>
      </c>
      <c r="I32" s="158">
        <v>1</v>
      </c>
      <c r="J32" s="159">
        <f t="shared" si="8"/>
        <v>0</v>
      </c>
    </row>
    <row r="33" spans="1:10" s="19" customFormat="1" ht="78" customHeight="1">
      <c r="A33" s="134" t="s">
        <v>56</v>
      </c>
      <c r="B33" s="125" t="s">
        <v>57</v>
      </c>
      <c r="C33" s="135">
        <v>110000</v>
      </c>
      <c r="D33" s="126"/>
      <c r="E33" s="127">
        <v>0</v>
      </c>
      <c r="F33" s="127">
        <v>0</v>
      </c>
      <c r="G33" s="126"/>
      <c r="H33" s="128">
        <f t="shared" si="7"/>
        <v>110000</v>
      </c>
      <c r="I33" s="158">
        <v>1</v>
      </c>
      <c r="J33" s="159">
        <f t="shared" si="8"/>
        <v>0</v>
      </c>
    </row>
    <row r="34" spans="1:10" s="116" customFormat="1" ht="15.6">
      <c r="A34" s="19"/>
      <c r="B34" s="129" t="s">
        <v>21</v>
      </c>
      <c r="C34" s="130">
        <f>SUM(C28:C33)</f>
        <v>586121.55000000005</v>
      </c>
      <c r="D34" s="130">
        <v>0</v>
      </c>
      <c r="E34" s="130">
        <f>SUM(E28:E33)</f>
        <v>0</v>
      </c>
      <c r="F34" s="132">
        <f>SUM(F29:F33)</f>
        <v>0</v>
      </c>
      <c r="G34" s="132">
        <v>0</v>
      </c>
      <c r="H34" s="132">
        <f>SUM(H28:H33)</f>
        <v>586121.55000000005</v>
      </c>
      <c r="I34" s="130">
        <f>(I28*H28)+(I29*H29)+(I30*H30)+(I31*H31)+(I32*H32)+(I33*H33)</f>
        <v>586121.55000000005</v>
      </c>
      <c r="J34" s="130">
        <f>SUM(J28:J33)</f>
        <v>0</v>
      </c>
    </row>
    <row r="35" spans="1:10" s="116" customFormat="1" ht="15.6">
      <c r="A35" s="19"/>
      <c r="B35" s="129"/>
      <c r="C35" s="130"/>
      <c r="D35" s="130"/>
      <c r="E35" s="130"/>
      <c r="F35" s="132"/>
      <c r="G35" s="132"/>
      <c r="H35" s="132"/>
      <c r="I35" s="130"/>
      <c r="J35" s="130"/>
    </row>
    <row r="36" spans="1:10" s="19" customFormat="1" ht="63.75" customHeight="1">
      <c r="A36" s="129" t="s">
        <v>58</v>
      </c>
      <c r="B36" s="140"/>
      <c r="C36" s="141">
        <v>80000</v>
      </c>
      <c r="D36" s="141"/>
      <c r="E36" s="141">
        <v>143500</v>
      </c>
      <c r="F36" s="142"/>
      <c r="G36" s="143">
        <f>'INFOS 10 NOV 21'!B26</f>
        <v>44483</v>
      </c>
      <c r="H36" s="144">
        <f>SUM(C36:E36)</f>
        <v>223500</v>
      </c>
      <c r="I36" s="161"/>
      <c r="J36" s="159">
        <f t="shared" ref="J36:J41" si="9">D36+F36+G36</f>
        <v>44483</v>
      </c>
    </row>
    <row r="37" spans="1:10" s="19" customFormat="1" ht="69.75" customHeight="1">
      <c r="A37" s="129" t="s">
        <v>59</v>
      </c>
      <c r="B37" s="140"/>
      <c r="C37" s="141">
        <v>10000</v>
      </c>
      <c r="D37" s="141"/>
      <c r="E37" s="141"/>
      <c r="F37" s="142"/>
      <c r="G37" s="143">
        <v>0</v>
      </c>
      <c r="H37" s="144">
        <f>SUM(C37:E37)</f>
        <v>10000</v>
      </c>
      <c r="I37" s="161"/>
      <c r="J37" s="159">
        <f t="shared" si="9"/>
        <v>0</v>
      </c>
    </row>
    <row r="38" spans="1:10" s="19" customFormat="1" ht="57" customHeight="1">
      <c r="A38" s="129" t="s">
        <v>60</v>
      </c>
      <c r="B38" s="140"/>
      <c r="C38" s="141">
        <v>10000</v>
      </c>
      <c r="D38" s="141"/>
      <c r="E38" s="141">
        <v>10247.66</v>
      </c>
      <c r="F38" s="142"/>
      <c r="G38" s="143">
        <v>0</v>
      </c>
      <c r="H38" s="144">
        <f>SUM(C38:G38)</f>
        <v>20247.66</v>
      </c>
      <c r="I38" s="161"/>
      <c r="J38" s="159">
        <f t="shared" si="9"/>
        <v>0</v>
      </c>
    </row>
    <row r="39" spans="1:10" s="19" customFormat="1" ht="65.25" customHeight="1">
      <c r="A39" s="145" t="s">
        <v>61</v>
      </c>
      <c r="B39" s="140"/>
      <c r="C39" s="141">
        <v>40000</v>
      </c>
      <c r="D39" s="141"/>
      <c r="E39" s="141">
        <v>15000</v>
      </c>
      <c r="F39" s="142"/>
      <c r="G39" s="143"/>
      <c r="H39" s="144">
        <f t="shared" ref="H39:H40" si="10">SUM(C39:G39)</f>
        <v>55000</v>
      </c>
      <c r="I39" s="161"/>
      <c r="J39" s="159">
        <f t="shared" si="9"/>
        <v>0</v>
      </c>
    </row>
    <row r="40" spans="1:10" s="117" customFormat="1" ht="15.6">
      <c r="A40" s="146"/>
      <c r="B40" s="147" t="s">
        <v>10</v>
      </c>
      <c r="C40" s="148">
        <f>SUM(C36:C39)</f>
        <v>140000</v>
      </c>
      <c r="D40" s="148">
        <f>SUM(D36:D39)</f>
        <v>0</v>
      </c>
      <c r="E40" s="148">
        <f>SUM(E36:E39)</f>
        <v>168747.66</v>
      </c>
      <c r="F40" s="148">
        <f t="shared" ref="F40:G40" si="11">SUM(F36:F39)</f>
        <v>0</v>
      </c>
      <c r="G40" s="148">
        <f t="shared" si="11"/>
        <v>44483</v>
      </c>
      <c r="H40" s="144">
        <f t="shared" si="10"/>
        <v>353230.66000000003</v>
      </c>
      <c r="I40" s="162"/>
      <c r="J40" s="163">
        <f t="shared" si="9"/>
        <v>44483</v>
      </c>
    </row>
    <row r="41" spans="1:10" s="117" customFormat="1" ht="39" customHeight="1">
      <c r="A41" s="149"/>
      <c r="B41" s="150" t="s">
        <v>62</v>
      </c>
      <c r="C41" s="151">
        <f>C40+C34+C25+C17+C12</f>
        <v>841121.55</v>
      </c>
      <c r="D41" s="151">
        <f>D40+D34+D25+D17+D12</f>
        <v>0</v>
      </c>
      <c r="E41" s="151">
        <f>E40+E34+E25+E17+E12</f>
        <v>560747.66</v>
      </c>
      <c r="F41" s="152">
        <f t="shared" ref="F41:H41" si="12">F40+F34+F25+F17+F12</f>
        <v>0</v>
      </c>
      <c r="G41" s="152">
        <f t="shared" si="12"/>
        <v>72169</v>
      </c>
      <c r="H41" s="152">
        <f t="shared" si="12"/>
        <v>1446352.21</v>
      </c>
      <c r="I41" s="164"/>
      <c r="J41" s="159">
        <f t="shared" si="9"/>
        <v>72169</v>
      </c>
    </row>
    <row r="42" spans="1:10" ht="15.6">
      <c r="A42" s="153" t="s">
        <v>63</v>
      </c>
      <c r="C42" s="99">
        <f>C41*7%</f>
        <v>58878.508500000011</v>
      </c>
      <c r="D42" s="99">
        <f t="shared" ref="D42:H42" si="13">D41*7%</f>
        <v>0</v>
      </c>
      <c r="E42" s="99">
        <f t="shared" si="13"/>
        <v>39252.336200000005</v>
      </c>
      <c r="F42" s="99">
        <f t="shared" si="13"/>
        <v>0</v>
      </c>
      <c r="G42" s="99">
        <f t="shared" si="13"/>
        <v>5051.8300000000008</v>
      </c>
      <c r="H42" s="99">
        <f t="shared" si="13"/>
        <v>101244.65470000001</v>
      </c>
      <c r="I42" s="99"/>
      <c r="J42" s="156"/>
    </row>
    <row r="43" spans="1:10" ht="18">
      <c r="A43" s="146"/>
      <c r="B43" s="154" t="s">
        <v>64</v>
      </c>
      <c r="C43" s="155">
        <f>C41+C42</f>
        <v>900000.05850000004</v>
      </c>
      <c r="D43" s="155">
        <f t="shared" ref="D43:I43" si="14">D41+D42</f>
        <v>0</v>
      </c>
      <c r="E43" s="155">
        <f t="shared" si="14"/>
        <v>599999.99620000005</v>
      </c>
      <c r="F43" s="155">
        <f t="shared" si="14"/>
        <v>0</v>
      </c>
      <c r="G43" s="155">
        <f t="shared" si="14"/>
        <v>77220.83</v>
      </c>
      <c r="H43" s="155">
        <f t="shared" si="14"/>
        <v>1547596.8647</v>
      </c>
      <c r="I43" s="155">
        <f t="shared" si="14"/>
        <v>0</v>
      </c>
      <c r="J43" s="163">
        <f>D43+F43+G43</f>
        <v>77220.83</v>
      </c>
    </row>
    <row r="44" spans="1:10">
      <c r="J44" s="99"/>
    </row>
    <row r="48" spans="1:10">
      <c r="J48" s="156"/>
    </row>
  </sheetData>
  <mergeCells count="11">
    <mergeCell ref="B19:J19"/>
    <mergeCell ref="B27:J27"/>
    <mergeCell ref="B6:B7"/>
    <mergeCell ref="C6:C7"/>
    <mergeCell ref="D6:D7"/>
    <mergeCell ref="E6:E7"/>
    <mergeCell ref="F6:G6"/>
    <mergeCell ref="B8:J8"/>
    <mergeCell ref="B9:J9"/>
    <mergeCell ref="B13:J13"/>
    <mergeCell ref="B18:J18"/>
  </mergeCells>
  <dataValidations count="3">
    <dataValidation allowBlank="1" showInputMessage="1" showErrorMessage="1" prompt="Insert *text* description of Activity here" sqref="B10 B14 B20 B28" xr:uid="{00000000-0002-0000-0100-000000000000}"/>
    <dataValidation allowBlank="1" showInputMessage="1" showErrorMessage="1" prompt="Insert *text* description of Outcome here" sqref="B8:J8" xr:uid="{00000000-0002-0000-0100-000001000000}"/>
    <dataValidation allowBlank="1" showInputMessage="1" showErrorMessage="1" prompt="Insert *text* description of Output here" sqref="B9 B13 B19 B27" xr:uid="{00000000-0002-0000-0100-000002000000}"/>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0"/>
  <sheetViews>
    <sheetView topLeftCell="A3" workbookViewId="0">
      <selection activeCell="B30" sqref="B30"/>
    </sheetView>
  </sheetViews>
  <sheetFormatPr defaultColWidth="9" defaultRowHeight="14.4"/>
  <cols>
    <col min="1" max="1" width="34.77734375" customWidth="1"/>
    <col min="2" max="2" width="11.77734375" customWidth="1"/>
    <col min="3" max="3" width="11" customWidth="1"/>
    <col min="4" max="4" width="11.77734375" customWidth="1"/>
    <col min="5" max="5" width="12.21875" customWidth="1"/>
    <col min="6" max="6" width="15.21875" customWidth="1"/>
    <col min="252" max="253" width="12.6640625" customWidth="1"/>
    <col min="254" max="254" width="17.21875" customWidth="1"/>
    <col min="255" max="255" width="15.6640625" customWidth="1"/>
    <col min="508" max="509" width="12.6640625" customWidth="1"/>
    <col min="510" max="510" width="17.21875" customWidth="1"/>
    <col min="511" max="511" width="15.6640625" customWidth="1"/>
    <col min="764" max="765" width="12.6640625" customWidth="1"/>
    <col min="766" max="766" width="17.21875" customWidth="1"/>
    <col min="767" max="767" width="15.6640625" customWidth="1"/>
    <col min="1020" max="1021" width="12.6640625" customWidth="1"/>
    <col min="1022" max="1022" width="17.21875" customWidth="1"/>
    <col min="1023" max="1023" width="15.6640625" customWidth="1"/>
    <col min="1276" max="1277" width="12.6640625" customWidth="1"/>
    <col min="1278" max="1278" width="17.21875" customWidth="1"/>
    <col min="1279" max="1279" width="15.6640625" customWidth="1"/>
    <col min="1532" max="1533" width="12.6640625" customWidth="1"/>
    <col min="1534" max="1534" width="17.21875" customWidth="1"/>
    <col min="1535" max="1535" width="15.6640625" customWidth="1"/>
    <col min="1788" max="1789" width="12.6640625" customWidth="1"/>
    <col min="1790" max="1790" width="17.21875" customWidth="1"/>
    <col min="1791" max="1791" width="15.6640625" customWidth="1"/>
    <col min="2044" max="2045" width="12.6640625" customWidth="1"/>
    <col min="2046" max="2046" width="17.21875" customWidth="1"/>
    <col min="2047" max="2047" width="15.6640625" customWidth="1"/>
    <col min="2300" max="2301" width="12.6640625" customWidth="1"/>
    <col min="2302" max="2302" width="17.21875" customWidth="1"/>
    <col min="2303" max="2303" width="15.6640625" customWidth="1"/>
    <col min="2556" max="2557" width="12.6640625" customWidth="1"/>
    <col min="2558" max="2558" width="17.21875" customWidth="1"/>
    <col min="2559" max="2559" width="15.6640625" customWidth="1"/>
    <col min="2812" max="2813" width="12.6640625" customWidth="1"/>
    <col min="2814" max="2814" width="17.21875" customWidth="1"/>
    <col min="2815" max="2815" width="15.6640625" customWidth="1"/>
    <col min="3068" max="3069" width="12.6640625" customWidth="1"/>
    <col min="3070" max="3070" width="17.21875" customWidth="1"/>
    <col min="3071" max="3071" width="15.6640625" customWidth="1"/>
    <col min="3324" max="3325" width="12.6640625" customWidth="1"/>
    <col min="3326" max="3326" width="17.21875" customWidth="1"/>
    <col min="3327" max="3327" width="15.6640625" customWidth="1"/>
    <col min="3580" max="3581" width="12.6640625" customWidth="1"/>
    <col min="3582" max="3582" width="17.21875" customWidth="1"/>
    <col min="3583" max="3583" width="15.6640625" customWidth="1"/>
    <col min="3836" max="3837" width="12.6640625" customWidth="1"/>
    <col min="3838" max="3838" width="17.21875" customWidth="1"/>
    <col min="3839" max="3839" width="15.6640625" customWidth="1"/>
    <col min="4092" max="4093" width="12.6640625" customWidth="1"/>
    <col min="4094" max="4094" width="17.21875" customWidth="1"/>
    <col min="4095" max="4095" width="15.6640625" customWidth="1"/>
    <col min="4348" max="4349" width="12.6640625" customWidth="1"/>
    <col min="4350" max="4350" width="17.21875" customWidth="1"/>
    <col min="4351" max="4351" width="15.6640625" customWidth="1"/>
    <col min="4604" max="4605" width="12.6640625" customWidth="1"/>
    <col min="4606" max="4606" width="17.21875" customWidth="1"/>
    <col min="4607" max="4607" width="15.6640625" customWidth="1"/>
    <col min="4860" max="4861" width="12.6640625" customWidth="1"/>
    <col min="4862" max="4862" width="17.21875" customWidth="1"/>
    <col min="4863" max="4863" width="15.6640625" customWidth="1"/>
    <col min="5116" max="5117" width="12.6640625" customWidth="1"/>
    <col min="5118" max="5118" width="17.21875" customWidth="1"/>
    <col min="5119" max="5119" width="15.6640625" customWidth="1"/>
    <col min="5372" max="5373" width="12.6640625" customWidth="1"/>
    <col min="5374" max="5374" width="17.21875" customWidth="1"/>
    <col min="5375" max="5375" width="15.6640625" customWidth="1"/>
    <col min="5628" max="5629" width="12.6640625" customWidth="1"/>
    <col min="5630" max="5630" width="17.21875" customWidth="1"/>
    <col min="5631" max="5631" width="15.6640625" customWidth="1"/>
    <col min="5884" max="5885" width="12.6640625" customWidth="1"/>
    <col min="5886" max="5886" width="17.21875" customWidth="1"/>
    <col min="5887" max="5887" width="15.6640625" customWidth="1"/>
    <col min="6140" max="6141" width="12.6640625" customWidth="1"/>
    <col min="6142" max="6142" width="17.21875" customWidth="1"/>
    <col min="6143" max="6143" width="15.6640625" customWidth="1"/>
    <col min="6396" max="6397" width="12.6640625" customWidth="1"/>
    <col min="6398" max="6398" width="17.21875" customWidth="1"/>
    <col min="6399" max="6399" width="15.6640625" customWidth="1"/>
    <col min="6652" max="6653" width="12.6640625" customWidth="1"/>
    <col min="6654" max="6654" width="17.21875" customWidth="1"/>
    <col min="6655" max="6655" width="15.6640625" customWidth="1"/>
    <col min="6908" max="6909" width="12.6640625" customWidth="1"/>
    <col min="6910" max="6910" width="17.21875" customWidth="1"/>
    <col min="6911" max="6911" width="15.6640625" customWidth="1"/>
    <col min="7164" max="7165" width="12.6640625" customWidth="1"/>
    <col min="7166" max="7166" width="17.21875" customWidth="1"/>
    <col min="7167" max="7167" width="15.6640625" customWidth="1"/>
    <col min="7420" max="7421" width="12.6640625" customWidth="1"/>
    <col min="7422" max="7422" width="17.21875" customWidth="1"/>
    <col min="7423" max="7423" width="15.6640625" customWidth="1"/>
    <col min="7676" max="7677" width="12.6640625" customWidth="1"/>
    <col min="7678" max="7678" width="17.21875" customWidth="1"/>
    <col min="7679" max="7679" width="15.6640625" customWidth="1"/>
    <col min="7932" max="7933" width="12.6640625" customWidth="1"/>
    <col min="7934" max="7934" width="17.21875" customWidth="1"/>
    <col min="7935" max="7935" width="15.6640625" customWidth="1"/>
    <col min="8188" max="8189" width="12.6640625" customWidth="1"/>
    <col min="8190" max="8190" width="17.21875" customWidth="1"/>
    <col min="8191" max="8191" width="15.6640625" customWidth="1"/>
    <col min="8444" max="8445" width="12.6640625" customWidth="1"/>
    <col min="8446" max="8446" width="17.21875" customWidth="1"/>
    <col min="8447" max="8447" width="15.6640625" customWidth="1"/>
    <col min="8700" max="8701" width="12.6640625" customWidth="1"/>
    <col min="8702" max="8702" width="17.21875" customWidth="1"/>
    <col min="8703" max="8703" width="15.6640625" customWidth="1"/>
    <col min="8956" max="8957" width="12.6640625" customWidth="1"/>
    <col min="8958" max="8958" width="17.21875" customWidth="1"/>
    <col min="8959" max="8959" width="15.6640625" customWidth="1"/>
    <col min="9212" max="9213" width="12.6640625" customWidth="1"/>
    <col min="9214" max="9214" width="17.21875" customWidth="1"/>
    <col min="9215" max="9215" width="15.6640625" customWidth="1"/>
    <col min="9468" max="9469" width="12.6640625" customWidth="1"/>
    <col min="9470" max="9470" width="17.21875" customWidth="1"/>
    <col min="9471" max="9471" width="15.6640625" customWidth="1"/>
    <col min="9724" max="9725" width="12.6640625" customWidth="1"/>
    <col min="9726" max="9726" width="17.21875" customWidth="1"/>
    <col min="9727" max="9727" width="15.6640625" customWidth="1"/>
    <col min="9980" max="9981" width="12.6640625" customWidth="1"/>
    <col min="9982" max="9982" width="17.21875" customWidth="1"/>
    <col min="9983" max="9983" width="15.6640625" customWidth="1"/>
    <col min="10236" max="10237" width="12.6640625" customWidth="1"/>
    <col min="10238" max="10238" width="17.21875" customWidth="1"/>
    <col min="10239" max="10239" width="15.6640625" customWidth="1"/>
    <col min="10492" max="10493" width="12.6640625" customWidth="1"/>
    <col min="10494" max="10494" width="17.21875" customWidth="1"/>
    <col min="10495" max="10495" width="15.6640625" customWidth="1"/>
    <col min="10748" max="10749" width="12.6640625" customWidth="1"/>
    <col min="10750" max="10750" width="17.21875" customWidth="1"/>
    <col min="10751" max="10751" width="15.6640625" customWidth="1"/>
    <col min="11004" max="11005" width="12.6640625" customWidth="1"/>
    <col min="11006" max="11006" width="17.21875" customWidth="1"/>
    <col min="11007" max="11007" width="15.6640625" customWidth="1"/>
    <col min="11260" max="11261" width="12.6640625" customWidth="1"/>
    <col min="11262" max="11262" width="17.21875" customWidth="1"/>
    <col min="11263" max="11263" width="15.6640625" customWidth="1"/>
    <col min="11516" max="11517" width="12.6640625" customWidth="1"/>
    <col min="11518" max="11518" width="17.21875" customWidth="1"/>
    <col min="11519" max="11519" width="15.6640625" customWidth="1"/>
    <col min="11772" max="11773" width="12.6640625" customWidth="1"/>
    <col min="11774" max="11774" width="17.21875" customWidth="1"/>
    <col min="11775" max="11775" width="15.6640625" customWidth="1"/>
    <col min="12028" max="12029" width="12.6640625" customWidth="1"/>
    <col min="12030" max="12030" width="17.21875" customWidth="1"/>
    <col min="12031" max="12031" width="15.6640625" customWidth="1"/>
    <col min="12284" max="12285" width="12.6640625" customWidth="1"/>
    <col min="12286" max="12286" width="17.21875" customWidth="1"/>
    <col min="12287" max="12287" width="15.6640625" customWidth="1"/>
    <col min="12540" max="12541" width="12.6640625" customWidth="1"/>
    <col min="12542" max="12542" width="17.21875" customWidth="1"/>
    <col min="12543" max="12543" width="15.6640625" customWidth="1"/>
    <col min="12796" max="12797" width="12.6640625" customWidth="1"/>
    <col min="12798" max="12798" width="17.21875" customWidth="1"/>
    <col min="12799" max="12799" width="15.6640625" customWidth="1"/>
    <col min="13052" max="13053" width="12.6640625" customWidth="1"/>
    <col min="13054" max="13054" width="17.21875" customWidth="1"/>
    <col min="13055" max="13055" width="15.6640625" customWidth="1"/>
    <col min="13308" max="13309" width="12.6640625" customWidth="1"/>
    <col min="13310" max="13310" width="17.21875" customWidth="1"/>
    <col min="13311" max="13311" width="15.6640625" customWidth="1"/>
    <col min="13564" max="13565" width="12.6640625" customWidth="1"/>
    <col min="13566" max="13566" width="17.21875" customWidth="1"/>
    <col min="13567" max="13567" width="15.6640625" customWidth="1"/>
    <col min="13820" max="13821" width="12.6640625" customWidth="1"/>
    <col min="13822" max="13822" width="17.21875" customWidth="1"/>
    <col min="13823" max="13823" width="15.6640625" customWidth="1"/>
    <col min="14076" max="14077" width="12.6640625" customWidth="1"/>
    <col min="14078" max="14078" width="17.21875" customWidth="1"/>
    <col min="14079" max="14079" width="15.6640625" customWidth="1"/>
    <col min="14332" max="14333" width="12.6640625" customWidth="1"/>
    <col min="14334" max="14334" width="17.21875" customWidth="1"/>
    <col min="14335" max="14335" width="15.6640625" customWidth="1"/>
    <col min="14588" max="14589" width="12.6640625" customWidth="1"/>
    <col min="14590" max="14590" width="17.21875" customWidth="1"/>
    <col min="14591" max="14591" width="15.6640625" customWidth="1"/>
    <col min="14844" max="14845" width="12.6640625" customWidth="1"/>
    <col min="14846" max="14846" width="17.21875" customWidth="1"/>
    <col min="14847" max="14847" width="15.6640625" customWidth="1"/>
    <col min="15100" max="15101" width="12.6640625" customWidth="1"/>
    <col min="15102" max="15102" width="17.21875" customWidth="1"/>
    <col min="15103" max="15103" width="15.6640625" customWidth="1"/>
    <col min="15356" max="15357" width="12.6640625" customWidth="1"/>
    <col min="15358" max="15358" width="17.21875" customWidth="1"/>
    <col min="15359" max="15359" width="15.6640625" customWidth="1"/>
    <col min="15612" max="15613" width="12.6640625" customWidth="1"/>
    <col min="15614" max="15614" width="17.21875" customWidth="1"/>
    <col min="15615" max="15615" width="15.6640625" customWidth="1"/>
    <col min="15868" max="15869" width="12.6640625" customWidth="1"/>
    <col min="15870" max="15870" width="17.21875" customWidth="1"/>
    <col min="15871" max="15871" width="15.6640625" customWidth="1"/>
    <col min="16124" max="16125" width="12.6640625" customWidth="1"/>
    <col min="16126" max="16126" width="17.21875" customWidth="1"/>
    <col min="16127" max="16127" width="15.6640625" customWidth="1"/>
  </cols>
  <sheetData>
    <row r="1" spans="1:7">
      <c r="A1" t="s">
        <v>65</v>
      </c>
    </row>
    <row r="2" spans="1:7">
      <c r="A2" t="s">
        <v>66</v>
      </c>
      <c r="B2" t="s">
        <v>67</v>
      </c>
      <c r="C2" t="s">
        <v>68</v>
      </c>
      <c r="D2" t="s">
        <v>69</v>
      </c>
      <c r="E2" t="s">
        <v>70</v>
      </c>
      <c r="F2" t="s">
        <v>71</v>
      </c>
    </row>
    <row r="3" spans="1:7">
      <c r="A3" t="s">
        <v>72</v>
      </c>
      <c r="C3" s="99"/>
      <c r="D3" s="99"/>
      <c r="E3" s="99"/>
      <c r="F3" s="99"/>
      <c r="G3" s="99"/>
    </row>
    <row r="4" spans="1:7">
      <c r="A4" s="100" t="s">
        <v>73</v>
      </c>
      <c r="B4" s="100" t="s">
        <v>74</v>
      </c>
      <c r="C4" s="101">
        <v>0</v>
      </c>
      <c r="D4" s="101">
        <v>0</v>
      </c>
      <c r="E4" s="102">
        <v>4000</v>
      </c>
      <c r="F4" s="101">
        <v>-4000</v>
      </c>
      <c r="G4" s="99"/>
    </row>
    <row r="5" spans="1:7">
      <c r="A5" s="100"/>
      <c r="B5" s="100" t="s">
        <v>75</v>
      </c>
      <c r="C5" s="101">
        <v>0</v>
      </c>
      <c r="D5" s="101">
        <v>0</v>
      </c>
      <c r="E5" s="103">
        <v>388</v>
      </c>
      <c r="F5" s="101">
        <v>-388</v>
      </c>
      <c r="G5" s="99"/>
    </row>
    <row r="6" spans="1:7">
      <c r="A6" s="100"/>
      <c r="B6" s="100" t="s">
        <v>76</v>
      </c>
      <c r="C6" s="101">
        <v>0</v>
      </c>
      <c r="D6" s="101">
        <v>0</v>
      </c>
      <c r="E6" s="103">
        <v>499</v>
      </c>
      <c r="F6" s="101">
        <v>-499</v>
      </c>
      <c r="G6" s="99"/>
    </row>
    <row r="7" spans="1:7">
      <c r="A7" s="100"/>
      <c r="B7" s="100" t="s">
        <v>77</v>
      </c>
      <c r="C7" s="101">
        <v>0</v>
      </c>
      <c r="D7" s="101">
        <v>0</v>
      </c>
      <c r="E7" s="103">
        <v>2734</v>
      </c>
      <c r="F7" s="101">
        <v>-2734</v>
      </c>
      <c r="G7" s="99"/>
    </row>
    <row r="8" spans="1:7">
      <c r="A8" s="104" t="s">
        <v>78</v>
      </c>
      <c r="B8" s="104"/>
      <c r="C8" s="105">
        <v>0</v>
      </c>
      <c r="D8" s="105">
        <v>0</v>
      </c>
      <c r="E8" s="105">
        <v>7621</v>
      </c>
      <c r="F8" s="105">
        <v>-7621</v>
      </c>
      <c r="G8" s="99"/>
    </row>
    <row r="9" spans="1:7">
      <c r="A9" s="100" t="s">
        <v>79</v>
      </c>
      <c r="B9" s="100" t="s">
        <v>80</v>
      </c>
      <c r="C9" s="101">
        <v>0</v>
      </c>
      <c r="D9" s="101">
        <v>1043</v>
      </c>
      <c r="E9" s="103">
        <v>0</v>
      </c>
      <c r="F9" s="101">
        <v>-1043</v>
      </c>
      <c r="G9" s="99"/>
    </row>
    <row r="10" spans="1:7">
      <c r="A10" s="100"/>
      <c r="B10" s="100" t="s">
        <v>76</v>
      </c>
      <c r="C10" s="101">
        <v>0</v>
      </c>
      <c r="D10" s="101">
        <v>0</v>
      </c>
      <c r="E10" s="103">
        <v>18</v>
      </c>
      <c r="F10" s="101">
        <v>-18</v>
      </c>
      <c r="G10" s="99"/>
    </row>
    <row r="11" spans="1:7">
      <c r="A11" s="100"/>
      <c r="B11" s="100" t="s">
        <v>77</v>
      </c>
      <c r="C11" s="101">
        <v>0</v>
      </c>
      <c r="D11" s="101">
        <v>652</v>
      </c>
      <c r="E11" s="103">
        <v>256</v>
      </c>
      <c r="F11" s="101">
        <v>-908</v>
      </c>
      <c r="G11" s="99"/>
    </row>
    <row r="12" spans="1:7">
      <c r="A12" s="104" t="s">
        <v>81</v>
      </c>
      <c r="B12" s="104"/>
      <c r="C12" s="105">
        <v>0</v>
      </c>
      <c r="D12" s="105">
        <v>1694</v>
      </c>
      <c r="E12" s="105">
        <v>274</v>
      </c>
      <c r="F12" s="105">
        <v>-1968</v>
      </c>
      <c r="G12" s="99"/>
    </row>
    <row r="13" spans="1:7">
      <c r="A13" s="100" t="s">
        <v>82</v>
      </c>
      <c r="B13" s="100" t="s">
        <v>74</v>
      </c>
      <c r="C13" s="101">
        <v>50000</v>
      </c>
      <c r="D13" s="101">
        <v>15000</v>
      </c>
      <c r="E13" s="102">
        <v>5000</v>
      </c>
      <c r="F13" s="101">
        <v>30000</v>
      </c>
      <c r="G13" s="99"/>
    </row>
    <row r="14" spans="1:7">
      <c r="A14" s="100"/>
      <c r="B14" s="100" t="s">
        <v>83</v>
      </c>
      <c r="C14" s="101">
        <v>0</v>
      </c>
      <c r="D14" s="101">
        <v>0</v>
      </c>
      <c r="E14" s="103">
        <v>3570</v>
      </c>
      <c r="F14" s="101">
        <v>-3570</v>
      </c>
      <c r="G14" s="99"/>
    </row>
    <row r="15" spans="1:7">
      <c r="A15" s="100"/>
      <c r="B15" s="100" t="s">
        <v>76</v>
      </c>
      <c r="C15" s="101">
        <v>14337</v>
      </c>
      <c r="D15" s="101">
        <v>0</v>
      </c>
      <c r="E15" s="103">
        <v>360</v>
      </c>
      <c r="F15" s="101">
        <v>13977</v>
      </c>
      <c r="G15" s="99"/>
    </row>
    <row r="16" spans="1:7">
      <c r="A16" s="100"/>
      <c r="B16" s="100" t="s">
        <v>77</v>
      </c>
      <c r="C16" s="101">
        <v>121663</v>
      </c>
      <c r="D16" s="101">
        <v>0</v>
      </c>
      <c r="E16" s="103">
        <v>6084</v>
      </c>
      <c r="F16" s="101">
        <v>115578</v>
      </c>
      <c r="G16" s="99"/>
    </row>
    <row r="17" spans="1:7">
      <c r="A17" s="100"/>
      <c r="B17" s="100" t="s">
        <v>84</v>
      </c>
      <c r="C17" s="101">
        <v>0</v>
      </c>
      <c r="D17" s="101">
        <v>0</v>
      </c>
      <c r="E17" s="103">
        <v>-67</v>
      </c>
      <c r="F17" s="101">
        <v>67</v>
      </c>
      <c r="G17" s="99"/>
    </row>
    <row r="18" spans="1:7">
      <c r="A18" s="104" t="s">
        <v>85</v>
      </c>
      <c r="B18" s="104"/>
      <c r="C18" s="105">
        <v>186000</v>
      </c>
      <c r="D18" s="105">
        <v>15000</v>
      </c>
      <c r="E18" s="105">
        <v>14948</v>
      </c>
      <c r="F18" s="105">
        <v>156052</v>
      </c>
      <c r="G18" s="99"/>
    </row>
    <row r="19" spans="1:7">
      <c r="A19" s="100" t="s">
        <v>86</v>
      </c>
      <c r="B19" s="100" t="s">
        <v>74</v>
      </c>
      <c r="C19" s="101">
        <v>0</v>
      </c>
      <c r="D19" s="101">
        <v>0</v>
      </c>
      <c r="E19" s="102">
        <v>5720</v>
      </c>
      <c r="F19" s="101">
        <v>-5720</v>
      </c>
      <c r="G19" s="99"/>
    </row>
    <row r="20" spans="1:7">
      <c r="A20" s="100"/>
      <c r="B20" s="100" t="s">
        <v>87</v>
      </c>
      <c r="C20" s="101">
        <v>24000</v>
      </c>
      <c r="D20" s="101">
        <v>0</v>
      </c>
      <c r="E20" s="106">
        <v>14236</v>
      </c>
      <c r="F20" s="101">
        <v>9764</v>
      </c>
      <c r="G20" s="99"/>
    </row>
    <row r="21" spans="1:7">
      <c r="A21" s="100"/>
      <c r="B21" s="100" t="s">
        <v>76</v>
      </c>
      <c r="C21" s="101">
        <v>0</v>
      </c>
      <c r="D21" s="101">
        <v>0</v>
      </c>
      <c r="E21" s="103">
        <v>1210</v>
      </c>
      <c r="F21" s="101">
        <v>-1210</v>
      </c>
      <c r="G21" s="99"/>
    </row>
    <row r="22" spans="1:7">
      <c r="A22" s="100"/>
      <c r="B22" s="100" t="s">
        <v>88</v>
      </c>
      <c r="C22" s="101">
        <v>0</v>
      </c>
      <c r="D22" s="101">
        <v>0</v>
      </c>
      <c r="E22" s="106">
        <v>30247</v>
      </c>
      <c r="F22" s="101">
        <v>-30247</v>
      </c>
      <c r="G22" s="99"/>
    </row>
    <row r="23" spans="1:7">
      <c r="A23" s="104" t="s">
        <v>89</v>
      </c>
      <c r="B23" s="104"/>
      <c r="C23" s="105">
        <v>24000</v>
      </c>
      <c r="D23" s="105">
        <v>0</v>
      </c>
      <c r="E23" s="105">
        <v>51413</v>
      </c>
      <c r="F23" s="105">
        <v>-27413</v>
      </c>
      <c r="G23" s="99"/>
    </row>
    <row r="24" spans="1:7">
      <c r="A24" s="100" t="s">
        <v>90</v>
      </c>
      <c r="B24" s="100"/>
      <c r="C24" s="101">
        <v>210000</v>
      </c>
      <c r="D24" s="101">
        <v>16694</v>
      </c>
      <c r="E24" s="101">
        <v>74256</v>
      </c>
      <c r="F24" s="101">
        <v>119050</v>
      </c>
      <c r="G24" s="99"/>
    </row>
    <row r="25" spans="1:7">
      <c r="C25" s="107"/>
      <c r="D25" s="107"/>
      <c r="E25" s="107"/>
      <c r="F25" s="107"/>
    </row>
    <row r="26" spans="1:7">
      <c r="A26" s="108" t="s">
        <v>91</v>
      </c>
      <c r="B26" s="109">
        <f>E22+E20</f>
        <v>44483</v>
      </c>
      <c r="C26" s="107"/>
    </row>
    <row r="27" spans="1:7">
      <c r="A27" s="110" t="s">
        <v>92</v>
      </c>
      <c r="B27" s="111">
        <f>+E7+E9+E11+E14+E16+E17+E5+1</f>
        <v>12966</v>
      </c>
      <c r="C27" s="112">
        <f>E21+E15+E10+E6</f>
        <v>2087</v>
      </c>
      <c r="D27" s="112">
        <f>C27+B29</f>
        <v>74256</v>
      </c>
      <c r="E27" s="112">
        <f>E24-D27</f>
        <v>0</v>
      </c>
    </row>
    <row r="28" spans="1:7">
      <c r="A28" s="113" t="s">
        <v>93</v>
      </c>
      <c r="B28" s="114">
        <f>E4+E13+E19</f>
        <v>14720</v>
      </c>
    </row>
    <row r="29" spans="1:7">
      <c r="A29" t="s">
        <v>94</v>
      </c>
      <c r="B29" s="115">
        <f>SUM(B26:B28)</f>
        <v>72169</v>
      </c>
    </row>
    <row r="30" spans="1:7">
      <c r="A30" t="s">
        <v>95</v>
      </c>
      <c r="B30" s="112">
        <f>B29*0.07</f>
        <v>5051.8300000000008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1B130-DA63-4B8E-B8A9-8C6053C4C907}">
  <dimension ref="A1:M48"/>
  <sheetViews>
    <sheetView tabSelected="1" topLeftCell="B1" zoomScaleNormal="100" workbookViewId="0">
      <selection activeCell="B12" sqref="B12"/>
    </sheetView>
  </sheetViews>
  <sheetFormatPr defaultColWidth="8.77734375" defaultRowHeight="12"/>
  <cols>
    <col min="1" max="1" width="45.21875" style="17" customWidth="1"/>
    <col min="2" max="2" width="25.21875" style="17" customWidth="1"/>
    <col min="3" max="4" width="16" style="17" customWidth="1"/>
    <col min="5" max="6" width="15.5546875" style="17" customWidth="1"/>
    <col min="7" max="7" width="12.21875" style="17" customWidth="1"/>
    <col min="8" max="8" width="11.44140625" style="17" customWidth="1"/>
    <col min="9" max="9" width="25.77734375" style="18" customWidth="1"/>
    <col min="10" max="10" width="11" style="17" hidden="1" customWidth="1"/>
    <col min="11" max="11" width="23.21875" style="17" customWidth="1"/>
    <col min="12" max="12" width="20" style="17" customWidth="1"/>
    <col min="13" max="13" width="36.77734375" style="17" customWidth="1"/>
    <col min="14" max="14" width="24.77734375" style="17" customWidth="1"/>
    <col min="15" max="16384" width="8.77734375" style="17"/>
  </cols>
  <sheetData>
    <row r="1" spans="1:13" ht="18.600000000000001" customHeight="1">
      <c r="A1" s="20" t="s">
        <v>109</v>
      </c>
      <c r="B1" s="20"/>
      <c r="C1" s="187" t="s">
        <v>112</v>
      </c>
      <c r="D1" s="188"/>
      <c r="E1" s="188"/>
      <c r="F1" s="188"/>
      <c r="G1" s="188"/>
      <c r="H1" s="188"/>
      <c r="I1" s="188"/>
      <c r="J1" s="188"/>
      <c r="K1" s="188"/>
      <c r="L1" s="188"/>
      <c r="M1" s="188"/>
    </row>
    <row r="2" spans="1:13" ht="14.4" customHeight="1">
      <c r="A2" s="21"/>
      <c r="B2" s="199" t="s">
        <v>2</v>
      </c>
      <c r="C2" s="199" t="s">
        <v>3</v>
      </c>
      <c r="D2" s="199" t="s">
        <v>4</v>
      </c>
      <c r="E2" s="199"/>
      <c r="F2" s="22"/>
      <c r="G2" s="199" t="s">
        <v>5</v>
      </c>
      <c r="H2" s="199" t="s">
        <v>6</v>
      </c>
      <c r="I2" s="199"/>
      <c r="J2" s="85"/>
      <c r="K2" s="85"/>
      <c r="L2" s="85"/>
      <c r="M2" s="86"/>
    </row>
    <row r="3" spans="1:13" s="15" customFormat="1" ht="84">
      <c r="A3" s="22" t="s">
        <v>7</v>
      </c>
      <c r="B3" s="199"/>
      <c r="C3" s="199"/>
      <c r="D3" s="22" t="s">
        <v>96</v>
      </c>
      <c r="E3" s="22" t="s">
        <v>9</v>
      </c>
      <c r="F3" s="22" t="s">
        <v>110</v>
      </c>
      <c r="G3" s="199"/>
      <c r="H3" s="22" t="s">
        <v>96</v>
      </c>
      <c r="I3" s="23" t="s">
        <v>9</v>
      </c>
      <c r="J3" s="22" t="s">
        <v>10</v>
      </c>
      <c r="K3" s="22" t="s">
        <v>97</v>
      </c>
      <c r="L3" s="22" t="s">
        <v>11</v>
      </c>
      <c r="M3" s="22" t="s">
        <v>12</v>
      </c>
    </row>
    <row r="4" spans="1:13" s="15" customFormat="1">
      <c r="A4" s="24" t="s">
        <v>13</v>
      </c>
      <c r="B4" s="193" t="s">
        <v>111</v>
      </c>
      <c r="C4" s="193"/>
      <c r="D4" s="193"/>
      <c r="E4" s="194"/>
      <c r="F4" s="194"/>
      <c r="G4" s="194"/>
      <c r="H4" s="194"/>
      <c r="I4" s="194"/>
      <c r="J4" s="194"/>
      <c r="K4" s="194"/>
      <c r="L4" s="194"/>
      <c r="M4" s="194"/>
    </row>
    <row r="5" spans="1:13" s="15" customFormat="1">
      <c r="A5" s="25" t="s">
        <v>15</v>
      </c>
      <c r="B5" s="194" t="s">
        <v>16</v>
      </c>
      <c r="C5" s="194"/>
      <c r="D5" s="194"/>
      <c r="E5" s="194"/>
      <c r="F5" s="194"/>
      <c r="G5" s="194"/>
      <c r="H5" s="194"/>
      <c r="I5" s="194"/>
      <c r="J5" s="194"/>
      <c r="K5" s="194"/>
      <c r="L5" s="194"/>
      <c r="M5" s="194"/>
    </row>
    <row r="6" spans="1:13" s="15" customFormat="1" ht="48">
      <c r="A6" s="26" t="s">
        <v>17</v>
      </c>
      <c r="B6" s="27" t="s">
        <v>18</v>
      </c>
      <c r="C6" s="28">
        <v>0</v>
      </c>
      <c r="D6" s="28"/>
      <c r="E6" s="28">
        <v>0</v>
      </c>
      <c r="F6" s="28"/>
      <c r="G6" s="29"/>
      <c r="H6" s="29"/>
      <c r="I6" s="30"/>
      <c r="J6" s="87">
        <f>SUM(C6:G6)</f>
        <v>0</v>
      </c>
      <c r="K6" s="88"/>
      <c r="L6" s="89">
        <v>0.5</v>
      </c>
      <c r="M6" s="90">
        <f>E6+H6+I6</f>
        <v>0</v>
      </c>
    </row>
    <row r="7" spans="1:13" s="15" customFormat="1" ht="60">
      <c r="A7" s="26" t="s">
        <v>19</v>
      </c>
      <c r="B7" s="27" t="s">
        <v>20</v>
      </c>
      <c r="C7" s="28">
        <v>0</v>
      </c>
      <c r="D7" s="28"/>
      <c r="E7" s="28">
        <v>0</v>
      </c>
      <c r="F7" s="28"/>
      <c r="G7" s="31">
        <v>270000</v>
      </c>
      <c r="H7" s="29">
        <v>11682.52</v>
      </c>
      <c r="I7" s="30">
        <f>'[1]Rapport 31 OCT'!$H$7</f>
        <v>196571.60000000003</v>
      </c>
      <c r="J7" s="87">
        <f>SUM(C7:G7)</f>
        <v>270000</v>
      </c>
      <c r="K7" s="88">
        <f>G7+C7</f>
        <v>270000</v>
      </c>
      <c r="L7" s="89">
        <v>0.6</v>
      </c>
      <c r="M7" s="90">
        <f>D7+E7+H7+I7</f>
        <v>208254.12000000002</v>
      </c>
    </row>
    <row r="8" spans="1:13" s="15" customFormat="1">
      <c r="B8" s="32" t="s">
        <v>21</v>
      </c>
      <c r="C8" s="33">
        <f>SUM(C6:C7)</f>
        <v>0</v>
      </c>
      <c r="D8" s="33"/>
      <c r="E8" s="33">
        <f>SUM(E6:E7)</f>
        <v>0</v>
      </c>
      <c r="F8" s="33"/>
      <c r="G8" s="34">
        <f>SUM(G6:G7)</f>
        <v>270000</v>
      </c>
      <c r="H8" s="33">
        <f>SUM(H6:H7)</f>
        <v>11682.52</v>
      </c>
      <c r="I8" s="23">
        <f>SUM(I6:I7)</f>
        <v>196571.60000000003</v>
      </c>
      <c r="J8" s="33">
        <f>SUM(J6:J7)</f>
        <v>270000</v>
      </c>
      <c r="K8" s="88">
        <f>G8+C8</f>
        <v>270000</v>
      </c>
      <c r="L8" s="33">
        <f>(L6*J6)+(L7*J7)</f>
        <v>162000</v>
      </c>
      <c r="M8" s="33">
        <f>D8+E8+H8</f>
        <v>11682.52</v>
      </c>
    </row>
    <row r="9" spans="1:13" s="15" customFormat="1">
      <c r="A9" s="25" t="s">
        <v>22</v>
      </c>
      <c r="B9" s="195" t="s">
        <v>23</v>
      </c>
      <c r="C9" s="195"/>
      <c r="D9" s="195"/>
      <c r="E9" s="195"/>
      <c r="F9" s="195"/>
      <c r="G9" s="195"/>
      <c r="H9" s="195"/>
      <c r="I9" s="195"/>
      <c r="J9" s="195"/>
      <c r="K9" s="195"/>
      <c r="L9" s="195"/>
      <c r="M9" s="195"/>
    </row>
    <row r="10" spans="1:13" s="15" customFormat="1" ht="36">
      <c r="A10" s="26" t="s">
        <v>24</v>
      </c>
      <c r="B10" s="27" t="s">
        <v>25</v>
      </c>
      <c r="C10" s="28">
        <v>0</v>
      </c>
      <c r="D10" s="28"/>
      <c r="E10" s="28"/>
      <c r="F10" s="28"/>
      <c r="G10" s="31">
        <v>10000</v>
      </c>
      <c r="H10" s="29"/>
      <c r="I10" s="30">
        <f>'[1]Rapport 31 OCT'!$H$10</f>
        <v>27600.58</v>
      </c>
      <c r="J10" s="87">
        <f>SUM(C10:G10)</f>
        <v>10000</v>
      </c>
      <c r="K10" s="88">
        <f>C10+G10</f>
        <v>10000</v>
      </c>
      <c r="L10" s="89">
        <v>0.5</v>
      </c>
      <c r="M10" s="90">
        <f>E10+H10+I10</f>
        <v>27600.58</v>
      </c>
    </row>
    <row r="11" spans="1:13" s="15" customFormat="1" ht="36">
      <c r="A11" s="26" t="s">
        <v>26</v>
      </c>
      <c r="B11" s="27" t="s">
        <v>27</v>
      </c>
      <c r="C11" s="28">
        <v>0</v>
      </c>
      <c r="D11" s="28"/>
      <c r="E11" s="28">
        <v>0</v>
      </c>
      <c r="F11" s="28"/>
      <c r="G11" s="31">
        <v>20000</v>
      </c>
      <c r="H11" s="36">
        <v>0</v>
      </c>
      <c r="I11" s="30"/>
      <c r="J11" s="87">
        <f>SUM(C11:G11)</f>
        <v>20000</v>
      </c>
      <c r="K11" s="88">
        <f>C11+G11</f>
        <v>20000</v>
      </c>
      <c r="L11" s="89">
        <v>0.5</v>
      </c>
      <c r="M11" s="90">
        <f>D11+E11+H11+I11</f>
        <v>0</v>
      </c>
    </row>
    <row r="12" spans="1:13" s="15" customFormat="1" ht="60">
      <c r="A12" s="26" t="s">
        <v>28</v>
      </c>
      <c r="B12" s="27" t="s">
        <v>29</v>
      </c>
      <c r="C12" s="28">
        <v>0</v>
      </c>
      <c r="D12" s="28"/>
      <c r="E12" s="28">
        <v>0</v>
      </c>
      <c r="F12" s="28"/>
      <c r="G12" s="31">
        <v>92000</v>
      </c>
      <c r="H12" s="29"/>
      <c r="I12" s="30">
        <f>'[1]Rapport 31 OCT'!$H$12</f>
        <v>14000</v>
      </c>
      <c r="J12" s="87">
        <f>SUM(C12:G12)</f>
        <v>92000</v>
      </c>
      <c r="K12" s="88">
        <f>C12+G12</f>
        <v>92000</v>
      </c>
      <c r="L12" s="89">
        <v>0.6</v>
      </c>
      <c r="M12" s="90">
        <f>E12+H12+I12</f>
        <v>14000</v>
      </c>
    </row>
    <row r="13" spans="1:13" s="15" customFormat="1">
      <c r="B13" s="32" t="s">
        <v>21</v>
      </c>
      <c r="C13" s="37">
        <f>SUM(C10:C12)</f>
        <v>0</v>
      </c>
      <c r="D13" s="37"/>
      <c r="E13" s="37">
        <v>0</v>
      </c>
      <c r="F13" s="37"/>
      <c r="G13" s="38">
        <f>SUM(G10:G12)</f>
        <v>122000</v>
      </c>
      <c r="H13" s="38">
        <f>SUM(H10:H12)</f>
        <v>0</v>
      </c>
      <c r="I13" s="39">
        <f>SUM(I10:I12)</f>
        <v>41600.58</v>
      </c>
      <c r="J13" s="37">
        <f>SUM(J10:J12)</f>
        <v>122000</v>
      </c>
      <c r="K13" s="38">
        <f>K10+K11+K12</f>
        <v>122000</v>
      </c>
      <c r="L13" s="33">
        <f>(L10*J10)+(L11*J11)+(L12*J12)</f>
        <v>70200</v>
      </c>
      <c r="M13" s="37">
        <f>SUM(M10:M12)</f>
        <v>41600.58</v>
      </c>
    </row>
    <row r="14" spans="1:13" s="15" customFormat="1">
      <c r="A14" s="40" t="s">
        <v>30</v>
      </c>
      <c r="B14" s="196" t="s">
        <v>31</v>
      </c>
      <c r="C14" s="197"/>
      <c r="D14" s="197"/>
      <c r="E14" s="197"/>
      <c r="F14" s="197"/>
      <c r="G14" s="197"/>
      <c r="H14" s="197"/>
      <c r="I14" s="197"/>
      <c r="J14" s="197"/>
      <c r="K14" s="197"/>
      <c r="L14" s="197"/>
      <c r="M14" s="198"/>
    </row>
    <row r="15" spans="1:13" s="15" customFormat="1">
      <c r="A15" s="24" t="s">
        <v>32</v>
      </c>
      <c r="B15" s="195" t="s">
        <v>33</v>
      </c>
      <c r="C15" s="195"/>
      <c r="D15" s="195"/>
      <c r="E15" s="195"/>
      <c r="F15" s="195"/>
      <c r="G15" s="195"/>
      <c r="H15" s="195"/>
      <c r="I15" s="195"/>
      <c r="J15" s="195"/>
      <c r="K15" s="195"/>
      <c r="L15" s="195"/>
      <c r="M15" s="195"/>
    </row>
    <row r="16" spans="1:13" s="15" customFormat="1" ht="60">
      <c r="A16" s="41" t="s">
        <v>34</v>
      </c>
      <c r="B16" s="27" t="s">
        <v>35</v>
      </c>
      <c r="C16" s="31">
        <v>30000</v>
      </c>
      <c r="D16" s="36">
        <v>12974</v>
      </c>
      <c r="E16" s="36">
        <v>12803</v>
      </c>
      <c r="F16" s="36">
        <f>D16+E16</f>
        <v>25777</v>
      </c>
      <c r="G16" s="35"/>
      <c r="H16" s="35"/>
      <c r="I16" s="42"/>
      <c r="J16" s="87">
        <f>SUM(C16:G16)</f>
        <v>81554</v>
      </c>
      <c r="K16" s="88">
        <f t="shared" ref="K16:K21" si="0">C16+G16</f>
        <v>30000</v>
      </c>
      <c r="L16" s="89">
        <v>1</v>
      </c>
      <c r="M16" s="90">
        <f>E16+H16+I16</f>
        <v>12803</v>
      </c>
    </row>
    <row r="17" spans="1:13" s="15" customFormat="1" ht="48">
      <c r="A17" s="41" t="s">
        <v>36</v>
      </c>
      <c r="B17" s="27" t="s">
        <v>37</v>
      </c>
      <c r="C17" s="31">
        <v>20000</v>
      </c>
      <c r="D17" s="36">
        <v>15752</v>
      </c>
      <c r="E17" s="36">
        <f>7124.88+6429</f>
        <v>13553.880000000001</v>
      </c>
      <c r="F17" s="36">
        <f>SUM(D17:E17)</f>
        <v>29305.88</v>
      </c>
      <c r="G17" s="35"/>
      <c r="H17" s="35"/>
      <c r="I17" s="42"/>
      <c r="J17" s="87">
        <f>SUM(C17:G17)</f>
        <v>78611.760000000009</v>
      </c>
      <c r="K17" s="88">
        <f t="shared" si="0"/>
        <v>20000</v>
      </c>
      <c r="L17" s="89">
        <v>1</v>
      </c>
      <c r="M17" s="90">
        <f>E17+H17+I17</f>
        <v>13553.880000000001</v>
      </c>
    </row>
    <row r="18" spans="1:13" s="15" customFormat="1" ht="48">
      <c r="A18" s="41" t="s">
        <v>38</v>
      </c>
      <c r="B18" s="27" t="s">
        <v>39</v>
      </c>
      <c r="C18" s="31">
        <v>30000</v>
      </c>
      <c r="D18" s="31">
        <v>31559</v>
      </c>
      <c r="E18" s="31">
        <v>0</v>
      </c>
      <c r="F18" s="31">
        <f>SUM(D18:E18)</f>
        <v>31559</v>
      </c>
      <c r="G18" s="29"/>
      <c r="H18" s="29"/>
      <c r="I18" s="30"/>
      <c r="J18" s="87">
        <f>SUM(C18:G18)</f>
        <v>93118</v>
      </c>
      <c r="K18" s="88">
        <f t="shared" si="0"/>
        <v>30000</v>
      </c>
      <c r="L18" s="89">
        <v>1</v>
      </c>
      <c r="M18" s="90">
        <f>E18+H18+I18</f>
        <v>0</v>
      </c>
    </row>
    <row r="19" spans="1:13" s="15" customFormat="1" ht="60">
      <c r="A19" s="41" t="s">
        <v>40</v>
      </c>
      <c r="B19" s="27" t="s">
        <v>41</v>
      </c>
      <c r="C19" s="31">
        <v>15000</v>
      </c>
      <c r="D19" s="31"/>
      <c r="E19" s="31">
        <v>0</v>
      </c>
      <c r="F19" s="31">
        <f t="shared" ref="F19:F20" si="1">SUM(D19:E19)</f>
        <v>0</v>
      </c>
      <c r="G19" s="29"/>
      <c r="H19" s="29"/>
      <c r="I19" s="30"/>
      <c r="J19" s="87">
        <f>SUM(C19:G19)</f>
        <v>15000</v>
      </c>
      <c r="K19" s="88">
        <f t="shared" si="0"/>
        <v>15000</v>
      </c>
      <c r="L19" s="89">
        <v>1</v>
      </c>
      <c r="M19" s="90">
        <f>E19+H19+I19</f>
        <v>0</v>
      </c>
    </row>
    <row r="20" spans="1:13" s="15" customFormat="1" ht="36">
      <c r="A20" s="41" t="s">
        <v>42</v>
      </c>
      <c r="B20" s="27" t="s">
        <v>43</v>
      </c>
      <c r="C20" s="31">
        <v>20000</v>
      </c>
      <c r="D20" s="31"/>
      <c r="E20" s="31">
        <v>0</v>
      </c>
      <c r="F20" s="31">
        <f t="shared" si="1"/>
        <v>0</v>
      </c>
      <c r="G20" s="29"/>
      <c r="H20" s="29"/>
      <c r="I20" s="30"/>
      <c r="J20" s="87">
        <f>SUM(C20:G20)</f>
        <v>20000</v>
      </c>
      <c r="K20" s="88">
        <f t="shared" si="0"/>
        <v>20000</v>
      </c>
      <c r="L20" s="89">
        <v>1</v>
      </c>
      <c r="M20" s="90">
        <f>E20+H20+I20</f>
        <v>0</v>
      </c>
    </row>
    <row r="21" spans="1:13" s="15" customFormat="1">
      <c r="B21" s="32" t="s">
        <v>21</v>
      </c>
      <c r="C21" s="37">
        <f>SUM(C16:C20)</f>
        <v>115000</v>
      </c>
      <c r="D21" s="37">
        <f>SUM(D16:D20)</f>
        <v>60285</v>
      </c>
      <c r="E21" s="37">
        <f>SUM(E16:E20)</f>
        <v>26356.880000000001</v>
      </c>
      <c r="F21" s="37">
        <f>SUM(D21:E21)</f>
        <v>86641.88</v>
      </c>
      <c r="G21" s="37">
        <f>SUM(G16:G20)</f>
        <v>0</v>
      </c>
      <c r="H21" s="37">
        <f>SUM(H16:H20)</f>
        <v>0</v>
      </c>
      <c r="I21" s="39">
        <f>SUM(I18:I20)</f>
        <v>0</v>
      </c>
      <c r="J21" s="37">
        <f>SUM(J16:J20)</f>
        <v>288283.76</v>
      </c>
      <c r="K21" s="38">
        <f t="shared" si="0"/>
        <v>115000</v>
      </c>
      <c r="L21" s="33">
        <f>(L18*J18)+(L19*J19)+(L20*J20)+(L17*J17)+(L16*J16)</f>
        <v>288283.76</v>
      </c>
      <c r="M21" s="37">
        <f>SUM(M18:M20)</f>
        <v>0</v>
      </c>
    </row>
    <row r="22" spans="1:13" s="15" customFormat="1">
      <c r="A22" s="43"/>
      <c r="B22" s="44"/>
      <c r="C22" s="45"/>
      <c r="D22" s="45"/>
      <c r="E22" s="45"/>
      <c r="F22" s="45"/>
      <c r="G22" s="46"/>
      <c r="H22" s="46"/>
      <c r="I22" s="47"/>
      <c r="J22" s="45"/>
      <c r="K22" s="45"/>
      <c r="L22" s="45"/>
      <c r="M22" s="91"/>
    </row>
    <row r="23" spans="1:13" s="15" customFormat="1">
      <c r="A23" s="25" t="s">
        <v>44</v>
      </c>
      <c r="B23" s="195" t="s">
        <v>45</v>
      </c>
      <c r="C23" s="195"/>
      <c r="D23" s="195"/>
      <c r="E23" s="195"/>
      <c r="F23" s="195"/>
      <c r="G23" s="195"/>
      <c r="H23" s="195"/>
      <c r="I23" s="195"/>
      <c r="J23" s="195"/>
      <c r="K23" s="195"/>
      <c r="L23" s="195"/>
      <c r="M23" s="195"/>
    </row>
    <row r="24" spans="1:13" s="15" customFormat="1" ht="72">
      <c r="A24" s="41" t="s">
        <v>46</v>
      </c>
      <c r="B24" s="27" t="s">
        <v>47</v>
      </c>
      <c r="C24" s="31">
        <v>135175</v>
      </c>
      <c r="D24" s="177">
        <f>9405+20000+28459.82</f>
        <v>57864.82</v>
      </c>
      <c r="E24" s="28"/>
      <c r="F24" s="28">
        <f t="shared" ref="F24:F30" si="2">D24+E24</f>
        <v>57864.82</v>
      </c>
      <c r="G24" s="29">
        <v>0</v>
      </c>
      <c r="H24" s="29"/>
      <c r="I24" s="30"/>
      <c r="J24" s="87">
        <f t="shared" ref="J24:J29" si="3">SUM(C24:G24)</f>
        <v>250904.64</v>
      </c>
      <c r="K24" s="88">
        <f t="shared" ref="K24:K30" si="4">C24+G24</f>
        <v>135175</v>
      </c>
      <c r="L24" s="89">
        <v>1</v>
      </c>
      <c r="M24" s="90">
        <f>E24+H24+I24</f>
        <v>0</v>
      </c>
    </row>
    <row r="25" spans="1:13" s="15" customFormat="1" ht="84">
      <c r="A25" s="41" t="s">
        <v>48</v>
      </c>
      <c r="B25" s="27" t="s">
        <v>49</v>
      </c>
      <c r="C25" s="31">
        <v>30000</v>
      </c>
      <c r="D25" s="31">
        <f>2341*2</f>
        <v>4682</v>
      </c>
      <c r="E25" s="29">
        <f>9183.38+12305+4199.42</f>
        <v>25687.799999999996</v>
      </c>
      <c r="F25" s="29">
        <f t="shared" si="2"/>
        <v>30369.799999999996</v>
      </c>
      <c r="G25" s="29">
        <v>0</v>
      </c>
      <c r="H25" s="29"/>
      <c r="I25" s="30"/>
      <c r="J25" s="87">
        <f t="shared" si="3"/>
        <v>90739.599999999991</v>
      </c>
      <c r="K25" s="88">
        <f t="shared" si="4"/>
        <v>30000</v>
      </c>
      <c r="L25" s="89">
        <v>1</v>
      </c>
      <c r="M25" s="90">
        <f>E25+H25+I25</f>
        <v>25687.799999999996</v>
      </c>
    </row>
    <row r="26" spans="1:13" s="15" customFormat="1" ht="60">
      <c r="A26" s="41" t="s">
        <v>50</v>
      </c>
      <c r="B26" s="27" t="s">
        <v>51</v>
      </c>
      <c r="C26" s="31">
        <v>184771.55</v>
      </c>
      <c r="D26" s="31"/>
      <c r="E26" s="28"/>
      <c r="F26" s="28">
        <f t="shared" si="2"/>
        <v>0</v>
      </c>
      <c r="G26" s="29">
        <v>0</v>
      </c>
      <c r="H26" s="29"/>
      <c r="I26" s="30"/>
      <c r="J26" s="87">
        <f t="shared" si="3"/>
        <v>184771.55</v>
      </c>
      <c r="K26" s="88">
        <f t="shared" si="4"/>
        <v>184771.55</v>
      </c>
      <c r="L26" s="89">
        <v>1</v>
      </c>
      <c r="M26" s="90">
        <f>D26+E26+H26+I26</f>
        <v>0</v>
      </c>
    </row>
    <row r="27" spans="1:13" s="15" customFormat="1" ht="72">
      <c r="A27" s="41" t="s">
        <v>52</v>
      </c>
      <c r="B27" s="27" t="s">
        <v>53</v>
      </c>
      <c r="C27" s="31">
        <v>96175</v>
      </c>
      <c r="D27" s="177">
        <f>47511-37500</f>
        <v>10011</v>
      </c>
      <c r="E27" s="29">
        <f>26274.53+37500</f>
        <v>63774.53</v>
      </c>
      <c r="F27" s="28">
        <f t="shared" si="2"/>
        <v>73785.53</v>
      </c>
      <c r="G27" s="29">
        <v>0</v>
      </c>
      <c r="H27" s="29"/>
      <c r="I27" s="30"/>
      <c r="J27" s="87">
        <f t="shared" si="3"/>
        <v>243746.06</v>
      </c>
      <c r="K27" s="88">
        <f t="shared" si="4"/>
        <v>96175</v>
      </c>
      <c r="L27" s="89">
        <v>1</v>
      </c>
      <c r="M27" s="90">
        <f>E27+H27+I27</f>
        <v>63774.53</v>
      </c>
    </row>
    <row r="28" spans="1:13" s="15" customFormat="1" ht="108">
      <c r="A28" s="41" t="s">
        <v>54</v>
      </c>
      <c r="B28" s="27" t="s">
        <v>55</v>
      </c>
      <c r="C28" s="31">
        <v>30000</v>
      </c>
      <c r="D28" s="36">
        <f>10000</f>
        <v>10000</v>
      </c>
      <c r="E28" s="29">
        <f>2542.09</f>
        <v>2542.09</v>
      </c>
      <c r="F28" s="29">
        <f t="shared" si="2"/>
        <v>12542.09</v>
      </c>
      <c r="G28" s="29">
        <v>0</v>
      </c>
      <c r="H28" s="29"/>
      <c r="I28" s="30"/>
      <c r="J28" s="87">
        <f t="shared" si="3"/>
        <v>55084.179999999993</v>
      </c>
      <c r="K28" s="88">
        <f t="shared" si="4"/>
        <v>30000</v>
      </c>
      <c r="L28" s="89">
        <v>1</v>
      </c>
      <c r="M28" s="90">
        <f>E28+H28+I28</f>
        <v>2542.09</v>
      </c>
    </row>
    <row r="29" spans="1:13" s="15" customFormat="1" ht="108">
      <c r="A29" s="41" t="s">
        <v>56</v>
      </c>
      <c r="B29" s="27" t="s">
        <v>57</v>
      </c>
      <c r="C29" s="31">
        <v>110000</v>
      </c>
      <c r="D29" s="36">
        <f>41220-37500</f>
        <v>3720</v>
      </c>
      <c r="E29" s="28">
        <f>10379+37500</f>
        <v>47879</v>
      </c>
      <c r="F29" s="28">
        <f t="shared" si="2"/>
        <v>51599</v>
      </c>
      <c r="G29" s="29">
        <v>0</v>
      </c>
      <c r="H29" s="29">
        <v>0</v>
      </c>
      <c r="I29" s="30"/>
      <c r="J29" s="87">
        <f t="shared" si="3"/>
        <v>213198</v>
      </c>
      <c r="K29" s="88">
        <f t="shared" si="4"/>
        <v>110000</v>
      </c>
      <c r="L29" s="89">
        <v>1</v>
      </c>
      <c r="M29" s="90">
        <f>E29+H29+I29</f>
        <v>47879</v>
      </c>
    </row>
    <row r="30" spans="1:13" s="16" customFormat="1">
      <c r="A30" s="15"/>
      <c r="B30" s="32" t="s">
        <v>21</v>
      </c>
      <c r="C30" s="33">
        <f>SUM(C24:C29)</f>
        <v>586121.55000000005</v>
      </c>
      <c r="D30" s="178">
        <f>SUM(D24:D29)</f>
        <v>86277.82</v>
      </c>
      <c r="E30" s="33">
        <f>SUM(E24:E29)</f>
        <v>139883.41999999998</v>
      </c>
      <c r="F30" s="33">
        <f t="shared" si="2"/>
        <v>226161.24</v>
      </c>
      <c r="G30" s="33">
        <f>SUM(G24:G29)</f>
        <v>0</v>
      </c>
      <c r="H30" s="37">
        <f>SUM(H25:H29)</f>
        <v>0</v>
      </c>
      <c r="I30" s="39">
        <v>0</v>
      </c>
      <c r="J30" s="37">
        <f>SUM(J24:J29)</f>
        <v>1038444.03</v>
      </c>
      <c r="K30" s="38">
        <f t="shared" si="4"/>
        <v>586121.55000000005</v>
      </c>
      <c r="L30" s="33">
        <f>(L24*J24)+(L25*J25)+(L26*J26)+(L27*J27)+(L28*J28)+(L29*J29)</f>
        <v>1038444.03</v>
      </c>
      <c r="M30" s="33">
        <f>SUM(M24:M29)</f>
        <v>139883.41999999998</v>
      </c>
    </row>
    <row r="31" spans="1:13" s="16" customFormat="1">
      <c r="A31" s="15"/>
      <c r="B31" s="32"/>
      <c r="C31" s="33"/>
      <c r="D31" s="33"/>
      <c r="E31" s="33"/>
      <c r="F31" s="33"/>
      <c r="G31" s="33"/>
      <c r="H31" s="37"/>
      <c r="I31" s="39"/>
      <c r="J31" s="37"/>
      <c r="K31" s="37"/>
      <c r="L31" s="33"/>
      <c r="M31" s="33"/>
    </row>
    <row r="32" spans="1:13" s="15" customFormat="1" ht="24">
      <c r="A32" s="32" t="s">
        <v>58</v>
      </c>
      <c r="B32" s="48"/>
      <c r="C32" s="49">
        <v>80000</v>
      </c>
      <c r="D32" s="173"/>
      <c r="E32" s="176">
        <f>5596+5908.25</f>
        <v>11504.25</v>
      </c>
      <c r="F32" s="176">
        <f>D32+E32</f>
        <v>11504.25</v>
      </c>
      <c r="G32" s="49">
        <f>143500</f>
        <v>143500</v>
      </c>
      <c r="H32" s="50">
        <v>20000</v>
      </c>
      <c r="I32" s="170">
        <v>45621.03</v>
      </c>
      <c r="J32" s="92">
        <f>SUM(C32:G32)</f>
        <v>246508.5</v>
      </c>
      <c r="K32" s="93">
        <f t="shared" ref="K32:K36" si="5">C32+G32</f>
        <v>223500</v>
      </c>
      <c r="L32" s="94"/>
      <c r="M32" s="90">
        <f t="shared" ref="M32:M37" si="6">D32+E32+H32+I32</f>
        <v>77125.279999999999</v>
      </c>
    </row>
    <row r="33" spans="1:13" s="15" customFormat="1">
      <c r="A33" s="32" t="s">
        <v>59</v>
      </c>
      <c r="B33" s="48"/>
      <c r="C33" s="49">
        <v>10000</v>
      </c>
      <c r="D33" s="49"/>
      <c r="E33" s="176">
        <v>5000</v>
      </c>
      <c r="F33" s="176">
        <f>D33+E33</f>
        <v>5000</v>
      </c>
      <c r="G33" s="49"/>
      <c r="H33" s="50"/>
      <c r="I33" s="165">
        <v>4567.63</v>
      </c>
      <c r="J33" s="92">
        <f>SUM(C33:G33)</f>
        <v>20000</v>
      </c>
      <c r="K33" s="93">
        <f t="shared" si="5"/>
        <v>10000</v>
      </c>
      <c r="L33" s="94"/>
      <c r="M33" s="90">
        <f t="shared" si="6"/>
        <v>9567.630000000001</v>
      </c>
    </row>
    <row r="34" spans="1:13" s="15" customFormat="1">
      <c r="A34" s="32" t="s">
        <v>60</v>
      </c>
      <c r="B34" s="48"/>
      <c r="C34" s="49">
        <v>10000</v>
      </c>
      <c r="D34" s="49"/>
      <c r="E34" s="49"/>
      <c r="F34" s="49"/>
      <c r="G34" s="49">
        <v>10247.66</v>
      </c>
      <c r="H34" s="50"/>
      <c r="I34" s="51">
        <v>0</v>
      </c>
      <c r="J34" s="92">
        <f>SUM(C34:I34)</f>
        <v>20247.66</v>
      </c>
      <c r="K34" s="93">
        <f t="shared" si="5"/>
        <v>20247.66</v>
      </c>
      <c r="L34" s="94"/>
      <c r="M34" s="90">
        <f t="shared" si="6"/>
        <v>0</v>
      </c>
    </row>
    <row r="35" spans="1:13" s="15" customFormat="1">
      <c r="A35" s="52" t="s">
        <v>61</v>
      </c>
      <c r="B35" s="48"/>
      <c r="C35" s="49">
        <v>40000</v>
      </c>
      <c r="D35" s="49"/>
      <c r="E35" s="49"/>
      <c r="F35" s="49"/>
      <c r="G35" s="49">
        <v>15000</v>
      </c>
      <c r="H35" s="50"/>
      <c r="I35" s="51"/>
      <c r="J35" s="92">
        <f>SUM(C35:I35)</f>
        <v>55000</v>
      </c>
      <c r="K35" s="93">
        <f t="shared" si="5"/>
        <v>55000</v>
      </c>
      <c r="L35" s="94"/>
      <c r="M35" s="90">
        <f t="shared" si="6"/>
        <v>0</v>
      </c>
    </row>
    <row r="36" spans="1:13">
      <c r="A36" s="53"/>
      <c r="B36" s="54" t="s">
        <v>10</v>
      </c>
      <c r="C36" s="55">
        <f t="shared" ref="C36:I36" si="7">SUM(C32:C35)</f>
        <v>140000</v>
      </c>
      <c r="D36" s="55">
        <f t="shared" si="7"/>
        <v>0</v>
      </c>
      <c r="E36" s="171">
        <f>E32+E33</f>
        <v>16504.25</v>
      </c>
      <c r="F36" s="171">
        <f>SUM(D36:E36)</f>
        <v>16504.25</v>
      </c>
      <c r="G36" s="56">
        <f>SUM(G32:G35)</f>
        <v>168747.66</v>
      </c>
      <c r="H36" s="56">
        <f>SUM(H32:H35)</f>
        <v>20000</v>
      </c>
      <c r="I36" s="57">
        <f t="shared" si="7"/>
        <v>50188.659999999996</v>
      </c>
      <c r="J36" s="92">
        <f>SUM(C36:I36)</f>
        <v>411944.82</v>
      </c>
      <c r="K36" s="93">
        <f t="shared" si="5"/>
        <v>308747.66000000003</v>
      </c>
      <c r="L36" s="95"/>
      <c r="M36" s="96">
        <f t="shared" si="6"/>
        <v>86692.91</v>
      </c>
    </row>
    <row r="37" spans="1:13">
      <c r="A37" s="58"/>
      <c r="B37" s="59" t="s">
        <v>62</v>
      </c>
      <c r="C37" s="60">
        <f t="shared" ref="C37:J37" si="8">C36+C30+C21+C13+C8</f>
        <v>841121.55</v>
      </c>
      <c r="D37" s="60">
        <f>D36+D30+D21+D13+D8</f>
        <v>146562.82</v>
      </c>
      <c r="E37" s="60">
        <f>E36+E30+E21+E13+E8</f>
        <v>182744.55</v>
      </c>
      <c r="F37" s="60">
        <f>SUM(D37:E37)</f>
        <v>329307.37</v>
      </c>
      <c r="G37" s="61">
        <f>G36+G30+G21+G13+G8</f>
        <v>560747.66</v>
      </c>
      <c r="H37" s="61">
        <f>H36+H30+H21+H13+H8</f>
        <v>31682.52</v>
      </c>
      <c r="I37" s="61">
        <f>I36+I30+I21+I13+I8</f>
        <v>288360.84000000003</v>
      </c>
      <c r="J37" s="97">
        <f t="shared" si="8"/>
        <v>2130672.6100000003</v>
      </c>
      <c r="K37" s="62">
        <f>C37+G37</f>
        <v>1401869.21</v>
      </c>
      <c r="L37" s="98"/>
      <c r="M37" s="90">
        <f t="shared" si="6"/>
        <v>649350.73</v>
      </c>
    </row>
    <row r="38" spans="1:13">
      <c r="A38" s="63" t="s">
        <v>63</v>
      </c>
      <c r="C38" s="64">
        <f>C37*7%</f>
        <v>58878.508500000011</v>
      </c>
      <c r="D38" s="64">
        <f>D37*0.07</f>
        <v>10259.397400000002</v>
      </c>
      <c r="E38" s="179">
        <f>E37*0.07</f>
        <v>12792.1185</v>
      </c>
      <c r="F38" s="179">
        <f>D38+E38</f>
        <v>23051.515900000002</v>
      </c>
      <c r="G38" s="18">
        <f>G37*7%</f>
        <v>39252.336200000005</v>
      </c>
      <c r="H38" s="65">
        <f>H37*0.07</f>
        <v>2217.7764000000002</v>
      </c>
      <c r="I38" s="18">
        <v>20293.258900000001</v>
      </c>
      <c r="J38" s="18">
        <f>J37*7%</f>
        <v>149147.08270000003</v>
      </c>
      <c r="K38" s="65">
        <f>K37*7%</f>
        <v>98130.844700000001</v>
      </c>
      <c r="L38" s="18"/>
      <c r="M38" s="70"/>
    </row>
    <row r="39" spans="1:13">
      <c r="A39" s="53"/>
      <c r="B39" s="66" t="s">
        <v>64</v>
      </c>
      <c r="C39" s="67">
        <f t="shared" ref="C39:L39" si="9">C37+C38</f>
        <v>900000.05850000004</v>
      </c>
      <c r="D39" s="67">
        <f>D37+D38</f>
        <v>156822.21740000002</v>
      </c>
      <c r="E39" s="67">
        <f>E37+E38</f>
        <v>195536.6685</v>
      </c>
      <c r="F39" s="67">
        <f>SUM(D39:E39)</f>
        <v>352358.88589999999</v>
      </c>
      <c r="G39" s="57">
        <f t="shared" si="9"/>
        <v>599999.99620000005</v>
      </c>
      <c r="H39" s="172">
        <f>H37+H38</f>
        <v>33900.296399999999</v>
      </c>
      <c r="I39" s="57">
        <f>I37+I38</f>
        <v>308654.09890000004</v>
      </c>
      <c r="J39" s="57">
        <f t="shared" si="9"/>
        <v>2279819.6927000005</v>
      </c>
      <c r="K39" s="68">
        <f t="shared" si="9"/>
        <v>1500000.0547</v>
      </c>
      <c r="L39" s="57">
        <f t="shared" si="9"/>
        <v>0</v>
      </c>
      <c r="M39" s="96">
        <f>D39+E39+H39+I39</f>
        <v>694913.28120000008</v>
      </c>
    </row>
    <row r="40" spans="1:13">
      <c r="M40" s="18"/>
    </row>
    <row r="41" spans="1:13">
      <c r="E41" s="69"/>
      <c r="F41" s="69"/>
      <c r="G41" s="69"/>
      <c r="H41" s="70"/>
      <c r="L41" s="69"/>
    </row>
    <row r="42" spans="1:13" ht="15.75" customHeight="1" thickBot="1">
      <c r="C42"/>
      <c r="D42"/>
      <c r="E42"/>
      <c r="F42"/>
      <c r="G42"/>
      <c r="H42"/>
      <c r="K42" s="69"/>
      <c r="L42" s="69"/>
    </row>
    <row r="43" spans="1:13" ht="43.5" customHeight="1" thickBot="1">
      <c r="C43" s="189" t="s">
        <v>98</v>
      </c>
      <c r="D43" s="190"/>
      <c r="E43" s="191"/>
      <c r="F43" s="191"/>
      <c r="G43" s="191"/>
      <c r="H43" s="192"/>
    </row>
    <row r="44" spans="1:13" ht="76.95" customHeight="1">
      <c r="C44" s="71"/>
      <c r="D44" s="72" t="s">
        <v>99</v>
      </c>
      <c r="E44" s="72" t="s">
        <v>100</v>
      </c>
      <c r="F44" s="174"/>
      <c r="G44" s="73" t="s">
        <v>10</v>
      </c>
      <c r="H44" s="74" t="s">
        <v>101</v>
      </c>
      <c r="K44" s="166" t="s">
        <v>102</v>
      </c>
      <c r="L44" s="167">
        <f>D39+E39+H39+I39</f>
        <v>694913.28120000008</v>
      </c>
      <c r="M44" s="70"/>
    </row>
    <row r="45" spans="1:13" ht="29.4" thickBot="1">
      <c r="C45" s="75" t="s">
        <v>103</v>
      </c>
      <c r="D45" s="76">
        <v>315000</v>
      </c>
      <c r="E45" s="77">
        <v>210000</v>
      </c>
      <c r="F45" s="77"/>
      <c r="G45" s="77">
        <f>D45+E45</f>
        <v>525000</v>
      </c>
      <c r="H45" s="78">
        <v>0.35</v>
      </c>
      <c r="K45" s="168" t="s">
        <v>104</v>
      </c>
      <c r="L45" s="169">
        <f>L44/(D45+D46+E45+E46)</f>
        <v>0.66182217257142861</v>
      </c>
    </row>
    <row r="46" spans="1:13" ht="13.8">
      <c r="C46" s="79" t="s">
        <v>105</v>
      </c>
      <c r="D46" s="76">
        <v>315000</v>
      </c>
      <c r="E46" s="77">
        <v>210000</v>
      </c>
      <c r="F46" s="77"/>
      <c r="G46" s="77">
        <f>D46+E46</f>
        <v>525000</v>
      </c>
      <c r="H46" s="80">
        <v>0.35</v>
      </c>
    </row>
    <row r="47" spans="1:13" ht="27.6">
      <c r="C47" s="79" t="s">
        <v>106</v>
      </c>
      <c r="D47" s="76">
        <v>270000</v>
      </c>
      <c r="E47" s="77">
        <v>180000</v>
      </c>
      <c r="F47" s="77"/>
      <c r="G47" s="77">
        <f>D47+E47</f>
        <v>450000</v>
      </c>
      <c r="H47" s="81">
        <v>0.3</v>
      </c>
    </row>
    <row r="48" spans="1:13" ht="14.4" thickBot="1">
      <c r="C48" s="82" t="s">
        <v>10</v>
      </c>
      <c r="D48" s="83">
        <f>SUM(D45:D47)</f>
        <v>900000</v>
      </c>
      <c r="E48" s="83">
        <f>SUM(E45:E47)</f>
        <v>600000</v>
      </c>
      <c r="F48" s="175"/>
      <c r="G48" s="77">
        <f>D48+E48</f>
        <v>1500000</v>
      </c>
      <c r="H48" s="84">
        <f>SUM(H45:H47)</f>
        <v>1</v>
      </c>
    </row>
  </sheetData>
  <mergeCells count="13">
    <mergeCell ref="C1:M1"/>
    <mergeCell ref="C43:H43"/>
    <mergeCell ref="B4:M4"/>
    <mergeCell ref="B5:M5"/>
    <mergeCell ref="B9:M9"/>
    <mergeCell ref="B14:M14"/>
    <mergeCell ref="B15:M15"/>
    <mergeCell ref="B23:M23"/>
    <mergeCell ref="H2:I2"/>
    <mergeCell ref="B2:B3"/>
    <mergeCell ref="C2:C3"/>
    <mergeCell ref="D2:E2"/>
    <mergeCell ref="G2:G3"/>
  </mergeCells>
  <conditionalFormatting sqref="H48">
    <cfRule type="cellIs" dxfId="1" priority="1" operator="greaterThan">
      <formula>1</formula>
    </cfRule>
  </conditionalFormatting>
  <dataValidations count="3">
    <dataValidation allowBlank="1" showInputMessage="1" showErrorMessage="1" prompt="Insert *text* description of Output here" sqref="B5 B9 B15 B23" xr:uid="{D22FEF3F-3660-495A-BEE7-A6B2A6F00842}"/>
    <dataValidation allowBlank="1" showInputMessage="1" showErrorMessage="1" prompt="Insert *text* description of Outcome here" sqref="B4:M4" xr:uid="{56395534-22E0-47A7-830D-B646FEA68487}"/>
    <dataValidation allowBlank="1" showInputMessage="1" showErrorMessage="1" prompt="Insert *text* description of Activity here" sqref="B6 B10 B16 B24" xr:uid="{C2FBDBE5-D5B4-4F2F-AFF3-5F067EC2CEFF}"/>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D6:H11"/>
  <sheetViews>
    <sheetView workbookViewId="0">
      <selection activeCell="D5" sqref="D5:H11"/>
    </sheetView>
  </sheetViews>
  <sheetFormatPr defaultColWidth="9" defaultRowHeight="14.4"/>
  <cols>
    <col min="4" max="4" width="15.109375" customWidth="1"/>
    <col min="5" max="5" width="20.109375" customWidth="1"/>
    <col min="6" max="6" width="21.6640625" customWidth="1"/>
    <col min="7" max="7" width="12" customWidth="1"/>
  </cols>
  <sheetData>
    <row r="6" spans="4:8" ht="15.6">
      <c r="D6" s="200" t="s">
        <v>98</v>
      </c>
      <c r="E6" s="201"/>
      <c r="F6" s="202"/>
      <c r="G6" s="202"/>
      <c r="H6" s="203"/>
    </row>
    <row r="7" spans="4:8" ht="62.7" customHeight="1">
      <c r="D7" s="1"/>
      <c r="E7" s="2" t="s">
        <v>107</v>
      </c>
      <c r="F7" s="2" t="s">
        <v>108</v>
      </c>
      <c r="G7" s="3" t="s">
        <v>10</v>
      </c>
      <c r="H7" s="4" t="s">
        <v>101</v>
      </c>
    </row>
    <row r="8" spans="4:8" ht="31.2">
      <c r="D8" s="5" t="s">
        <v>103</v>
      </c>
      <c r="E8" s="6">
        <v>315000</v>
      </c>
      <c r="F8" s="7">
        <v>210000</v>
      </c>
      <c r="G8" s="7">
        <f>E8+F8</f>
        <v>525000</v>
      </c>
      <c r="H8" s="8">
        <v>0.35</v>
      </c>
    </row>
    <row r="9" spans="4:8" ht="39.75" customHeight="1">
      <c r="D9" s="9" t="s">
        <v>105</v>
      </c>
      <c r="E9" s="6">
        <v>315000</v>
      </c>
      <c r="F9" s="7">
        <v>210000</v>
      </c>
      <c r="G9" s="7">
        <f>E9+F9</f>
        <v>525000</v>
      </c>
      <c r="H9" s="10">
        <v>0.35</v>
      </c>
    </row>
    <row r="10" spans="4:8" ht="46.8">
      <c r="D10" s="9" t="s">
        <v>106</v>
      </c>
      <c r="E10" s="6">
        <v>270000</v>
      </c>
      <c r="F10" s="7">
        <v>180000</v>
      </c>
      <c r="G10" s="7">
        <f>E10+F10</f>
        <v>450000</v>
      </c>
      <c r="H10" s="11">
        <v>0.3</v>
      </c>
    </row>
    <row r="11" spans="4:8" ht="15.6">
      <c r="D11" s="12" t="s">
        <v>10</v>
      </c>
      <c r="E11" s="13">
        <f>SUM(E8:E10)</f>
        <v>900000</v>
      </c>
      <c r="F11" s="13">
        <f>SUM(F8:F10)</f>
        <v>600000</v>
      </c>
      <c r="G11" s="7">
        <f>E11+F11</f>
        <v>1500000</v>
      </c>
      <c r="H11" s="14">
        <f>SUM(H8:H10)</f>
        <v>1</v>
      </c>
    </row>
  </sheetData>
  <mergeCells count="1">
    <mergeCell ref="D6:H6"/>
  </mergeCells>
  <conditionalFormatting sqref="H11">
    <cfRule type="cellIs" dxfId="0" priority="1" operator="greaterThan">
      <formula>1</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f9695bc1-6109-4dcd-a27a-f8a0370b00e2">Annual Report</DocumentType>
    <UploadedBy xmlns="b1528a4b-5ccb-40f7-a09e-43427183cd95">gabriel.velastegui@undp.org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TaxCatchAll xmlns="cb759e4c-f0d7-4feb-bda3-ed2800574e06" xsi:nil="true"/>
    <Status xmlns="b1528a4b-5ccb-40f7-a09e-43427183cd95">Finalized - Signature Redacted</Status>
    <lcf76f155ced4ddcb4097134ff3c332f xmlns="b1528a4b-5ccb-40f7-a09e-43427183cd95">
      <Terms xmlns="http://schemas.microsoft.com/office/infopath/2007/PartnerControls"/>
    </lcf76f155ced4ddcb4097134ff3c332f>
    <ProjectId xmlns="f9695bc1-6109-4dcd-a27a-f8a0370b00e2">MPTF_00006_00819</ProjectId>
    <FundCode xmlns="f9695bc1-6109-4dcd-a27a-f8a0370b00e2">MPTF_00006</FundCode>
    <Comments xmlns="f9695bc1-6109-4dcd-a27a-f8a0370b00e2">Financial Annual Report</Comments>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29862E-F058-4E41-8C58-3890EB6AC44B}">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d327b1d3-dcb8-41b8-a884-18d15cae653d"/>
    <ds:schemaRef ds:uri="http://www.w3.org/XML/1998/namespace"/>
    <ds:schemaRef ds:uri="b9c69bf5-e2d3-46cf-9855-167c2821e02f"/>
    <ds:schemaRef ds:uri="http://purl.org/dc/terms/"/>
  </ds:schemaRefs>
</ds:datastoreItem>
</file>

<file path=customXml/itemProps2.xml><?xml version="1.0" encoding="utf-8"?>
<ds:datastoreItem xmlns:ds="http://schemas.openxmlformats.org/officeDocument/2006/customXml" ds:itemID="{CA35EC90-F6DD-410E-96A5-7E8AA4C21444}"/>
</file>

<file path=customXml/itemProps3.xml><?xml version="1.0" encoding="utf-8"?>
<ds:datastoreItem xmlns:ds="http://schemas.openxmlformats.org/officeDocument/2006/customXml" ds:itemID="{638B3071-4D95-493A-B34C-612CFCDA38F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Sheet1</vt:lpstr>
      <vt:lpstr>Rapp 10 nov 2021</vt:lpstr>
      <vt:lpstr>INFOS 10 NOV 21</vt:lpstr>
      <vt:lpstr>Rapport 31 OCT</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Copy of Rapport financier PBF_Violence electorale 31 oct 2023 f.xlsx</dc:title>
  <dc:creator>Betty Jean</dc:creator>
  <cp:lastModifiedBy>Tony Kouemo</cp:lastModifiedBy>
  <dcterms:created xsi:type="dcterms:W3CDTF">2020-05-28T14:21:00Z</dcterms:created>
  <dcterms:modified xsi:type="dcterms:W3CDTF">2023-11-18T12:43:14Z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ICV">
    <vt:lpwstr>CE4AFD4D38DC4BBEA82EB3BE1AB687B2</vt:lpwstr>
  </property>
  <property fmtid="{D5CDD505-2E9C-101B-9397-08002B2CF9AE}" pid="4" name="KSOProductBuildVer">
    <vt:lpwstr>1033-11.2.0.11440</vt:lpwstr>
  </property>
  <property fmtid="{D5CDD505-2E9C-101B-9397-08002B2CF9AE}" pid="5" name="MediaServiceImageTags">
    <vt:lpwstr/>
  </property>
</Properties>
</file>