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joachim.ouedraogo\Documents\PBF_Ojoachim\Rapports des projets PBF\Rapport annuel 2023\Rapports soumis\"/>
    </mc:Choice>
  </mc:AlternateContent>
  <xr:revisionPtr revIDLastSave="0" documentId="8_{D2563D90-139F-488F-90F4-B3E68DA9BF8F}" xr6:coauthVersionLast="47" xr6:coauthVersionMax="47" xr10:uidLastSave="{00000000-0000-0000-0000-000000000000}"/>
  <bookViews>
    <workbookView xWindow="-110" yWindow="-110" windowWidth="19420" windowHeight="10420" activeTab="1" xr2:uid="{E4D5EBB6-C9FF-49C7-9E87-BADA135A4F7A}"/>
  </bookViews>
  <sheets>
    <sheet name="RF-UNPBF" sheetId="1" r:id="rId1"/>
    <sheet name="RF Detail UNPBF" sheetId="2" r:id="rId2"/>
  </sheets>
  <externalReferences>
    <externalReference r:id="rId3"/>
  </externalReferences>
  <definedNames>
    <definedName name="_Hlk111393365" localSheetId="1">'RF Detail UNPBF'!$C$29</definedName>
    <definedName name="_Hlk115121976" localSheetId="1">'RF Detail UNPBF'!#REF!</definedName>
    <definedName name="page\x2dtotal">#REF!</definedName>
    <definedName name="page\x2dtotal\x2dmaster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8" i="2" l="1"/>
  <c r="H67" i="2"/>
  <c r="J67" i="2" s="1"/>
  <c r="K66" i="2"/>
  <c r="H66" i="2"/>
  <c r="I66" i="2" s="1"/>
  <c r="K65" i="2"/>
  <c r="L68" i="2" s="1"/>
  <c r="K64" i="2"/>
  <c r="K63" i="2"/>
  <c r="K68" i="2" s="1"/>
  <c r="M62" i="2"/>
  <c r="L62" i="2"/>
  <c r="E62" i="2"/>
  <c r="D62" i="2"/>
  <c r="K61" i="2"/>
  <c r="H61" i="2"/>
  <c r="J61" i="2" s="1"/>
  <c r="K60" i="2"/>
  <c r="H60" i="2"/>
  <c r="I60" i="2" s="1"/>
  <c r="K59" i="2"/>
  <c r="H59" i="2"/>
  <c r="I59" i="2" s="1"/>
  <c r="K58" i="2"/>
  <c r="H58" i="2"/>
  <c r="J58" i="2" s="1"/>
  <c r="K57" i="2"/>
  <c r="H57" i="2"/>
  <c r="J57" i="2" s="1"/>
  <c r="K56" i="2"/>
  <c r="K55" i="2"/>
  <c r="K54" i="2"/>
  <c r="K62" i="2" s="1"/>
  <c r="H54" i="2"/>
  <c r="J54" i="2" s="1"/>
  <c r="M52" i="2"/>
  <c r="H52" i="2"/>
  <c r="J52" i="2" s="1"/>
  <c r="G52" i="2"/>
  <c r="F52" i="2"/>
  <c r="E52" i="2"/>
  <c r="D52" i="2"/>
  <c r="K51" i="2"/>
  <c r="H51" i="2"/>
  <c r="I51" i="2" s="1"/>
  <c r="K50" i="2"/>
  <c r="J50" i="2"/>
  <c r="I50" i="2"/>
  <c r="H50" i="2"/>
  <c r="K49" i="2"/>
  <c r="H49" i="2"/>
  <c r="I49" i="2" s="1"/>
  <c r="D49" i="2"/>
  <c r="K48" i="2"/>
  <c r="L52" i="2" s="1"/>
  <c r="J48" i="2"/>
  <c r="H48" i="2"/>
  <c r="I48" i="2" s="1"/>
  <c r="M46" i="2"/>
  <c r="K46" i="2"/>
  <c r="E46" i="2"/>
  <c r="D46" i="2"/>
  <c r="K45" i="2"/>
  <c r="L46" i="2" s="1"/>
  <c r="H45" i="2"/>
  <c r="J45" i="2" s="1"/>
  <c r="K44" i="2"/>
  <c r="M41" i="2"/>
  <c r="L41" i="2"/>
  <c r="D41" i="2"/>
  <c r="K40" i="2"/>
  <c r="K39" i="2"/>
  <c r="H39" i="2"/>
  <c r="I39" i="2" s="1"/>
  <c r="K38" i="2"/>
  <c r="K37" i="2"/>
  <c r="K41" i="2" s="1"/>
  <c r="M35" i="2"/>
  <c r="G35" i="2"/>
  <c r="F35" i="2"/>
  <c r="E35" i="2"/>
  <c r="D35" i="2"/>
  <c r="K34" i="2"/>
  <c r="J34" i="2"/>
  <c r="H34" i="2"/>
  <c r="I34" i="2" s="1"/>
  <c r="K33" i="2"/>
  <c r="K35" i="2" s="1"/>
  <c r="H33" i="2"/>
  <c r="J33" i="2" s="1"/>
  <c r="M30" i="2"/>
  <c r="F30" i="2"/>
  <c r="E30" i="2"/>
  <c r="H29" i="2"/>
  <c r="I29" i="2" s="1"/>
  <c r="D29" i="2"/>
  <c r="K29" i="2" s="1"/>
  <c r="D28" i="2"/>
  <c r="D30" i="2" s="1"/>
  <c r="M26" i="2"/>
  <c r="D26" i="2"/>
  <c r="K25" i="2"/>
  <c r="K24" i="2"/>
  <c r="K23" i="2"/>
  <c r="L26" i="2" s="1"/>
  <c r="M20" i="2"/>
  <c r="K20" i="2"/>
  <c r="F20" i="2"/>
  <c r="E20" i="2"/>
  <c r="D20" i="2"/>
  <c r="K19" i="2"/>
  <c r="K18" i="2"/>
  <c r="K17" i="2"/>
  <c r="K16" i="2"/>
  <c r="L20" i="2" s="1"/>
  <c r="M14" i="2"/>
  <c r="E14" i="2"/>
  <c r="D14" i="2"/>
  <c r="K13" i="2"/>
  <c r="K12" i="2"/>
  <c r="K11" i="2"/>
  <c r="K10" i="2"/>
  <c r="K9" i="2"/>
  <c r="L14" i="2" s="1"/>
  <c r="K8" i="2"/>
  <c r="K14" i="2" s="1"/>
  <c r="H33" i="1"/>
  <c r="H32" i="1"/>
  <c r="D28" i="1"/>
  <c r="J66" i="2" l="1"/>
  <c r="I67" i="2"/>
  <c r="J59" i="2"/>
  <c r="I57" i="2"/>
  <c r="I61" i="2"/>
  <c r="J39" i="2"/>
  <c r="J29" i="2"/>
  <c r="D68" i="2"/>
  <c r="D69" i="2" s="1"/>
  <c r="D70" i="2" s="1"/>
  <c r="L25" i="1"/>
  <c r="G14" i="2"/>
  <c r="G30" i="2"/>
  <c r="H28" i="2"/>
  <c r="G20" i="2"/>
  <c r="F46" i="2"/>
  <c r="H44" i="2"/>
  <c r="H56" i="2"/>
  <c r="F62" i="2"/>
  <c r="H65" i="2"/>
  <c r="H40" i="2"/>
  <c r="G62" i="2"/>
  <c r="H55" i="2"/>
  <c r="H63" i="2"/>
  <c r="F14" i="2"/>
  <c r="H38" i="2"/>
  <c r="G46" i="2"/>
  <c r="H64" i="2"/>
  <c r="G26" i="2"/>
  <c r="H26" i="2"/>
  <c r="J26" i="2" s="1"/>
  <c r="H37" i="2"/>
  <c r="G41" i="2"/>
  <c r="E68" i="2"/>
  <c r="I52" i="2"/>
  <c r="H35" i="2"/>
  <c r="J35" i="2" s="1"/>
  <c r="I45" i="2"/>
  <c r="I54" i="2"/>
  <c r="I58" i="2"/>
  <c r="K26" i="2"/>
  <c r="K28" i="2"/>
  <c r="L35" i="2"/>
  <c r="J49" i="2"/>
  <c r="J51" i="2"/>
  <c r="J60" i="2"/>
  <c r="I33" i="2"/>
  <c r="I35" i="2" s="1"/>
  <c r="K52" i="2"/>
  <c r="D30" i="1"/>
  <c r="D29" i="1"/>
  <c r="H34" i="1"/>
  <c r="H35" i="1" s="1"/>
  <c r="E69" i="2" l="1"/>
  <c r="E70" i="2"/>
  <c r="J63" i="2"/>
  <c r="I63" i="2"/>
  <c r="J44" i="2"/>
  <c r="H46" i="2"/>
  <c r="J46" i="2" s="1"/>
  <c r="I44" i="2"/>
  <c r="I46" i="2" s="1"/>
  <c r="L30" i="2"/>
  <c r="K30" i="2"/>
  <c r="G68" i="2"/>
  <c r="I56" i="2"/>
  <c r="J56" i="2"/>
  <c r="I55" i="2"/>
  <c r="I62" i="2" s="1"/>
  <c r="J55" i="2"/>
  <c r="J64" i="2"/>
  <c r="I64" i="2"/>
  <c r="I40" i="2"/>
  <c r="J40" i="2"/>
  <c r="H20" i="2"/>
  <c r="H62" i="2"/>
  <c r="J38" i="2"/>
  <c r="I38" i="2"/>
  <c r="J65" i="2"/>
  <c r="I65" i="2"/>
  <c r="H30" i="2"/>
  <c r="J30" i="2" s="1"/>
  <c r="J28" i="2"/>
  <c r="H41" i="2"/>
  <c r="J41" i="2" s="1"/>
  <c r="J37" i="2"/>
  <c r="I37" i="2"/>
  <c r="H14" i="2"/>
  <c r="I28" i="2"/>
  <c r="I30" i="2" s="1"/>
  <c r="I26" i="2"/>
  <c r="F68" i="2"/>
  <c r="H68" i="2" l="1"/>
  <c r="J62" i="2"/>
  <c r="G69" i="2"/>
  <c r="G70" i="2" s="1"/>
  <c r="J14" i="2"/>
  <c r="I14" i="2"/>
  <c r="J20" i="2"/>
  <c r="I20" i="2"/>
  <c r="I41" i="2"/>
  <c r="F69" i="2"/>
  <c r="H69" i="2" s="1"/>
  <c r="F70" i="2" l="1"/>
  <c r="I35" i="1"/>
  <c r="J69" i="2"/>
  <c r="I69" i="2"/>
  <c r="J68" i="2"/>
  <c r="H70" i="2"/>
  <c r="I68" i="2"/>
  <c r="J70" i="2" l="1"/>
  <c r="I7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tc={CBC60274-C41C-4E26-9497-E16B61A1299C}</author>
  </authors>
  <commentList>
    <comment ref="D29" authorId="0" shapeId="0" xr:uid="{CBC60274-C41C-4E26-9497-E16B61A1299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Suggest to reduce here as this is now merged multiple activities</t>
      </text>
    </comment>
  </commentList>
</comments>
</file>

<file path=xl/sharedStrings.xml><?xml version="1.0" encoding="utf-8"?>
<sst xmlns="http://schemas.openxmlformats.org/spreadsheetml/2006/main" count="188" uniqueCount="182">
  <si>
    <t>DONOR NAME</t>
  </si>
  <si>
    <t>UNPBF</t>
  </si>
  <si>
    <t>MPTFO Project ID</t>
  </si>
  <si>
    <t>00125910</t>
  </si>
  <si>
    <t>Project Implementer</t>
  </si>
  <si>
    <t>Care International UK</t>
  </si>
  <si>
    <t>Project Name</t>
  </si>
  <si>
    <t>"Filles et Femmes engagees pour la construction de la paix en Guinee (FIFEP-Guinee)"</t>
  </si>
  <si>
    <t>FC/PID</t>
  </si>
  <si>
    <t>GB1B1/CGBRGN0001</t>
  </si>
  <si>
    <t>Project Duration</t>
  </si>
  <si>
    <t>17 february 2023  to 16 February 2025</t>
  </si>
  <si>
    <t>Billing Limit</t>
  </si>
  <si>
    <r>
      <t xml:space="preserve">USD </t>
    </r>
    <r>
      <rPr>
        <b/>
        <sz val="12"/>
        <color theme="1"/>
        <rFont val="Calibri"/>
        <family val="2"/>
        <scheme val="minor"/>
      </rPr>
      <t>1,850,000</t>
    </r>
  </si>
  <si>
    <t>Current report period</t>
  </si>
  <si>
    <t>July 2023 to September 2023</t>
  </si>
  <si>
    <t>CATEGORIES</t>
  </si>
  <si>
    <t xml:space="preserve"> TOTAL PROJET(USD)</t>
  </si>
  <si>
    <t xml:space="preserve">PREVIOUS EXPENSES </t>
  </si>
  <si>
    <t xml:space="preserve">EXPENSES Feb-March 2023 (USD) </t>
  </si>
  <si>
    <t xml:space="preserve">EXPENSES April-June 2023 (USD) </t>
  </si>
  <si>
    <t xml:space="preserve">EXPENSES July-September23 (USD) </t>
  </si>
  <si>
    <t>TOTAL EXPENSES</t>
  </si>
  <si>
    <t>BALANCE</t>
  </si>
  <si>
    <t>BURN RATE</t>
  </si>
  <si>
    <t>C1P1.1</t>
  </si>
  <si>
    <t>1. Personnel et autres employés</t>
  </si>
  <si>
    <t>C1P1.2</t>
  </si>
  <si>
    <t>C1P1.3</t>
  </si>
  <si>
    <t>C1P1.4</t>
  </si>
  <si>
    <t>2. Fournitures, produits de base, matériels</t>
  </si>
  <si>
    <t>3. Équipement, véhicules et mobilier (compte tenu de la dépréciation)</t>
  </si>
  <si>
    <t>C3P1.1</t>
  </si>
  <si>
    <t>4. Services contractuels</t>
  </si>
  <si>
    <t>5. Frais de déplacement et Suivi et Evaluation</t>
  </si>
  <si>
    <t>C4P1.1</t>
  </si>
  <si>
    <t>C4P1.2</t>
  </si>
  <si>
    <t>C4P1.3</t>
  </si>
  <si>
    <t>6. Transferts et subventions aux homologues</t>
  </si>
  <si>
    <t>R1P1A1 à R2P3A5</t>
  </si>
  <si>
    <t>7. Frais généraux de fonctionnement et autres coûts directs</t>
  </si>
  <si>
    <t>C7P1.1</t>
  </si>
  <si>
    <t>C5P1.1</t>
  </si>
  <si>
    <t>C5P1.2</t>
  </si>
  <si>
    <t>Sous-total</t>
  </si>
  <si>
    <t xml:space="preserve">8. Coûts indirects*  </t>
  </si>
  <si>
    <t>TOTAL</t>
  </si>
  <si>
    <t>CARE Guinea Actuals</t>
  </si>
  <si>
    <t>CARE UK Cost</t>
  </si>
  <si>
    <t>7% ICR</t>
  </si>
  <si>
    <t>Annexe D - Budget du projet PBF</t>
  </si>
  <si>
    <t>Version pour les OSC</t>
  </si>
  <si>
    <t>Tableau 1 - Budget du projet PBF par résultat, produit et activité</t>
  </si>
  <si>
    <t>Nombre de resultat/ produit</t>
  </si>
  <si>
    <t>Formulation du resultat/ produit/activite</t>
  </si>
  <si>
    <t>Organisation recipiendiaire (budget en USD)</t>
  </si>
  <si>
    <t xml:space="preserve">EXPENSES Feb-March23 (USD) </t>
  </si>
  <si>
    <t xml:space="preserve">EXPENSES April-June23 (USD) </t>
  </si>
  <si>
    <t>TOTAL EXPENSES (USD)</t>
  </si>
  <si>
    <t>Total</t>
  </si>
  <si>
    <r>
      <t xml:space="preserve">Pourcentage du budget pour chaque produit ou activite reserve pour action directe sur égalité des sexes et autonomisation des femmes (GEWE) </t>
    </r>
    <r>
      <rPr>
        <sz val="12"/>
        <color theme="1"/>
        <rFont val="Calibri"/>
        <family val="2"/>
        <scheme val="minor"/>
      </rPr>
      <t>(cas echeant)</t>
    </r>
    <r>
      <rPr>
        <b/>
        <sz val="12"/>
        <color theme="1"/>
        <rFont val="Calibri"/>
        <family val="2"/>
        <scheme val="minor"/>
      </rPr>
      <t xml:space="preserve"> </t>
    </r>
  </si>
  <si>
    <r>
      <t xml:space="preserve">Niveau de depense/ engagement actuel 
</t>
    </r>
    <r>
      <rPr>
        <sz val="12"/>
        <color theme="1"/>
        <rFont val="Calibri"/>
        <family val="2"/>
        <scheme val="minor"/>
      </rPr>
      <t>(a remplir au moment des rapports de projet)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</si>
  <si>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</si>
  <si>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</si>
  <si>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</si>
  <si>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 xml:space="preserve">Des organisations et réseaux de femmes plus solides et durables, capables de s'engager activement dans les processus de paix en Guinée.   </t>
  </si>
  <si>
    <t>Produit 1.1:</t>
  </si>
  <si>
    <t>Les capacités organisationnelles des organisations de femmes sont renforcées pour qu'elles puissent mener à bien des initiatives efficaces de consolidation de la paix.</t>
  </si>
  <si>
    <t>Activite 1.1.1:</t>
  </si>
  <si>
    <t>Réaliser un diagnostic institutionnel des principaux réseaux et mouvements de femmes ;</t>
  </si>
  <si>
    <t>Activite 1.1.2:</t>
  </si>
  <si>
    <t>Former les réseaux et mouvements d’organisations féminines des localités cibles en vie associative, cohésion de groupe, l’engagement civique et citoyen ;</t>
  </si>
  <si>
    <t>Activite 1.1.3:</t>
  </si>
  <si>
    <r>
      <t xml:space="preserve">Former les réseaux et organisations de femmes des localités cibles sur la </t>
    </r>
    <r>
      <rPr>
        <b/>
        <sz val="12"/>
        <color theme="1"/>
        <rFont val="Times New Roman"/>
        <family val="1"/>
      </rPr>
      <t xml:space="preserve">Prévention, Gestion et Résolution de conflits : </t>
    </r>
    <r>
      <rPr>
        <sz val="12"/>
        <color theme="1"/>
        <rFont val="Times New Roman"/>
        <family val="1"/>
      </rPr>
      <t xml:space="preserve"> collecte, l’analyse et les réponses aux menaces et obstacles à la paix, aux violences et aux incidents dans les zones chaudes, les mécanismes locaux de prévention et de gestion des conflits</t>
    </r>
  </si>
  <si>
    <t>Activite 1.1.4</t>
  </si>
  <si>
    <r>
      <t xml:space="preserve">Former les réseaux et organisations de femmes sur </t>
    </r>
    <r>
      <rPr>
        <b/>
        <sz val="12"/>
        <color theme="1"/>
        <rFont val="Times New Roman"/>
        <family val="1"/>
      </rPr>
      <t>la gestion des rumeurs, contre les discours de haine, sur le dialogue et la tolérance politique,</t>
    </r>
  </si>
  <si>
    <t>Activite 1.1.5</t>
  </si>
  <si>
    <r>
      <t xml:space="preserve">Former les réseaux et organisations de femmes sur </t>
    </r>
    <r>
      <rPr>
        <b/>
        <sz val="12"/>
        <color theme="1"/>
        <rFont val="Times New Roman"/>
        <family val="1"/>
      </rPr>
      <t>la planification budgétaire et de trésorerie, en gestion administrative, logistique, des ressources humaines et le respect des procédures, négociation et mobilisation des ressources, Alphabétisation fonction, éducation financière et parentale</t>
    </r>
  </si>
  <si>
    <t>Activite 1.1.6</t>
  </si>
  <si>
    <r>
      <t>Appuyer la mise en</t>
    </r>
    <r>
      <rPr>
        <b/>
        <sz val="12"/>
        <color theme="1"/>
        <rFont val="Times New Roman"/>
        <family val="1"/>
      </rPr>
      <t xml:space="preserve"> place des outils de gestion </t>
    </r>
    <r>
      <rPr>
        <i/>
        <sz val="12"/>
        <color theme="1"/>
        <rFont val="Times New Roman"/>
        <family val="1"/>
      </rPr>
      <t>(manuels de procédures, logiciels de gestion, système de suivi-évaluation, rapports d’activités, rapports d’audit)</t>
    </r>
    <r>
      <rPr>
        <b/>
        <i/>
        <sz val="12"/>
        <color theme="1"/>
        <rFont val="Times New Roman"/>
        <family val="1"/>
      </rPr>
      <t xml:space="preserve"> </t>
    </r>
    <r>
      <rPr>
        <sz val="12"/>
        <color theme="1"/>
        <rFont val="Times New Roman"/>
        <family val="1"/>
      </rPr>
      <t>pour les réseaux et organisations de femmes des localités cibles du projet</t>
    </r>
  </si>
  <si>
    <t>Total pour produit 1.1</t>
  </si>
  <si>
    <t>Produit 1.2:</t>
  </si>
  <si>
    <t xml:space="preserve">Les capacités des organisations de femmes sont renforcées pour analyser, élaborer et mettre en œuvre collectivement des stratégies de réponse pour une paix durable et inclusive. </t>
  </si>
  <si>
    <t>Activite 1.2.1</t>
  </si>
  <si>
    <t>Realisation d'une analyse rapide des dimensions sexospécifiques des conflits et de la paix dans leurs localités</t>
  </si>
  <si>
    <t>Activite 1.2.2</t>
  </si>
  <si>
    <t>Co-création de plans d'action régionaux pour la paix par des réseaux de femmes ;</t>
  </si>
  <si>
    <t>Activite 1.2.3</t>
  </si>
  <si>
    <t xml:space="preserve"> Mise en œuvre de plans d'action régionaux par des organisations dirigées par des femmes (à l'aide de budgets réservés).  </t>
  </si>
  <si>
    <t>Activite 1.2.4</t>
  </si>
  <si>
    <t xml:space="preserve"> Conception et mise en œuvre d'un plan MEAL pour mesurer les capacités accrues et l'impact des organisations de femmes sur la paix dans chaque région/localité. Cet apprentissage servira de base au livre blanc national des femmes pour la paix. </t>
  </si>
  <si>
    <t>Total pour produit 1.2</t>
  </si>
  <si>
    <t xml:space="preserve">RESULTAT 2: </t>
  </si>
  <si>
    <t xml:space="preserve">Des normes sociales et politiques plus favorables à la participation des femmes à la consolidation de la paix. </t>
  </si>
  <si>
    <t>Produit 2.1</t>
  </si>
  <si>
    <t xml:space="preserve">Renforcement de la sensibilisation et du soutien de l'opinion publique au rôle des femmes dans la consolidation de la paix par le biais des médias et des actions de proximité. </t>
  </si>
  <si>
    <t>Activite 2.1.1</t>
  </si>
  <si>
    <t>Renforcer la capacité des stations de radio communautaires à rendre compte des plans d'action pour la paix des femmes et des questions qu'ils soulèvent, par le biais de reportages sur les conflits et les questions de genre.</t>
  </si>
  <si>
    <t>Activite 2.1.2</t>
  </si>
  <si>
    <t>Appuyer l’organisation des actions de promotion et de diffusion de la citoyenneté en langue locale sur le respect mutuel et la cohabitation pacifique à travers l’art, le théâtre, la musique, la culture et la protection de l’éco-environnement sur les places publiques ou en milieu scolaire pour faire face à la violence et promouvoir la tolérance et le dialogue à l’endroit des populations et des syndicats d’enseignants et d’élèves.</t>
  </si>
  <si>
    <t>Activite 2.1.3</t>
  </si>
  <si>
    <t>Appuyer le fonctionnement des relais communautaires de la promotion féminine et du genre;</t>
  </si>
  <si>
    <t>Total pour produit 2.1</t>
  </si>
  <si>
    <t>Produit 2.2</t>
  </si>
  <si>
    <t xml:space="preserve">Des espaces de dialogue et de responsabilité actifs sont en place pour promouvoir la collaboration entre les détenteurs du pouvoir et les organisations de femmes.  </t>
  </si>
  <si>
    <t>Activite 2.2.1</t>
  </si>
  <si>
    <t xml:space="preserve">Former un réseau d'organisations dirigées par des femmes et des réseaux d'agents communautaires pour qu'ils s'engagent auprès des communautés, des chefs religieux et traditionnels sur les conséquences sexospécifiques des conflits, sur la manière de signaler les abus et sur la promotion du rôle des femmes et des filles dans la consolidation de la paix.  </t>
  </si>
  <si>
    <t>Activite' 2.2.2</t>
  </si>
  <si>
    <t xml:space="preserve">Créer des plateformes virtuelles de dialogue démocratique sur les plans d'action pour la paix des femmes entre les femmes et/ou les jeunes hommes des partis politiques et des organisations de la société civile.  </t>
  </si>
  <si>
    <t>Total pour produit 2.2</t>
  </si>
  <si>
    <t xml:space="preserve">RESULTAT 3: </t>
  </si>
  <si>
    <t xml:space="preserve">Mise en place de cadres et de mécanismes nationaux plus efficaces pour surveiller, prévenir et répondre à la violence liée au sexe comme partie intégrante de l'atténuation des conflits en Guinée. </t>
  </si>
  <si>
    <t>Produit 3.1</t>
  </si>
  <si>
    <t>Les initiatives nationales de plaidoyer dirigées par des femmes favorisent la prise en compte des dimensions sexospécifiques des conflits et la participation des femmes à la consolidation de la paix.</t>
  </si>
  <si>
    <t>Activite 3.1.1</t>
  </si>
  <si>
    <t>Appuyer les réseaux de et organisations féminines dans l’élaboration d’un livre blanc sur la participation et l’implications dans les mécanismes de prévention, de gestion et de résolution des conflits.</t>
  </si>
  <si>
    <t>Activite 3.1.2</t>
  </si>
  <si>
    <t xml:space="preserve">Organiser une campagne de communication sur le livre blanc et les engagements politiques nationaux (RCSNU 1325 et 2250) dans les langues locales. </t>
  </si>
  <si>
    <t>Total pour produit 3.1</t>
  </si>
  <si>
    <t>Produit 3.2:</t>
  </si>
  <si>
    <t xml:space="preserve">La base de données nationale sur la violence liée au sexe renforce la qualité des données sur la violence domestique, communautaire et politique à l'encontre des femmes et des filles afin d'informer la planification de la réponse nationale, la responsabilité et la réforme des politiques. </t>
  </si>
  <si>
    <t>Activite 3.2.1</t>
  </si>
  <si>
    <t xml:space="preserve">Organiser des ateliers de réflexion sur les indicateurs à intégrer à la plateforme numérique ;  </t>
  </si>
  <si>
    <t>Activite 3.2.2</t>
  </si>
  <si>
    <t>; Conception, test et validation de la plateforme numérique </t>
  </si>
  <si>
    <t>Activite 3.2.3</t>
  </si>
  <si>
    <t>Former les moniteurs locaux et nationaux ;</t>
  </si>
  <si>
    <t>Activite 3.2.4</t>
  </si>
  <si>
    <t>Renforcer les capacités des ambassadeurs GENRE des plateformes régionales;</t>
  </si>
  <si>
    <t>Total pour produit 3.2</t>
  </si>
  <si>
    <t xml:space="preserve">RESULTAT 4: </t>
  </si>
  <si>
    <t xml:space="preserve">Le leadership (individuel et collectif) des femmes est renforcé.   </t>
  </si>
  <si>
    <t>Produit 4.1</t>
  </si>
  <si>
    <t xml:space="preserve">Le leadership (individuel et collectif) des femmes est renforcé. </t>
  </si>
  <si>
    <t>Activite 4.1.1</t>
  </si>
  <si>
    <t xml:space="preserve">Identifier des femmes leaders modèles pour la formation et l’accompagnement des jeunes filles des partis politiques et de la société civile </t>
  </si>
  <si>
    <t>Activite 4.1.2</t>
  </si>
  <si>
    <t>Relier le forum de modèles féminins à un réseau plus large d'organisations dirigées par des femmes afin de renforcer la solidarité, les réseaux et les capacités pour soutenir les initiatives de paix dirigées par des femmes</t>
  </si>
  <si>
    <t>Total pour produit 4.1</t>
  </si>
  <si>
    <t>Produit 4.2</t>
  </si>
  <si>
    <t>Renforcement de la capacité des organisations féminines de consolidation de la paix à gérer la violence sexiste en période de conflit.</t>
  </si>
  <si>
    <t>Activite 4.2.1</t>
  </si>
  <si>
    <t>Cartographier les structures de protection des femmes et des enfants dans les localités ciblées,</t>
  </si>
  <si>
    <t>Activite 4.2.2</t>
  </si>
  <si>
    <t>Soutenir les campagnes de sensibilisation sur la violence liée au sexe et la protection des victimes de viol</t>
  </si>
  <si>
    <t>Activite 4.2.3</t>
  </si>
  <si>
    <r>
      <t>Revitaliser</t>
    </r>
    <r>
      <rPr>
        <sz val="8"/>
        <color theme="1"/>
        <rFont val="Times New Roman"/>
        <family val="1"/>
      </rPr>
      <t>  </t>
    </r>
    <r>
      <rPr>
        <sz val="10"/>
        <color theme="1"/>
        <rFont val="Calibri"/>
        <family val="2"/>
        <scheme val="minor"/>
      </rPr>
      <t xml:space="preserve"> et/ou mettre en place des cliniques juridiques </t>
    </r>
  </si>
  <si>
    <t>Activite 4.2.4</t>
  </si>
  <si>
    <t xml:space="preserve">Soutenir la prise en charge psychosociale des filles et des femmes victimes de violences lors de conflits récents avec l’appui des centres d’écoute mis en place par le Ministère en charge de la Promotion féminine </t>
  </si>
  <si>
    <t>Total pour produit 4.2</t>
  </si>
  <si>
    <t>Produit 4.3</t>
  </si>
  <si>
    <t xml:space="preserve">L'autonomisation économique collective des femmes et leur participation aux processus de paix locaux sont renforcées. </t>
  </si>
  <si>
    <t>Activite 4.3.1</t>
  </si>
  <si>
    <t xml:space="preserve">Conduire une analyse rapide du genre dans le domaine du pouvoir et de la participation (RGA-P) </t>
  </si>
  <si>
    <t>Activite 4.3.2</t>
  </si>
  <si>
    <t>Soutenir les activites de 22 GVEC établies pour participer à des initiatives d'autonomisation économique et de leadership des femmes pour la paix dans des localités pilotes ;</t>
  </si>
  <si>
    <t>Activite 4.3.3</t>
  </si>
  <si>
    <t>Elaboration de plans d'action d'engagement des femmes dans les processus de prise de decision</t>
  </si>
  <si>
    <t>Activite 4.3.4</t>
  </si>
  <si>
    <t>Soutenir l'engagement des hommes et des garçons ainsi que des principaux décideurs de la communauté afin de favoriser l'appropriation et le soutien des plans d'action pour la paix de la GVEC ;</t>
  </si>
  <si>
    <t>Activite 4.3.5</t>
  </si>
  <si>
    <t xml:space="preserve">Formation, financement et developpement du lien financier (par exemple, formation à l'entrepreneuriat, </t>
  </si>
  <si>
    <t>Activite 4.3.6</t>
  </si>
  <si>
    <t>Financement des activités AGR et mise en relation des GVEC avec des institutions de microfinance, sur la base d'une analyse des besoins et du marché des opportunités économiques locales).</t>
  </si>
  <si>
    <t>Activite 4.3.7</t>
  </si>
  <si>
    <t>Faciliter la réflexion et l'apprentissage avec les groupes de femmes pour identifier et mesurer les marqueurs de progrès, tirer des leçons et adapter les plans d'action pour la paix.</t>
  </si>
  <si>
    <t>Activite 4.3.8</t>
  </si>
  <si>
    <r>
      <t>Développer un rapport d'apprentissage national pour évaluer l'impact des 22 groupes GVEC, pour tirer des leçons et fournir des recommandations pour l'extension de l'</t>
    </r>
    <r>
      <rPr>
        <b/>
        <sz val="10"/>
        <color theme="1"/>
        <rFont val="Calibri"/>
        <family val="2"/>
        <scheme val="minor"/>
      </rPr>
      <t xml:space="preserve">initiative pilote " Women's VSLAs for Peace ". </t>
    </r>
  </si>
  <si>
    <t>Total pour produit 4.3</t>
  </si>
  <si>
    <t>Cout de personnel du projet si pas inclus dans les activites si-dessus</t>
  </si>
  <si>
    <t>Personnel technique et Administratif en appui au projet</t>
  </si>
  <si>
    <t>Couts operationnels si pas inclus dans les activites si-dessus</t>
  </si>
  <si>
    <t>Materiels, vehicules et appui en fournitures pour la mise en oeuvre du projet</t>
  </si>
  <si>
    <t>Budget de suivi</t>
  </si>
  <si>
    <t>Suivi-Evaluation des activites du projet</t>
  </si>
  <si>
    <t>Budget pour l'évaluation finale indépendante</t>
  </si>
  <si>
    <t>Recrutement d'un consultant individuel y compris les frais de publlication de l'appel d'offre</t>
  </si>
  <si>
    <t>Budget pour l'audit indépendant</t>
  </si>
  <si>
    <t>Recrutement d'un cabinet externe pour l'audit y compris les frais de publlication de l'appel d'offre</t>
  </si>
  <si>
    <t>Sous Total Budget</t>
  </si>
  <si>
    <t>Coûts indirects</t>
  </si>
  <si>
    <t>TOTAL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</si>
</sst>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 #,##0.00\ _€_-;\-* #,##0.00\ _€_-;_-* &quot;-&quot;??\ _€_-;_-@_-"/>
    <numFmt numFmtId="165" formatCode="_-* #,##0\ _€_-;\-* #,##0\ _€_-;_-* &quot;-&quot;??\ _€_-;_-@_-"/>
    <numFmt numFmtId="166" formatCode="_(* #,##0.00_);_(* \(#,##0.00\);_(* &quot;-&quot;??_);_(@_)"/>
    <numFmt numFmtId="167" formatCode="_(&quot;$&quot;* #,##0.00_);_(&quot;$&quot;* \(#,##0.00\);_(&quot;$&quot;* &quot;-&quot;??_);_(@_)"/>
  </numFmts>
  <fonts count="25">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b/>
      <sz val="12"/>
      <color rgb="FF000000"/>
      <name val="Calibri"/>
      <family val="2"/>
      <scheme val="minor"/>
    </font>
    <font>
      <b/>
      <sz val="12"/>
      <color theme="1"/>
      <name val="Calibri"/>
      <family val="2"/>
      <scheme val="minor"/>
    </font>
    <font>
      <b/>
      <sz val="10"/>
      <color theme="1"/>
      <name val="Calibri"/>
      <family val="2"/>
    </font>
    <font>
      <sz val="10"/>
      <color theme="1"/>
      <name val="Times New Roman"/>
      <family val="1"/>
    </font>
    <font>
      <b/>
      <sz val="10"/>
      <name val="Calibri"/>
      <family val="2"/>
    </font>
    <font>
      <b/>
      <sz val="10"/>
      <color rgb="FF002060"/>
      <name val="Calibri"/>
      <family val="2"/>
    </font>
    <font>
      <b/>
      <sz val="10"/>
      <color theme="1"/>
      <name val="Times New Roman"/>
      <family val="1"/>
    </font>
    <font>
      <b/>
      <sz val="24"/>
      <color theme="1"/>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b/>
      <sz val="20"/>
      <color theme="1"/>
      <name val="Calibri"/>
      <family val="2"/>
      <scheme val="minor"/>
    </font>
    <font>
      <sz val="12"/>
      <color theme="1"/>
      <name val="Calibri"/>
      <family val="2"/>
      <scheme val="minor"/>
    </font>
    <font>
      <b/>
      <sz val="12"/>
      <color theme="1"/>
      <name val="Times New Roman"/>
      <family val="1"/>
    </font>
    <font>
      <sz val="12"/>
      <color theme="1"/>
      <name val="Times New Roman"/>
      <family val="1"/>
    </font>
    <font>
      <i/>
      <sz val="12"/>
      <color theme="1"/>
      <name val="Times New Roman"/>
      <family val="1"/>
    </font>
    <font>
      <b/>
      <i/>
      <sz val="12"/>
      <color theme="1"/>
      <name val="Times New Roman"/>
      <family val="1"/>
    </font>
    <font>
      <sz val="10"/>
      <color theme="1"/>
      <name val="Calibri"/>
      <family val="2"/>
      <scheme val="minor"/>
    </font>
    <font>
      <sz val="8"/>
      <color theme="1"/>
      <name val="Times New Roman"/>
      <family val="1"/>
    </font>
    <font>
      <b/>
      <sz val="10"/>
      <color theme="1"/>
      <name val="Calibri"/>
      <family val="2"/>
      <scheme val="minor"/>
    </font>
    <font>
      <sz val="12"/>
      <name val="Calibri"/>
      <family val="2"/>
      <scheme val="minor"/>
    </font>
  </fonts>
  <fills count="12">
    <fill>
      <patternFill patternType="none"/>
    </fill>
    <fill>
      <patternFill patternType="gray125"/>
    </fill>
    <fill>
      <patternFill patternType="solid">
        <fgColor theme="4" tint="0.79998168889431442"/>
        <bgColor indexed="64"/>
      </patternFill>
    </fill>
    <fill>
      <patternFill patternType="solid">
        <fgColor rgb="FFB3B3B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59999389629810485"/>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cellStyleXfs>
  <cellXfs count="130">
    <xf numFmtId="0" fontId="0" fillId="0" borderId="0" xfId="0"/>
    <xf numFmtId="0" fontId="3" fillId="2" borderId="1" xfId="0" applyFont="1" applyFill="1" applyBorder="1" applyAlignment="1">
      <alignment vertical="center"/>
    </xf>
    <xf numFmtId="0" fontId="4" fillId="0" borderId="0" xfId="0" applyFont="1" applyAlignment="1">
      <alignment horizontal="center" vertical="center" wrapText="1"/>
    </xf>
    <xf numFmtId="0" fontId="3" fillId="2" borderId="4" xfId="0" applyFont="1" applyFill="1" applyBorder="1" applyAlignment="1">
      <alignment vertical="center"/>
    </xf>
    <xf numFmtId="0" fontId="6" fillId="0" borderId="0" xfId="0" applyFont="1" applyAlignment="1">
      <alignment horizontal="center" vertical="center" wrapText="1"/>
    </xf>
    <xf numFmtId="0" fontId="0" fillId="0" borderId="0" xfId="0" applyAlignment="1">
      <alignment wrapText="1"/>
    </xf>
    <xf numFmtId="0" fontId="7" fillId="0" borderId="14" xfId="0" applyFont="1" applyBorder="1" applyAlignment="1">
      <alignment vertical="center" wrapText="1"/>
    </xf>
    <xf numFmtId="164" fontId="8" fillId="0" borderId="15" xfId="0" applyNumberFormat="1" applyFont="1" applyBorder="1" applyAlignment="1">
      <alignment horizontal="right" vertical="center" wrapText="1"/>
    </xf>
    <xf numFmtId="164" fontId="6" fillId="0" borderId="15" xfId="0" applyNumberFormat="1" applyFont="1" applyBorder="1" applyAlignment="1">
      <alignment horizontal="right" vertical="center" wrapText="1"/>
    </xf>
    <xf numFmtId="43" fontId="6" fillId="0" borderId="15" xfId="1" applyFont="1" applyBorder="1" applyAlignment="1">
      <alignment horizontal="right" vertical="center" wrapText="1"/>
    </xf>
    <xf numFmtId="10" fontId="6" fillId="0" borderId="16" xfId="3" applyNumberFormat="1" applyFont="1" applyBorder="1" applyAlignment="1">
      <alignment horizontal="right" vertical="center" wrapText="1"/>
    </xf>
    <xf numFmtId="1" fontId="6" fillId="0" borderId="0" xfId="3" applyNumberFormat="1" applyFont="1" applyFill="1" applyBorder="1" applyAlignment="1">
      <alignment horizontal="right" vertical="center" wrapText="1"/>
    </xf>
    <xf numFmtId="43" fontId="6" fillId="0" borderId="0" xfId="1" applyFont="1" applyFill="1" applyBorder="1" applyAlignment="1">
      <alignment horizontal="right" vertical="center" wrapText="1"/>
    </xf>
    <xf numFmtId="10" fontId="6" fillId="0" borderId="0" xfId="3" applyNumberFormat="1" applyFont="1" applyFill="1" applyBorder="1" applyAlignment="1">
      <alignment horizontal="right" vertical="center" wrapText="1"/>
    </xf>
    <xf numFmtId="0" fontId="7" fillId="2" borderId="11" xfId="0" applyFont="1" applyFill="1" applyBorder="1" applyAlignment="1">
      <alignment vertical="center" wrapText="1"/>
    </xf>
    <xf numFmtId="165" fontId="8" fillId="2" borderId="15" xfId="0" applyNumberFormat="1" applyFont="1" applyFill="1" applyBorder="1" applyAlignment="1">
      <alignment horizontal="right" vertical="center" wrapText="1"/>
    </xf>
    <xf numFmtId="165" fontId="6" fillId="2" borderId="15" xfId="0" applyNumberFormat="1" applyFont="1" applyFill="1" applyBorder="1" applyAlignment="1">
      <alignment horizontal="right" vertical="center" wrapText="1"/>
    </xf>
    <xf numFmtId="43" fontId="6" fillId="2" borderId="15" xfId="1" applyFont="1" applyFill="1" applyBorder="1" applyAlignment="1">
      <alignment horizontal="right" vertical="center" wrapText="1"/>
    </xf>
    <xf numFmtId="10" fontId="6" fillId="2" borderId="16" xfId="3" applyNumberFormat="1" applyFont="1" applyFill="1" applyBorder="1" applyAlignment="1">
      <alignment horizontal="right" vertical="center" wrapText="1"/>
    </xf>
    <xf numFmtId="9" fontId="6" fillId="0" borderId="0" xfId="3" applyFont="1" applyFill="1" applyBorder="1" applyAlignment="1">
      <alignment horizontal="right" vertical="center" wrapText="1"/>
    </xf>
    <xf numFmtId="0" fontId="7" fillId="0" borderId="11" xfId="0" applyFont="1" applyBorder="1" applyAlignment="1">
      <alignment vertical="center" wrapText="1"/>
    </xf>
    <xf numFmtId="49" fontId="6" fillId="0" borderId="15" xfId="0" applyNumberFormat="1" applyFont="1" applyBorder="1" applyAlignment="1">
      <alignment horizontal="right" vertical="center" wrapText="1"/>
    </xf>
    <xf numFmtId="164" fontId="6" fillId="2" borderId="15" xfId="0" applyNumberFormat="1" applyFont="1" applyFill="1" applyBorder="1" applyAlignment="1">
      <alignment horizontal="right" vertical="center" wrapText="1"/>
    </xf>
    <xf numFmtId="165" fontId="6" fillId="0" borderId="0" xfId="0" applyNumberFormat="1" applyFont="1" applyAlignment="1">
      <alignment horizontal="right" vertical="center" wrapText="1"/>
    </xf>
    <xf numFmtId="164" fontId="9" fillId="0" borderId="15" xfId="0" applyNumberFormat="1" applyFont="1" applyBorder="1" applyAlignment="1">
      <alignment horizontal="right" vertical="center" wrapText="1"/>
    </xf>
    <xf numFmtId="164" fontId="8" fillId="2" borderId="15" xfId="0" applyNumberFormat="1" applyFont="1" applyFill="1" applyBorder="1" applyAlignment="1">
      <alignment horizontal="right" vertical="center" wrapText="1"/>
    </xf>
    <xf numFmtId="0" fontId="10" fillId="4" borderId="11" xfId="0" applyFont="1" applyFill="1" applyBorder="1" applyAlignment="1">
      <alignment vertical="center" wrapText="1"/>
    </xf>
    <xf numFmtId="165" fontId="6" fillId="4" borderId="15" xfId="1" applyNumberFormat="1" applyFont="1" applyFill="1" applyBorder="1" applyAlignment="1">
      <alignment horizontal="right" vertical="center" wrapText="1"/>
    </xf>
    <xf numFmtId="43" fontId="6" fillId="4" borderId="15" xfId="1" applyFont="1" applyFill="1" applyBorder="1" applyAlignment="1">
      <alignment horizontal="right" vertical="center" wrapText="1"/>
    </xf>
    <xf numFmtId="10" fontId="6" fillId="4" borderId="16" xfId="3" applyNumberFormat="1" applyFont="1" applyFill="1" applyBorder="1" applyAlignment="1">
      <alignment horizontal="right" vertical="center" wrapText="1"/>
    </xf>
    <xf numFmtId="165" fontId="6" fillId="0" borderId="0" xfId="3" applyNumberFormat="1" applyFont="1" applyFill="1" applyBorder="1" applyAlignment="1">
      <alignment horizontal="right" vertical="center" wrapText="1"/>
    </xf>
    <xf numFmtId="166" fontId="6" fillId="0" borderId="15" xfId="0" applyNumberFormat="1" applyFont="1" applyBorder="1" applyAlignment="1">
      <alignment horizontal="right" vertical="center" wrapText="1"/>
    </xf>
    <xf numFmtId="0" fontId="10" fillId="5" borderId="17" xfId="0" applyFont="1" applyFill="1" applyBorder="1" applyAlignment="1">
      <alignment vertical="center" wrapText="1"/>
    </xf>
    <xf numFmtId="165" fontId="6" fillId="5" borderId="18" xfId="0" applyNumberFormat="1" applyFont="1" applyFill="1" applyBorder="1" applyAlignment="1">
      <alignment horizontal="right" vertical="center" wrapText="1"/>
    </xf>
    <xf numFmtId="43" fontId="6" fillId="5" borderId="18" xfId="1" applyFont="1" applyFill="1" applyBorder="1" applyAlignment="1">
      <alignment horizontal="right" vertical="center" wrapText="1"/>
    </xf>
    <xf numFmtId="10" fontId="6" fillId="5" borderId="16" xfId="3" applyNumberFormat="1" applyFont="1" applyFill="1" applyBorder="1" applyAlignment="1">
      <alignment horizontal="right" vertical="center" wrapText="1"/>
    </xf>
    <xf numFmtId="164" fontId="6" fillId="0" borderId="0" xfId="3" applyNumberFormat="1" applyFont="1" applyFill="1" applyBorder="1" applyAlignment="1">
      <alignment horizontal="right" vertical="center" wrapText="1"/>
    </xf>
    <xf numFmtId="165" fontId="0" fillId="0" borderId="0" xfId="0" applyNumberFormat="1"/>
    <xf numFmtId="43" fontId="0" fillId="0" borderId="0" xfId="0" applyNumberFormat="1"/>
    <xf numFmtId="41" fontId="0" fillId="0" borderId="0" xfId="2" applyFont="1"/>
    <xf numFmtId="43" fontId="0" fillId="0" borderId="0" xfId="1" applyFont="1"/>
    <xf numFmtId="41" fontId="0" fillId="0" borderId="0" xfId="2" applyFont="1" applyAlignment="1">
      <alignment horizontal="left"/>
    </xf>
    <xf numFmtId="0" fontId="0" fillId="0" borderId="0" xfId="0" applyAlignment="1">
      <alignment horizontal="left"/>
    </xf>
    <xf numFmtId="43" fontId="2" fillId="0" borderId="0" xfId="0" applyNumberFormat="1" applyFont="1"/>
    <xf numFmtId="0" fontId="11" fillId="0" borderId="0" xfId="0" applyFont="1" applyAlignment="1">
      <alignment horizontal="left" vertical="top" wrapText="1"/>
    </xf>
    <xf numFmtId="0" fontId="12" fillId="0" borderId="0" xfId="0" applyFont="1" applyAlignment="1">
      <alignment wrapText="1"/>
    </xf>
    <xf numFmtId="0" fontId="13" fillId="0" borderId="0" xfId="0" applyFont="1" applyAlignment="1">
      <alignment wrapText="1"/>
    </xf>
    <xf numFmtId="167" fontId="13" fillId="0" borderId="0" xfId="4" applyFont="1" applyBorder="1" applyAlignment="1">
      <alignment wrapText="1"/>
    </xf>
    <xf numFmtId="0" fontId="5" fillId="0" borderId="0" xfId="0" applyFont="1" applyAlignment="1">
      <alignment wrapText="1"/>
    </xf>
    <xf numFmtId="167" fontId="0" fillId="0" borderId="0" xfId="4" applyFont="1" applyBorder="1" applyAlignment="1">
      <alignment wrapText="1"/>
    </xf>
    <xf numFmtId="167" fontId="15" fillId="6" borderId="0" xfId="4" applyFont="1" applyFill="1" applyBorder="1" applyAlignment="1">
      <alignment horizontal="left" wrapText="1"/>
    </xf>
    <xf numFmtId="0" fontId="5" fillId="4" borderId="20" xfId="0" applyFont="1" applyFill="1" applyBorder="1" applyAlignment="1">
      <alignment horizontal="center" vertical="center" wrapText="1"/>
    </xf>
    <xf numFmtId="0" fontId="5" fillId="4" borderId="20" xfId="0" applyFont="1" applyFill="1" applyBorder="1" applyAlignment="1" applyProtection="1">
      <alignment horizontal="center" vertical="center" wrapText="1"/>
      <protection locked="0"/>
    </xf>
    <xf numFmtId="0" fontId="5" fillId="7" borderId="20" xfId="0" applyFont="1" applyFill="1" applyBorder="1" applyAlignment="1" applyProtection="1">
      <alignment horizontal="center" vertical="center" wrapText="1"/>
      <protection locked="0"/>
    </xf>
    <xf numFmtId="0" fontId="16" fillId="4" borderId="20"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0" borderId="0" xfId="0" applyFont="1" applyAlignment="1">
      <alignment horizontal="center" vertical="center" wrapText="1"/>
    </xf>
    <xf numFmtId="0" fontId="5" fillId="9" borderId="20" xfId="0" applyFont="1" applyFill="1" applyBorder="1" applyAlignment="1">
      <alignment vertical="center" wrapText="1"/>
    </xf>
    <xf numFmtId="167" fontId="16" fillId="0" borderId="0" xfId="4" applyFont="1" applyFill="1" applyBorder="1" applyAlignment="1" applyProtection="1">
      <alignment vertical="center" wrapText="1"/>
    </xf>
    <xf numFmtId="167" fontId="5" fillId="0" borderId="0" xfId="4" applyFont="1" applyFill="1" applyBorder="1" applyAlignment="1" applyProtection="1">
      <alignment vertical="center" wrapText="1"/>
    </xf>
    <xf numFmtId="0" fontId="16" fillId="9" borderId="20" xfId="0" applyFont="1" applyFill="1" applyBorder="1" applyAlignment="1">
      <alignment vertical="center" wrapText="1"/>
    </xf>
    <xf numFmtId="167" fontId="16" fillId="0" borderId="20" xfId="4" applyFont="1" applyBorder="1" applyAlignment="1" applyProtection="1">
      <alignment vertical="center" wrapText="1"/>
      <protection locked="0"/>
    </xf>
    <xf numFmtId="167" fontId="16" fillId="0" borderId="20" xfId="4" applyFont="1" applyBorder="1" applyAlignment="1" applyProtection="1">
      <alignment horizontal="center" vertical="center" wrapText="1"/>
      <protection locked="0"/>
    </xf>
    <xf numFmtId="9" fontId="16" fillId="0" borderId="20" xfId="3" applyFont="1" applyBorder="1" applyAlignment="1" applyProtection="1">
      <alignment horizontal="center" vertical="center" wrapText="1"/>
      <protection locked="0"/>
    </xf>
    <xf numFmtId="167" fontId="16" fillId="4" borderId="20" xfId="4" applyFont="1" applyFill="1" applyBorder="1" applyAlignment="1" applyProtection="1">
      <alignment horizontal="center" vertical="center" wrapText="1"/>
    </xf>
    <xf numFmtId="49" fontId="16" fillId="0" borderId="20" xfId="4" applyNumberFormat="1" applyFont="1" applyBorder="1" applyAlignment="1" applyProtection="1">
      <alignment horizontal="left" wrapText="1"/>
      <protection locked="0"/>
    </xf>
    <xf numFmtId="167" fontId="16" fillId="0" borderId="0" xfId="4" applyFont="1" applyFill="1" applyBorder="1" applyAlignment="1" applyProtection="1">
      <alignment horizontal="center" vertical="center" wrapText="1"/>
    </xf>
    <xf numFmtId="0" fontId="16" fillId="0" borderId="20" xfId="0" applyFont="1" applyBorder="1" applyAlignment="1" applyProtection="1">
      <alignment horizontal="left" vertical="top" wrapText="1"/>
      <protection locked="0"/>
    </xf>
    <xf numFmtId="0" fontId="18" fillId="0" borderId="0" xfId="0" applyFont="1" applyAlignment="1" applyProtection="1">
      <alignment wrapText="1"/>
      <protection locked="0"/>
    </xf>
    <xf numFmtId="0" fontId="0" fillId="6" borderId="0" xfId="0" applyFill="1" applyAlignment="1">
      <alignment wrapText="1"/>
    </xf>
    <xf numFmtId="0" fontId="5" fillId="4" borderId="20" xfId="0" applyFont="1" applyFill="1" applyBorder="1" applyAlignment="1">
      <alignment vertical="center" wrapText="1"/>
    </xf>
    <xf numFmtId="167" fontId="5" fillId="4" borderId="20" xfId="4" applyFont="1" applyFill="1" applyBorder="1" applyAlignment="1" applyProtection="1">
      <alignment horizontal="center" vertical="center" wrapText="1"/>
    </xf>
    <xf numFmtId="9" fontId="5" fillId="4" borderId="20" xfId="3" applyFont="1" applyFill="1" applyBorder="1" applyAlignment="1" applyProtection="1">
      <alignment horizontal="center" vertical="center" wrapText="1"/>
    </xf>
    <xf numFmtId="49" fontId="16" fillId="6" borderId="20" xfId="4" applyNumberFormat="1" applyFont="1" applyFill="1" applyBorder="1" applyAlignment="1" applyProtection="1">
      <alignment horizontal="left" wrapText="1"/>
      <protection locked="0"/>
    </xf>
    <xf numFmtId="167" fontId="5" fillId="0" borderId="0" xfId="4" applyFont="1" applyFill="1" applyBorder="1" applyAlignment="1" applyProtection="1">
      <alignment horizontal="center" vertical="center" wrapText="1"/>
    </xf>
    <xf numFmtId="167" fontId="16" fillId="0" borderId="20" xfId="4" applyFont="1" applyFill="1" applyBorder="1" applyAlignment="1" applyProtection="1">
      <alignment horizontal="center" vertical="center" wrapText="1"/>
      <protection locked="0"/>
    </xf>
    <xf numFmtId="9" fontId="16" fillId="0" borderId="20" xfId="3" applyFont="1" applyFill="1" applyBorder="1" applyAlignment="1" applyProtection="1">
      <alignment horizontal="center" vertical="center" wrapText="1"/>
      <protection locked="0"/>
    </xf>
    <xf numFmtId="167" fontId="5" fillId="4" borderId="21" xfId="4" applyFont="1" applyFill="1" applyBorder="1" applyAlignment="1" applyProtection="1">
      <alignment horizontal="center" vertical="center" wrapText="1"/>
    </xf>
    <xf numFmtId="9" fontId="5" fillId="4" borderId="21" xfId="3" applyFont="1" applyFill="1" applyBorder="1" applyAlignment="1" applyProtection="1">
      <alignment horizontal="center" vertical="center" wrapText="1"/>
    </xf>
    <xf numFmtId="0" fontId="16" fillId="6" borderId="20" xfId="0" applyFont="1" applyFill="1" applyBorder="1" applyAlignment="1" applyProtection="1">
      <alignment horizontal="left" vertical="top" wrapText="1"/>
      <protection locked="0"/>
    </xf>
    <xf numFmtId="0" fontId="18" fillId="0" borderId="0" xfId="0" applyFont="1" applyAlignment="1" applyProtection="1">
      <alignment horizontal="justify" vertical="center"/>
      <protection locked="0"/>
    </xf>
    <xf numFmtId="0" fontId="2" fillId="0" borderId="0" xfId="0" applyFont="1" applyAlignment="1">
      <alignment wrapText="1"/>
    </xf>
    <xf numFmtId="0" fontId="21" fillId="6" borderId="20" xfId="0" applyFont="1" applyFill="1" applyBorder="1" applyAlignment="1" applyProtection="1">
      <alignment horizontal="left" vertical="top" wrapText="1"/>
      <protection locked="0"/>
    </xf>
    <xf numFmtId="167" fontId="16" fillId="6" borderId="20" xfId="4" applyFont="1" applyFill="1" applyBorder="1" applyAlignment="1" applyProtection="1">
      <alignment horizontal="center" vertical="center" wrapText="1"/>
      <protection locked="0"/>
    </xf>
    <xf numFmtId="9" fontId="16" fillId="6" borderId="20" xfId="3" applyFont="1" applyFill="1" applyBorder="1" applyAlignment="1" applyProtection="1">
      <alignment horizontal="center" vertical="center" wrapText="1"/>
      <protection locked="0"/>
    </xf>
    <xf numFmtId="0" fontId="16" fillId="6" borderId="20" xfId="0" applyFont="1" applyFill="1" applyBorder="1" applyAlignment="1" applyProtection="1">
      <alignment vertical="center" wrapText="1"/>
      <protection locked="0"/>
    </xf>
    <xf numFmtId="167" fontId="24" fillId="0" borderId="20" xfId="4" applyFont="1" applyBorder="1" applyAlignment="1" applyProtection="1">
      <alignment vertical="center" wrapText="1"/>
      <protection locked="0"/>
    </xf>
    <xf numFmtId="167" fontId="16" fillId="4" borderId="20" xfId="4" applyFont="1" applyFill="1" applyBorder="1" applyAlignment="1" applyProtection="1">
      <alignment vertical="center" wrapText="1"/>
    </xf>
    <xf numFmtId="9" fontId="16" fillId="0" borderId="20" xfId="3" applyFont="1" applyBorder="1" applyAlignment="1" applyProtection="1">
      <alignment vertical="center" wrapText="1"/>
      <protection locked="0"/>
    </xf>
    <xf numFmtId="49" fontId="16" fillId="0" borderId="20" xfId="0" applyNumberFormat="1" applyFont="1" applyBorder="1" applyAlignment="1" applyProtection="1">
      <alignment horizontal="left" wrapText="1"/>
      <protection locked="0"/>
    </xf>
    <xf numFmtId="0" fontId="16" fillId="6" borderId="22" xfId="0" applyFont="1" applyFill="1" applyBorder="1" applyAlignment="1" applyProtection="1">
      <alignment vertical="center" wrapText="1"/>
      <protection locked="0"/>
    </xf>
    <xf numFmtId="0" fontId="5" fillId="4" borderId="23" xfId="0" applyFont="1" applyFill="1" applyBorder="1" applyAlignment="1">
      <alignment vertical="center" wrapText="1"/>
    </xf>
    <xf numFmtId="167" fontId="5" fillId="10" borderId="20" xfId="4" applyFont="1" applyFill="1" applyBorder="1" applyAlignment="1" applyProtection="1">
      <alignment vertical="center" wrapText="1"/>
    </xf>
    <xf numFmtId="10" fontId="5" fillId="10" borderId="20" xfId="3" applyNumberFormat="1" applyFont="1" applyFill="1" applyBorder="1" applyAlignment="1" applyProtection="1">
      <alignment horizontal="center" vertical="center" wrapText="1"/>
    </xf>
    <xf numFmtId="167" fontId="5" fillId="4" borderId="20" xfId="4" applyFont="1" applyFill="1" applyBorder="1" applyAlignment="1" applyProtection="1">
      <alignment vertical="center" wrapText="1"/>
    </xf>
    <xf numFmtId="0" fontId="5" fillId="6" borderId="0" xfId="0" applyFont="1" applyFill="1" applyAlignment="1" applyProtection="1">
      <alignment vertical="center" wrapText="1"/>
      <protection locked="0"/>
    </xf>
    <xf numFmtId="167" fontId="5" fillId="11" borderId="20" xfId="4" applyFont="1" applyFill="1" applyBorder="1" applyAlignment="1" applyProtection="1">
      <alignment horizontal="center" vertical="center" wrapText="1"/>
    </xf>
    <xf numFmtId="167" fontId="2" fillId="11" borderId="20" xfId="0" applyNumberFormat="1" applyFont="1" applyFill="1" applyBorder="1" applyAlignment="1">
      <alignment horizontal="center" vertical="center" wrapText="1"/>
    </xf>
    <xf numFmtId="10" fontId="2" fillId="11" borderId="20" xfId="3" applyNumberFormat="1" applyFont="1" applyFill="1" applyBorder="1" applyAlignment="1">
      <alignment horizontal="center" wrapText="1"/>
    </xf>
    <xf numFmtId="0" fontId="0" fillId="11" borderId="20" xfId="0" applyFill="1" applyBorder="1" applyAlignment="1">
      <alignment wrapText="1"/>
    </xf>
    <xf numFmtId="167" fontId="0" fillId="11" borderId="20" xfId="4" applyFont="1" applyFill="1" applyBorder="1" applyAlignment="1">
      <alignment wrapText="1"/>
    </xf>
    <xf numFmtId="167" fontId="5" fillId="2" borderId="20" xfId="4" applyFont="1" applyFill="1" applyBorder="1" applyAlignment="1" applyProtection="1">
      <alignment vertical="center" wrapText="1"/>
    </xf>
    <xf numFmtId="10" fontId="2" fillId="2" borderId="20" xfId="3" applyNumberFormat="1" applyFont="1" applyFill="1" applyBorder="1" applyAlignment="1">
      <alignment horizontal="center" vertical="center" wrapText="1"/>
    </xf>
    <xf numFmtId="0" fontId="0" fillId="2" borderId="20" xfId="0" applyFill="1" applyBorder="1" applyAlignment="1">
      <alignment wrapText="1"/>
    </xf>
    <xf numFmtId="167" fontId="0" fillId="2" borderId="20" xfId="4" applyFont="1" applyFill="1" applyBorder="1" applyAlignment="1">
      <alignment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0" xfId="0" quotePrefix="1" applyFont="1" applyFill="1" applyAlignment="1">
      <alignment horizontal="center" vertical="center" wrapText="1"/>
    </xf>
    <xf numFmtId="0" fontId="6" fillId="3" borderId="10" xfId="0" applyFont="1" applyFill="1" applyBorder="1" applyAlignment="1">
      <alignment horizontal="center" vertical="center" wrapText="1"/>
    </xf>
    <xf numFmtId="0" fontId="6" fillId="3" borderId="13" xfId="0" applyFont="1" applyFill="1" applyBorder="1" applyAlignment="1">
      <alignment horizontal="center" vertical="center" wrapText="1"/>
    </xf>
    <xf numFmtId="17"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6" borderId="20" xfId="0" applyFont="1" applyFill="1" applyBorder="1" applyAlignment="1" applyProtection="1">
      <alignment horizontal="left" vertical="top" wrapText="1"/>
      <protection locked="0"/>
    </xf>
    <xf numFmtId="167" fontId="5" fillId="6" borderId="20" xfId="4" applyFont="1" applyFill="1" applyBorder="1" applyAlignment="1" applyProtection="1">
      <alignment horizontal="left" vertical="top" wrapText="1"/>
      <protection locked="0"/>
    </xf>
    <xf numFmtId="0" fontId="11" fillId="0" borderId="0" xfId="0" applyFont="1" applyAlignment="1">
      <alignment horizontal="left" vertical="top" wrapText="1"/>
    </xf>
    <xf numFmtId="0" fontId="14" fillId="6" borderId="19" xfId="0" applyFont="1" applyFill="1" applyBorder="1" applyAlignment="1">
      <alignment horizontal="left" wrapText="1"/>
    </xf>
    <xf numFmtId="49" fontId="5" fillId="6" borderId="20" xfId="0" applyNumberFormat="1" applyFont="1" applyFill="1" applyBorder="1" applyAlignment="1" applyProtection="1">
      <alignment horizontal="left" vertical="top" wrapText="1"/>
      <protection locked="0"/>
    </xf>
    <xf numFmtId="0" fontId="5" fillId="2" borderId="20" xfId="0" applyFont="1" applyFill="1" applyBorder="1" applyAlignment="1">
      <alignment horizontal="center" vertical="center" wrapText="1"/>
    </xf>
    <xf numFmtId="0" fontId="5" fillId="6" borderId="20" xfId="0" applyFont="1" applyFill="1" applyBorder="1" applyAlignment="1" applyProtection="1">
      <alignment horizontal="left" vertical="center" wrapText="1"/>
      <protection locked="0"/>
    </xf>
    <xf numFmtId="167" fontId="5" fillId="6" borderId="20" xfId="4" applyFont="1" applyFill="1" applyBorder="1" applyAlignment="1" applyProtection="1">
      <alignment horizontal="left" vertical="center" wrapText="1"/>
      <protection locked="0"/>
    </xf>
    <xf numFmtId="0" fontId="5" fillId="4" borderId="24"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11" borderId="20" xfId="0" applyFont="1" applyFill="1" applyBorder="1" applyAlignment="1">
      <alignment horizontal="center" vertical="center" wrapText="1"/>
    </xf>
  </cellXfs>
  <cellStyles count="5">
    <cellStyle name="Milliers" xfId="1" builtinId="3"/>
    <cellStyle name="Milliers [0]" xfId="2" builtinId="6"/>
    <cellStyle name="Monétaire 2" xfId="4" xr:uid="{88B0766D-C977-48A8-AE11-4FEC2500B96D}"/>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174626</xdr:rowOff>
    </xdr:from>
    <xdr:to>
      <xdr:col>1</xdr:col>
      <xdr:colOff>1361949</xdr:colOff>
      <xdr:row>6</xdr:row>
      <xdr:rowOff>18634</xdr:rowOff>
    </xdr:to>
    <xdr:pic>
      <xdr:nvPicPr>
        <xdr:cNvPr id="2" name="Image 1">
          <a:extLst>
            <a:ext uri="{FF2B5EF4-FFF2-40B4-BE49-F238E27FC236}">
              <a16:creationId xmlns:a16="http://schemas.microsoft.com/office/drawing/2014/main" id="{F3A248A0-D3DD-4F44-A4A3-023285E9F0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0120" y="174626"/>
          <a:ext cx="980949" cy="941288"/>
        </a:xfrm>
        <a:prstGeom prst="rect">
          <a:avLst/>
        </a:prstGeom>
      </xdr:spPr>
    </xdr:pic>
    <xdr:clientData/>
  </xdr:twoCellAnchor>
  <xdr:twoCellAnchor editAs="oneCell">
    <xdr:from>
      <xdr:col>10</xdr:col>
      <xdr:colOff>158751</xdr:colOff>
      <xdr:row>1</xdr:row>
      <xdr:rowOff>0</xdr:rowOff>
    </xdr:from>
    <xdr:to>
      <xdr:col>11</xdr:col>
      <xdr:colOff>416938</xdr:colOff>
      <xdr:row>6</xdr:row>
      <xdr:rowOff>26788</xdr:rowOff>
    </xdr:to>
    <xdr:pic>
      <xdr:nvPicPr>
        <xdr:cNvPr id="3" name="Image 2">
          <a:extLst>
            <a:ext uri="{FF2B5EF4-FFF2-40B4-BE49-F238E27FC236}">
              <a16:creationId xmlns:a16="http://schemas.microsoft.com/office/drawing/2014/main" id="{93ABA52F-99DA-446D-915D-5CD6CF9C97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43031" y="182880"/>
          <a:ext cx="753487" cy="9411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AppData/Local/Microsoft/Windows/INetCache/Content.Outlook/OTH3DWUY/CARE%20RF%20UNPBF%20FIFEP%20GUINEE%20GB1B1%20Up%20to%20Sept23_rev%20CIU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B"/>
      <sheetName val="RF-UNPBF"/>
      <sheetName val="RF Detail UNPBF"/>
      <sheetName val="PIVOT July-Septembre"/>
      <sheetName val="CARE july-september 23"/>
      <sheetName val="CIUK Data as of Sept'23"/>
      <sheetName val="PIVOT April-June"/>
      <sheetName val="CARE Guinea April-June23"/>
      <sheetName val="PIVOT JAN-MARCH23"/>
      <sheetName val="CARE Guinea Jan-March23"/>
      <sheetName val="Sheet2"/>
    </sheetNames>
    <sheetDataSet>
      <sheetData sheetId="0"/>
      <sheetData sheetId="1"/>
      <sheetData sheetId="2"/>
      <sheetData sheetId="3"/>
      <sheetData sheetId="4">
        <row r="1275">
          <cell r="R1275">
            <v>155895.41999999998</v>
          </cell>
        </row>
      </sheetData>
      <sheetData sheetId="5">
        <row r="60">
          <cell r="U60">
            <v>5195.8320000000003</v>
          </cell>
        </row>
      </sheetData>
      <sheetData sheetId="6"/>
      <sheetData sheetId="7">
        <row r="1054">
          <cell r="BZ1054">
            <v>109207.85999999977</v>
          </cell>
        </row>
      </sheetData>
      <sheetData sheetId="8"/>
      <sheetData sheetId="9">
        <row r="295">
          <cell r="R295">
            <v>5488.2799999999988</v>
          </cell>
        </row>
      </sheetData>
      <sheetData sheetId="10"/>
    </sheetDataSet>
  </externalBook>
</externalLink>
</file>

<file path=xl/persons/person.xml><?xml version="1.0" encoding="utf-8"?>
<personList xmlns="http://schemas.microsoft.com/office/spreadsheetml/2018/threadedcomments" xmlns:x="http://schemas.openxmlformats.org/spreadsheetml/2006/main">
  <person displayName="Sloane, Tina" id="{8F8626A0-6DCF-4EF5-AD35-668CADB425CF}" userId="S::sloane@careinternational.org::6b13c762-3cd9-4dfe-9c99-5e794211d51d"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9" dT="2022-10-03T16:25:50.16" personId="{8F8626A0-6DCF-4EF5-AD35-668CADB425CF}" id="{CBC60274-C41C-4E26-9497-E16B61A1299C}">
    <text>Suggest to reduce here as this is now merged multiple activities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6EC2-2B9F-4DF1-BAD1-C6333D94389A}">
  <sheetPr>
    <tabColor theme="8" tint="0.59999389629810485"/>
  </sheetPr>
  <dimension ref="A9:X35"/>
  <sheetViews>
    <sheetView topLeftCell="A12" zoomScale="80" zoomScaleNormal="80" workbookViewId="0">
      <selection activeCell="H35" sqref="H35"/>
    </sheetView>
  </sheetViews>
  <sheetFormatPr baseColWidth="10" defaultColWidth="9.1796875" defaultRowHeight="14.5"/>
  <cols>
    <col min="1" max="1" width="8.453125" customWidth="1"/>
    <col min="2" max="2" width="28.81640625" customWidth="1"/>
    <col min="3" max="3" width="17.54296875" bestFit="1" customWidth="1"/>
    <col min="4" max="4" width="18.54296875" hidden="1" customWidth="1"/>
    <col min="5" max="6" width="21.81640625" customWidth="1"/>
    <col min="7" max="7" width="19.54296875" customWidth="1"/>
    <col min="8" max="8" width="16.90625" customWidth="1"/>
    <col min="9" max="9" width="13.1796875" bestFit="1" customWidth="1"/>
    <col min="10" max="10" width="18" customWidth="1"/>
    <col min="11" max="11" width="7.1796875" customWidth="1"/>
    <col min="12" max="12" width="14" bestFit="1" customWidth="1"/>
    <col min="13" max="15" width="9.453125" customWidth="1"/>
    <col min="16" max="19" width="14" customWidth="1"/>
    <col min="21" max="25" width="0" hidden="1" customWidth="1"/>
  </cols>
  <sheetData>
    <row r="9" spans="2:19" ht="15" thickBot="1"/>
    <row r="10" spans="2:19" ht="16" thickBot="1">
      <c r="B10" s="1" t="s">
        <v>0</v>
      </c>
      <c r="C10" s="107" t="s">
        <v>1</v>
      </c>
      <c r="D10" s="107"/>
      <c r="E10" s="107"/>
      <c r="F10" s="107"/>
      <c r="G10" s="107"/>
      <c r="H10" s="107"/>
      <c r="I10" s="107"/>
      <c r="J10" s="108"/>
      <c r="K10" s="2"/>
      <c r="L10" s="2"/>
      <c r="M10" s="2"/>
      <c r="N10" s="2"/>
      <c r="O10" s="2"/>
      <c r="P10" s="2"/>
      <c r="Q10" s="2"/>
      <c r="R10" s="2"/>
      <c r="S10" s="2"/>
    </row>
    <row r="11" spans="2:19" ht="16" thickBot="1">
      <c r="B11" s="3" t="s">
        <v>2</v>
      </c>
      <c r="C11" s="109" t="s">
        <v>3</v>
      </c>
      <c r="D11" s="105"/>
      <c r="E11" s="105"/>
      <c r="F11" s="105"/>
      <c r="G11" s="105"/>
      <c r="H11" s="105"/>
      <c r="I11" s="105"/>
      <c r="J11" s="106"/>
      <c r="K11" s="2"/>
      <c r="L11" s="2"/>
      <c r="M11" s="2"/>
      <c r="N11" s="2"/>
      <c r="O11" s="2"/>
      <c r="P11" s="2"/>
      <c r="Q11" s="2"/>
      <c r="R11" s="2"/>
      <c r="S11" s="2"/>
    </row>
    <row r="12" spans="2:19" ht="16" thickBot="1">
      <c r="B12" s="3" t="s">
        <v>4</v>
      </c>
      <c r="C12" s="105" t="s">
        <v>5</v>
      </c>
      <c r="D12" s="105"/>
      <c r="E12" s="105"/>
      <c r="F12" s="105"/>
      <c r="G12" s="105"/>
      <c r="H12" s="105"/>
      <c r="I12" s="105"/>
      <c r="J12" s="106"/>
      <c r="K12" s="2"/>
      <c r="L12" s="2"/>
      <c r="M12" s="2"/>
      <c r="N12" s="2"/>
      <c r="O12" s="2"/>
      <c r="P12" s="2"/>
      <c r="Q12" s="2"/>
      <c r="R12" s="2"/>
      <c r="S12" s="2"/>
    </row>
    <row r="13" spans="2:19" ht="28" customHeight="1" thickBot="1">
      <c r="B13" s="3" t="s">
        <v>6</v>
      </c>
      <c r="C13" s="105" t="s">
        <v>7</v>
      </c>
      <c r="D13" s="105"/>
      <c r="E13" s="105"/>
      <c r="F13" s="105"/>
      <c r="G13" s="105"/>
      <c r="H13" s="105"/>
      <c r="I13" s="105"/>
      <c r="J13" s="106"/>
      <c r="K13" s="2"/>
      <c r="L13" s="2"/>
      <c r="M13" s="2"/>
      <c r="N13" s="2"/>
      <c r="O13" s="2"/>
      <c r="P13" s="2"/>
      <c r="Q13" s="2"/>
      <c r="R13" s="2"/>
      <c r="S13" s="2"/>
    </row>
    <row r="14" spans="2:19" ht="23.15" customHeight="1" thickBot="1">
      <c r="B14" s="3" t="s">
        <v>8</v>
      </c>
      <c r="C14" s="105" t="s">
        <v>9</v>
      </c>
      <c r="D14" s="105"/>
      <c r="E14" s="105"/>
      <c r="F14" s="105"/>
      <c r="G14" s="105"/>
      <c r="H14" s="105"/>
      <c r="I14" s="105"/>
      <c r="J14" s="106"/>
      <c r="K14" s="2"/>
      <c r="L14" s="2"/>
      <c r="M14" s="2"/>
      <c r="N14" s="2"/>
      <c r="O14" s="2"/>
      <c r="P14" s="2"/>
      <c r="Q14" s="2"/>
      <c r="R14" s="2"/>
      <c r="S14" s="2"/>
    </row>
    <row r="15" spans="2:19" ht="16" thickBot="1">
      <c r="B15" s="3" t="s">
        <v>10</v>
      </c>
      <c r="C15" s="105" t="s">
        <v>11</v>
      </c>
      <c r="D15" s="105"/>
      <c r="E15" s="105"/>
      <c r="F15" s="105"/>
      <c r="G15" s="105"/>
      <c r="H15" s="105"/>
      <c r="I15" s="105"/>
      <c r="J15" s="106"/>
      <c r="K15" s="2"/>
      <c r="L15" s="2"/>
      <c r="M15" s="2"/>
      <c r="N15" s="2"/>
      <c r="O15" s="2"/>
      <c r="P15" s="2"/>
      <c r="Q15" s="2"/>
      <c r="R15" s="2"/>
      <c r="S15" s="2"/>
    </row>
    <row r="16" spans="2:19" ht="16" thickBot="1">
      <c r="B16" s="3" t="s">
        <v>12</v>
      </c>
      <c r="C16" s="105" t="s">
        <v>13</v>
      </c>
      <c r="D16" s="105"/>
      <c r="E16" s="105"/>
      <c r="F16" s="105"/>
      <c r="G16" s="105"/>
      <c r="H16" s="105"/>
      <c r="I16" s="105"/>
      <c r="J16" s="106"/>
      <c r="K16" s="2"/>
      <c r="L16" s="2"/>
      <c r="M16" s="2"/>
      <c r="N16" s="2"/>
      <c r="O16" s="2"/>
      <c r="P16" s="2"/>
      <c r="Q16" s="2"/>
      <c r="R16" s="2"/>
      <c r="S16" s="2"/>
    </row>
    <row r="17" spans="1:24" ht="16" thickBot="1">
      <c r="B17" s="3" t="s">
        <v>14</v>
      </c>
      <c r="C17" s="112" t="s">
        <v>15</v>
      </c>
      <c r="D17" s="113"/>
      <c r="E17" s="113"/>
      <c r="F17" s="113"/>
      <c r="G17" s="113"/>
      <c r="H17" s="113"/>
      <c r="I17" s="113"/>
      <c r="J17" s="114"/>
      <c r="K17" s="2"/>
      <c r="L17" s="2"/>
      <c r="M17" s="2"/>
      <c r="N17" s="2"/>
      <c r="O17" s="2"/>
      <c r="P17" s="2"/>
      <c r="Q17" s="2"/>
      <c r="R17" s="2"/>
      <c r="S17" s="2"/>
    </row>
    <row r="18" spans="1:24" ht="15" thickBot="1"/>
    <row r="19" spans="1:24" ht="15" customHeight="1">
      <c r="B19" s="115" t="s">
        <v>16</v>
      </c>
      <c r="C19" s="117" t="s">
        <v>17</v>
      </c>
      <c r="D19" s="117" t="s">
        <v>18</v>
      </c>
      <c r="E19" s="117" t="s">
        <v>19</v>
      </c>
      <c r="F19" s="117" t="s">
        <v>20</v>
      </c>
      <c r="G19" s="117" t="s">
        <v>21</v>
      </c>
      <c r="H19" s="117" t="s">
        <v>22</v>
      </c>
      <c r="I19" s="117" t="s">
        <v>23</v>
      </c>
      <c r="J19" s="110" t="s">
        <v>24</v>
      </c>
      <c r="K19" s="4"/>
      <c r="L19" s="4"/>
      <c r="M19" s="4"/>
      <c r="N19" s="4"/>
      <c r="O19" s="4"/>
      <c r="P19" s="4"/>
      <c r="Q19" s="4"/>
      <c r="R19" s="4"/>
      <c r="S19" s="4"/>
    </row>
    <row r="20" spans="1:24" ht="41.5" customHeight="1" thickBot="1">
      <c r="B20" s="116"/>
      <c r="C20" s="118"/>
      <c r="D20" s="118"/>
      <c r="E20" s="118"/>
      <c r="F20" s="118"/>
      <c r="G20" s="118"/>
      <c r="H20" s="118"/>
      <c r="I20" s="118"/>
      <c r="J20" s="111"/>
      <c r="K20" s="4"/>
      <c r="L20" s="4"/>
      <c r="M20" s="4"/>
      <c r="N20" s="4"/>
      <c r="O20" s="4"/>
      <c r="P20" s="4"/>
      <c r="Q20" s="4"/>
      <c r="R20" s="4"/>
      <c r="S20" s="4"/>
    </row>
    <row r="21" spans="1:24" ht="15" thickBot="1">
      <c r="A21" s="5" t="s">
        <v>25</v>
      </c>
      <c r="B21" s="6" t="s">
        <v>26</v>
      </c>
      <c r="C21" s="7">
        <v>370028.68800000002</v>
      </c>
      <c r="D21" s="8"/>
      <c r="E21" s="9">
        <v>5912.2219999999988</v>
      </c>
      <c r="F21" s="9">
        <v>33147.30999999999</v>
      </c>
      <c r="G21" s="9">
        <v>49103.44999999999</v>
      </c>
      <c r="H21" s="9">
        <v>88162.981999999989</v>
      </c>
      <c r="I21" s="9">
        <v>281865.70600000001</v>
      </c>
      <c r="J21" s="10">
        <v>0.23825985621958043</v>
      </c>
      <c r="K21" s="11"/>
      <c r="L21" s="12"/>
      <c r="M21" s="13"/>
      <c r="N21" s="13"/>
      <c r="O21" s="13"/>
      <c r="P21" s="13"/>
      <c r="Q21" s="13"/>
      <c r="R21" s="13"/>
      <c r="S21" s="13"/>
      <c r="U21" t="s">
        <v>25</v>
      </c>
      <c r="V21" t="s">
        <v>27</v>
      </c>
      <c r="W21" t="s">
        <v>28</v>
      </c>
      <c r="X21" t="s">
        <v>29</v>
      </c>
    </row>
    <row r="22" spans="1:24" ht="26.5" thickBot="1">
      <c r="B22" s="14" t="s">
        <v>30</v>
      </c>
      <c r="C22" s="15">
        <v>31202.167699660149</v>
      </c>
      <c r="D22" s="16"/>
      <c r="E22" s="17"/>
      <c r="F22" s="17"/>
      <c r="G22" s="17"/>
      <c r="H22" s="17">
        <v>0</v>
      </c>
      <c r="I22" s="17">
        <v>31202.167699660149</v>
      </c>
      <c r="J22" s="18">
        <v>0</v>
      </c>
      <c r="K22" s="11"/>
      <c r="L22" s="12"/>
      <c r="M22" s="19"/>
      <c r="N22" s="19"/>
      <c r="O22" s="19"/>
      <c r="P22" s="19"/>
      <c r="Q22" s="19"/>
      <c r="R22" s="19"/>
      <c r="S22" s="19"/>
    </row>
    <row r="23" spans="1:24" ht="26.5" thickBot="1">
      <c r="B23" s="20" t="s">
        <v>31</v>
      </c>
      <c r="C23" s="7">
        <v>78248.727272727279</v>
      </c>
      <c r="D23" s="21"/>
      <c r="E23" s="9"/>
      <c r="F23" s="9"/>
      <c r="G23" s="9">
        <v>16477.260000000002</v>
      </c>
      <c r="H23" s="9">
        <v>16477.260000000002</v>
      </c>
      <c r="I23" s="9">
        <v>61771.467272727277</v>
      </c>
      <c r="J23" s="10">
        <v>0.2105754377648896</v>
      </c>
      <c r="K23" s="11"/>
      <c r="L23" s="12"/>
      <c r="M23" s="13"/>
      <c r="N23" s="13"/>
      <c r="O23" s="13"/>
      <c r="P23" s="13"/>
      <c r="Q23" s="13"/>
      <c r="R23" s="13"/>
      <c r="S23" s="13"/>
      <c r="U23" t="s">
        <v>32</v>
      </c>
    </row>
    <row r="24" spans="1:24" ht="15" thickBot="1">
      <c r="B24" s="14" t="s">
        <v>33</v>
      </c>
      <c r="C24" s="22">
        <v>28502.167699660149</v>
      </c>
      <c r="D24" s="22"/>
      <c r="E24" s="17"/>
      <c r="F24" s="17"/>
      <c r="G24" s="17"/>
      <c r="H24" s="17">
        <v>0</v>
      </c>
      <c r="I24" s="17">
        <v>28502.167699660149</v>
      </c>
      <c r="J24" s="18">
        <v>0</v>
      </c>
      <c r="K24" s="11"/>
      <c r="L24" s="12"/>
      <c r="M24" s="23"/>
      <c r="N24" s="23"/>
      <c r="O24" s="23"/>
      <c r="P24" s="23"/>
      <c r="Q24" s="23"/>
      <c r="R24" s="23"/>
      <c r="S24" s="23"/>
    </row>
    <row r="25" spans="1:24" ht="26.5" thickBot="1">
      <c r="A25" s="5" t="s">
        <v>28</v>
      </c>
      <c r="B25" s="20" t="s">
        <v>34</v>
      </c>
      <c r="C25" s="24">
        <v>100676.26489056923</v>
      </c>
      <c r="D25" s="8"/>
      <c r="E25" s="9"/>
      <c r="F25" s="9">
        <v>11008.570000000002</v>
      </c>
      <c r="G25" s="9">
        <v>5070.3</v>
      </c>
      <c r="H25" s="9">
        <v>16078.870000000003</v>
      </c>
      <c r="I25" s="9">
        <v>84597.394890569238</v>
      </c>
      <c r="J25" s="10">
        <v>0.1597086464965406</v>
      </c>
      <c r="K25" s="11"/>
      <c r="L25" s="12">
        <f>65913-G26</f>
        <v>0</v>
      </c>
      <c r="M25" s="13"/>
      <c r="N25" s="13"/>
      <c r="O25" s="13"/>
      <c r="P25" s="13"/>
      <c r="Q25" s="13"/>
      <c r="R25" s="13"/>
      <c r="S25" s="13"/>
      <c r="U25" t="s">
        <v>35</v>
      </c>
      <c r="V25" t="s">
        <v>36</v>
      </c>
      <c r="W25" t="s">
        <v>37</v>
      </c>
    </row>
    <row r="26" spans="1:24" ht="26.5" thickBot="1">
      <c r="A26" s="5"/>
      <c r="B26" s="14" t="s">
        <v>38</v>
      </c>
      <c r="C26" s="25">
        <v>915634</v>
      </c>
      <c r="D26" s="22"/>
      <c r="E26" s="17"/>
      <c r="F26" s="17"/>
      <c r="G26" s="17">
        <v>65912.999999999985</v>
      </c>
      <c r="H26" s="17">
        <v>65912.999999999985</v>
      </c>
      <c r="I26" s="17">
        <v>849721</v>
      </c>
      <c r="J26" s="18">
        <v>7.1986186620418183E-2</v>
      </c>
      <c r="K26" s="11"/>
      <c r="L26" s="12"/>
      <c r="M26" s="13"/>
      <c r="N26" s="13"/>
      <c r="O26" s="13"/>
      <c r="P26" s="13"/>
      <c r="Q26" s="13"/>
      <c r="R26" s="13"/>
      <c r="S26" s="13"/>
      <c r="U26" t="s">
        <v>39</v>
      </c>
    </row>
    <row r="27" spans="1:24" ht="26.5" thickBot="1">
      <c r="A27" s="5" t="s">
        <v>27</v>
      </c>
      <c r="B27" s="20" t="s">
        <v>40</v>
      </c>
      <c r="C27" s="7">
        <v>204679.95085386577</v>
      </c>
      <c r="D27" s="8"/>
      <c r="E27" s="9">
        <v>380.61</v>
      </c>
      <c r="F27" s="9">
        <v>67328.939999999988</v>
      </c>
      <c r="G27" s="9">
        <v>21445.730000000007</v>
      </c>
      <c r="H27" s="9">
        <v>89155.28</v>
      </c>
      <c r="I27" s="9">
        <v>115524.67085386577</v>
      </c>
      <c r="J27" s="10">
        <v>0.43558384506186298</v>
      </c>
      <c r="K27" s="11"/>
      <c r="L27" s="12"/>
      <c r="M27" s="13"/>
      <c r="N27" s="13"/>
      <c r="O27" s="13"/>
      <c r="P27" s="13"/>
      <c r="Q27" s="13"/>
      <c r="R27" s="13"/>
      <c r="S27" s="13"/>
      <c r="U27" t="s">
        <v>41</v>
      </c>
      <c r="V27" t="s">
        <v>42</v>
      </c>
      <c r="W27" t="s">
        <v>43</v>
      </c>
    </row>
    <row r="28" spans="1:24" ht="15" thickBot="1">
      <c r="B28" s="26" t="s">
        <v>44</v>
      </c>
      <c r="C28" s="27">
        <v>1728971.9664164826</v>
      </c>
      <c r="D28" s="27">
        <f>SUM(D21:D27)</f>
        <v>0</v>
      </c>
      <c r="E28" s="28">
        <v>6292.8319999999985</v>
      </c>
      <c r="F28" s="28">
        <v>111484.81999999998</v>
      </c>
      <c r="G28" s="28">
        <v>158009.74</v>
      </c>
      <c r="H28" s="28">
        <v>275787.39199999999</v>
      </c>
      <c r="I28" s="28">
        <v>1453184.5744164826</v>
      </c>
      <c r="J28" s="29">
        <v>0.15950946421161757</v>
      </c>
      <c r="K28" s="11"/>
      <c r="L28" s="12"/>
      <c r="M28" s="30"/>
      <c r="N28" s="13"/>
      <c r="O28" s="13"/>
      <c r="P28" s="13"/>
      <c r="Q28" s="13"/>
      <c r="R28" s="13"/>
      <c r="S28" s="13"/>
    </row>
    <row r="29" spans="1:24" ht="15" thickBot="1">
      <c r="B29" s="20" t="s">
        <v>45</v>
      </c>
      <c r="C29" s="31">
        <v>121028.03764915379</v>
      </c>
      <c r="D29" s="31">
        <f>D28*7%</f>
        <v>0</v>
      </c>
      <c r="E29" s="9">
        <v>440.49823999999995</v>
      </c>
      <c r="F29" s="9">
        <v>7803.9373999999989</v>
      </c>
      <c r="G29" s="9">
        <v>11060.6818</v>
      </c>
      <c r="H29" s="9">
        <v>19305.117440000002</v>
      </c>
      <c r="I29" s="9">
        <v>101722.92020915379</v>
      </c>
      <c r="J29" s="10">
        <v>0.15950946421161757</v>
      </c>
      <c r="K29" s="11"/>
      <c r="L29" s="12"/>
      <c r="M29" s="30"/>
      <c r="N29" s="13"/>
      <c r="O29" s="13"/>
      <c r="P29" s="13"/>
      <c r="Q29" s="13"/>
      <c r="R29" s="13"/>
      <c r="S29" s="13"/>
    </row>
    <row r="30" spans="1:24" ht="15" thickBot="1">
      <c r="B30" s="32" t="s">
        <v>46</v>
      </c>
      <c r="C30" s="33">
        <v>1850000.0040656363</v>
      </c>
      <c r="D30" s="33">
        <f>D28+D29</f>
        <v>0</v>
      </c>
      <c r="E30" s="34">
        <v>6733.3302399999984</v>
      </c>
      <c r="F30" s="34">
        <v>119288.75739999997</v>
      </c>
      <c r="G30" s="34">
        <v>169070.42179999998</v>
      </c>
      <c r="H30" s="34">
        <v>295092.50943999994</v>
      </c>
      <c r="I30" s="34">
        <v>1554907.4946256364</v>
      </c>
      <c r="J30" s="35">
        <v>0.15950946421161755</v>
      </c>
      <c r="K30" s="11"/>
      <c r="L30" s="12"/>
      <c r="M30" s="36"/>
      <c r="N30" s="13"/>
      <c r="O30" s="13"/>
      <c r="P30" s="13"/>
      <c r="Q30" s="13"/>
      <c r="R30" s="13"/>
      <c r="S30" s="13"/>
    </row>
    <row r="31" spans="1:24">
      <c r="C31" s="37"/>
    </row>
    <row r="32" spans="1:24">
      <c r="C32" s="37"/>
      <c r="D32" s="38"/>
      <c r="E32" s="39"/>
      <c r="F32" s="39"/>
      <c r="H32" s="40">
        <f>'[1]CARE july-september 23'!R1275+'[1]CARE Guinea April-June23'!BZ1054+'[1]CARE Guinea Jan-March23'!R295</f>
        <v>270591.55999999971</v>
      </c>
      <c r="I32" s="41" t="s">
        <v>47</v>
      </c>
    </row>
    <row r="33" spans="3:9">
      <c r="C33" s="37"/>
      <c r="H33" s="40">
        <f>'[1]CIUK Data as of Sept''23'!U60</f>
        <v>5195.8320000000003</v>
      </c>
      <c r="I33" s="42" t="s">
        <v>48</v>
      </c>
    </row>
    <row r="34" spans="3:9">
      <c r="C34" s="37"/>
      <c r="H34" s="38">
        <f>(H32+H33)*7%</f>
        <v>19305.11743999998</v>
      </c>
      <c r="I34" s="42" t="s">
        <v>49</v>
      </c>
    </row>
    <row r="35" spans="3:9">
      <c r="H35" s="43">
        <f>SUM(H32:H34)</f>
        <v>295092.5094399997</v>
      </c>
      <c r="I35" s="42" t="b">
        <f>H35=H30</f>
        <v>1</v>
      </c>
    </row>
  </sheetData>
  <mergeCells count="17">
    <mergeCell ref="J19:J20"/>
    <mergeCell ref="C16:J16"/>
    <mergeCell ref="C17:J17"/>
    <mergeCell ref="B19:B20"/>
    <mergeCell ref="C19:C20"/>
    <mergeCell ref="D19:D20"/>
    <mergeCell ref="E19:E20"/>
    <mergeCell ref="F19:F20"/>
    <mergeCell ref="G19:G20"/>
    <mergeCell ref="H19:H20"/>
    <mergeCell ref="I19:I20"/>
    <mergeCell ref="C15:J15"/>
    <mergeCell ref="C10:J10"/>
    <mergeCell ref="C11:J11"/>
    <mergeCell ref="C12:J12"/>
    <mergeCell ref="C13:J13"/>
    <mergeCell ref="C14:J14"/>
  </mergeCells>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32C6F-EA43-4651-B6A9-BE3EBFB1A246}">
  <sheetPr>
    <tabColor theme="5" tint="0.79998168889431442"/>
  </sheetPr>
  <dimension ref="A1:P73"/>
  <sheetViews>
    <sheetView showGridLines="0" showZeros="0" tabSelected="1" zoomScale="40" zoomScaleNormal="40" workbookViewId="0">
      <pane xSplit="2" ySplit="7" topLeftCell="C63" activePane="bottomRight" state="frozen"/>
      <selection pane="topRight" activeCell="C1" sqref="C1"/>
      <selection pane="bottomLeft" activeCell="A8" sqref="A8"/>
      <selection pane="bottomRight" activeCell="L5" sqref="L5"/>
    </sheetView>
  </sheetViews>
  <sheetFormatPr baseColWidth="10" defaultColWidth="9.1796875" defaultRowHeight="14.5"/>
  <cols>
    <col min="1" max="1" width="9.1796875" style="5"/>
    <col min="2" max="2" width="30.81640625" style="5" customWidth="1"/>
    <col min="3" max="3" width="61" style="5" customWidth="1"/>
    <col min="4" max="4" width="31.54296875" style="5" customWidth="1"/>
    <col min="5" max="9" width="24.1796875" style="5" customWidth="1"/>
    <col min="10" max="10" width="40.54296875" style="5" customWidth="1"/>
    <col min="11" max="11" width="23" style="5" hidden="1" customWidth="1"/>
    <col min="12" max="12" width="22.54296875" style="5" bestFit="1" customWidth="1"/>
    <col min="13" max="13" width="30.453125" style="49" customWidth="1"/>
    <col min="14" max="14" width="34.81640625" style="49" customWidth="1"/>
    <col min="15" max="15" width="52.81640625" style="5" customWidth="1"/>
    <col min="16" max="16" width="18.81640625" style="5" customWidth="1"/>
    <col min="17" max="17" width="9.1796875" style="5"/>
    <col min="18" max="18" width="17.81640625" style="5" customWidth="1"/>
    <col min="19" max="19" width="26.453125" style="5" customWidth="1"/>
    <col min="20" max="20" width="22.453125" style="5" customWidth="1"/>
    <col min="21" max="21" width="29.81640625" style="5" customWidth="1"/>
    <col min="22" max="22" width="23.453125" style="5" customWidth="1"/>
    <col min="23" max="23" width="18.453125" style="5" customWidth="1"/>
    <col min="24" max="24" width="17.453125" style="5" customWidth="1"/>
    <col min="25" max="25" width="25.1796875" style="5" customWidth="1"/>
    <col min="26" max="16384" width="9.1796875" style="5"/>
  </cols>
  <sheetData>
    <row r="1" spans="1:16" ht="30.75" customHeight="1">
      <c r="B1" s="121" t="s">
        <v>50</v>
      </c>
      <c r="C1" s="121"/>
      <c r="D1" s="121"/>
      <c r="E1" s="44"/>
      <c r="F1" s="44"/>
      <c r="G1" s="44"/>
      <c r="H1" s="44"/>
      <c r="I1" s="44"/>
      <c r="J1" s="44"/>
      <c r="K1" s="45"/>
      <c r="L1" s="46"/>
      <c r="M1" s="47"/>
      <c r="N1" s="47"/>
      <c r="O1" s="46"/>
    </row>
    <row r="2" spans="1:16" ht="15.5">
      <c r="B2" s="48" t="s">
        <v>51</v>
      </c>
    </row>
    <row r="3" spans="1:16" ht="27.25" customHeight="1">
      <c r="B3" s="122" t="s">
        <v>52</v>
      </c>
      <c r="C3" s="122"/>
      <c r="D3" s="122"/>
      <c r="E3" s="122"/>
      <c r="F3" s="122"/>
      <c r="G3" s="122"/>
      <c r="H3" s="122"/>
      <c r="I3" s="122"/>
      <c r="J3" s="122"/>
      <c r="K3" s="122"/>
      <c r="L3" s="122"/>
      <c r="M3" s="50"/>
      <c r="N3" s="50"/>
    </row>
    <row r="5" spans="1:16" ht="83.4" customHeight="1">
      <c r="B5" s="51" t="s">
        <v>53</v>
      </c>
      <c r="C5" s="51" t="s">
        <v>54</v>
      </c>
      <c r="D5" s="52" t="s">
        <v>55</v>
      </c>
      <c r="E5" s="53" t="s">
        <v>56</v>
      </c>
      <c r="F5" s="53" t="s">
        <v>57</v>
      </c>
      <c r="G5" s="53" t="s">
        <v>21</v>
      </c>
      <c r="H5" s="52" t="s">
        <v>58</v>
      </c>
      <c r="I5" s="52" t="s">
        <v>23</v>
      </c>
      <c r="J5" s="52" t="s">
        <v>24</v>
      </c>
      <c r="K5" s="54" t="s">
        <v>59</v>
      </c>
      <c r="L5" s="51" t="s">
        <v>60</v>
      </c>
      <c r="M5" s="51" t="s">
        <v>61</v>
      </c>
      <c r="N5" s="55" t="s">
        <v>62</v>
      </c>
      <c r="O5" s="51" t="s">
        <v>63</v>
      </c>
      <c r="P5" s="56"/>
    </row>
    <row r="6" spans="1:16" ht="32.15" customHeight="1">
      <c r="B6" s="57" t="s">
        <v>64</v>
      </c>
      <c r="C6" s="123" t="s">
        <v>65</v>
      </c>
      <c r="D6" s="123"/>
      <c r="E6" s="123"/>
      <c r="F6" s="123"/>
      <c r="G6" s="123"/>
      <c r="H6" s="123"/>
      <c r="I6" s="123"/>
      <c r="J6" s="123"/>
      <c r="K6" s="123"/>
      <c r="L6" s="123"/>
      <c r="M6" s="120"/>
      <c r="N6" s="120"/>
      <c r="O6" s="123"/>
      <c r="P6" s="58"/>
    </row>
    <row r="7" spans="1:16" ht="24" customHeight="1">
      <c r="B7" s="57" t="s">
        <v>66</v>
      </c>
      <c r="C7" s="123" t="s">
        <v>67</v>
      </c>
      <c r="D7" s="123"/>
      <c r="E7" s="123"/>
      <c r="F7" s="123"/>
      <c r="G7" s="123"/>
      <c r="H7" s="123"/>
      <c r="I7" s="123"/>
      <c r="J7" s="123"/>
      <c r="K7" s="123"/>
      <c r="L7" s="123"/>
      <c r="M7" s="120"/>
      <c r="N7" s="120"/>
      <c r="O7" s="123"/>
      <c r="P7" s="59"/>
    </row>
    <row r="8" spans="1:16" ht="39" customHeight="1">
      <c r="B8" s="60" t="s">
        <v>68</v>
      </c>
      <c r="C8" s="61" t="s">
        <v>69</v>
      </c>
      <c r="D8" s="62">
        <v>20000</v>
      </c>
      <c r="E8" s="62"/>
      <c r="F8" s="62">
        <v>12028.81</v>
      </c>
      <c r="G8" s="62">
        <v>6705.8200000000006</v>
      </c>
      <c r="H8" s="62">
        <v>18734.63</v>
      </c>
      <c r="I8" s="62">
        <v>1265.369999999999</v>
      </c>
      <c r="J8" s="63">
        <v>0.93673150000000005</v>
      </c>
      <c r="K8" s="64">
        <f t="shared" ref="K8:K13" si="0">D8</f>
        <v>20000</v>
      </c>
      <c r="L8" s="63">
        <v>0.5</v>
      </c>
      <c r="M8" s="62"/>
      <c r="N8" s="62"/>
      <c r="O8" s="65"/>
      <c r="P8" s="66"/>
    </row>
    <row r="9" spans="1:16" ht="54" customHeight="1">
      <c r="B9" s="60" t="s">
        <v>70</v>
      </c>
      <c r="C9" s="67" t="s">
        <v>71</v>
      </c>
      <c r="D9" s="62">
        <v>15000</v>
      </c>
      <c r="E9" s="62"/>
      <c r="F9" s="62"/>
      <c r="G9" s="62"/>
      <c r="H9" s="62">
        <v>0</v>
      </c>
      <c r="I9" s="62">
        <v>15000</v>
      </c>
      <c r="J9" s="63">
        <v>0</v>
      </c>
      <c r="K9" s="64">
        <f t="shared" si="0"/>
        <v>15000</v>
      </c>
      <c r="L9" s="63">
        <v>1</v>
      </c>
      <c r="M9" s="62"/>
      <c r="N9" s="62"/>
      <c r="O9" s="65"/>
      <c r="P9" s="66"/>
    </row>
    <row r="10" spans="1:16" ht="95.25" customHeight="1">
      <c r="B10" s="60" t="s">
        <v>72</v>
      </c>
      <c r="C10" s="67" t="s">
        <v>73</v>
      </c>
      <c r="D10" s="62">
        <v>20000</v>
      </c>
      <c r="E10" s="62"/>
      <c r="F10" s="62"/>
      <c r="G10" s="62"/>
      <c r="H10" s="62">
        <v>0</v>
      </c>
      <c r="I10" s="62">
        <v>20000</v>
      </c>
      <c r="J10" s="63">
        <v>0</v>
      </c>
      <c r="K10" s="64">
        <f t="shared" si="0"/>
        <v>20000</v>
      </c>
      <c r="L10" s="63">
        <v>1</v>
      </c>
      <c r="M10" s="62"/>
      <c r="N10" s="62"/>
      <c r="O10" s="65"/>
      <c r="P10" s="66"/>
    </row>
    <row r="11" spans="1:16" ht="46.5" customHeight="1">
      <c r="B11" s="60" t="s">
        <v>74</v>
      </c>
      <c r="C11" s="68" t="s">
        <v>75</v>
      </c>
      <c r="D11" s="62">
        <v>15000</v>
      </c>
      <c r="E11" s="62"/>
      <c r="F11" s="62"/>
      <c r="G11" s="62">
        <v>7897.98</v>
      </c>
      <c r="H11" s="62">
        <v>7897.98</v>
      </c>
      <c r="I11" s="62">
        <v>7102.02</v>
      </c>
      <c r="J11" s="63">
        <v>0.526532</v>
      </c>
      <c r="K11" s="64">
        <f t="shared" si="0"/>
        <v>15000</v>
      </c>
      <c r="L11" s="63">
        <v>1</v>
      </c>
      <c r="M11" s="62"/>
      <c r="N11" s="62"/>
      <c r="O11" s="65"/>
      <c r="P11" s="66"/>
    </row>
    <row r="12" spans="1:16" ht="112.5" customHeight="1">
      <c r="B12" s="60" t="s">
        <v>76</v>
      </c>
      <c r="C12" s="67" t="s">
        <v>77</v>
      </c>
      <c r="D12" s="62">
        <v>20000</v>
      </c>
      <c r="E12" s="62"/>
      <c r="F12" s="62"/>
      <c r="G12" s="62">
        <v>16477.260000000002</v>
      </c>
      <c r="H12" s="62">
        <v>16477.260000000002</v>
      </c>
      <c r="I12" s="62">
        <v>3522.739999999998</v>
      </c>
      <c r="J12" s="63">
        <v>0.82386300000000012</v>
      </c>
      <c r="K12" s="64">
        <f t="shared" si="0"/>
        <v>20000</v>
      </c>
      <c r="L12" s="63">
        <v>1</v>
      </c>
      <c r="M12" s="62"/>
      <c r="N12" s="62"/>
      <c r="O12" s="65"/>
      <c r="P12" s="66"/>
    </row>
    <row r="13" spans="1:16" ht="81.650000000000006" customHeight="1">
      <c r="B13" s="60" t="s">
        <v>78</v>
      </c>
      <c r="C13" s="67" t="s">
        <v>79</v>
      </c>
      <c r="D13" s="62">
        <v>10000</v>
      </c>
      <c r="E13" s="62"/>
      <c r="F13" s="62"/>
      <c r="G13" s="62"/>
      <c r="H13" s="62">
        <v>0</v>
      </c>
      <c r="I13" s="62">
        <v>10000</v>
      </c>
      <c r="J13" s="63">
        <v>0</v>
      </c>
      <c r="K13" s="64">
        <f t="shared" si="0"/>
        <v>10000</v>
      </c>
      <c r="L13" s="63">
        <v>0.8</v>
      </c>
      <c r="M13" s="62"/>
      <c r="N13" s="62"/>
      <c r="O13" s="65"/>
      <c r="P13" s="66"/>
    </row>
    <row r="14" spans="1:16" ht="15.5">
      <c r="A14" s="69"/>
      <c r="C14" s="70" t="s">
        <v>80</v>
      </c>
      <c r="D14" s="71">
        <f>SUM(D8:D13)</f>
        <v>100000</v>
      </c>
      <c r="E14" s="71">
        <f t="shared" ref="E14" si="1">SUM(E8:E13)</f>
        <v>0</v>
      </c>
      <c r="F14" s="71">
        <f>SUM(F8:F13)</f>
        <v>12028.81</v>
      </c>
      <c r="G14" s="71">
        <f>SUM(G8:G13)</f>
        <v>31081.06</v>
      </c>
      <c r="H14" s="71">
        <f>SUM(H8:H13)</f>
        <v>43109.87</v>
      </c>
      <c r="I14" s="71">
        <f>+D14-H14</f>
        <v>56890.13</v>
      </c>
      <c r="J14" s="72">
        <f>+H14/D14</f>
        <v>0.4310987</v>
      </c>
      <c r="K14" s="71">
        <f>SUM(K8:K13)</f>
        <v>100000</v>
      </c>
      <c r="L14" s="71">
        <f>(L8*K8)+(L9*K9)+(L10*K10)+(L11*K11)+(L12*K12)+(L13*K13)</f>
        <v>88000</v>
      </c>
      <c r="M14" s="71">
        <f>SUM(M8:M13)</f>
        <v>0</v>
      </c>
      <c r="N14" s="71"/>
      <c r="O14" s="73"/>
      <c r="P14" s="74"/>
    </row>
    <row r="15" spans="1:16" ht="29.5" customHeight="1">
      <c r="A15" s="69"/>
      <c r="B15" s="57" t="s">
        <v>81</v>
      </c>
      <c r="C15" s="119" t="s">
        <v>82</v>
      </c>
      <c r="D15" s="119"/>
      <c r="E15" s="119"/>
      <c r="F15" s="119"/>
      <c r="G15" s="119"/>
      <c r="H15" s="119"/>
      <c r="I15" s="119"/>
      <c r="J15" s="119"/>
      <c r="K15" s="119"/>
      <c r="L15" s="119"/>
      <c r="M15" s="120"/>
      <c r="N15" s="120"/>
      <c r="O15" s="119"/>
      <c r="P15" s="59"/>
    </row>
    <row r="16" spans="1:16" ht="52.5" customHeight="1">
      <c r="A16" s="69"/>
      <c r="B16" s="60" t="s">
        <v>83</v>
      </c>
      <c r="C16" s="67" t="s">
        <v>84</v>
      </c>
      <c r="D16" s="62">
        <v>25000</v>
      </c>
      <c r="E16" s="62"/>
      <c r="F16" s="62"/>
      <c r="G16" s="62"/>
      <c r="H16" s="62">
        <v>0</v>
      </c>
      <c r="I16" s="62">
        <v>25000</v>
      </c>
      <c r="J16" s="63">
        <v>0</v>
      </c>
      <c r="K16" s="64">
        <f>D16</f>
        <v>25000</v>
      </c>
      <c r="L16" s="63">
        <v>0.8</v>
      </c>
      <c r="M16" s="62"/>
      <c r="N16" s="62"/>
      <c r="O16" s="65"/>
      <c r="P16" s="66"/>
    </row>
    <row r="17" spans="1:16" ht="31">
      <c r="A17" s="69"/>
      <c r="B17" s="60" t="s">
        <v>85</v>
      </c>
      <c r="C17" s="67" t="s">
        <v>86</v>
      </c>
      <c r="D17" s="75">
        <v>20000</v>
      </c>
      <c r="E17" s="75"/>
      <c r="F17" s="75"/>
      <c r="G17" s="75">
        <v>3150.91</v>
      </c>
      <c r="H17" s="62">
        <v>3150.91</v>
      </c>
      <c r="I17" s="62">
        <v>16849.09</v>
      </c>
      <c r="J17" s="63">
        <v>0.1575455</v>
      </c>
      <c r="K17" s="64">
        <f>D17</f>
        <v>20000</v>
      </c>
      <c r="L17" s="76">
        <v>0.5</v>
      </c>
      <c r="M17" s="62"/>
      <c r="N17" s="62"/>
      <c r="O17" s="65"/>
      <c r="P17" s="66"/>
    </row>
    <row r="18" spans="1:16" ht="56.15" customHeight="1">
      <c r="A18" s="69"/>
      <c r="B18" s="60" t="s">
        <v>87</v>
      </c>
      <c r="C18" s="67" t="s">
        <v>88</v>
      </c>
      <c r="D18" s="75">
        <v>30000</v>
      </c>
      <c r="E18" s="75"/>
      <c r="F18" s="75"/>
      <c r="G18" s="75">
        <v>1423.83</v>
      </c>
      <c r="H18" s="62">
        <v>1423.83</v>
      </c>
      <c r="I18" s="62">
        <v>28576.17</v>
      </c>
      <c r="J18" s="63">
        <v>4.7460999999999996E-2</v>
      </c>
      <c r="K18" s="64">
        <f>D18</f>
        <v>30000</v>
      </c>
      <c r="L18" s="76">
        <v>0.5</v>
      </c>
      <c r="M18" s="62"/>
      <c r="N18" s="62"/>
      <c r="O18" s="65"/>
      <c r="P18" s="66"/>
    </row>
    <row r="19" spans="1:16" ht="84.65" customHeight="1">
      <c r="A19" s="69"/>
      <c r="B19" s="60" t="s">
        <v>89</v>
      </c>
      <c r="C19" s="67" t="s">
        <v>90</v>
      </c>
      <c r="D19" s="75">
        <v>25000</v>
      </c>
      <c r="E19" s="75"/>
      <c r="F19" s="75"/>
      <c r="G19" s="75">
        <v>1291.73</v>
      </c>
      <c r="H19" s="62">
        <v>1291.73</v>
      </c>
      <c r="I19" s="62">
        <v>23708.27</v>
      </c>
      <c r="J19" s="63">
        <v>5.1669199999999998E-2</v>
      </c>
      <c r="K19" s="64">
        <f>D19</f>
        <v>25000</v>
      </c>
      <c r="L19" s="76">
        <v>0.5</v>
      </c>
      <c r="M19" s="62"/>
      <c r="N19" s="62"/>
      <c r="O19" s="65"/>
      <c r="P19" s="66"/>
    </row>
    <row r="20" spans="1:16" ht="15.5">
      <c r="A20" s="69"/>
      <c r="C20" s="70" t="s">
        <v>91</v>
      </c>
      <c r="D20" s="77">
        <f>SUM(D16:D19)</f>
        <v>100000</v>
      </c>
      <c r="E20" s="77">
        <f t="shared" ref="E20:G20" si="2">SUM(E16:E19)</f>
        <v>0</v>
      </c>
      <c r="F20" s="77">
        <f t="shared" si="2"/>
        <v>0</v>
      </c>
      <c r="G20" s="77">
        <f t="shared" si="2"/>
        <v>5866.4699999999993</v>
      </c>
      <c r="H20" s="77">
        <f>SUM(H16:H19)</f>
        <v>5866.4699999999993</v>
      </c>
      <c r="I20" s="71">
        <f>+D20-H20</f>
        <v>94133.53</v>
      </c>
      <c r="J20" s="78">
        <f>+H20/D20</f>
        <v>5.8664699999999993E-2</v>
      </c>
      <c r="K20" s="77">
        <f>SUM(K16:K19)</f>
        <v>100000</v>
      </c>
      <c r="L20" s="71">
        <f>(L16*K16)+(L17*K17)+(L18*K18)+(L19*K19)</f>
        <v>57500</v>
      </c>
      <c r="M20" s="71">
        <f>SUM(M16:M19)</f>
        <v>0</v>
      </c>
      <c r="N20" s="71"/>
      <c r="O20" s="73"/>
      <c r="P20" s="74"/>
    </row>
    <row r="21" spans="1:16" ht="51" customHeight="1">
      <c r="B21" s="70" t="s">
        <v>92</v>
      </c>
      <c r="C21" s="119" t="s">
        <v>93</v>
      </c>
      <c r="D21" s="119"/>
      <c r="E21" s="119"/>
      <c r="F21" s="119"/>
      <c r="G21" s="119"/>
      <c r="H21" s="119"/>
      <c r="I21" s="119"/>
      <c r="J21" s="119"/>
      <c r="K21" s="119"/>
      <c r="L21" s="119"/>
      <c r="M21" s="120"/>
      <c r="N21" s="120"/>
      <c r="O21" s="119"/>
      <c r="P21" s="58"/>
    </row>
    <row r="22" spans="1:16" ht="15.5">
      <c r="B22" s="57" t="s">
        <v>94</v>
      </c>
      <c r="C22" s="119" t="s">
        <v>95</v>
      </c>
      <c r="D22" s="119"/>
      <c r="E22" s="119"/>
      <c r="F22" s="119"/>
      <c r="G22" s="119"/>
      <c r="H22" s="119"/>
      <c r="I22" s="119"/>
      <c r="J22" s="119"/>
      <c r="K22" s="119"/>
      <c r="L22" s="119"/>
      <c r="M22" s="120"/>
      <c r="N22" s="120"/>
      <c r="O22" s="119"/>
      <c r="P22" s="59"/>
    </row>
    <row r="23" spans="1:16" ht="86.15" customHeight="1">
      <c r="B23" s="60" t="s">
        <v>96</v>
      </c>
      <c r="C23" s="67" t="s">
        <v>97</v>
      </c>
      <c r="D23" s="75">
        <v>15000</v>
      </c>
      <c r="E23" s="75"/>
      <c r="F23" s="75"/>
      <c r="G23" s="75"/>
      <c r="H23" s="62">
        <v>0</v>
      </c>
      <c r="I23" s="62">
        <v>15000</v>
      </c>
      <c r="J23" s="63">
        <v>0</v>
      </c>
      <c r="K23" s="64">
        <f>D23</f>
        <v>15000</v>
      </c>
      <c r="L23" s="76">
        <v>0.8</v>
      </c>
      <c r="M23" s="62"/>
      <c r="N23" s="62"/>
      <c r="O23" s="65"/>
      <c r="P23" s="66"/>
    </row>
    <row r="24" spans="1:16" ht="132" customHeight="1">
      <c r="B24" s="60" t="s">
        <v>98</v>
      </c>
      <c r="C24" s="68" t="s">
        <v>99</v>
      </c>
      <c r="D24" s="75">
        <v>50000</v>
      </c>
      <c r="E24" s="75"/>
      <c r="F24" s="75"/>
      <c r="G24" s="75">
        <v>13538.64</v>
      </c>
      <c r="H24" s="62">
        <v>13538.64</v>
      </c>
      <c r="I24" s="62">
        <v>36461.360000000001</v>
      </c>
      <c r="J24" s="63">
        <v>0.27077279999999998</v>
      </c>
      <c r="K24" s="64">
        <f>D24</f>
        <v>50000</v>
      </c>
      <c r="L24" s="76">
        <v>1</v>
      </c>
      <c r="M24" s="62"/>
      <c r="N24" s="62"/>
      <c r="O24" s="65"/>
      <c r="P24" s="66"/>
    </row>
    <row r="25" spans="1:16" ht="31">
      <c r="B25" s="60" t="s">
        <v>100</v>
      </c>
      <c r="C25" s="67" t="s">
        <v>101</v>
      </c>
      <c r="D25" s="62">
        <v>15000</v>
      </c>
      <c r="E25" s="62"/>
      <c r="F25" s="62"/>
      <c r="G25" s="62"/>
      <c r="H25" s="62">
        <v>0</v>
      </c>
      <c r="I25" s="62">
        <v>15000</v>
      </c>
      <c r="J25" s="63">
        <v>0</v>
      </c>
      <c r="K25" s="64">
        <f>D25</f>
        <v>15000</v>
      </c>
      <c r="L25" s="63">
        <v>0.8</v>
      </c>
      <c r="M25" s="62"/>
      <c r="N25" s="62"/>
      <c r="O25" s="65"/>
      <c r="P25" s="66"/>
    </row>
    <row r="26" spans="1:16" s="69" customFormat="1" ht="15.5">
      <c r="A26" s="5"/>
      <c r="B26" s="5"/>
      <c r="C26" s="70" t="s">
        <v>102</v>
      </c>
      <c r="D26" s="71">
        <f>SUM(D23:D25)</f>
        <v>80000</v>
      </c>
      <c r="E26" s="77"/>
      <c r="F26" s="77"/>
      <c r="G26" s="77">
        <f>SUM(G23:G25)</f>
        <v>13538.64</v>
      </c>
      <c r="H26" s="77">
        <f>SUM(H23:H25)</f>
        <v>13538.64</v>
      </c>
      <c r="I26" s="77">
        <f>SUM(I23:I25)</f>
        <v>66461.36</v>
      </c>
      <c r="J26" s="78">
        <f>+H26/D26</f>
        <v>0.16923299999999999</v>
      </c>
      <c r="K26" s="77">
        <f>SUM(K23:K25)</f>
        <v>80000</v>
      </c>
      <c r="L26" s="71">
        <f>(L23*K23)+(L24*K24)+(L25*K25)</f>
        <v>74000</v>
      </c>
      <c r="M26" s="71">
        <f>SUM(M23:M25)</f>
        <v>0</v>
      </c>
      <c r="N26" s="71"/>
      <c r="O26" s="73"/>
      <c r="P26" s="74"/>
    </row>
    <row r="27" spans="1:16" ht="34.5" customHeight="1">
      <c r="B27" s="57" t="s">
        <v>103</v>
      </c>
      <c r="C27" s="119" t="s">
        <v>104</v>
      </c>
      <c r="D27" s="119"/>
      <c r="E27" s="119"/>
      <c r="F27" s="119"/>
      <c r="G27" s="119"/>
      <c r="H27" s="119"/>
      <c r="I27" s="119"/>
      <c r="J27" s="119"/>
      <c r="K27" s="119"/>
      <c r="L27" s="119"/>
      <c r="M27" s="120"/>
      <c r="N27" s="120"/>
      <c r="O27" s="119"/>
      <c r="P27" s="59"/>
    </row>
    <row r="28" spans="1:16" ht="109.5" customHeight="1">
      <c r="B28" s="60" t="s">
        <v>105</v>
      </c>
      <c r="C28" s="68" t="s">
        <v>106</v>
      </c>
      <c r="D28" s="75">
        <f>30000+30000+35000</f>
        <v>95000</v>
      </c>
      <c r="E28" s="75"/>
      <c r="F28" s="75"/>
      <c r="G28" s="75">
        <v>16713.09</v>
      </c>
      <c r="H28" s="62">
        <f>SUM(E28:G28)</f>
        <v>16713.09</v>
      </c>
      <c r="I28" s="62">
        <f t="shared" ref="I28:I29" si="3">D28-H28</f>
        <v>78286.91</v>
      </c>
      <c r="J28" s="63">
        <f>H28/D28</f>
        <v>0.17592726315789473</v>
      </c>
      <c r="K28" s="64">
        <f>D28</f>
        <v>95000</v>
      </c>
      <c r="L28" s="63">
        <v>1</v>
      </c>
      <c r="M28" s="62"/>
      <c r="N28" s="62"/>
      <c r="O28" s="65"/>
      <c r="P28" s="66"/>
    </row>
    <row r="29" spans="1:16" ht="79" customHeight="1">
      <c r="B29" s="60" t="s">
        <v>107</v>
      </c>
      <c r="C29" s="67" t="s">
        <v>108</v>
      </c>
      <c r="D29" s="62">
        <f>60000</f>
        <v>60000</v>
      </c>
      <c r="E29" s="62"/>
      <c r="F29" s="62"/>
      <c r="G29" s="62"/>
      <c r="H29" s="62">
        <f>SUM(E29:G29)</f>
        <v>0</v>
      </c>
      <c r="I29" s="62">
        <f t="shared" si="3"/>
        <v>60000</v>
      </c>
      <c r="J29" s="63">
        <f t="shared" ref="J29" si="4">H29/D29</f>
        <v>0</v>
      </c>
      <c r="K29" s="64">
        <f>D29</f>
        <v>60000</v>
      </c>
      <c r="L29" s="63">
        <v>0.5</v>
      </c>
      <c r="M29" s="62"/>
      <c r="N29" s="62"/>
      <c r="O29" s="65"/>
      <c r="P29" s="66"/>
    </row>
    <row r="30" spans="1:16" ht="15.5">
      <c r="C30" s="70" t="s">
        <v>109</v>
      </c>
      <c r="D30" s="77">
        <f>SUM(D28:D29)</f>
        <v>155000</v>
      </c>
      <c r="E30" s="77">
        <f t="shared" ref="E30:G30" si="5">SUM(E28:E29)</f>
        <v>0</v>
      </c>
      <c r="F30" s="77">
        <f t="shared" si="5"/>
        <v>0</v>
      </c>
      <c r="G30" s="77">
        <f t="shared" si="5"/>
        <v>16713.09</v>
      </c>
      <c r="H30" s="77">
        <f>SUM(H28:H29)</f>
        <v>16713.09</v>
      </c>
      <c r="I30" s="77">
        <f>SUM(I28:I29)</f>
        <v>138286.91</v>
      </c>
      <c r="J30" s="78">
        <f>+H30/D30</f>
        <v>0.1078263870967742</v>
      </c>
      <c r="K30" s="77">
        <f>SUM(K28:K29)</f>
        <v>155000</v>
      </c>
      <c r="L30" s="71">
        <f>(L28*K28)+(L29*K29)</f>
        <v>125000</v>
      </c>
      <c r="M30" s="71">
        <f>SUM(M28:M29)</f>
        <v>0</v>
      </c>
      <c r="N30" s="71"/>
      <c r="O30" s="73"/>
      <c r="P30" s="74"/>
    </row>
    <row r="31" spans="1:16" ht="27.25" customHeight="1">
      <c r="B31" s="70" t="s">
        <v>110</v>
      </c>
      <c r="C31" s="119" t="s">
        <v>111</v>
      </c>
      <c r="D31" s="119"/>
      <c r="E31" s="119"/>
      <c r="F31" s="119"/>
      <c r="G31" s="119"/>
      <c r="H31" s="119"/>
      <c r="I31" s="119"/>
      <c r="J31" s="119"/>
      <c r="K31" s="119"/>
      <c r="L31" s="119"/>
      <c r="M31" s="120"/>
      <c r="N31" s="120"/>
      <c r="O31" s="119"/>
      <c r="P31" s="58"/>
    </row>
    <row r="32" spans="1:16" ht="26.5" customHeight="1">
      <c r="B32" s="57" t="s">
        <v>112</v>
      </c>
      <c r="C32" s="119" t="s">
        <v>113</v>
      </c>
      <c r="D32" s="119"/>
      <c r="E32" s="119"/>
      <c r="F32" s="119"/>
      <c r="G32" s="119"/>
      <c r="H32" s="119"/>
      <c r="I32" s="119"/>
      <c r="J32" s="119"/>
      <c r="K32" s="119"/>
      <c r="L32" s="119"/>
      <c r="M32" s="120"/>
      <c r="N32" s="120"/>
      <c r="O32" s="119"/>
      <c r="P32" s="59"/>
    </row>
    <row r="33" spans="2:16" ht="62">
      <c r="B33" s="60" t="s">
        <v>114</v>
      </c>
      <c r="C33" s="79" t="s">
        <v>115</v>
      </c>
      <c r="D33" s="62">
        <v>20000</v>
      </c>
      <c r="E33" s="62"/>
      <c r="F33" s="62"/>
      <c r="G33" s="62"/>
      <c r="H33" s="62">
        <f>SUM(E33:G33)</f>
        <v>0</v>
      </c>
      <c r="I33" s="62">
        <f t="shared" ref="I33:I34" si="6">D33-H33</f>
        <v>20000</v>
      </c>
      <c r="J33" s="63">
        <f t="shared" ref="J33:J34" si="7">H33/D33</f>
        <v>0</v>
      </c>
      <c r="K33" s="64">
        <f>D33</f>
        <v>20000</v>
      </c>
      <c r="L33" s="63">
        <v>1</v>
      </c>
      <c r="M33" s="62"/>
      <c r="N33" s="62"/>
      <c r="O33" s="65"/>
      <c r="P33" s="66"/>
    </row>
    <row r="34" spans="2:16" ht="54.65" customHeight="1">
      <c r="B34" s="60" t="s">
        <v>116</v>
      </c>
      <c r="C34" s="79" t="s">
        <v>117</v>
      </c>
      <c r="D34" s="62">
        <v>15000</v>
      </c>
      <c r="E34" s="62"/>
      <c r="F34" s="62"/>
      <c r="G34" s="62"/>
      <c r="H34" s="62">
        <f>SUM(E34:G34)</f>
        <v>0</v>
      </c>
      <c r="I34" s="62">
        <f t="shared" si="6"/>
        <v>15000</v>
      </c>
      <c r="J34" s="63">
        <f t="shared" si="7"/>
        <v>0</v>
      </c>
      <c r="K34" s="64">
        <f>D34</f>
        <v>15000</v>
      </c>
      <c r="L34" s="63">
        <v>1</v>
      </c>
      <c r="M34" s="62"/>
      <c r="N34" s="62"/>
      <c r="O34" s="65"/>
      <c r="P34" s="66"/>
    </row>
    <row r="35" spans="2:16" ht="15.5">
      <c r="C35" s="70" t="s">
        <v>118</v>
      </c>
      <c r="D35" s="71">
        <f>SUM(D33:D34)</f>
        <v>35000</v>
      </c>
      <c r="E35" s="71">
        <f t="shared" ref="E35:G35" si="8">SUM(E33:E34)</f>
        <v>0</v>
      </c>
      <c r="F35" s="71">
        <f t="shared" si="8"/>
        <v>0</v>
      </c>
      <c r="G35" s="71">
        <f t="shared" si="8"/>
        <v>0</v>
      </c>
      <c r="H35" s="77">
        <f>SUM(H33:H34)</f>
        <v>0</v>
      </c>
      <c r="I35" s="77">
        <f>SUM(I33:I34)</f>
        <v>35000</v>
      </c>
      <c r="J35" s="78">
        <f>+H35/D35</f>
        <v>0</v>
      </c>
      <c r="K35" s="77">
        <f>SUM(K33:K34)</f>
        <v>35000</v>
      </c>
      <c r="L35" s="71">
        <f>(L33*K33)+(L34*K34)</f>
        <v>35000</v>
      </c>
      <c r="M35" s="71">
        <f>SUM(M33:M34)</f>
        <v>0</v>
      </c>
      <c r="N35" s="71"/>
      <c r="O35" s="73"/>
      <c r="P35" s="74"/>
    </row>
    <row r="36" spans="2:16" ht="28.25" customHeight="1">
      <c r="B36" s="57" t="s">
        <v>119</v>
      </c>
      <c r="C36" s="119" t="s">
        <v>120</v>
      </c>
      <c r="D36" s="119"/>
      <c r="E36" s="119"/>
      <c r="F36" s="119"/>
      <c r="G36" s="119"/>
      <c r="H36" s="119"/>
      <c r="I36" s="119"/>
      <c r="J36" s="119"/>
      <c r="K36" s="119"/>
      <c r="L36" s="119"/>
      <c r="M36" s="120"/>
      <c r="N36" s="120"/>
      <c r="O36" s="119"/>
      <c r="P36" s="59"/>
    </row>
    <row r="37" spans="2:16" ht="61" customHeight="1">
      <c r="B37" s="60" t="s">
        <v>121</v>
      </c>
      <c r="C37" s="80" t="s">
        <v>122</v>
      </c>
      <c r="D37" s="62">
        <v>30000</v>
      </c>
      <c r="E37" s="62"/>
      <c r="F37" s="62"/>
      <c r="G37" s="62">
        <v>3244.5800000000004</v>
      </c>
      <c r="H37" s="62">
        <f>SUM(E37:G37)</f>
        <v>3244.5800000000004</v>
      </c>
      <c r="I37" s="62">
        <f t="shared" ref="I37:I40" si="9">D37-H37</f>
        <v>26755.42</v>
      </c>
      <c r="J37" s="63">
        <f t="shared" ref="J37:J40" si="10">H37/D37</f>
        <v>0.10815266666666667</v>
      </c>
      <c r="K37" s="64">
        <f>D37</f>
        <v>30000</v>
      </c>
      <c r="L37" s="63">
        <v>0.6</v>
      </c>
      <c r="M37" s="62"/>
      <c r="N37" s="62"/>
      <c r="O37" s="65"/>
      <c r="P37" s="66"/>
    </row>
    <row r="38" spans="2:16" ht="15.5">
      <c r="B38" s="60" t="s">
        <v>123</v>
      </c>
      <c r="C38" s="67" t="s">
        <v>124</v>
      </c>
      <c r="D38" s="75">
        <v>25000</v>
      </c>
      <c r="E38" s="75"/>
      <c r="F38" s="75"/>
      <c r="G38" s="75">
        <v>938.11</v>
      </c>
      <c r="H38" s="62">
        <f t="shared" ref="H38:H40" si="11">SUM(E38:G38)</f>
        <v>938.11</v>
      </c>
      <c r="I38" s="62">
        <f t="shared" si="9"/>
        <v>24061.89</v>
      </c>
      <c r="J38" s="63">
        <f t="shared" si="10"/>
        <v>3.7524399999999999E-2</v>
      </c>
      <c r="K38" s="64">
        <f>D38</f>
        <v>25000</v>
      </c>
      <c r="L38" s="76">
        <v>0.5</v>
      </c>
      <c r="M38" s="62"/>
      <c r="N38" s="62"/>
      <c r="O38" s="65"/>
      <c r="P38" s="66"/>
    </row>
    <row r="39" spans="2:16" ht="34.5" customHeight="1">
      <c r="B39" s="60" t="s">
        <v>125</v>
      </c>
      <c r="C39" s="67" t="s">
        <v>126</v>
      </c>
      <c r="D39" s="62">
        <v>20000</v>
      </c>
      <c r="E39" s="62"/>
      <c r="F39" s="62"/>
      <c r="G39" s="62"/>
      <c r="H39" s="62">
        <f t="shared" si="11"/>
        <v>0</v>
      </c>
      <c r="I39" s="62">
        <f t="shared" si="9"/>
        <v>20000</v>
      </c>
      <c r="J39" s="63">
        <f t="shared" si="10"/>
        <v>0</v>
      </c>
      <c r="K39" s="64">
        <f>D39</f>
        <v>20000</v>
      </c>
      <c r="L39" s="63">
        <v>0.5</v>
      </c>
      <c r="M39" s="62"/>
      <c r="N39" s="62"/>
      <c r="O39" s="65"/>
      <c r="P39" s="66"/>
    </row>
    <row r="40" spans="2:16" ht="31">
      <c r="B40" s="60" t="s">
        <v>127</v>
      </c>
      <c r="C40" s="67" t="s">
        <v>128</v>
      </c>
      <c r="D40" s="62">
        <v>15000</v>
      </c>
      <c r="E40" s="62"/>
      <c r="F40" s="62"/>
      <c r="G40" s="62">
        <v>736.46</v>
      </c>
      <c r="H40" s="62">
        <f t="shared" si="11"/>
        <v>736.46</v>
      </c>
      <c r="I40" s="62">
        <f t="shared" si="9"/>
        <v>14263.54</v>
      </c>
      <c r="J40" s="63">
        <f t="shared" si="10"/>
        <v>4.9097333333333333E-2</v>
      </c>
      <c r="K40" s="64">
        <f>D40</f>
        <v>15000</v>
      </c>
      <c r="L40" s="63">
        <v>0.8</v>
      </c>
      <c r="M40" s="62"/>
      <c r="N40" s="62"/>
      <c r="O40" s="65"/>
      <c r="P40" s="66"/>
    </row>
    <row r="41" spans="2:16" ht="15.5">
      <c r="C41" s="70" t="s">
        <v>129</v>
      </c>
      <c r="D41" s="77">
        <f>SUM(D37:D40)</f>
        <v>90000</v>
      </c>
      <c r="E41" s="77"/>
      <c r="F41" s="77"/>
      <c r="G41" s="77">
        <f>SUM(G37:G40)</f>
        <v>4919.1500000000005</v>
      </c>
      <c r="H41" s="77">
        <f>SUM(H37:H40)</f>
        <v>4919.1500000000005</v>
      </c>
      <c r="I41" s="77">
        <f>SUM(I37:I40)</f>
        <v>85080.85</v>
      </c>
      <c r="J41" s="78">
        <f>+H41/D41</f>
        <v>5.4657222222222225E-2</v>
      </c>
      <c r="K41" s="77">
        <f>SUM(K37:K40)</f>
        <v>90000</v>
      </c>
      <c r="L41" s="71">
        <f>(L37*K37)+(L38*K38)+(L39*K39)+(L40*K40)</f>
        <v>52500</v>
      </c>
      <c r="M41" s="71">
        <f>SUM(M37:M40)</f>
        <v>0</v>
      </c>
      <c r="N41" s="71"/>
      <c r="O41" s="73"/>
      <c r="P41" s="74"/>
    </row>
    <row r="42" spans="2:16" s="81" customFormat="1" ht="15.5">
      <c r="B42" s="70" t="s">
        <v>130</v>
      </c>
      <c r="C42" s="119" t="s">
        <v>131</v>
      </c>
      <c r="D42" s="119"/>
      <c r="E42" s="119"/>
      <c r="F42" s="119"/>
      <c r="G42" s="119"/>
      <c r="H42" s="119"/>
      <c r="I42" s="119"/>
      <c r="J42" s="119"/>
      <c r="K42" s="119"/>
      <c r="L42" s="119"/>
      <c r="M42" s="120"/>
      <c r="N42" s="120"/>
      <c r="O42" s="119"/>
      <c r="P42" s="59"/>
    </row>
    <row r="43" spans="2:16" s="81" customFormat="1" ht="15.5">
      <c r="B43" s="57" t="s">
        <v>132</v>
      </c>
      <c r="C43" s="119" t="s">
        <v>133</v>
      </c>
      <c r="D43" s="119"/>
      <c r="E43" s="119"/>
      <c r="F43" s="119"/>
      <c r="G43" s="119"/>
      <c r="H43" s="119"/>
      <c r="I43" s="119"/>
      <c r="J43" s="119"/>
      <c r="K43" s="119"/>
      <c r="L43" s="119"/>
      <c r="M43" s="120"/>
      <c r="N43" s="120"/>
      <c r="O43" s="119"/>
      <c r="P43" s="59"/>
    </row>
    <row r="44" spans="2:16" ht="46.5">
      <c r="B44" s="60" t="s">
        <v>134</v>
      </c>
      <c r="C44" s="67" t="s">
        <v>135</v>
      </c>
      <c r="D44" s="62">
        <v>103216</v>
      </c>
      <c r="E44" s="62"/>
      <c r="F44" s="62">
        <v>18320.830000000002</v>
      </c>
      <c r="G44" s="62">
        <v>10239.079999999998</v>
      </c>
      <c r="H44" s="62">
        <f>SUM(E44:G44)</f>
        <v>28559.91</v>
      </c>
      <c r="I44" s="62">
        <f t="shared" ref="I44:I45" si="12">D44-H44</f>
        <v>74656.09</v>
      </c>
      <c r="J44" s="63">
        <f t="shared" ref="J44:J45" si="13">H44/D44</f>
        <v>0.2767004146643931</v>
      </c>
      <c r="K44" s="64">
        <f>D44</f>
        <v>103216</v>
      </c>
      <c r="L44" s="63">
        <v>1</v>
      </c>
      <c r="M44" s="62"/>
      <c r="N44" s="62"/>
      <c r="O44" s="65"/>
      <c r="P44" s="66"/>
    </row>
    <row r="45" spans="2:16" ht="62">
      <c r="B45" s="60" t="s">
        <v>136</v>
      </c>
      <c r="C45" s="67" t="s">
        <v>137</v>
      </c>
      <c r="D45" s="62">
        <v>78216</v>
      </c>
      <c r="E45" s="62"/>
      <c r="F45" s="62"/>
      <c r="G45" s="62"/>
      <c r="H45" s="62">
        <f>SUM(E45:G45)</f>
        <v>0</v>
      </c>
      <c r="I45" s="62">
        <f t="shared" si="12"/>
        <v>78216</v>
      </c>
      <c r="J45" s="63">
        <f t="shared" si="13"/>
        <v>0</v>
      </c>
      <c r="K45" s="64">
        <f>D45</f>
        <v>78216</v>
      </c>
      <c r="L45" s="63">
        <v>1</v>
      </c>
      <c r="M45" s="62"/>
      <c r="N45" s="62"/>
      <c r="O45" s="65"/>
      <c r="P45" s="66"/>
    </row>
    <row r="46" spans="2:16" ht="15.5">
      <c r="C46" s="70" t="s">
        <v>138</v>
      </c>
      <c r="D46" s="71">
        <f>SUM(D44:D45)</f>
        <v>181432</v>
      </c>
      <c r="E46" s="71">
        <f t="shared" ref="E46:F46" si="14">SUM(E44:E45)</f>
        <v>0</v>
      </c>
      <c r="F46" s="71">
        <f t="shared" si="14"/>
        <v>18320.830000000002</v>
      </c>
      <c r="G46" s="71">
        <f>SUM(G44:G45)</f>
        <v>10239.079999999998</v>
      </c>
      <c r="H46" s="77">
        <f>SUM(H44:H45)</f>
        <v>28559.91</v>
      </c>
      <c r="I46" s="77">
        <f>SUM(I44:I45)</f>
        <v>152872.09</v>
      </c>
      <c r="J46" s="78">
        <f>+H46/D46</f>
        <v>0.15741385202169408</v>
      </c>
      <c r="K46" s="77">
        <f>SUM(K44:K45)</f>
        <v>181432</v>
      </c>
      <c r="L46" s="71">
        <f>(L44*K44)+(L45*K45)</f>
        <v>181432</v>
      </c>
      <c r="M46" s="71">
        <f>SUM(M44:M45)</f>
        <v>0</v>
      </c>
      <c r="N46" s="71"/>
      <c r="O46" s="73"/>
      <c r="P46" s="74"/>
    </row>
    <row r="47" spans="2:16" ht="15.5">
      <c r="B47" s="57" t="s">
        <v>139</v>
      </c>
      <c r="C47" s="119" t="s">
        <v>140</v>
      </c>
      <c r="D47" s="119"/>
      <c r="E47" s="119"/>
      <c r="F47" s="119"/>
      <c r="G47" s="119"/>
      <c r="H47" s="119"/>
      <c r="I47" s="119"/>
      <c r="J47" s="119"/>
      <c r="K47" s="119"/>
      <c r="L47" s="119"/>
      <c r="M47" s="120"/>
      <c r="N47" s="120"/>
      <c r="O47" s="119"/>
      <c r="P47" s="59"/>
    </row>
    <row r="48" spans="2:16" ht="26">
      <c r="B48" s="60" t="s">
        <v>141</v>
      </c>
      <c r="C48" s="82" t="s">
        <v>142</v>
      </c>
      <c r="D48" s="62">
        <v>10000</v>
      </c>
      <c r="E48" s="62"/>
      <c r="F48" s="62"/>
      <c r="G48" s="62"/>
      <c r="H48" s="62">
        <f t="shared" ref="H48:H51" si="15">SUM(E48:F48)</f>
        <v>0</v>
      </c>
      <c r="I48" s="62">
        <f t="shared" ref="I48:I51" si="16">D48-H48</f>
        <v>10000</v>
      </c>
      <c r="J48" s="63">
        <f t="shared" ref="J48:J51" si="17">H48/D48</f>
        <v>0</v>
      </c>
      <c r="K48" s="64">
        <f>D48</f>
        <v>10000</v>
      </c>
      <c r="L48" s="63">
        <v>0.8</v>
      </c>
      <c r="M48" s="62"/>
      <c r="N48" s="62"/>
      <c r="O48" s="65"/>
      <c r="P48" s="66"/>
    </row>
    <row r="49" spans="2:16" ht="26">
      <c r="B49" s="60" t="s">
        <v>143</v>
      </c>
      <c r="C49" s="82" t="s">
        <v>144</v>
      </c>
      <c r="D49" s="62">
        <f>10000+25000</f>
        <v>35000</v>
      </c>
      <c r="E49" s="62"/>
      <c r="F49" s="62"/>
      <c r="G49" s="62"/>
      <c r="H49" s="62">
        <f t="shared" si="15"/>
        <v>0</v>
      </c>
      <c r="I49" s="62">
        <f t="shared" si="16"/>
        <v>35000</v>
      </c>
      <c r="J49" s="63">
        <f t="shared" si="17"/>
        <v>0</v>
      </c>
      <c r="K49" s="64">
        <f>D49</f>
        <v>35000</v>
      </c>
      <c r="L49" s="63">
        <v>0.8</v>
      </c>
      <c r="M49" s="62"/>
      <c r="N49" s="62"/>
      <c r="O49" s="65"/>
      <c r="P49" s="66"/>
    </row>
    <row r="50" spans="2:16" ht="20.149999999999999" customHeight="1">
      <c r="B50" s="60" t="s">
        <v>145</v>
      </c>
      <c r="C50" s="82" t="s">
        <v>146</v>
      </c>
      <c r="D50" s="62">
        <v>20000</v>
      </c>
      <c r="E50" s="62"/>
      <c r="F50" s="62"/>
      <c r="G50" s="62"/>
      <c r="H50" s="62">
        <f t="shared" si="15"/>
        <v>0</v>
      </c>
      <c r="I50" s="62">
        <f t="shared" si="16"/>
        <v>20000</v>
      </c>
      <c r="J50" s="63">
        <f t="shared" si="17"/>
        <v>0</v>
      </c>
      <c r="K50" s="64">
        <f>D50</f>
        <v>20000</v>
      </c>
      <c r="L50" s="63">
        <v>1</v>
      </c>
      <c r="M50" s="62"/>
      <c r="N50" s="62"/>
      <c r="O50" s="65"/>
      <c r="P50" s="66"/>
    </row>
    <row r="51" spans="2:16" ht="56.15" customHeight="1">
      <c r="B51" s="60" t="s">
        <v>147</v>
      </c>
      <c r="C51" s="82" t="s">
        <v>148</v>
      </c>
      <c r="D51" s="62">
        <v>15000</v>
      </c>
      <c r="E51" s="62"/>
      <c r="F51" s="62"/>
      <c r="G51" s="62"/>
      <c r="H51" s="62">
        <f t="shared" si="15"/>
        <v>0</v>
      </c>
      <c r="I51" s="62">
        <f t="shared" si="16"/>
        <v>15000</v>
      </c>
      <c r="J51" s="63">
        <f t="shared" si="17"/>
        <v>0</v>
      </c>
      <c r="K51" s="64">
        <f>D51</f>
        <v>15000</v>
      </c>
      <c r="L51" s="63">
        <v>1</v>
      </c>
      <c r="M51" s="62"/>
      <c r="N51" s="62"/>
      <c r="O51" s="65"/>
      <c r="P51" s="66"/>
    </row>
    <row r="52" spans="2:16" ht="15.5">
      <c r="C52" s="70" t="s">
        <v>149</v>
      </c>
      <c r="D52" s="77">
        <f>SUM(D48:D51)</f>
        <v>80000</v>
      </c>
      <c r="E52" s="77">
        <f t="shared" ref="E52:G52" si="18">SUM(E48:E51)</f>
        <v>0</v>
      </c>
      <c r="F52" s="77">
        <f t="shared" si="18"/>
        <v>0</v>
      </c>
      <c r="G52" s="77">
        <f t="shared" si="18"/>
        <v>0</v>
      </c>
      <c r="H52" s="77">
        <f>SUM(H48:H51)</f>
        <v>0</v>
      </c>
      <c r="I52" s="77">
        <f>SUM(I48:I51)</f>
        <v>80000</v>
      </c>
      <c r="J52" s="78">
        <f>+H52/D52</f>
        <v>0</v>
      </c>
      <c r="K52" s="77">
        <f>SUM(K48:K51)</f>
        <v>80000</v>
      </c>
      <c r="L52" s="71">
        <f>(L48*K48)+(L49*K49)+(L50*K50)+(L51*K51)</f>
        <v>71000</v>
      </c>
      <c r="M52" s="71">
        <f>SUM(M48:M51)</f>
        <v>0</v>
      </c>
      <c r="N52" s="71"/>
      <c r="O52" s="73"/>
      <c r="P52" s="74"/>
    </row>
    <row r="53" spans="2:16" s="81" customFormat="1" ht="40" customHeight="1">
      <c r="B53" s="57" t="s">
        <v>150</v>
      </c>
      <c r="C53" s="125" t="s">
        <v>151</v>
      </c>
      <c r="D53" s="125"/>
      <c r="E53" s="125"/>
      <c r="F53" s="125"/>
      <c r="G53" s="125"/>
      <c r="H53" s="125"/>
      <c r="I53" s="125"/>
      <c r="J53" s="125"/>
      <c r="K53" s="125"/>
      <c r="L53" s="125"/>
      <c r="M53" s="126"/>
      <c r="N53" s="126"/>
      <c r="O53" s="125"/>
      <c r="P53" s="59"/>
    </row>
    <row r="54" spans="2:16" ht="31">
      <c r="B54" s="60" t="s">
        <v>152</v>
      </c>
      <c r="C54" s="79" t="s">
        <v>153</v>
      </c>
      <c r="D54" s="62">
        <v>10000</v>
      </c>
      <c r="E54" s="62"/>
      <c r="F54" s="62"/>
      <c r="G54" s="62"/>
      <c r="H54" s="62">
        <f>SUM(E54:G54)</f>
        <v>0</v>
      </c>
      <c r="I54" s="62">
        <f t="shared" ref="I54:I61" si="19">D54-H54</f>
        <v>10000</v>
      </c>
      <c r="J54" s="63">
        <f t="shared" ref="J54:J61" si="20">H54/D54</f>
        <v>0</v>
      </c>
      <c r="K54" s="64">
        <f t="shared" ref="K54:K61" si="21">D54</f>
        <v>10000</v>
      </c>
      <c r="L54" s="63">
        <v>1</v>
      </c>
      <c r="M54" s="62"/>
      <c r="N54" s="62"/>
      <c r="O54" s="65"/>
      <c r="P54" s="66"/>
    </row>
    <row r="55" spans="2:16" ht="46.5">
      <c r="B55" s="60" t="s">
        <v>154</v>
      </c>
      <c r="C55" s="79" t="s">
        <v>155</v>
      </c>
      <c r="D55" s="62">
        <v>35000</v>
      </c>
      <c r="E55" s="62"/>
      <c r="F55" s="62"/>
      <c r="G55" s="62">
        <v>3837.78</v>
      </c>
      <c r="H55" s="62">
        <f t="shared" ref="H55:H61" si="22">SUM(E55:G55)</f>
        <v>3837.78</v>
      </c>
      <c r="I55" s="62">
        <f t="shared" si="19"/>
        <v>31162.22</v>
      </c>
      <c r="J55" s="63">
        <f t="shared" si="20"/>
        <v>0.10965085714285715</v>
      </c>
      <c r="K55" s="64">
        <f t="shared" si="21"/>
        <v>35000</v>
      </c>
      <c r="L55" s="63"/>
      <c r="M55" s="62"/>
      <c r="N55" s="62"/>
      <c r="O55" s="65"/>
      <c r="P55" s="66"/>
    </row>
    <row r="56" spans="2:16" ht="31">
      <c r="B56" s="60" t="s">
        <v>156</v>
      </c>
      <c r="C56" s="79" t="s">
        <v>157</v>
      </c>
      <c r="D56" s="62">
        <v>10000</v>
      </c>
      <c r="E56" s="62"/>
      <c r="F56" s="62">
        <v>9575.44</v>
      </c>
      <c r="G56" s="62"/>
      <c r="H56" s="62">
        <f t="shared" si="22"/>
        <v>9575.44</v>
      </c>
      <c r="I56" s="62">
        <f>D56-H56</f>
        <v>424.55999999999949</v>
      </c>
      <c r="J56" s="63">
        <f t="shared" si="20"/>
        <v>0.95754400000000006</v>
      </c>
      <c r="K56" s="64">
        <f t="shared" si="21"/>
        <v>10000</v>
      </c>
      <c r="L56" s="63"/>
      <c r="M56" s="62"/>
      <c r="N56" s="62"/>
      <c r="O56" s="65"/>
      <c r="P56" s="66"/>
    </row>
    <row r="57" spans="2:16" ht="62">
      <c r="B57" s="60" t="s">
        <v>158</v>
      </c>
      <c r="C57" s="79" t="s">
        <v>159</v>
      </c>
      <c r="D57" s="62">
        <v>5000</v>
      </c>
      <c r="E57" s="62"/>
      <c r="F57" s="62"/>
      <c r="G57" s="62"/>
      <c r="H57" s="62">
        <f t="shared" si="22"/>
        <v>0</v>
      </c>
      <c r="I57" s="62">
        <f t="shared" si="19"/>
        <v>5000</v>
      </c>
      <c r="J57" s="63">
        <f t="shared" si="20"/>
        <v>0</v>
      </c>
      <c r="K57" s="64">
        <f t="shared" si="21"/>
        <v>5000</v>
      </c>
      <c r="L57" s="63"/>
      <c r="M57" s="62"/>
      <c r="N57" s="62"/>
      <c r="O57" s="65"/>
      <c r="P57" s="66"/>
    </row>
    <row r="58" spans="2:16" ht="47.15" customHeight="1">
      <c r="B58" s="60" t="s">
        <v>160</v>
      </c>
      <c r="C58" s="79" t="s">
        <v>161</v>
      </c>
      <c r="D58" s="62">
        <v>5000</v>
      </c>
      <c r="E58" s="62"/>
      <c r="F58" s="62"/>
      <c r="G58" s="62"/>
      <c r="H58" s="62">
        <f t="shared" si="22"/>
        <v>0</v>
      </c>
      <c r="I58" s="62">
        <f t="shared" si="19"/>
        <v>5000</v>
      </c>
      <c r="J58" s="63">
        <f t="shared" si="20"/>
        <v>0</v>
      </c>
      <c r="K58" s="64">
        <f t="shared" si="21"/>
        <v>5000</v>
      </c>
      <c r="L58" s="63">
        <v>1</v>
      </c>
      <c r="M58" s="62"/>
      <c r="N58" s="62"/>
      <c r="O58" s="65"/>
      <c r="P58" s="66"/>
    </row>
    <row r="59" spans="2:16" ht="65.150000000000006" customHeight="1">
      <c r="B59" s="60" t="s">
        <v>162</v>
      </c>
      <c r="C59" s="79" t="s">
        <v>163</v>
      </c>
      <c r="D59" s="62">
        <v>50000</v>
      </c>
      <c r="E59" s="62"/>
      <c r="F59" s="62"/>
      <c r="G59" s="62"/>
      <c r="H59" s="62">
        <f t="shared" si="22"/>
        <v>0</v>
      </c>
      <c r="I59" s="62">
        <f t="shared" si="19"/>
        <v>50000</v>
      </c>
      <c r="J59" s="63">
        <f t="shared" si="20"/>
        <v>0</v>
      </c>
      <c r="K59" s="64">
        <f t="shared" si="21"/>
        <v>50000</v>
      </c>
      <c r="L59" s="63">
        <v>1</v>
      </c>
      <c r="M59" s="62"/>
      <c r="N59" s="62"/>
      <c r="O59" s="65"/>
      <c r="P59" s="66"/>
    </row>
    <row r="60" spans="2:16" ht="46.5">
      <c r="B60" s="60" t="s">
        <v>164</v>
      </c>
      <c r="C60" s="79" t="s">
        <v>165</v>
      </c>
      <c r="D60" s="83">
        <v>3000</v>
      </c>
      <c r="E60" s="83"/>
      <c r="F60" s="83"/>
      <c r="G60" s="83"/>
      <c r="H60" s="62">
        <f t="shared" si="22"/>
        <v>0</v>
      </c>
      <c r="I60" s="62">
        <f t="shared" si="19"/>
        <v>3000</v>
      </c>
      <c r="J60" s="63">
        <f t="shared" si="20"/>
        <v>0</v>
      </c>
      <c r="K60" s="64">
        <f t="shared" si="21"/>
        <v>3000</v>
      </c>
      <c r="L60" s="84">
        <v>1</v>
      </c>
      <c r="M60" s="83"/>
      <c r="N60" s="83"/>
      <c r="O60" s="73"/>
      <c r="P60" s="66"/>
    </row>
    <row r="61" spans="2:16" ht="69.650000000000006" customHeight="1">
      <c r="B61" s="60" t="s">
        <v>166</v>
      </c>
      <c r="C61" s="79" t="s">
        <v>167</v>
      </c>
      <c r="D61" s="83">
        <v>2500</v>
      </c>
      <c r="E61" s="83"/>
      <c r="F61" s="83"/>
      <c r="G61" s="83"/>
      <c r="H61" s="62">
        <f t="shared" si="22"/>
        <v>0</v>
      </c>
      <c r="I61" s="62">
        <f t="shared" si="19"/>
        <v>2500</v>
      </c>
      <c r="J61" s="63">
        <f t="shared" si="20"/>
        <v>0</v>
      </c>
      <c r="K61" s="64">
        <f t="shared" si="21"/>
        <v>2500</v>
      </c>
      <c r="L61" s="84">
        <v>1</v>
      </c>
      <c r="M61" s="83"/>
      <c r="N61" s="83"/>
      <c r="O61" s="73"/>
      <c r="P61" s="66"/>
    </row>
    <row r="62" spans="2:16" ht="15.5">
      <c r="C62" s="70" t="s">
        <v>168</v>
      </c>
      <c r="D62" s="77">
        <f>SUM(D54:D61)</f>
        <v>120500</v>
      </c>
      <c r="E62" s="77">
        <f t="shared" ref="E62:F62" si="23">SUM(E54:E61)</f>
        <v>0</v>
      </c>
      <c r="F62" s="77">
        <f t="shared" si="23"/>
        <v>9575.44</v>
      </c>
      <c r="G62" s="77">
        <f>SUM(G54:G61)</f>
        <v>3837.78</v>
      </c>
      <c r="H62" s="77">
        <f>SUM(H54:H61)</f>
        <v>13413.220000000001</v>
      </c>
      <c r="I62" s="77">
        <f>SUM(I54:I61)</f>
        <v>107086.78</v>
      </c>
      <c r="J62" s="78">
        <f>+H62/D62</f>
        <v>0.11131302904564316</v>
      </c>
      <c r="K62" s="77">
        <f t="shared" ref="K62" si="24">SUM(K54:K61)</f>
        <v>120500</v>
      </c>
      <c r="L62" s="71">
        <f>(L54*K54)+(L55*K55)+(L56*K56)+(L57*K57)+(L58*K58)+(L59*K59)+(L60*K60)+(L61*K61)</f>
        <v>70500</v>
      </c>
      <c r="M62" s="71">
        <f>SUM(M54:M61)</f>
        <v>0</v>
      </c>
      <c r="N62" s="71"/>
      <c r="O62" s="73"/>
      <c r="P62" s="74"/>
    </row>
    <row r="63" spans="2:16" ht="72.75" customHeight="1">
      <c r="B63" s="70" t="s">
        <v>169</v>
      </c>
      <c r="C63" s="85" t="s">
        <v>170</v>
      </c>
      <c r="D63" s="86">
        <v>370028.68799999997</v>
      </c>
      <c r="E63" s="61">
        <v>5912.2219999999988</v>
      </c>
      <c r="F63" s="61">
        <v>33147.30999999999</v>
      </c>
      <c r="G63" s="61">
        <v>49103.44999999999</v>
      </c>
      <c r="H63" s="61">
        <f>SUM(E63:G63)</f>
        <v>88162.981999999989</v>
      </c>
      <c r="I63" s="61">
        <f>D63-H63</f>
        <v>281865.70600000001</v>
      </c>
      <c r="J63" s="63">
        <f t="shared" ref="J63:J67" si="25">H63/D63</f>
        <v>0.23825985621958046</v>
      </c>
      <c r="K63" s="87">
        <f>D63</f>
        <v>370028.68799999997</v>
      </c>
      <c r="L63" s="88">
        <v>0.8</v>
      </c>
      <c r="M63" s="61"/>
      <c r="N63" s="61"/>
      <c r="O63" s="89"/>
      <c r="P63" s="74"/>
    </row>
    <row r="64" spans="2:16" ht="70" customHeight="1">
      <c r="B64" s="70" t="s">
        <v>171</v>
      </c>
      <c r="C64" s="85" t="s">
        <v>172</v>
      </c>
      <c r="D64" s="61">
        <v>319385.06</v>
      </c>
      <c r="E64" s="61">
        <v>380.61</v>
      </c>
      <c r="F64" s="61">
        <v>27403.85999999999</v>
      </c>
      <c r="G64" s="61">
        <v>21445.730000000007</v>
      </c>
      <c r="H64" s="61">
        <f t="shared" ref="H64:H67" si="26">SUM(E64:G64)</f>
        <v>49230.2</v>
      </c>
      <c r="I64" s="61">
        <f t="shared" ref="I64:I67" si="27">D64-H64</f>
        <v>270154.86</v>
      </c>
      <c r="J64" s="63">
        <f t="shared" si="25"/>
        <v>0.1541405850355054</v>
      </c>
      <c r="K64" s="87">
        <f t="shared" ref="K64:K66" si="28">D64</f>
        <v>319385.06</v>
      </c>
      <c r="L64" s="88">
        <v>0.8</v>
      </c>
      <c r="M64" s="61"/>
      <c r="N64" s="61"/>
      <c r="O64" s="89"/>
      <c r="P64" s="74"/>
    </row>
    <row r="65" spans="2:16" ht="57" customHeight="1">
      <c r="B65" s="70" t="s">
        <v>173</v>
      </c>
      <c r="C65" s="90" t="s">
        <v>174</v>
      </c>
      <c r="D65" s="61">
        <v>213878.43259022938</v>
      </c>
      <c r="E65" s="61"/>
      <c r="F65" s="61">
        <v>11008.570000000002</v>
      </c>
      <c r="G65" s="61">
        <v>1265.29</v>
      </c>
      <c r="H65" s="61">
        <f t="shared" si="26"/>
        <v>12273.86</v>
      </c>
      <c r="I65" s="61">
        <f t="shared" si="27"/>
        <v>201604.57259022939</v>
      </c>
      <c r="J65" s="63">
        <f t="shared" si="25"/>
        <v>5.7387085978489204E-2</v>
      </c>
      <c r="K65" s="87">
        <f t="shared" si="28"/>
        <v>213878.43259022938</v>
      </c>
      <c r="L65" s="88">
        <v>0.8</v>
      </c>
      <c r="M65" s="61"/>
      <c r="N65" s="61"/>
      <c r="O65" s="89"/>
      <c r="P65" s="74"/>
    </row>
    <row r="66" spans="2:16" ht="65.25" customHeight="1">
      <c r="B66" s="91" t="s">
        <v>175</v>
      </c>
      <c r="C66" s="85" t="s">
        <v>176</v>
      </c>
      <c r="D66" s="61">
        <v>65179.783154205601</v>
      </c>
      <c r="E66" s="61"/>
      <c r="F66" s="61"/>
      <c r="G66" s="61"/>
      <c r="H66" s="61">
        <f t="shared" si="26"/>
        <v>0</v>
      </c>
      <c r="I66" s="61">
        <f t="shared" si="27"/>
        <v>65179.783154205601</v>
      </c>
      <c r="J66" s="63">
        <f t="shared" si="25"/>
        <v>0</v>
      </c>
      <c r="K66" s="87">
        <f t="shared" si="28"/>
        <v>65179.783154205601</v>
      </c>
      <c r="L66" s="88">
        <v>0.8</v>
      </c>
      <c r="M66" s="61"/>
      <c r="N66" s="61"/>
      <c r="O66" s="89"/>
      <c r="P66" s="74"/>
    </row>
    <row r="67" spans="2:16" ht="65.25" customHeight="1">
      <c r="B67" s="91" t="s">
        <v>177</v>
      </c>
      <c r="C67" s="85" t="s">
        <v>178</v>
      </c>
      <c r="D67" s="61"/>
      <c r="E67" s="61"/>
      <c r="F67" s="61"/>
      <c r="G67" s="61"/>
      <c r="H67" s="61">
        <f t="shared" si="26"/>
        <v>0</v>
      </c>
      <c r="I67" s="61">
        <f t="shared" si="27"/>
        <v>0</v>
      </c>
      <c r="J67" s="63" t="e">
        <f t="shared" si="25"/>
        <v>#DIV/0!</v>
      </c>
      <c r="K67" s="87"/>
      <c r="L67" s="88">
        <v>0.8</v>
      </c>
      <c r="M67" s="61"/>
      <c r="N67" s="61"/>
      <c r="O67" s="89"/>
      <c r="P67" s="74"/>
    </row>
    <row r="68" spans="2:16" ht="42" customHeight="1">
      <c r="B68" s="127" t="s">
        <v>179</v>
      </c>
      <c r="C68" s="128"/>
      <c r="D68" s="92">
        <f>SUM(D63:D67)+D62+D52+D41+D35+D30+D26+D20+D14</f>
        <v>1728971.963744435</v>
      </c>
      <c r="E68" s="92">
        <f>SUM(E63:E67)+E62+E52+E41+E35+E30+E26+E20+E14</f>
        <v>6292.8319999999985</v>
      </c>
      <c r="F68" s="92">
        <f>SUM(F63:F67)+F62+F52+F41+F35+F30+F26+F20+F14+F46</f>
        <v>111484.81999999999</v>
      </c>
      <c r="G68" s="92">
        <f>SUM(G63:G67)+G62+G52+G41+G35+G30+G26+G20+G14+G46</f>
        <v>158009.73999999996</v>
      </c>
      <c r="H68" s="92">
        <f>SUM(H63:H67)+H62+H52+H41+H35+H30+H26+H20+H14+H46</f>
        <v>275787.39199999993</v>
      </c>
      <c r="I68" s="92">
        <f>D68-H68</f>
        <v>1453184.571744435</v>
      </c>
      <c r="J68" s="93">
        <f>H68/D68</f>
        <v>0.15950946445813216</v>
      </c>
      <c r="K68" s="94">
        <f>SUM(K63:K66)</f>
        <v>968471.96374443499</v>
      </c>
      <c r="L68" s="71">
        <f>(L63*K63)+(L64*K64)+(L65*K65)+(L66*K66)+(L67*K67)</f>
        <v>774777.57099554793</v>
      </c>
      <c r="M68" s="71">
        <f>SUM(M63:M67)</f>
        <v>0</v>
      </c>
      <c r="N68" s="71"/>
      <c r="O68" s="85"/>
      <c r="P68" s="95"/>
    </row>
    <row r="69" spans="2:16" ht="24.75" customHeight="1">
      <c r="B69" s="129" t="s">
        <v>180</v>
      </c>
      <c r="C69" s="129"/>
      <c r="D69" s="96">
        <f>D68*7%</f>
        <v>121028.03746211046</v>
      </c>
      <c r="E69" s="97">
        <f>E68*7%</f>
        <v>440.49823999999995</v>
      </c>
      <c r="F69" s="97">
        <f>F68*7%</f>
        <v>7803.9373999999998</v>
      </c>
      <c r="G69" s="97">
        <f>G68*7%</f>
        <v>11060.681799999998</v>
      </c>
      <c r="H69" s="97">
        <f>SUM(E69:G69)</f>
        <v>19305.117439999998</v>
      </c>
      <c r="I69" s="96">
        <f>D69-H69</f>
        <v>101722.92002211045</v>
      </c>
      <c r="J69" s="98">
        <f>H69/D69</f>
        <v>0.15950946445813219</v>
      </c>
      <c r="K69" s="99"/>
      <c r="L69" s="99"/>
      <c r="M69" s="100"/>
      <c r="N69" s="100"/>
      <c r="O69" s="99"/>
    </row>
    <row r="70" spans="2:16" ht="33" customHeight="1">
      <c r="B70" s="124" t="s">
        <v>181</v>
      </c>
      <c r="C70" s="124"/>
      <c r="D70" s="101">
        <f>D68+D69</f>
        <v>1850000.0012065454</v>
      </c>
      <c r="E70" s="101">
        <f t="shared" ref="E70:G70" si="29">E68+E69</f>
        <v>6733.3302399999984</v>
      </c>
      <c r="F70" s="101">
        <f t="shared" si="29"/>
        <v>119288.75739999999</v>
      </c>
      <c r="G70" s="101">
        <f t="shared" si="29"/>
        <v>169070.42179999995</v>
      </c>
      <c r="H70" s="101">
        <f>H68+H69</f>
        <v>295092.50943999994</v>
      </c>
      <c r="I70" s="101">
        <f>D70-H70</f>
        <v>1554907.4917665455</v>
      </c>
      <c r="J70" s="102">
        <f>H70/D70</f>
        <v>0.15950946445813219</v>
      </c>
      <c r="K70" s="103"/>
      <c r="L70" s="103"/>
      <c r="M70" s="104"/>
      <c r="N70" s="104"/>
      <c r="O70" s="103"/>
    </row>
    <row r="72" spans="2:16" ht="15" customHeight="1"/>
    <row r="73" spans="2:16" ht="25.5" customHeight="1"/>
  </sheetData>
  <sheetProtection formatCells="0" formatColumns="0" formatRows="0"/>
  <mergeCells count="18">
    <mergeCell ref="B70:C70"/>
    <mergeCell ref="C22:O22"/>
    <mergeCell ref="C27:O27"/>
    <mergeCell ref="C31:O31"/>
    <mergeCell ref="C32:O32"/>
    <mergeCell ref="C36:O36"/>
    <mergeCell ref="C42:O42"/>
    <mergeCell ref="C43:O43"/>
    <mergeCell ref="C47:O47"/>
    <mergeCell ref="C53:O53"/>
    <mergeCell ref="B68:C68"/>
    <mergeCell ref="B69:C69"/>
    <mergeCell ref="C21:O21"/>
    <mergeCell ref="B1:D1"/>
    <mergeCell ref="B3:L3"/>
    <mergeCell ref="C6:O6"/>
    <mergeCell ref="C7:O7"/>
    <mergeCell ref="C15:O15"/>
  </mergeCells>
  <dataValidations count="2">
    <dataValidation allowBlank="1" showInputMessage="1" showErrorMessage="1" prompt="Insert *text* description of Outcome here" sqref="C6:O6 C21:O21 C31:O31 C42:O42" xr:uid="{B2F6EE49-D2F7-4BD6-85BA-8BA840418642}"/>
    <dataValidation allowBlank="1" showInputMessage="1" showErrorMessage="1" prompt="Insert *text* description of Output here" sqref="C7 C15 C22 C27 C32 C36 C43 C47 C53" xr:uid="{2C09C5EA-0D99-4C59-9C63-FF0069830271}"/>
  </dataValidations>
  <pageMargins left="0.7" right="0.7" top="0.75" bottom="0.75" header="0.3" footer="0.3"/>
  <pageSetup scale="74" orientation="landscape" r:id="rId1"/>
  <rowBreaks count="1" manualBreakCount="1">
    <brk id="27"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joachim.ouedraogo@undp.org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MPTF_00006_00999</ProjectId>
    <FundCode xmlns="f9695bc1-6109-4dcd-a27a-f8a0370b00e2">MPTF_00006</FundCode>
    <Comments xmlns="f9695bc1-6109-4dcd-a27a-f8a0370b00e2">Rapport financier annuel 2023</Comments>
    <Active xmlns="f9695bc1-6109-4dcd-a27a-f8a0370b00e2">Yes</Active>
    <DocumentDate xmlns="b1528a4b-5ccb-40f7-a09e-43427183cd95">2023-11-20T08:00:00+00:00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E7C41E93-D0C5-4963-BA8A-222F48D503B1}"/>
</file>

<file path=customXml/itemProps2.xml><?xml version="1.0" encoding="utf-8"?>
<ds:datastoreItem xmlns:ds="http://schemas.openxmlformats.org/officeDocument/2006/customXml" ds:itemID="{D0F69DDE-DD01-431F-882E-B311440B0438}"/>
</file>

<file path=customXml/itemProps3.xml><?xml version="1.0" encoding="utf-8"?>
<ds:datastoreItem xmlns:ds="http://schemas.openxmlformats.org/officeDocument/2006/customXml" ds:itemID="{C6716C42-24E8-496A-A2BD-60C854DB3A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RF-UNPBF</vt:lpstr>
      <vt:lpstr>RF Detail UNPBF</vt:lpstr>
      <vt:lpstr>'RF Detail UNPBF'!_Hlk111393365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ANNUEL du projet FIFEP nov 2023.xlsx</dc:title>
  <dc:creator>Sanassy KABA</dc:creator>
  <cp:lastModifiedBy>Joachim Ouedraogo</cp:lastModifiedBy>
  <dcterms:created xsi:type="dcterms:W3CDTF">2023-11-15T08:33:07Z</dcterms:created>
  <dcterms:modified xsi:type="dcterms:W3CDTF">2023-11-20T13:00:18Z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