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ngelina.halumae\Downloads\"/>
    </mc:Choice>
  </mc:AlternateContent>
  <xr:revisionPtr revIDLastSave="0" documentId="13_ncr:1_{FAFC4AAF-C928-4215-B6D3-CF0F5696B736}"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 r:id="rId10"/>
  </externalReferences>
  <definedNames>
    <definedName name="_xlnm.Print_Area" localSheetId="1">'1) Budget Table'!$A$1:$Q$208</definedName>
    <definedName name="_xlnm.Print_Area" localSheetId="2">'2) By Category'!$A$1:$M$225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3" i="5" l="1"/>
  <c r="J192" i="5"/>
  <c r="J191" i="5"/>
  <c r="J190" i="5"/>
  <c r="J189" i="5"/>
  <c r="J188" i="5"/>
  <c r="J187" i="5"/>
  <c r="J126" i="5"/>
  <c r="J125" i="5"/>
  <c r="J124" i="5"/>
  <c r="J123" i="5"/>
  <c r="J122" i="5"/>
  <c r="J121" i="5"/>
  <c r="J120" i="5"/>
  <c r="J115" i="5"/>
  <c r="J114" i="5"/>
  <c r="J113" i="5"/>
  <c r="J112" i="5"/>
  <c r="J111" i="5"/>
  <c r="J110" i="5"/>
  <c r="J109" i="5"/>
  <c r="J104" i="5"/>
  <c r="J103" i="5"/>
  <c r="J102" i="5"/>
  <c r="J101" i="5"/>
  <c r="J100" i="5"/>
  <c r="J99" i="5"/>
  <c r="J98" i="5"/>
  <c r="J70" i="5"/>
  <c r="J69" i="5"/>
  <c r="J68" i="5"/>
  <c r="J67" i="5"/>
  <c r="J66" i="5"/>
  <c r="J65" i="5"/>
  <c r="J64" i="5"/>
  <c r="J59" i="5"/>
  <c r="J58" i="5"/>
  <c r="J57" i="5"/>
  <c r="J56" i="5"/>
  <c r="J55" i="5"/>
  <c r="J54" i="5"/>
  <c r="J53" i="5"/>
  <c r="J36" i="5"/>
  <c r="J35" i="5"/>
  <c r="J34" i="5"/>
  <c r="J33" i="5"/>
  <c r="J32" i="5"/>
  <c r="J31" i="5"/>
  <c r="J30" i="5"/>
  <c r="J25" i="5"/>
  <c r="J24" i="5"/>
  <c r="J23" i="5"/>
  <c r="J22" i="5"/>
  <c r="J21" i="5"/>
  <c r="J20" i="5"/>
  <c r="J19" i="5"/>
  <c r="J14" i="5"/>
  <c r="J13" i="5"/>
  <c r="J12" i="5"/>
  <c r="J11" i="5"/>
  <c r="J10" i="5"/>
  <c r="J9" i="5"/>
  <c r="J8" i="5"/>
  <c r="G189" i="5" l="1"/>
  <c r="G123" i="5"/>
  <c r="G176" i="1"/>
  <c r="G174" i="1"/>
  <c r="F174" i="1" s="1"/>
  <c r="G175" i="1"/>
  <c r="G119" i="1"/>
  <c r="G101" i="1"/>
  <c r="G92" i="1"/>
  <c r="G91" i="1"/>
  <c r="G57" i="1"/>
  <c r="G27" i="1"/>
  <c r="F27" i="1" s="1"/>
  <c r="G25" i="1"/>
  <c r="G15" i="1"/>
  <c r="G9" i="1"/>
  <c r="G8" i="1"/>
  <c r="F177" i="1"/>
  <c r="F176" i="1"/>
  <c r="F175" i="1"/>
  <c r="F112" i="1"/>
  <c r="F111" i="1"/>
  <c r="F104" i="1"/>
  <c r="F103" i="1"/>
  <c r="F101" i="1"/>
  <c r="F92" i="1"/>
  <c r="F91" i="1"/>
  <c r="F61" i="1"/>
  <c r="F60" i="1"/>
  <c r="F59" i="1"/>
  <c r="F50" i="1"/>
  <c r="F49" i="1"/>
  <c r="F29" i="1"/>
  <c r="F28" i="1"/>
  <c r="F19" i="1"/>
  <c r="F8" i="1"/>
  <c r="J177" i="1"/>
  <c r="J175" i="1"/>
  <c r="J174" i="1"/>
  <c r="J119" i="1"/>
  <c r="J113" i="1"/>
  <c r="J112" i="1"/>
  <c r="J111" i="1"/>
  <c r="J103" i="1"/>
  <c r="J102" i="1"/>
  <c r="J101" i="1"/>
  <c r="J92" i="1"/>
  <c r="J91" i="1"/>
  <c r="J99" i="1" s="1"/>
  <c r="J67" i="1"/>
  <c r="J62" i="1"/>
  <c r="J61" i="1"/>
  <c r="J60" i="1"/>
  <c r="J59" i="1"/>
  <c r="J50" i="1"/>
  <c r="J49" i="1"/>
  <c r="J57" i="1" s="1"/>
  <c r="J29" i="1"/>
  <c r="J28" i="1"/>
  <c r="J27" i="1"/>
  <c r="J35" i="1" s="1"/>
  <c r="J18" i="1"/>
  <c r="J19" i="1"/>
  <c r="J25" i="1"/>
  <c r="J17" i="1"/>
  <c r="J12" i="1"/>
  <c r="J11" i="1"/>
  <c r="J10" i="1"/>
  <c r="J9" i="1"/>
  <c r="J8" i="1"/>
  <c r="J7" i="1"/>
  <c r="O7" i="1"/>
  <c r="H23" i="4"/>
  <c r="H22" i="4"/>
  <c r="G25" i="4"/>
  <c r="I127" i="5"/>
  <c r="D205" i="5"/>
  <c r="F25" i="4" l="1"/>
  <c r="E25" i="4"/>
  <c r="E22" i="4"/>
  <c r="H25" i="4" l="1"/>
  <c r="J187" i="1"/>
  <c r="G178" i="1"/>
  <c r="G109" i="1"/>
  <c r="G99" i="1"/>
  <c r="G67" i="1"/>
  <c r="G199" i="5"/>
  <c r="G112" i="5"/>
  <c r="G104" i="5"/>
  <c r="F104" i="5"/>
  <c r="G67" i="5"/>
  <c r="G26" i="5"/>
  <c r="G49" i="1"/>
  <c r="G50" i="1"/>
  <c r="G61" i="1"/>
  <c r="G60" i="1"/>
  <c r="G59" i="1"/>
  <c r="F199" i="5"/>
  <c r="G127" i="5"/>
  <c r="F127" i="5"/>
  <c r="G68" i="5"/>
  <c r="F68" i="5" s="1"/>
  <c r="F203" i="5" s="1"/>
  <c r="F22" i="5"/>
  <c r="F26" i="5" s="1"/>
  <c r="F12" i="5"/>
  <c r="F15" i="5" s="1"/>
  <c r="F119" i="1"/>
  <c r="G112" i="1"/>
  <c r="G190" i="5"/>
  <c r="F194" i="5"/>
  <c r="F188" i="5"/>
  <c r="E187" i="5"/>
  <c r="E194" i="5" s="1"/>
  <c r="E9" i="4"/>
  <c r="E6" i="4"/>
  <c r="J204" i="5"/>
  <c r="I13" i="4" s="1"/>
  <c r="J201" i="5"/>
  <c r="M201" i="5" s="1"/>
  <c r="F201" i="5"/>
  <c r="E10" i="4" s="1"/>
  <c r="F200" i="5"/>
  <c r="J127" i="5"/>
  <c r="J119" i="5"/>
  <c r="J116" i="5"/>
  <c r="F116" i="5"/>
  <c r="J203" i="5"/>
  <c r="I12" i="4" s="1"/>
  <c r="J97" i="5"/>
  <c r="J71" i="5"/>
  <c r="J200" i="5"/>
  <c r="I9" i="4" s="1"/>
  <c r="J60" i="5"/>
  <c r="F60" i="5"/>
  <c r="J37" i="5"/>
  <c r="J26" i="5"/>
  <c r="F33" i="5"/>
  <c r="F37" i="5" s="1"/>
  <c r="J15" i="5"/>
  <c r="F204" i="5"/>
  <c r="F205" i="5"/>
  <c r="E14" i="4" s="1"/>
  <c r="J197" i="5"/>
  <c r="J4" i="5"/>
  <c r="I6" i="4" s="1"/>
  <c r="F4" i="5"/>
  <c r="F197" i="5" s="1"/>
  <c r="F187" i="1"/>
  <c r="J176" i="1"/>
  <c r="J114" i="1"/>
  <c r="J115" i="1"/>
  <c r="J116" i="1"/>
  <c r="J117" i="1"/>
  <c r="J118" i="1"/>
  <c r="J104" i="1"/>
  <c r="J109" i="1" s="1"/>
  <c r="J52" i="5"/>
  <c r="J29" i="5"/>
  <c r="J18" i="5"/>
  <c r="J13" i="1"/>
  <c r="J14" i="1"/>
  <c r="F109" i="1"/>
  <c r="F108" i="5" s="1"/>
  <c r="F67" i="1"/>
  <c r="F63" i="5" s="1"/>
  <c r="H6" i="4"/>
  <c r="D6" i="4"/>
  <c r="C6" i="4"/>
  <c r="M204" i="5" l="1"/>
  <c r="E12" i="4"/>
  <c r="L12" i="4" s="1"/>
  <c r="M203" i="5"/>
  <c r="M200" i="5"/>
  <c r="J105" i="5"/>
  <c r="E13" i="4"/>
  <c r="L13" i="4" s="1"/>
  <c r="L9" i="4"/>
  <c r="I10" i="4"/>
  <c r="L10" i="4" s="1"/>
  <c r="J15" i="1"/>
  <c r="J7" i="5" s="1"/>
  <c r="J108" i="5"/>
  <c r="J63" i="5"/>
  <c r="F57" i="1"/>
  <c r="F52" i="5" s="1"/>
  <c r="F99" i="1"/>
  <c r="F97" i="5" s="1"/>
  <c r="F15" i="1"/>
  <c r="F7" i="5" s="1"/>
  <c r="F119" i="5"/>
  <c r="F184" i="5" s="1"/>
  <c r="E8" i="4" l="1"/>
  <c r="E101" i="5"/>
  <c r="E22" i="5"/>
  <c r="D194" i="5" l="1"/>
  <c r="H194" i="5"/>
  <c r="I194" i="5"/>
  <c r="D127" i="5"/>
  <c r="E127" i="5"/>
  <c r="H127" i="5"/>
  <c r="D116" i="5"/>
  <c r="E116" i="5"/>
  <c r="G116" i="5"/>
  <c r="H116" i="5"/>
  <c r="I116" i="5"/>
  <c r="D105" i="5"/>
  <c r="E105" i="5"/>
  <c r="H105" i="5"/>
  <c r="I105" i="5"/>
  <c r="D71" i="5"/>
  <c r="E71" i="5"/>
  <c r="H71" i="5"/>
  <c r="I71" i="5"/>
  <c r="D60" i="5"/>
  <c r="E60" i="5"/>
  <c r="G60" i="5"/>
  <c r="H60" i="5"/>
  <c r="I60" i="5"/>
  <c r="I37" i="5"/>
  <c r="H37" i="5"/>
  <c r="D37" i="5"/>
  <c r="E37" i="5"/>
  <c r="I26" i="5"/>
  <c r="H26" i="5"/>
  <c r="E26" i="5"/>
  <c r="D26" i="5"/>
  <c r="D15" i="5"/>
  <c r="E15" i="5"/>
  <c r="G15" i="5"/>
  <c r="H15" i="5"/>
  <c r="I15" i="5"/>
  <c r="I205" i="5"/>
  <c r="H14" i="4" s="1"/>
  <c r="I204" i="5"/>
  <c r="H13" i="4" s="1"/>
  <c r="I203" i="5"/>
  <c r="H12" i="4" s="1"/>
  <c r="I202" i="5"/>
  <c r="H11" i="4" s="1"/>
  <c r="I201" i="5"/>
  <c r="H10" i="4" s="1"/>
  <c r="I200" i="5"/>
  <c r="H9" i="4" s="1"/>
  <c r="I199" i="5"/>
  <c r="H8" i="4" s="1"/>
  <c r="H205" i="5"/>
  <c r="G14" i="4" s="1"/>
  <c r="H204" i="5"/>
  <c r="G13" i="4" s="1"/>
  <c r="H203" i="5"/>
  <c r="G12" i="4" s="1"/>
  <c r="H202" i="5"/>
  <c r="G11" i="4" s="1"/>
  <c r="H201" i="5"/>
  <c r="G10" i="4" s="1"/>
  <c r="H200" i="5"/>
  <c r="G9" i="4" s="1"/>
  <c r="H199" i="5"/>
  <c r="G8" i="4" s="1"/>
  <c r="E205" i="5"/>
  <c r="E204" i="5"/>
  <c r="E203" i="5"/>
  <c r="E202" i="5"/>
  <c r="E201" i="5"/>
  <c r="E200" i="5"/>
  <c r="E199" i="5"/>
  <c r="C14" i="4"/>
  <c r="D204" i="5"/>
  <c r="C13" i="4" s="1"/>
  <c r="D203" i="5"/>
  <c r="C12" i="4" s="1"/>
  <c r="D202" i="5"/>
  <c r="C11" i="4" s="1"/>
  <c r="D201" i="5"/>
  <c r="C10" i="4" s="1"/>
  <c r="D200" i="5"/>
  <c r="C9" i="4" s="1"/>
  <c r="D199" i="5"/>
  <c r="C8" i="4" s="1"/>
  <c r="I197" i="5"/>
  <c r="H197" i="5"/>
  <c r="E197" i="5"/>
  <c r="D197" i="5"/>
  <c r="I4" i="5"/>
  <c r="H4" i="5"/>
  <c r="G6" i="4" s="1"/>
  <c r="E4" i="5"/>
  <c r="D4" i="5"/>
  <c r="O177" i="1"/>
  <c r="M113" i="1"/>
  <c r="M114" i="1"/>
  <c r="M104" i="1"/>
  <c r="M101" i="1"/>
  <c r="M102" i="1"/>
  <c r="M103" i="1"/>
  <c r="M92" i="1"/>
  <c r="M91" i="1"/>
  <c r="M62" i="1"/>
  <c r="M60" i="1"/>
  <c r="M61" i="1"/>
  <c r="M59" i="1"/>
  <c r="M50" i="1"/>
  <c r="M49" i="1"/>
  <c r="M28" i="1"/>
  <c r="M29" i="1"/>
  <c r="M19" i="1"/>
  <c r="M17" i="1"/>
  <c r="M8" i="1"/>
  <c r="M9" i="1"/>
  <c r="M10" i="1"/>
  <c r="M11" i="1"/>
  <c r="M12" i="1"/>
  <c r="M13" i="1"/>
  <c r="M14" i="1"/>
  <c r="M7" i="1"/>
  <c r="M112" i="1"/>
  <c r="M12" i="4" l="1"/>
  <c r="M13" i="4"/>
  <c r="M9" i="4"/>
  <c r="M10" i="4"/>
  <c r="H15" i="4"/>
  <c r="H16" i="4" s="1"/>
  <c r="H17" i="4" s="1"/>
  <c r="D8" i="4"/>
  <c r="E206" i="5"/>
  <c r="C15" i="4"/>
  <c r="D9" i="4"/>
  <c r="D13" i="4"/>
  <c r="D11" i="4"/>
  <c r="D14" i="4"/>
  <c r="D10" i="4"/>
  <c r="D12" i="4"/>
  <c r="G15" i="4"/>
  <c r="I206" i="5"/>
  <c r="H206" i="5"/>
  <c r="D206" i="5"/>
  <c r="C16" i="4" l="1"/>
  <c r="D15" i="4"/>
  <c r="D16" i="4" s="1"/>
  <c r="D17" i="4" s="1"/>
  <c r="D207" i="5"/>
  <c r="D208" i="5" s="1"/>
  <c r="H207" i="5"/>
  <c r="H208" i="5" s="1"/>
  <c r="G16" i="4"/>
  <c r="G17" i="4" s="1"/>
  <c r="I207" i="5"/>
  <c r="I208" i="5" s="1"/>
  <c r="E207" i="5"/>
  <c r="I187" i="1"/>
  <c r="H187" i="1"/>
  <c r="E187" i="1"/>
  <c r="D187" i="1"/>
  <c r="G7" i="5"/>
  <c r="C17" i="4" l="1"/>
  <c r="E208" i="5"/>
  <c r="O175" i="1"/>
  <c r="O176" i="1"/>
  <c r="O174" i="1"/>
  <c r="O112" i="1"/>
  <c r="O113" i="1"/>
  <c r="O114" i="1"/>
  <c r="O102" i="1"/>
  <c r="O103" i="1"/>
  <c r="O104" i="1"/>
  <c r="O101" i="1"/>
  <c r="O92" i="1"/>
  <c r="O91" i="1"/>
  <c r="O61" i="1"/>
  <c r="O62" i="1"/>
  <c r="O60" i="1"/>
  <c r="O59" i="1"/>
  <c r="O50" i="1"/>
  <c r="O49" i="1"/>
  <c r="O28" i="1"/>
  <c r="O29" i="1"/>
  <c r="O19" i="1"/>
  <c r="O17" i="1"/>
  <c r="O8" i="1"/>
  <c r="O9" i="1"/>
  <c r="O10" i="1"/>
  <c r="O11" i="1"/>
  <c r="O12" i="1"/>
  <c r="O13" i="1"/>
  <c r="O14" i="1"/>
  <c r="D178" i="1"/>
  <c r="D186" i="5" s="1"/>
  <c r="E178" i="1"/>
  <c r="E186" i="5" s="1"/>
  <c r="H178" i="1"/>
  <c r="H186" i="5" s="1"/>
  <c r="I178" i="1"/>
  <c r="I186" i="5" s="1"/>
  <c r="H119" i="1"/>
  <c r="H119" i="5" s="1"/>
  <c r="D119" i="1"/>
  <c r="D119" i="5" s="1"/>
  <c r="E119" i="1"/>
  <c r="E119" i="5" s="1"/>
  <c r="I109" i="1"/>
  <c r="I108" i="5" s="1"/>
  <c r="H109" i="1"/>
  <c r="H108" i="5" s="1"/>
  <c r="D109" i="1"/>
  <c r="D108" i="5" s="1"/>
  <c r="E109" i="1"/>
  <c r="E108" i="5" s="1"/>
  <c r="I99" i="1"/>
  <c r="I97" i="5" s="1"/>
  <c r="H99" i="1"/>
  <c r="H97" i="5" s="1"/>
  <c r="D99" i="1"/>
  <c r="E99" i="1"/>
  <c r="E97" i="5" s="1"/>
  <c r="K67" i="1"/>
  <c r="I67" i="1"/>
  <c r="I63" i="5" s="1"/>
  <c r="H67" i="1"/>
  <c r="H63" i="5" s="1"/>
  <c r="D67" i="1"/>
  <c r="D63" i="5" s="1"/>
  <c r="E67" i="1"/>
  <c r="E63" i="5" s="1"/>
  <c r="I57" i="1"/>
  <c r="I52" i="5" s="1"/>
  <c r="H57" i="1"/>
  <c r="H52" i="5" s="1"/>
  <c r="D57" i="1"/>
  <c r="E57" i="1"/>
  <c r="E52" i="5" s="1"/>
  <c r="H35" i="1"/>
  <c r="H29" i="5" s="1"/>
  <c r="D35" i="1"/>
  <c r="D29" i="5" s="1"/>
  <c r="E35" i="1"/>
  <c r="E29" i="5" s="1"/>
  <c r="K25" i="1"/>
  <c r="I25" i="1"/>
  <c r="I18" i="5" s="1"/>
  <c r="H25" i="1"/>
  <c r="H18" i="5" s="1"/>
  <c r="D25" i="1"/>
  <c r="D18" i="5" s="1"/>
  <c r="D15" i="1"/>
  <c r="I15" i="1"/>
  <c r="H15" i="1"/>
  <c r="H7" i="5" s="1"/>
  <c r="E15" i="1"/>
  <c r="E7" i="5" s="1"/>
  <c r="O27" i="1"/>
  <c r="E18" i="1"/>
  <c r="G194" i="5"/>
  <c r="G101" i="5"/>
  <c r="F101" i="5" s="1"/>
  <c r="F105" i="5" s="1"/>
  <c r="G33" i="5"/>
  <c r="I7" i="5" l="1"/>
  <c r="I189" i="1"/>
  <c r="G105" i="5"/>
  <c r="D52" i="5"/>
  <c r="D97" i="5"/>
  <c r="D7" i="5"/>
  <c r="O67" i="1"/>
  <c r="O18" i="1"/>
  <c r="O111" i="1"/>
  <c r="M111" i="1"/>
  <c r="I119" i="1"/>
  <c r="I119" i="5" s="1"/>
  <c r="E189" i="1"/>
  <c r="H189" i="1"/>
  <c r="H190" i="1" s="1"/>
  <c r="H191" i="1" s="1"/>
  <c r="D189" i="1"/>
  <c r="D190" i="1" s="1"/>
  <c r="O178" i="1"/>
  <c r="I35" i="1"/>
  <c r="I29" i="5" s="1"/>
  <c r="E25" i="1"/>
  <c r="E18" i="5" s="1"/>
  <c r="K193" i="5"/>
  <c r="J205" i="5" s="1"/>
  <c r="K190" i="5"/>
  <c r="J202" i="5" s="1"/>
  <c r="K187" i="5"/>
  <c r="J199" i="5" l="1"/>
  <c r="J194" i="5"/>
  <c r="I11" i="4"/>
  <c r="I14" i="4"/>
  <c r="M14" i="4" s="1"/>
  <c r="M205" i="5"/>
  <c r="D191" i="1"/>
  <c r="D198" i="1" s="1"/>
  <c r="G198" i="1" s="1"/>
  <c r="E190" i="1"/>
  <c r="I190" i="1"/>
  <c r="I191" i="1" s="1"/>
  <c r="E198" i="1"/>
  <c r="E197" i="1"/>
  <c r="D199" i="1"/>
  <c r="D197" i="1"/>
  <c r="K177" i="1"/>
  <c r="K175" i="1"/>
  <c r="K174" i="1"/>
  <c r="J6" i="4"/>
  <c r="K6" i="4"/>
  <c r="F6" i="4"/>
  <c r="K197" i="5"/>
  <c r="L197" i="5"/>
  <c r="G197" i="5"/>
  <c r="K4" i="5"/>
  <c r="L4" i="5"/>
  <c r="G4" i="5"/>
  <c r="G187" i="1"/>
  <c r="L187" i="1"/>
  <c r="K187" i="1"/>
  <c r="O15" i="1"/>
  <c r="O25" i="1"/>
  <c r="O35" i="1"/>
  <c r="O45" i="1"/>
  <c r="O57" i="1"/>
  <c r="O77" i="1"/>
  <c r="O87" i="1"/>
  <c r="O99" i="1"/>
  <c r="O109" i="1"/>
  <c r="O119" i="1"/>
  <c r="O129" i="1"/>
  <c r="O141" i="1"/>
  <c r="O151" i="1"/>
  <c r="O161" i="1"/>
  <c r="O171" i="1"/>
  <c r="K205" i="5"/>
  <c r="L205" i="5"/>
  <c r="K14" i="4" s="1"/>
  <c r="K204" i="5"/>
  <c r="J13" i="4" s="1"/>
  <c r="L204" i="5"/>
  <c r="K13" i="4" s="1"/>
  <c r="K203" i="5"/>
  <c r="L203" i="5"/>
  <c r="K12" i="4" s="1"/>
  <c r="K202" i="5"/>
  <c r="J11" i="4" s="1"/>
  <c r="L202" i="5"/>
  <c r="K11" i="4" s="1"/>
  <c r="K201" i="5"/>
  <c r="L201" i="5"/>
  <c r="K200" i="5"/>
  <c r="J9" i="4" s="1"/>
  <c r="L200" i="5"/>
  <c r="K9" i="4" s="1"/>
  <c r="G201" i="5"/>
  <c r="G203" i="5"/>
  <c r="G204" i="5"/>
  <c r="G205" i="5"/>
  <c r="G200" i="5"/>
  <c r="K199" i="5"/>
  <c r="L199" i="5"/>
  <c r="K8" i="4" s="1"/>
  <c r="G151" i="1"/>
  <c r="G153" i="5" s="1"/>
  <c r="K151" i="1"/>
  <c r="K153" i="5" s="1"/>
  <c r="M167" i="1"/>
  <c r="M170" i="1"/>
  <c r="M169" i="1"/>
  <c r="M168" i="1"/>
  <c r="M166" i="1"/>
  <c r="M165" i="1"/>
  <c r="M164" i="1"/>
  <c r="M163" i="1"/>
  <c r="M160" i="1"/>
  <c r="M159" i="1"/>
  <c r="M158" i="1"/>
  <c r="M157" i="1"/>
  <c r="M156" i="1"/>
  <c r="M155" i="1"/>
  <c r="M154" i="1"/>
  <c r="M153" i="1"/>
  <c r="M150" i="1"/>
  <c r="M149" i="1"/>
  <c r="M148" i="1"/>
  <c r="M147" i="1"/>
  <c r="M146" i="1"/>
  <c r="M145" i="1"/>
  <c r="M144" i="1"/>
  <c r="M143" i="1"/>
  <c r="M140" i="1"/>
  <c r="M139" i="1"/>
  <c r="M138" i="1"/>
  <c r="M137" i="1"/>
  <c r="M136" i="1"/>
  <c r="M135" i="1"/>
  <c r="M134" i="1"/>
  <c r="M133" i="1"/>
  <c r="M128" i="1"/>
  <c r="M127" i="1"/>
  <c r="M126" i="1"/>
  <c r="M125" i="1"/>
  <c r="M124" i="1"/>
  <c r="M123" i="1"/>
  <c r="M122" i="1"/>
  <c r="M121" i="1"/>
  <c r="M118" i="1"/>
  <c r="M117" i="1"/>
  <c r="M116" i="1"/>
  <c r="M115" i="1"/>
  <c r="M108" i="1"/>
  <c r="M107" i="1"/>
  <c r="M106" i="1"/>
  <c r="M105" i="1"/>
  <c r="M98" i="1"/>
  <c r="M97" i="1"/>
  <c r="M96" i="1"/>
  <c r="M95" i="1"/>
  <c r="M94" i="1"/>
  <c r="M93" i="1"/>
  <c r="M86" i="1"/>
  <c r="M85" i="1"/>
  <c r="M84" i="1"/>
  <c r="M83" i="1"/>
  <c r="M82" i="1"/>
  <c r="M81" i="1"/>
  <c r="M80" i="1"/>
  <c r="M79" i="1"/>
  <c r="M76" i="1"/>
  <c r="M75" i="1"/>
  <c r="M74" i="1"/>
  <c r="M73" i="1"/>
  <c r="M72" i="1"/>
  <c r="M71" i="1"/>
  <c r="M70" i="1"/>
  <c r="M69" i="1"/>
  <c r="M66" i="1"/>
  <c r="M65" i="1"/>
  <c r="M64" i="1"/>
  <c r="M63" i="1"/>
  <c r="M56" i="1"/>
  <c r="M55" i="1"/>
  <c r="M54" i="1"/>
  <c r="M53" i="1"/>
  <c r="M52" i="1"/>
  <c r="M51" i="1"/>
  <c r="M44" i="1"/>
  <c r="M43" i="1"/>
  <c r="M42" i="1"/>
  <c r="M41" i="1"/>
  <c r="M40" i="1"/>
  <c r="M39" i="1"/>
  <c r="M38" i="1"/>
  <c r="M37" i="1"/>
  <c r="M34" i="1"/>
  <c r="M33" i="1"/>
  <c r="M32" i="1"/>
  <c r="M31" i="1"/>
  <c r="M30" i="1"/>
  <c r="M20" i="1"/>
  <c r="M21" i="1"/>
  <c r="M22" i="1"/>
  <c r="M23" i="1"/>
  <c r="M24" i="1"/>
  <c r="L194" i="5"/>
  <c r="K194" i="5"/>
  <c r="M193" i="5"/>
  <c r="M192" i="5"/>
  <c r="M191" i="5"/>
  <c r="M190" i="5"/>
  <c r="M189" i="5"/>
  <c r="M188" i="5"/>
  <c r="M187" i="5"/>
  <c r="L178" i="1"/>
  <c r="L186" i="5" s="1"/>
  <c r="M154" i="5"/>
  <c r="M155" i="5"/>
  <c r="M156" i="5"/>
  <c r="M157" i="5"/>
  <c r="M158" i="5"/>
  <c r="M159" i="5"/>
  <c r="M160" i="5"/>
  <c r="G161" i="5"/>
  <c r="K161" i="5"/>
  <c r="L161" i="5"/>
  <c r="M165" i="5"/>
  <c r="M166" i="5"/>
  <c r="M167" i="5"/>
  <c r="M168" i="5"/>
  <c r="M169" i="5"/>
  <c r="M170" i="5"/>
  <c r="M171" i="5"/>
  <c r="G172" i="5"/>
  <c r="K172" i="5"/>
  <c r="L172" i="5"/>
  <c r="M176" i="5"/>
  <c r="M177" i="5"/>
  <c r="M178" i="5"/>
  <c r="M179" i="5"/>
  <c r="M180" i="5"/>
  <c r="M181" i="5"/>
  <c r="M182" i="5"/>
  <c r="G183" i="5"/>
  <c r="K183" i="5"/>
  <c r="L183" i="5"/>
  <c r="L150" i="5"/>
  <c r="K150" i="5"/>
  <c r="G150" i="5"/>
  <c r="M149" i="5"/>
  <c r="M148" i="5"/>
  <c r="M147" i="5"/>
  <c r="M146" i="5"/>
  <c r="M145" i="5"/>
  <c r="M144" i="5"/>
  <c r="M143" i="5"/>
  <c r="M109" i="5"/>
  <c r="M110" i="5"/>
  <c r="M111" i="5"/>
  <c r="M112" i="5"/>
  <c r="M113" i="5"/>
  <c r="M114" i="5"/>
  <c r="M115" i="5"/>
  <c r="K116" i="5"/>
  <c r="L116" i="5"/>
  <c r="M120" i="5"/>
  <c r="M121" i="5"/>
  <c r="M122" i="5"/>
  <c r="M123" i="5"/>
  <c r="M124" i="5"/>
  <c r="M125" i="5"/>
  <c r="M126" i="5"/>
  <c r="K127" i="5"/>
  <c r="L127" i="5"/>
  <c r="M131" i="5"/>
  <c r="M132" i="5"/>
  <c r="M133" i="5"/>
  <c r="M134" i="5"/>
  <c r="M135" i="5"/>
  <c r="M136" i="5"/>
  <c r="M137" i="5"/>
  <c r="G138" i="5"/>
  <c r="K138" i="5"/>
  <c r="L138" i="5"/>
  <c r="L105" i="5"/>
  <c r="K105" i="5"/>
  <c r="M104" i="5"/>
  <c r="M103" i="5"/>
  <c r="M102" i="5"/>
  <c r="M101" i="5"/>
  <c r="M100" i="5"/>
  <c r="M99" i="5"/>
  <c r="M98" i="5"/>
  <c r="M64" i="5"/>
  <c r="M65" i="5"/>
  <c r="M66" i="5"/>
  <c r="M68" i="5"/>
  <c r="M69" i="5"/>
  <c r="M70" i="5"/>
  <c r="K71" i="5"/>
  <c r="L71" i="5"/>
  <c r="M75" i="5"/>
  <c r="M76" i="5"/>
  <c r="M77" i="5"/>
  <c r="M78" i="5"/>
  <c r="M79" i="5"/>
  <c r="M80" i="5"/>
  <c r="M81" i="5"/>
  <c r="G82" i="5"/>
  <c r="K82" i="5"/>
  <c r="L82" i="5"/>
  <c r="M86" i="5"/>
  <c r="M87" i="5"/>
  <c r="M88" i="5"/>
  <c r="M89" i="5"/>
  <c r="M90" i="5"/>
  <c r="M91" i="5"/>
  <c r="M92" i="5"/>
  <c r="G93" i="5"/>
  <c r="K93" i="5"/>
  <c r="L93" i="5"/>
  <c r="M53" i="5"/>
  <c r="M54" i="5"/>
  <c r="M55" i="5"/>
  <c r="M56" i="5"/>
  <c r="M57" i="5"/>
  <c r="M58" i="5"/>
  <c r="M59" i="5"/>
  <c r="K60" i="5"/>
  <c r="L60" i="5"/>
  <c r="M19" i="5"/>
  <c r="M20" i="5"/>
  <c r="M21" i="5"/>
  <c r="M22" i="5"/>
  <c r="M23" i="5"/>
  <c r="M24" i="5"/>
  <c r="M25" i="5"/>
  <c r="K26" i="5"/>
  <c r="L26" i="5"/>
  <c r="M30" i="5"/>
  <c r="M31" i="5"/>
  <c r="M32" i="5"/>
  <c r="M33" i="5"/>
  <c r="M34" i="5"/>
  <c r="M35" i="5"/>
  <c r="M36" i="5"/>
  <c r="G37" i="5"/>
  <c r="K37" i="5"/>
  <c r="L37" i="5"/>
  <c r="M41" i="5"/>
  <c r="M42" i="5"/>
  <c r="M43" i="5"/>
  <c r="M44" i="5"/>
  <c r="M45" i="5"/>
  <c r="M46" i="5"/>
  <c r="M47" i="5"/>
  <c r="G48" i="5"/>
  <c r="K48" i="5"/>
  <c r="L48" i="5"/>
  <c r="K15" i="5"/>
  <c r="L15" i="5"/>
  <c r="M8" i="5"/>
  <c r="M9" i="5"/>
  <c r="M10" i="5"/>
  <c r="M11" i="5"/>
  <c r="M12" i="5"/>
  <c r="M13" i="5"/>
  <c r="M14" i="5"/>
  <c r="K171" i="1"/>
  <c r="K175" i="5" s="1"/>
  <c r="L171" i="1"/>
  <c r="L175" i="5" s="1"/>
  <c r="K161" i="1"/>
  <c r="K164" i="5" s="1"/>
  <c r="L161" i="1"/>
  <c r="L164" i="5" s="1"/>
  <c r="L151" i="1"/>
  <c r="L153" i="5" s="1"/>
  <c r="K141" i="1"/>
  <c r="K142" i="5" s="1"/>
  <c r="L141" i="1"/>
  <c r="L142" i="5" s="1"/>
  <c r="K129" i="1"/>
  <c r="K130" i="5" s="1"/>
  <c r="L129" i="1"/>
  <c r="L130" i="5" s="1"/>
  <c r="K119" i="1"/>
  <c r="K119" i="5" s="1"/>
  <c r="L119" i="1"/>
  <c r="L119" i="5" s="1"/>
  <c r="K109" i="1"/>
  <c r="K108" i="5" s="1"/>
  <c r="L109" i="1"/>
  <c r="L108" i="5" s="1"/>
  <c r="K99" i="1"/>
  <c r="K97" i="5" s="1"/>
  <c r="L99" i="1"/>
  <c r="L97" i="5" s="1"/>
  <c r="K87" i="1"/>
  <c r="K85" i="5" s="1"/>
  <c r="L87" i="1"/>
  <c r="L85" i="5" s="1"/>
  <c r="K77" i="1"/>
  <c r="K74" i="5" s="1"/>
  <c r="L77" i="1"/>
  <c r="L74" i="5" s="1"/>
  <c r="K63" i="5"/>
  <c r="L67" i="1"/>
  <c r="L63" i="5" s="1"/>
  <c r="K57" i="1"/>
  <c r="K52" i="5" s="1"/>
  <c r="L57" i="1"/>
  <c r="L52" i="5" s="1"/>
  <c r="K45" i="1"/>
  <c r="K40" i="5" s="1"/>
  <c r="L45" i="1"/>
  <c r="L40" i="5" s="1"/>
  <c r="K35" i="1"/>
  <c r="K29" i="5" s="1"/>
  <c r="L35" i="1"/>
  <c r="L29" i="5" s="1"/>
  <c r="K18" i="5"/>
  <c r="L25" i="1"/>
  <c r="L18" i="5" s="1"/>
  <c r="L15" i="1"/>
  <c r="L7" i="5" s="1"/>
  <c r="G171" i="1"/>
  <c r="G175" i="5" s="1"/>
  <c r="G161" i="1"/>
  <c r="G164" i="5" s="1"/>
  <c r="G141" i="1"/>
  <c r="G142" i="5" s="1"/>
  <c r="G129" i="1"/>
  <c r="G130" i="5" s="1"/>
  <c r="G119" i="5"/>
  <c r="G108" i="5"/>
  <c r="G97" i="5"/>
  <c r="G87" i="1"/>
  <c r="G85" i="5" s="1"/>
  <c r="G77" i="1"/>
  <c r="G74" i="5" s="1"/>
  <c r="G52" i="5"/>
  <c r="G45" i="1"/>
  <c r="G40" i="5" s="1"/>
  <c r="M174" i="1" l="1"/>
  <c r="L14" i="4"/>
  <c r="G35" i="1"/>
  <c r="G29" i="5" s="1"/>
  <c r="M29" i="5" s="1"/>
  <c r="F35" i="1"/>
  <c r="I8" i="4"/>
  <c r="M8" i="4" s="1"/>
  <c r="M199" i="5"/>
  <c r="J206" i="5"/>
  <c r="F14" i="4"/>
  <c r="F9" i="4"/>
  <c r="F13" i="4"/>
  <c r="F12" i="4"/>
  <c r="F10" i="4"/>
  <c r="F8" i="4"/>
  <c r="N67" i="1"/>
  <c r="E191" i="1"/>
  <c r="M27" i="1"/>
  <c r="N35" i="1" s="1"/>
  <c r="M57" i="1"/>
  <c r="M177" i="1"/>
  <c r="M172" i="5"/>
  <c r="M93" i="5"/>
  <c r="M138" i="5"/>
  <c r="M183" i="5"/>
  <c r="M150" i="5"/>
  <c r="M82" i="5"/>
  <c r="G197" i="1"/>
  <c r="D200" i="1"/>
  <c r="G63" i="5"/>
  <c r="M63" i="5" s="1"/>
  <c r="O202" i="1"/>
  <c r="K15" i="1"/>
  <c r="N171" i="1"/>
  <c r="N77" i="1"/>
  <c r="N129" i="1"/>
  <c r="M161" i="5"/>
  <c r="L206" i="5"/>
  <c r="L207" i="5" s="1"/>
  <c r="L208" i="5" s="1"/>
  <c r="M48" i="5"/>
  <c r="M60" i="5"/>
  <c r="K178" i="1"/>
  <c r="K186" i="5" s="1"/>
  <c r="M15" i="1"/>
  <c r="M116" i="5"/>
  <c r="M26" i="5"/>
  <c r="M127" i="5"/>
  <c r="K10" i="4"/>
  <c r="K15" i="4" s="1"/>
  <c r="M15" i="5"/>
  <c r="M105" i="5"/>
  <c r="M37" i="5"/>
  <c r="M194" i="5"/>
  <c r="J14" i="4"/>
  <c r="K206" i="5"/>
  <c r="K207" i="5" s="1"/>
  <c r="K208" i="5" s="1"/>
  <c r="J8" i="4"/>
  <c r="J10" i="4"/>
  <c r="J12" i="4"/>
  <c r="M141" i="1"/>
  <c r="M45" i="1"/>
  <c r="N45" i="1"/>
  <c r="M77" i="1"/>
  <c r="M87" i="1"/>
  <c r="M129" i="1"/>
  <c r="N141" i="1"/>
  <c r="M151" i="1"/>
  <c r="M161" i="1"/>
  <c r="M171" i="1"/>
  <c r="M130" i="5"/>
  <c r="M85" i="5"/>
  <c r="L189" i="1"/>
  <c r="N151" i="1"/>
  <c r="N161" i="1"/>
  <c r="N57" i="1"/>
  <c r="C40" i="6"/>
  <c r="D45" i="6" s="1"/>
  <c r="N87" i="1"/>
  <c r="M99" i="1"/>
  <c r="C18" i="6"/>
  <c r="D21" i="6" s="1"/>
  <c r="M119" i="1"/>
  <c r="N119" i="1"/>
  <c r="M175" i="5"/>
  <c r="M119" i="5"/>
  <c r="N109" i="1"/>
  <c r="M109" i="1"/>
  <c r="M67" i="1"/>
  <c r="M108" i="5"/>
  <c r="M97" i="5"/>
  <c r="M153" i="5"/>
  <c r="N99" i="1"/>
  <c r="C29" i="6"/>
  <c r="D34" i="6" s="1"/>
  <c r="M142" i="5"/>
  <c r="M164" i="5"/>
  <c r="M40" i="5"/>
  <c r="M52" i="5"/>
  <c r="M74" i="5"/>
  <c r="F29" i="5" l="1"/>
  <c r="I15" i="4"/>
  <c r="L8" i="4"/>
  <c r="J189" i="1"/>
  <c r="J190" i="1" s="1"/>
  <c r="J191" i="1" s="1"/>
  <c r="J178" i="1"/>
  <c r="J186" i="5" s="1"/>
  <c r="J207" i="5"/>
  <c r="J208" i="5" s="1"/>
  <c r="J15" i="4"/>
  <c r="J16" i="4" s="1"/>
  <c r="J17" i="4" s="1"/>
  <c r="E199" i="1"/>
  <c r="E200" i="1" s="1"/>
  <c r="G200" i="1"/>
  <c r="O203" i="1"/>
  <c r="K189" i="1"/>
  <c r="K7" i="5"/>
  <c r="M7" i="5" s="1"/>
  <c r="N15" i="1"/>
  <c r="D46" i="6"/>
  <c r="M35" i="1"/>
  <c r="K16" i="4"/>
  <c r="K17" i="4" s="1"/>
  <c r="D43" i="6"/>
  <c r="D47" i="6"/>
  <c r="D44" i="6"/>
  <c r="L190" i="1"/>
  <c r="L191" i="1" s="1"/>
  <c r="D23" i="6"/>
  <c r="D22" i="6"/>
  <c r="D25" i="6"/>
  <c r="D24" i="6"/>
  <c r="D32" i="6"/>
  <c r="D35" i="6"/>
  <c r="D33" i="6"/>
  <c r="D36" i="6"/>
  <c r="I16" i="4" l="1"/>
  <c r="K190" i="1"/>
  <c r="K191" i="1"/>
  <c r="C41" i="6"/>
  <c r="C19" i="6"/>
  <c r="C30" i="6"/>
  <c r="I17" i="4" l="1"/>
  <c r="M175" i="1"/>
  <c r="M176" i="1"/>
  <c r="M178" i="1" l="1"/>
  <c r="N178" i="1"/>
  <c r="D205" i="1"/>
  <c r="G186" i="5"/>
  <c r="M186" i="5" l="1"/>
  <c r="F178" i="1"/>
  <c r="F186" i="5" s="1"/>
  <c r="F202" i="5" l="1"/>
  <c r="M202" i="5" s="1"/>
  <c r="M206" i="5" s="1"/>
  <c r="M207" i="5" s="1"/>
  <c r="G202" i="5"/>
  <c r="M67" i="5"/>
  <c r="G71" i="5"/>
  <c r="M71" i="5" s="1"/>
  <c r="F71" i="5"/>
  <c r="F72" i="5" s="1"/>
  <c r="E11" i="4" l="1"/>
  <c r="F206" i="5"/>
  <c r="F207" i="5" s="1"/>
  <c r="F11" i="4"/>
  <c r="G206" i="5"/>
  <c r="M11" i="4" l="1"/>
  <c r="L11" i="4"/>
  <c r="L15" i="4" s="1"/>
  <c r="L16" i="4" s="1"/>
  <c r="E15" i="4"/>
  <c r="F15" i="4"/>
  <c r="G207" i="5"/>
  <c r="F208" i="5"/>
  <c r="E16" i="4" l="1"/>
  <c r="M15" i="4"/>
  <c r="M208" i="5"/>
  <c r="G208" i="5"/>
  <c r="F16" i="4"/>
  <c r="F17" i="4" s="1"/>
  <c r="E17" i="4" l="1"/>
  <c r="M17" i="4" s="1"/>
  <c r="M16" i="4"/>
  <c r="L17" i="4"/>
  <c r="C7" i="6"/>
  <c r="D11" i="6" s="1"/>
  <c r="G189" i="1"/>
  <c r="F18" i="1"/>
  <c r="F25" i="1" s="1"/>
  <c r="M18" i="1"/>
  <c r="M25" i="1" s="1"/>
  <c r="F189" i="1" l="1"/>
  <c r="F18" i="5"/>
  <c r="G190" i="1"/>
  <c r="G191" i="1" s="1"/>
  <c r="G18" i="5"/>
  <c r="M18" i="5" s="1"/>
  <c r="D13" i="6"/>
  <c r="D10" i="6"/>
  <c r="D12" i="6"/>
  <c r="D14" i="6"/>
  <c r="N25" i="1"/>
  <c r="D202" i="1" s="1"/>
  <c r="F190" i="1" l="1"/>
  <c r="F191" i="1" s="1"/>
  <c r="M189" i="1"/>
  <c r="C8" i="6"/>
  <c r="M190" i="1" l="1"/>
  <c r="M191" i="1" s="1"/>
  <c r="D206" i="1" l="1"/>
  <c r="D203" i="1"/>
  <c r="H200" i="1"/>
  <c r="H199" i="1"/>
  <c r="G199" i="1"/>
</calcChain>
</file>

<file path=xl/sharedStrings.xml><?xml version="1.0" encoding="utf-8"?>
<sst xmlns="http://schemas.openxmlformats.org/spreadsheetml/2006/main" count="928" uniqueCount="651">
  <si>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</si>
  <si>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</si>
  <si>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</si>
  <si>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</si>
  <si>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</si>
  <si>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UNDP (Original Budget)</t>
  </si>
  <si>
    <t>UNDP (Expenditures March 2022 - 31 Aug 2023)</t>
  </si>
  <si>
    <t>UNDP (Revised Budget)</t>
  </si>
  <si>
    <t xml:space="preserve"> UNDP (NCE 6 months Budget)</t>
  </si>
  <si>
    <t>WVSI (Original Budget)</t>
  </si>
  <si>
    <t>WVSI(Expenditures March 2022 - 31 Aug 2023)</t>
  </si>
  <si>
    <t>WVSI (Revised Budget)</t>
  </si>
  <si>
    <t>WVSI (NCE 6 months)</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</si>
  <si>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</si>
  <si>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</si>
  <si>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</si>
  <si>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rgb="FFFF0000"/>
        <rFont val="Calibri"/>
        <family val="2"/>
        <scheme val="minor"/>
      </rPr>
      <t xml:space="preserve">expenditure/ commitment </t>
    </r>
    <r>
      <rPr>
        <sz val="12"/>
        <color rgb="FFFF0000"/>
        <rFont val="Calibri"/>
        <family val="2"/>
        <scheme val="minor"/>
      </rPr>
      <t>(To be completed at time of project progress reporting)</t>
    </r>
    <r>
      <rPr>
        <b/>
        <sz val="12"/>
        <color rgb="FFFF0000"/>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</si>
  <si>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</si>
  <si>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</si>
  <si>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</si>
  <si>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Tamatama (youth) and in particular tamatama hahine (young women)’s traditional role in conflict resolution as agents of peace is strengthened, through bridging inter-generational gaps on traditional knowledge.</t>
  </si>
  <si>
    <t>Output 1.1:</t>
  </si>
  <si>
    <t>Inclusive fora for youth participation in conflict resolution and decision making in their communities are established in Renbel</t>
  </si>
  <si>
    <t>Activity 1.1.1:</t>
  </si>
  <si>
    <t>Establishment of youth caucuses as a platform for regular dialogue</t>
  </si>
  <si>
    <t>Specific efforts will be made to ensure equal representation of women and men</t>
  </si>
  <si>
    <t xml:space="preserve">TA + facilitation (including venue hire and other costs related to the organization of meetings) + Travels (including government implementing partners) and organization of high level meeting </t>
  </si>
  <si>
    <t>Activity 1.1.2:</t>
  </si>
  <si>
    <t>Establishment of Youth Provincial Council</t>
  </si>
  <si>
    <t>Activity 1.1.3:</t>
  </si>
  <si>
    <t xml:space="preserve">Support development written declaration of commitments </t>
  </si>
  <si>
    <t>The declaration of committments will highlight committment towards gender equality and equal participation of women and men</t>
  </si>
  <si>
    <t>TA + travel + facilitation  (including venue hire and other costs related to the organization of meetings)</t>
  </si>
  <si>
    <t>Activity 1.1.4</t>
  </si>
  <si>
    <t xml:space="preserve">Training for youth caucus and for YPC members on confidence building and communication. </t>
  </si>
  <si>
    <t>Specific efforts will be made to ensure equal representation of women and men. Teh training will also have some components on gender bias and gemder empowerement</t>
  </si>
  <si>
    <t>TA + travel + facilitation  (including venue hire and other costs related to the organization of trainings)</t>
  </si>
  <si>
    <t>Activity 1.1.5</t>
  </si>
  <si>
    <t>Support regular dialogue between youth and community and provincial leaders</t>
  </si>
  <si>
    <t>Activity 1.1.6</t>
  </si>
  <si>
    <t>Support regular dialogue between youths and extractive industries</t>
  </si>
  <si>
    <t>Activity 1.1.7</t>
  </si>
  <si>
    <t>Small grants</t>
  </si>
  <si>
    <t>Small grants will be dedicated to activities aimed at strengthening gender equality and equal participation of women and men</t>
  </si>
  <si>
    <t>Activity 1.1.8</t>
  </si>
  <si>
    <t>Output Total</t>
  </si>
  <si>
    <t>Output 1.2:</t>
  </si>
  <si>
    <t xml:space="preserve">Young women and young men are empowered to engage in conflict resolution in their communities </t>
  </si>
  <si>
    <t>Activity 1.2.1</t>
  </si>
  <si>
    <t>Support to provincial and community leaders to establish buy-in and consensus to enable constructive youth  engagement in the decision-making process and structures at community and provincial level</t>
  </si>
  <si>
    <t>Specific efforts will be made to ensure equal representation of women and men. Also sensitization to leaders will mainly focus on gender equality and equal participation of women and men</t>
  </si>
  <si>
    <t>Activity 1.2.2</t>
  </si>
  <si>
    <t>Tok stori to facilitate inter-generational transmission of knowledge</t>
  </si>
  <si>
    <t>This activity will see young women and young men as main receipient adn women as the main facilitators of the inter-generational dialogue. This activity aims at reinforcing role of women adn young women in the community</t>
  </si>
  <si>
    <t>Activity 1.2.3</t>
  </si>
  <si>
    <t>Training for youth caucus and PYC on conflict, peace and traditional governance</t>
  </si>
  <si>
    <t>TA + travel + facilitation  (including venue hire and other costs related to the organization of training)</t>
  </si>
  <si>
    <t>Activity 1.2.4</t>
  </si>
  <si>
    <t>Activity 1.2.5</t>
  </si>
  <si>
    <t>Activity 1.2.6</t>
  </si>
  <si>
    <t>Activity 1.2.7</t>
  </si>
  <si>
    <t>Activity 1.2.8</t>
  </si>
  <si>
    <t>Output 1.3:</t>
  </si>
  <si>
    <t xml:space="preserve"> Best practices on traditional conflict resolution are developed to ensure preservation of traditional knowledge.</t>
  </si>
  <si>
    <t>Activity 1.3.1</t>
  </si>
  <si>
    <t>Conduct mapping of formal and informal dispute resolution and decision-making including gendered composition.</t>
  </si>
  <si>
    <t>Activity 1.3.2</t>
  </si>
  <si>
    <t>Document adaptation of traditional conflict resolution tools to new situations</t>
  </si>
  <si>
    <t>Activity 1.3.3</t>
  </si>
  <si>
    <t>Best practices on traditional conflict resolution</t>
  </si>
  <si>
    <t xml:space="preserve"> Specific efforts will be made to ensure equal representation of women and men. Moreover best practices will aim at demonstrating the crucial role of young women in confict resolution </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</si>
  <si>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</si>
  <si>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</si>
  <si>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</si>
  <si>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</si>
  <si>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</si>
  <si>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</si>
  <si>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</si>
  <si>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</si>
  <si>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</si>
  <si>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</si>
  <si>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</si>
  <si>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</si>
  <si>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</si>
  <si>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</si>
  <si>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</si>
  <si>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Youth’s participation in developing innovative and locally-owned solutions for the management of land and natural resources is strengthened through their engagement in the decision making process in their communities.</t>
  </si>
  <si>
    <t>Outcome 2.1</t>
  </si>
  <si>
    <t>Youth, women and community members are equipped with knowledge about their land rights</t>
  </si>
  <si>
    <t>Activity 2.1.1</t>
  </si>
  <si>
    <t>Sensitization on inclusive participation for management of land and natural resources</t>
  </si>
  <si>
    <t xml:space="preserve"> Specific efforts will be made to ensure equal representation of women and men </t>
  </si>
  <si>
    <t>Travel + facilitation (including venue hire and other costs related to the organization of meetings)</t>
  </si>
  <si>
    <t>Activity 2.1.2</t>
  </si>
  <si>
    <t>Training for communities in Renbel on land rights</t>
  </si>
  <si>
    <t>Specific efforts will be made to ensure equal representation of women and men. Teh training will also have some components on gender bias and women access to land</t>
  </si>
  <si>
    <t>Activity 2.1.3</t>
  </si>
  <si>
    <t>N/A</t>
  </si>
  <si>
    <t>Activity 2.1.4</t>
  </si>
  <si>
    <t>Activity 2.1.5</t>
  </si>
  <si>
    <t>Activity 2.1.6</t>
  </si>
  <si>
    <t>Activity 2.1.7</t>
  </si>
  <si>
    <t>Activity 2.1.8</t>
  </si>
  <si>
    <t>Output 2.2</t>
  </si>
  <si>
    <r>
      <t xml:space="preserve">Young women and young men participate </t>
    </r>
    <r>
      <rPr>
        <sz val="12"/>
        <color rgb="FFFF0000"/>
        <rFont val="Calibri"/>
        <family val="2"/>
        <scheme val="minor"/>
      </rPr>
      <t xml:space="preserve">in mapping of land ownership, land rights and tribes and </t>
    </r>
    <r>
      <rPr>
        <sz val="12"/>
        <color theme="1"/>
        <rFont val="Calibri"/>
        <family val="2"/>
        <scheme val="minor"/>
      </rPr>
      <t>in the recording of customary land</t>
    </r>
  </si>
  <si>
    <t>Activity 2.2.1</t>
  </si>
  <si>
    <t>Establish Land Holding Groups (LHG) for recording customary land</t>
  </si>
  <si>
    <t>TA+ Travels + facilitation (including venue hire and other costs related to the organization of meetings)</t>
  </si>
  <si>
    <t>Activity 2.2.2</t>
  </si>
  <si>
    <t>Development of by-laws for customary land management</t>
  </si>
  <si>
    <t xml:space="preserve"> Specific efforts will be made to ensure equal representation of women and men. Moreover the by-laws will highlight committment towards gender equality and equal participation of women and men in the management of  land and natural resources. </t>
  </si>
  <si>
    <t xml:space="preserve">TA  + travels + facilitaton (including venue hire and other costs related to the organization of meetings)  </t>
  </si>
  <si>
    <t>Activity 2.2.3</t>
  </si>
  <si>
    <t>Record customary land and endorsement of the by-laws</t>
  </si>
  <si>
    <t xml:space="preserve">TA  (including venue hire and other costs related to the organization of meetings) + Travels (including government implementing partners) and organization of high level meeting </t>
  </si>
  <si>
    <t>Activity 2.2.4</t>
  </si>
  <si>
    <t>Develop guidelines for mapping of land ownership, land rights and tribes</t>
  </si>
  <si>
    <t>No additional costs as the activity will run in parallel to implementation of activities 2.2.1 - 2.2.3</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</si>
  <si>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</si>
  <si>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</si>
  <si>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</si>
  <si>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</si>
  <si>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</si>
  <si>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</si>
  <si>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</si>
  <si>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</si>
  <si>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</si>
  <si>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</si>
  <si>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</si>
  <si>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</si>
  <si>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</si>
  <si>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</si>
  <si>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</si>
  <si>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</si>
  <si>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</si>
  <si>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</si>
  <si>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</si>
  <si>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</si>
  <si>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</si>
  <si>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</si>
  <si>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</si>
  <si>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Local communities are empowered to manage and transform land use conflicts through inclusive dialogue fora and by adapting traditional conflict resolutions tools to new situations. </t>
  </si>
  <si>
    <t>Output 3.1</t>
  </si>
  <si>
    <t>Youth, women and community members are equipped with knowledge on principles of responsible business and sustainable development.</t>
  </si>
  <si>
    <t>Activity 3.1.1</t>
  </si>
  <si>
    <t>Lessons learned on responsible business and sustainable development</t>
  </si>
  <si>
    <t xml:space="preserve"> Specific efforts will be made to ensure equal representation of women and men. Focus will be also put on the stories of women and their  perspectives responsible bsuiness </t>
  </si>
  <si>
    <t>Activity 3.1.2</t>
  </si>
  <si>
    <t>Training for youth and LGH members on responsible business and sustainable development</t>
  </si>
  <si>
    <t xml:space="preserve">  Specific efforts will be made to ensure equal representation of women and men. Moreover the training will include sepcific modules on women and responsible business</t>
  </si>
  <si>
    <t xml:space="preserve">TA  + travels + facilitaton (including venue hire and other costs related to the organization of trainings)  </t>
  </si>
  <si>
    <t>Activity 3.1.3</t>
  </si>
  <si>
    <t>Activity 3.1.4</t>
  </si>
  <si>
    <t>Activity 3.1.5</t>
  </si>
  <si>
    <t>Activity 3.1.6</t>
  </si>
  <si>
    <t>Activity 3.1.7</t>
  </si>
  <si>
    <t>Activity 3.1.8</t>
  </si>
  <si>
    <t>Output 3.2:</t>
  </si>
  <si>
    <t>Community strategy on how to engage with extractive industries for the management of indigenous natural resources is developed</t>
  </si>
  <si>
    <t>Activity 3.2.1</t>
  </si>
  <si>
    <t>Workshop for strategy preparation</t>
  </si>
  <si>
    <t>Activity 3.2.2</t>
  </si>
  <si>
    <t xml:space="preserve">Consultations </t>
  </si>
  <si>
    <t>facilitation (including logistics costs for consultations) + travels</t>
  </si>
  <si>
    <t>Activity 3.2.3</t>
  </si>
  <si>
    <t>Workshop for finalization of the strategy</t>
  </si>
  <si>
    <t>Activity 3.2.4</t>
  </si>
  <si>
    <t>Dissemination of strategy at provincial and national levels through PYC and NYC</t>
  </si>
  <si>
    <t>Activity 3.2.5</t>
  </si>
  <si>
    <t>Activity 3.2.6</t>
  </si>
  <si>
    <t>Activity 3.2.7</t>
  </si>
  <si>
    <t>Activity 3.2.8</t>
  </si>
  <si>
    <t>Output 3.3</t>
  </si>
  <si>
    <r>
      <t xml:space="preserve">The Working Group on Extractive Industries Responsible Business (WG-EIRB) is established with presence of young women and young men </t>
    </r>
    <r>
      <rPr>
        <sz val="12"/>
        <color rgb="FFFF0000"/>
        <rFont val="Calibri"/>
        <family val="2"/>
        <scheme val="minor"/>
      </rPr>
      <t>Stakeholder engagement dialogues convened that includes the participation of young men and women.</t>
    </r>
  </si>
  <si>
    <t>Activity 3.3.1</t>
  </si>
  <si>
    <t>Stakeholders mapping</t>
  </si>
  <si>
    <t>TA + travels</t>
  </si>
  <si>
    <t>Activity 3.3.2</t>
  </si>
  <si>
    <r>
      <rPr>
        <strike/>
        <sz val="12"/>
        <color rgb="FFFF0000"/>
        <rFont val="Calibri"/>
        <family val="2"/>
        <scheme val="minor"/>
      </rPr>
      <t xml:space="preserve">Establishment of the WG-EIRB </t>
    </r>
    <r>
      <rPr>
        <sz val="12"/>
        <color rgb="FFFF0000"/>
        <rFont val="Calibri"/>
        <family val="2"/>
        <scheme val="minor"/>
      </rPr>
      <t>Convening of inclusive dialogues on economic development, sustainable and responsible business in Renbel</t>
    </r>
  </si>
  <si>
    <t>Activity 3.3.3</t>
  </si>
  <si>
    <t>Development of terms of reference for the WG</t>
  </si>
  <si>
    <t xml:space="preserve"> Specific efforts will be made to ensure equal representation of women and men and committment towards gemder equality and equal participation of women and men </t>
  </si>
  <si>
    <t xml:space="preserve">TA + facilitation (including venue hire and other costs related to the organization of meetings for drafting the terms of reference) </t>
  </si>
  <si>
    <t>Activity 3.3.4</t>
  </si>
  <si>
    <t xml:space="preserve">Facilitate WG meetings </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</si>
  <si>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</si>
  <si>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</si>
  <si>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</si>
  <si>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</si>
  <si>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</si>
  <si>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</si>
  <si>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</si>
  <si>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</si>
  <si>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</si>
  <si>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</si>
  <si>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</si>
  <si>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</si>
  <si>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</si>
  <si>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</si>
  <si>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</si>
  <si>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</si>
  <si>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</si>
  <si>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</si>
  <si>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</si>
  <si>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</si>
  <si>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</si>
  <si>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</si>
  <si>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</si>
  <si>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</si>
  <si>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</si>
  <si>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</si>
  <si>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</si>
  <si>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</si>
  <si>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</si>
  <si>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</si>
  <si>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</si>
  <si>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</si>
  <si>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</si>
  <si>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</si>
  <si>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</si>
  <si>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</si>
  <si>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</si>
  <si>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</si>
  <si>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</si>
  <si>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</si>
  <si>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</si>
  <si>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</si>
  <si>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</si>
  <si>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</si>
  <si>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</si>
  <si>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</si>
  <si>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</si>
  <si>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</si>
  <si>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</si>
  <si>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</si>
  <si>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</si>
  <si>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Project coordinator, deputy project coordinatior/youth specialist, project associate, community facilitators, communication specialist (co-shared)</t>
  </si>
  <si>
    <t>Additional operational costs</t>
  </si>
  <si>
    <t xml:space="preserve"> Travels for staff deployment, equipment supplies etc </t>
  </si>
  <si>
    <t>Monitoring budget</t>
  </si>
  <si>
    <t xml:space="preserve"> Specific efforts will be made to ensure equal representation of women and men. Gender and age disaggregated indicators will be used to monitor activities </t>
  </si>
  <si>
    <t xml:space="preserve">UNDP M&amp;E specialist, Baseline Survey, Project monitoring </t>
  </si>
  <si>
    <t>Budget for independent final evaluation</t>
  </si>
  <si>
    <t>Total Additional Costs</t>
  </si>
  <si>
    <t>Totals</t>
  </si>
  <si>
    <t>Sub-Total Project Budget</t>
  </si>
  <si>
    <t>Indirect support costs (7%):</t>
  </si>
  <si>
    <t>Performance-Based Tranche Breakdown</t>
  </si>
  <si>
    <t>UNDP</t>
  </si>
  <si>
    <t>WVSI</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</si>
  <si>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</si>
  <si>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</si>
  <si>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</si>
  <si>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</si>
  <si>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</si>
  <si>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</si>
  <si>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</si>
  <si>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</si>
  <si>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</si>
  <si>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</si>
  <si>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</si>
  <si>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</si>
  <si>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</si>
  <si>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</si>
  <si>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</si>
  <si>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</si>
  <si>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</si>
  <si>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</si>
  <si>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</si>
  <si>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</si>
  <si>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</si>
  <si>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</si>
  <si>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</si>
  <si>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</si>
  <si>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</si>
  <si>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</si>
  <si>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</si>
  <si>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</si>
  <si>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</si>
  <si>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</si>
  <si>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</si>
  <si>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</si>
  <si>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</si>
  <si>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</si>
  <si>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</si>
  <si>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</si>
  <si>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</si>
  <si>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</si>
  <si>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</si>
  <si>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</si>
  <si>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</si>
  <si>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</si>
  <si>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</si>
  <si>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</si>
  <si>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</si>
  <si>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</si>
  <si>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</si>
  <si>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</si>
  <si>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</si>
  <si>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</si>
  <si>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</si>
  <si>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</si>
  <si>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</si>
  <si>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</si>
  <si>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</si>
  <si>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</si>
  <si>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Change (Combined total)</t>
  </si>
  <si>
    <t xml:space="preserve">Sub-Total </t>
  </si>
  <si>
    <t>Recipient Organisation</t>
  </si>
  <si>
    <t>First Tranche</t>
  </si>
  <si>
    <t>Second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</si>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</sst>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scheme val="minor"/>
    </font>
    <font>
      <strike/>
      <sz val="12"/>
      <color rgb="FFFF0000"/>
      <name val="Calibri"/>
      <family val="2"/>
      <scheme val="minor"/>
    </font>
    <font>
      <sz val="11.5"/>
      <color rgb="FFFF0000"/>
      <name val="Calibri"/>
      <family val="2"/>
      <scheme val="minor"/>
    </font>
    <font>
      <sz val="36"/>
      <color rgb="FFFF0000"/>
      <name val="Calibri"/>
      <family val="2"/>
      <scheme val="minor"/>
    </font>
    <font>
      <b/>
      <sz val="20"/>
      <color rgb="FFFF0000"/>
      <name val="Calibri"/>
      <family val="2"/>
      <scheme val="minor"/>
    </font>
    <font>
      <b/>
      <sz val="12"/>
      <color rgb="FF7030A0"/>
      <name val="Calibri"/>
      <family val="2"/>
      <scheme val="minor"/>
    </font>
    <font>
      <sz val="12"/>
      <color rgb="FF7030A0"/>
      <name val="Calibri"/>
      <family val="2"/>
      <scheme val="minor"/>
    </font>
    <font>
      <sz val="11"/>
      <color rgb="FF7030A0"/>
      <name val="Calibri"/>
      <family val="2"/>
      <scheme val="minor"/>
    </font>
    <font>
      <sz val="11.5"/>
      <color rgb="FF7030A0"/>
      <name val="Calibri"/>
      <family val="2"/>
      <scheme val="minor"/>
    </font>
    <font>
      <b/>
      <sz val="11"/>
      <color rgb="FF7030A0"/>
      <name val="Calibri"/>
      <family val="2"/>
      <scheme val="minor"/>
    </font>
    <font>
      <sz val="12"/>
      <color rgb="FF7030A0"/>
      <name val="Calibri"/>
      <family val="2"/>
    </font>
    <font>
      <b/>
      <sz val="18"/>
      <color theme="1"/>
      <name val="Calibri"/>
      <family val="2"/>
      <scheme val="minor"/>
    </font>
    <font>
      <sz val="12"/>
      <name val="Calibri"/>
      <family val="2"/>
      <scheme val="minor"/>
    </font>
    <font>
      <b/>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
      <patternFill patternType="solid">
        <fgColor theme="9" tint="0.39997558519241921"/>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506">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13" fillId="0" borderId="0" xfId="0" applyFont="1" applyAlignment="1">
      <alignment wrapText="1"/>
    </xf>
    <xf numFmtId="0" fontId="14" fillId="0" borderId="0" xfId="0" applyFont="1" applyAlignment="1">
      <alignment wrapText="1"/>
    </xf>
    <xf numFmtId="0" fontId="2" fillId="0" borderId="0" xfId="0" applyFont="1" applyAlignment="1">
      <alignment horizontal="center" vertical="center"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4" xfId="0" applyFont="1" applyFill="1" applyBorder="1" applyAlignment="1">
      <alignment vertical="center" wrapText="1"/>
    </xf>
    <xf numFmtId="164" fontId="2" fillId="2" borderId="34"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35" xfId="0" applyFont="1" applyFill="1" applyBorder="1" applyAlignment="1">
      <alignment horizontal="left" wrapText="1"/>
    </xf>
    <xf numFmtId="0" fontId="2" fillId="3" borderId="36" xfId="0" applyFont="1" applyFill="1" applyBorder="1" applyAlignment="1">
      <alignment horizontal="left" wrapText="1"/>
    </xf>
    <xf numFmtId="0" fontId="2" fillId="3" borderId="37"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2" fillId="2" borderId="34" xfId="0" applyFont="1" applyFill="1" applyBorder="1" applyAlignment="1">
      <alignment vertical="center" wrapText="1"/>
    </xf>
    <xf numFmtId="0" fontId="2" fillId="2" borderId="31" xfId="0" applyFont="1" applyFill="1" applyBorder="1" applyAlignment="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0" fontId="2" fillId="2" borderId="5" xfId="0" applyFont="1" applyFill="1" applyBorder="1" applyAlignment="1">
      <alignment horizontal="center" vertical="center"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18" fillId="0" borderId="0" xfId="0" applyFont="1" applyAlignment="1">
      <alignment wrapText="1"/>
    </xf>
    <xf numFmtId="164" fontId="23" fillId="10" borderId="3" xfId="0" applyNumberFormat="1"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0"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0" borderId="3" xfId="1" applyFont="1" applyBorder="1" applyAlignment="1" applyProtection="1">
      <alignment vertical="center"/>
      <protection locked="0"/>
    </xf>
    <xf numFmtId="164" fontId="1" fillId="3"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4" xfId="0" applyNumberFormat="1" applyFont="1" applyBorder="1" applyAlignment="1" applyProtection="1">
      <alignment wrapText="1"/>
      <protection locked="0"/>
    </xf>
    <xf numFmtId="164" fontId="1" fillId="3" borderId="34"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4"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24" fillId="2" borderId="3" xfId="0" applyFont="1" applyFill="1" applyBorder="1" applyAlignment="1">
      <alignment vertical="center" wrapText="1"/>
    </xf>
    <xf numFmtId="164" fontId="24" fillId="10" borderId="3" xfId="0"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lignment vertical="center" wrapText="1"/>
    </xf>
    <xf numFmtId="0" fontId="24" fillId="0" borderId="3" xfId="0" applyFont="1" applyBorder="1" applyAlignment="1" applyProtection="1">
      <alignment horizontal="left" vertical="center" wrapText="1"/>
      <protection locked="0"/>
    </xf>
    <xf numFmtId="0" fontId="10" fillId="2" borderId="3" xfId="0" applyFont="1" applyFill="1" applyBorder="1" applyAlignment="1">
      <alignment vertical="center" wrapText="1"/>
    </xf>
    <xf numFmtId="0" fontId="25" fillId="0" borderId="3" xfId="0" applyFont="1" applyBorder="1" applyAlignment="1">
      <alignment vertical="center" wrapText="1"/>
    </xf>
    <xf numFmtId="164" fontId="10" fillId="0" borderId="3" xfId="1" applyFont="1" applyBorder="1" applyAlignment="1" applyProtection="1">
      <alignment horizontal="center" vertical="center" wrapText="1"/>
      <protection locked="0"/>
    </xf>
    <xf numFmtId="9" fontId="10" fillId="0" borderId="3" xfId="2" applyFont="1" applyBorder="1" applyAlignment="1" applyProtection="1">
      <alignment horizontal="center" vertical="center" wrapText="1"/>
      <protection locked="0"/>
    </xf>
    <xf numFmtId="164" fontId="10" fillId="10" borderId="3" xfId="0" applyNumberFormat="1"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164" fontId="1" fillId="0" borderId="3" xfId="0" applyNumberFormat="1" applyFont="1" applyBorder="1" applyAlignment="1" applyProtection="1">
      <alignment vertical="center" wrapText="1"/>
      <protection locked="0"/>
    </xf>
    <xf numFmtId="164" fontId="1" fillId="0" borderId="3" xfId="1"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164" fontId="1" fillId="0" borderId="0" xfId="1" applyFont="1" applyFill="1" applyBorder="1" applyAlignment="1" applyProtection="1">
      <alignment horizontal="center" vertical="center" wrapText="1"/>
      <protection locked="0"/>
    </xf>
    <xf numFmtId="0" fontId="2" fillId="0" borderId="3" xfId="0" applyFont="1" applyBorder="1" applyAlignment="1">
      <alignment vertical="center" wrapText="1"/>
    </xf>
    <xf numFmtId="0" fontId="2" fillId="0" borderId="5" xfId="0" applyFont="1" applyBorder="1" applyAlignment="1">
      <alignment vertical="center" wrapText="1"/>
    </xf>
    <xf numFmtId="164" fontId="2" fillId="0" borderId="5" xfId="1" applyFont="1" applyFill="1" applyBorder="1" applyAlignment="1" applyProtection="1">
      <alignment horizontal="center" vertical="center" wrapText="1"/>
    </xf>
    <xf numFmtId="164" fontId="2" fillId="0" borderId="3" xfId="1" applyFont="1" applyFill="1" applyBorder="1" applyAlignment="1" applyProtection="1">
      <alignment horizontal="center" vertical="center" wrapText="1"/>
    </xf>
    <xf numFmtId="164" fontId="17" fillId="0" borderId="3" xfId="0" applyNumberFormat="1" applyFont="1" applyBorder="1" applyAlignment="1">
      <alignment horizontal="center" vertical="center" wrapText="1"/>
    </xf>
    <xf numFmtId="0" fontId="1" fillId="0" borderId="3" xfId="0" applyFont="1" applyBorder="1" applyAlignment="1">
      <alignment vertical="center" wrapText="1"/>
    </xf>
    <xf numFmtId="164" fontId="1" fillId="0" borderId="3" xfId="1" applyFont="1" applyFill="1" applyBorder="1" applyAlignment="1" applyProtection="1">
      <alignment horizontal="center" vertical="center" wrapText="1"/>
    </xf>
    <xf numFmtId="9" fontId="1" fillId="0" borderId="3" xfId="2"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164" fontId="2" fillId="0" borderId="0" xfId="0" applyNumberFormat="1" applyFont="1" applyAlignment="1">
      <alignment vertical="center" wrapText="1"/>
    </xf>
    <xf numFmtId="164" fontId="2" fillId="0" borderId="16" xfId="0" applyNumberFormat="1" applyFont="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64" fontId="10"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2" fillId="4" borderId="12" xfId="0" applyFont="1" applyFill="1" applyBorder="1" applyAlignment="1">
      <alignment vertical="center" wrapText="1"/>
    </xf>
    <xf numFmtId="164" fontId="2" fillId="4" borderId="13" xfId="1" applyFont="1" applyFill="1" applyBorder="1" applyAlignment="1" applyProtection="1">
      <alignment vertical="center" wrapText="1"/>
    </xf>
    <xf numFmtId="0" fontId="1" fillId="4" borderId="8" xfId="0" applyFont="1" applyFill="1" applyBorder="1" applyAlignment="1">
      <alignment vertical="center" wrapText="1"/>
    </xf>
    <xf numFmtId="164" fontId="1" fillId="4" borderId="3" xfId="0" applyNumberFormat="1" applyFont="1" applyFill="1" applyBorder="1" applyAlignment="1">
      <alignment vertical="center" wrapText="1"/>
    </xf>
    <xf numFmtId="164" fontId="1" fillId="4" borderId="9" xfId="0" applyNumberFormat="1" applyFont="1" applyFill="1" applyBorder="1" applyAlignment="1">
      <alignment vertical="center" wrapText="1"/>
    </xf>
    <xf numFmtId="164" fontId="2" fillId="4" borderId="14" xfId="1" applyFont="1" applyFill="1" applyBorder="1" applyAlignment="1" applyProtection="1">
      <alignment vertical="center" wrapText="1"/>
    </xf>
    <xf numFmtId="164" fontId="1" fillId="0" borderId="3" xfId="1" applyFont="1" applyBorder="1" applyAlignment="1" applyProtection="1">
      <alignment horizontal="left" vertical="center" wrapText="1"/>
      <protection locked="0"/>
    </xf>
    <xf numFmtId="0" fontId="13" fillId="0" borderId="0" xfId="0" applyFont="1" applyAlignment="1">
      <alignment vertical="center" wrapText="1"/>
    </xf>
    <xf numFmtId="0" fontId="14" fillId="0" borderId="0" xfId="0" applyFont="1" applyAlignment="1">
      <alignment vertical="center" wrapText="1"/>
    </xf>
    <xf numFmtId="164" fontId="14" fillId="3" borderId="0" xfId="1" applyFont="1" applyFill="1" applyBorder="1" applyAlignment="1">
      <alignment vertical="center" wrapText="1"/>
    </xf>
    <xf numFmtId="164" fontId="12" fillId="3" borderId="0" xfId="1" applyFont="1" applyFill="1" applyBorder="1" applyAlignment="1">
      <alignment horizontal="left" vertical="center" wrapText="1"/>
    </xf>
    <xf numFmtId="49" fontId="1" fillId="0" borderId="3" xfId="1" applyNumberFormat="1" applyFont="1" applyBorder="1" applyAlignment="1" applyProtection="1">
      <alignment horizontal="left" vertical="center" wrapText="1"/>
      <protection locked="0"/>
    </xf>
    <xf numFmtId="49" fontId="23" fillId="0" borderId="3" xfId="0"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0" fillId="3" borderId="0" xfId="0" applyFill="1" applyAlignment="1">
      <alignment vertical="center" wrapText="1"/>
    </xf>
    <xf numFmtId="49" fontId="10" fillId="0" borderId="3" xfId="1" applyNumberFormat="1" applyFont="1" applyBorder="1" applyAlignment="1" applyProtection="1">
      <alignment horizontal="left" vertical="center" wrapText="1"/>
      <protection locked="0"/>
    </xf>
    <xf numFmtId="49" fontId="24" fillId="0" borderId="3" xfId="1" applyNumberFormat="1" applyFont="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10" fontId="2" fillId="0" borderId="9" xfId="2" applyNumberFormat="1" applyFont="1" applyFill="1" applyBorder="1" applyAlignment="1" applyProtection="1">
      <alignment vertical="center" wrapText="1"/>
    </xf>
    <xf numFmtId="9" fontId="2" fillId="0" borderId="0" xfId="2" applyFont="1" applyFill="1" applyBorder="1" applyAlignment="1">
      <alignment vertical="center" wrapText="1"/>
    </xf>
    <xf numFmtId="9" fontId="0" fillId="3" borderId="0" xfId="2" applyFont="1" applyFill="1" applyBorder="1" applyAlignment="1">
      <alignment vertical="center" wrapText="1"/>
    </xf>
    <xf numFmtId="164" fontId="2" fillId="0" borderId="9" xfId="2" applyNumberFormat="1" applyFont="1" applyFill="1" applyBorder="1" applyAlignment="1" applyProtection="1">
      <alignment vertical="center" wrapText="1"/>
    </xf>
    <xf numFmtId="164" fontId="2" fillId="0" borderId="0" xfId="2" applyNumberFormat="1" applyFont="1" applyFill="1" applyBorder="1" applyAlignment="1">
      <alignment vertical="center" wrapText="1"/>
    </xf>
    <xf numFmtId="164" fontId="25" fillId="0" borderId="3" xfId="1" applyFont="1" applyBorder="1" applyAlignment="1">
      <alignment vertical="center" wrapText="1"/>
    </xf>
    <xf numFmtId="164" fontId="26" fillId="0" borderId="0" xfId="1" applyFont="1" applyBorder="1" applyAlignment="1">
      <alignment vertical="center" wrapText="1"/>
    </xf>
    <xf numFmtId="164" fontId="27" fillId="3" borderId="0" xfId="1" applyFont="1" applyFill="1" applyBorder="1" applyAlignment="1">
      <alignment horizontal="left" vertical="center" wrapText="1"/>
    </xf>
    <xf numFmtId="0" fontId="10" fillId="2" borderId="3" xfId="0" applyFont="1" applyFill="1" applyBorder="1" applyAlignment="1">
      <alignment horizontal="center" vertical="center" wrapText="1"/>
    </xf>
    <xf numFmtId="164" fontId="9" fillId="2" borderId="3" xfId="1" applyFont="1" applyFill="1" applyBorder="1" applyAlignment="1" applyProtection="1">
      <alignment horizontal="center" vertical="center" wrapText="1"/>
    </xf>
    <xf numFmtId="164" fontId="10" fillId="3" borderId="3" xfId="1" applyFont="1" applyFill="1" applyBorder="1" applyAlignment="1" applyProtection="1">
      <alignment horizontal="center" vertical="center" wrapText="1"/>
      <protection locked="0"/>
    </xf>
    <xf numFmtId="164" fontId="10" fillId="0" borderId="0" xfId="1" applyFont="1" applyFill="1" applyBorder="1" applyAlignment="1" applyProtection="1">
      <alignment horizontal="center" vertical="center" wrapText="1"/>
      <protection locked="0"/>
    </xf>
    <xf numFmtId="164" fontId="9" fillId="8" borderId="3" xfId="0" applyNumberFormat="1" applyFont="1" applyFill="1" applyBorder="1" applyAlignment="1">
      <alignment horizontal="center" vertical="center" wrapText="1"/>
    </xf>
    <xf numFmtId="164" fontId="10" fillId="0" borderId="0" xfId="1" applyFont="1" applyFill="1" applyBorder="1" applyAlignment="1" applyProtection="1">
      <alignment vertical="center" wrapText="1"/>
      <protection locked="0"/>
    </xf>
    <xf numFmtId="164" fontId="9" fillId="2" borderId="3" xfId="0" applyNumberFormat="1" applyFont="1" applyFill="1" applyBorder="1" applyAlignment="1">
      <alignment horizontal="center" vertical="center" wrapText="1"/>
    </xf>
    <xf numFmtId="164" fontId="9" fillId="0" borderId="3" xfId="0" applyNumberFormat="1" applyFont="1" applyBorder="1" applyAlignment="1">
      <alignment horizontal="center" vertical="center" wrapText="1"/>
    </xf>
    <xf numFmtId="164" fontId="10" fillId="0" borderId="3" xfId="1" applyFont="1" applyBorder="1" applyAlignment="1" applyProtection="1">
      <alignment vertical="center" wrapText="1"/>
      <protection locked="0"/>
    </xf>
    <xf numFmtId="164" fontId="9" fillId="2" borderId="3" xfId="1" applyFont="1" applyFill="1" applyBorder="1" applyAlignment="1" applyProtection="1">
      <alignment vertical="center" wrapText="1"/>
      <protection locked="0"/>
    </xf>
    <xf numFmtId="164" fontId="10" fillId="3" borderId="0" xfId="1" applyFont="1" applyFill="1" applyBorder="1" applyAlignment="1" applyProtection="1">
      <alignment vertical="center" wrapText="1"/>
      <protection locked="0"/>
    </xf>
    <xf numFmtId="164" fontId="8" fillId="0" borderId="0" xfId="1" applyFont="1" applyBorder="1" applyAlignment="1">
      <alignment vertical="center" wrapText="1"/>
    </xf>
    <xf numFmtId="164" fontId="9" fillId="3" borderId="0" xfId="1" applyFont="1" applyFill="1" applyBorder="1" applyAlignment="1">
      <alignment vertical="center" wrapText="1"/>
    </xf>
    <xf numFmtId="164" fontId="9" fillId="3" borderId="0" xfId="1" applyFont="1" applyFill="1" applyBorder="1" applyAlignment="1" applyProtection="1">
      <alignment horizontal="center" vertical="center" wrapText="1"/>
    </xf>
    <xf numFmtId="164" fontId="9" fillId="3" borderId="0" xfId="1" applyFont="1" applyFill="1" applyBorder="1" applyAlignment="1" applyProtection="1">
      <alignment vertical="center" wrapText="1"/>
      <protection locked="0"/>
    </xf>
    <xf numFmtId="164" fontId="9" fillId="3" borderId="0" xfId="1" applyFont="1" applyFill="1" applyBorder="1" applyAlignment="1" applyProtection="1">
      <alignment horizontal="right" vertical="center" wrapText="1"/>
      <protection locked="0"/>
    </xf>
    <xf numFmtId="164" fontId="9" fillId="3" borderId="0" xfId="1" applyFont="1" applyFill="1" applyBorder="1" applyAlignment="1" applyProtection="1">
      <alignment vertical="center" wrapText="1"/>
    </xf>
    <xf numFmtId="164" fontId="9" fillId="0" borderId="0" xfId="1" applyFont="1" applyFill="1" applyBorder="1" applyAlignment="1">
      <alignment vertical="center" wrapText="1"/>
    </xf>
    <xf numFmtId="164" fontId="8" fillId="2" borderId="16" xfId="1" applyFont="1" applyFill="1" applyBorder="1" applyAlignment="1">
      <alignment vertical="center" wrapText="1"/>
    </xf>
    <xf numFmtId="9" fontId="8" fillId="2" borderId="14" xfId="2" applyFont="1" applyFill="1" applyBorder="1" applyAlignment="1">
      <alignment vertical="center" wrapText="1"/>
    </xf>
    <xf numFmtId="164" fontId="8" fillId="0" borderId="0" xfId="1" applyFont="1" applyFill="1" applyBorder="1" applyAlignment="1">
      <alignment vertical="center" wrapText="1"/>
    </xf>
    <xf numFmtId="164" fontId="0" fillId="0" borderId="0" xfId="0" applyNumberFormat="1" applyAlignment="1">
      <alignment vertical="center" wrapText="1"/>
    </xf>
    <xf numFmtId="9" fontId="2" fillId="0" borderId="0" xfId="2" applyFont="1" applyFill="1" applyBorder="1" applyAlignment="1" applyProtection="1">
      <alignment vertical="center" wrapText="1"/>
      <protection locked="0"/>
    </xf>
    <xf numFmtId="9" fontId="2" fillId="0" borderId="0" xfId="2" applyFont="1" applyFill="1" applyBorder="1" applyAlignment="1" applyProtection="1">
      <alignment horizontal="right" vertical="center" wrapText="1"/>
      <protection locked="0"/>
    </xf>
    <xf numFmtId="9" fontId="2" fillId="0" borderId="0" xfId="2" applyFont="1" applyFill="1" applyBorder="1" applyAlignment="1" applyProtection="1">
      <alignment vertical="center" wrapText="1"/>
    </xf>
    <xf numFmtId="9" fontId="2" fillId="2" borderId="9" xfId="2" applyFont="1" applyFill="1" applyBorder="1" applyAlignment="1" applyProtection="1">
      <alignment vertical="center" wrapText="1"/>
    </xf>
    <xf numFmtId="9" fontId="2" fillId="2" borderId="30" xfId="2" applyFont="1" applyFill="1" applyBorder="1" applyAlignment="1" applyProtection="1">
      <alignment vertical="center" wrapText="1"/>
    </xf>
    <xf numFmtId="10" fontId="2" fillId="0" borderId="0" xfId="2" applyNumberFormat="1" applyFont="1" applyFill="1" applyBorder="1" applyAlignment="1" applyProtection="1">
      <alignment vertical="center" wrapText="1"/>
    </xf>
    <xf numFmtId="164" fontId="2" fillId="0" borderId="0" xfId="2" applyNumberFormat="1" applyFont="1" applyFill="1" applyBorder="1" applyAlignment="1" applyProtection="1">
      <alignment vertical="center" wrapText="1"/>
    </xf>
    <xf numFmtId="0" fontId="3" fillId="2" borderId="7" xfId="0" applyFont="1" applyFill="1" applyBorder="1" applyAlignment="1">
      <alignment vertical="center" wrapText="1"/>
    </xf>
    <xf numFmtId="0" fontId="3" fillId="2" borderId="32"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9" fontId="8" fillId="0" borderId="0" xfId="2" applyFont="1" applyFill="1" applyBorder="1" applyAlignment="1">
      <alignment vertical="center" wrapText="1"/>
    </xf>
    <xf numFmtId="0" fontId="14" fillId="0" borderId="0" xfId="0" applyFont="1" applyAlignment="1">
      <alignment horizontal="center" vertical="center" wrapText="1"/>
    </xf>
    <xf numFmtId="0" fontId="2" fillId="3" borderId="0" xfId="0" applyFont="1" applyFill="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164" fontId="1"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3" borderId="0" xfId="0" applyNumberFormat="1" applyFont="1" applyFill="1" applyAlignment="1">
      <alignment horizontal="center" vertical="center" wrapText="1"/>
    </xf>
    <xf numFmtId="9" fontId="2" fillId="0" borderId="0" xfId="2" applyFont="1" applyFill="1" applyBorder="1" applyAlignment="1" applyProtection="1">
      <alignment horizontal="center" vertical="center" wrapText="1"/>
      <protection locked="0"/>
    </xf>
    <xf numFmtId="9" fontId="2" fillId="0" borderId="0" xfId="2" applyFont="1" applyFill="1" applyBorder="1" applyAlignment="1" applyProtection="1">
      <alignment horizontal="center" vertical="center" wrapText="1"/>
    </xf>
    <xf numFmtId="164" fontId="2" fillId="0" borderId="0" xfId="0" applyNumberFormat="1" applyFont="1" applyAlignment="1">
      <alignment horizontal="center" vertical="center" wrapText="1"/>
    </xf>
    <xf numFmtId="164" fontId="2" fillId="2" borderId="28"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0" fontId="6" fillId="0" borderId="3" xfId="0" applyFont="1" applyBorder="1" applyAlignment="1">
      <alignment vertical="center" wrapText="1"/>
    </xf>
    <xf numFmtId="0" fontId="2" fillId="2" borderId="8" xfId="0" applyFont="1" applyFill="1" applyBorder="1" applyAlignment="1">
      <alignment horizontal="center" wrapText="1"/>
    </xf>
    <xf numFmtId="0" fontId="2" fillId="2" borderId="10" xfId="0" applyFont="1" applyFill="1" applyBorder="1" applyAlignment="1">
      <alignment horizontal="center" wrapText="1"/>
    </xf>
    <xf numFmtId="164" fontId="2" fillId="2" borderId="13" xfId="0" applyNumberFormat="1" applyFont="1" applyFill="1" applyBorder="1" applyAlignment="1">
      <alignment horizontal="left" wrapText="1"/>
    </xf>
    <xf numFmtId="0" fontId="1" fillId="2" borderId="31" xfId="0" applyFont="1" applyFill="1" applyBorder="1" applyAlignment="1">
      <alignment wrapText="1"/>
    </xf>
    <xf numFmtId="164" fontId="1" fillId="2" borderId="5" xfId="0" applyNumberFormat="1" applyFont="1" applyFill="1" applyBorder="1" applyAlignment="1">
      <alignment wrapText="1"/>
    </xf>
    <xf numFmtId="0" fontId="2" fillId="2" borderId="52" xfId="0" applyFont="1" applyFill="1" applyBorder="1" applyAlignment="1">
      <alignment wrapText="1"/>
    </xf>
    <xf numFmtId="164" fontId="2" fillId="2" borderId="53" xfId="0" applyNumberFormat="1" applyFont="1" applyFill="1" applyBorder="1" applyAlignment="1">
      <alignment wrapText="1"/>
    </xf>
    <xf numFmtId="164" fontId="2" fillId="2" borderId="54" xfId="0" applyNumberFormat="1" applyFont="1" applyFill="1" applyBorder="1" applyAlignment="1">
      <alignment wrapText="1"/>
    </xf>
    <xf numFmtId="164" fontId="1" fillId="0" borderId="0" xfId="0" applyNumberFormat="1" applyFont="1" applyAlignment="1">
      <alignment wrapText="1"/>
    </xf>
    <xf numFmtId="164" fontId="1" fillId="2" borderId="3" xfId="1"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2" fillId="2" borderId="11" xfId="0" applyFont="1" applyFill="1" applyBorder="1" applyAlignment="1">
      <alignment horizontal="left" wrapText="1"/>
    </xf>
    <xf numFmtId="164" fontId="1" fillId="2" borderId="34" xfId="0" applyNumberFormat="1" applyFont="1" applyFill="1" applyBorder="1" applyAlignment="1">
      <alignment horizontal="left" wrapText="1"/>
    </xf>
    <xf numFmtId="164" fontId="2" fillId="2" borderId="33" xfId="0" applyNumberFormat="1" applyFont="1" applyFill="1" applyBorder="1" applyAlignment="1">
      <alignment horizontal="left" wrapText="1"/>
    </xf>
    <xf numFmtId="164" fontId="1" fillId="2" borderId="13" xfId="0" applyNumberFormat="1" applyFont="1" applyFill="1" applyBorder="1" applyAlignment="1">
      <alignment horizontal="left" wrapText="1"/>
    </xf>
    <xf numFmtId="164" fontId="1" fillId="2" borderId="46" xfId="1" applyFont="1" applyFill="1" applyBorder="1" applyAlignment="1" applyProtection="1">
      <alignment horizontal="left" wrapText="1"/>
    </xf>
    <xf numFmtId="164" fontId="2" fillId="2" borderId="47" xfId="1" applyFont="1" applyFill="1" applyBorder="1" applyAlignment="1">
      <alignment horizontal="left" wrapText="1"/>
    </xf>
    <xf numFmtId="164" fontId="2" fillId="2" borderId="29" xfId="0" applyNumberFormat="1" applyFont="1" applyFill="1" applyBorder="1" applyAlignment="1">
      <alignment horizontal="left" wrapText="1"/>
    </xf>
    <xf numFmtId="164" fontId="1" fillId="2" borderId="8" xfId="1" applyFont="1" applyFill="1" applyBorder="1" applyAlignment="1" applyProtection="1">
      <alignment horizontal="left" wrapText="1"/>
    </xf>
    <xf numFmtId="164" fontId="2" fillId="2" borderId="3" xfId="1" applyFont="1" applyFill="1" applyBorder="1" applyAlignment="1">
      <alignment horizontal="left" wrapText="1"/>
    </xf>
    <xf numFmtId="164" fontId="2" fillId="2" borderId="12" xfId="1" applyFont="1" applyFill="1" applyBorder="1" applyAlignment="1" applyProtection="1">
      <alignment horizontal="left" wrapText="1"/>
    </xf>
    <xf numFmtId="164" fontId="2" fillId="2" borderId="13" xfId="1" applyFont="1" applyFill="1" applyBorder="1" applyAlignment="1">
      <alignment horizontal="left" wrapText="1"/>
    </xf>
    <xf numFmtId="0" fontId="7" fillId="2" borderId="7" xfId="0" applyFont="1" applyFill="1" applyBorder="1" applyAlignment="1">
      <alignment horizontal="left" wrapText="1"/>
    </xf>
    <xf numFmtId="0" fontId="7" fillId="2" borderId="8" xfId="0" applyFont="1" applyFill="1" applyBorder="1" applyAlignment="1">
      <alignment horizontal="left" wrapText="1"/>
    </xf>
    <xf numFmtId="0" fontId="7" fillId="2" borderId="8" xfId="0" applyFont="1" applyFill="1" applyBorder="1" applyAlignment="1" applyProtection="1">
      <alignment horizontal="left" wrapText="1"/>
      <protection locked="0"/>
    </xf>
    <xf numFmtId="0" fontId="7" fillId="2" borderId="12" xfId="0" applyFont="1" applyFill="1" applyBorder="1" applyAlignment="1">
      <alignment horizontal="left" wrapText="1"/>
    </xf>
    <xf numFmtId="0" fontId="2" fillId="2" borderId="8" xfId="0" applyFont="1" applyFill="1" applyBorder="1" applyAlignment="1">
      <alignment horizontal="left" wrapText="1"/>
    </xf>
    <xf numFmtId="0" fontId="2" fillId="2" borderId="12" xfId="0" applyFont="1" applyFill="1" applyBorder="1" applyAlignment="1">
      <alignment horizontal="left" wrapText="1"/>
    </xf>
    <xf numFmtId="0" fontId="2" fillId="0" borderId="0" xfId="0" applyFont="1" applyAlignment="1">
      <alignment horizontal="left" wrapText="1"/>
    </xf>
    <xf numFmtId="164" fontId="3" fillId="0" borderId="0" xfId="0" applyNumberFormat="1" applyFont="1" applyAlignment="1">
      <alignment horizontal="left"/>
    </xf>
    <xf numFmtId="0" fontId="2" fillId="0" borderId="0" xfId="0" applyFont="1" applyAlignment="1">
      <alignment wrapText="1"/>
    </xf>
    <xf numFmtId="9" fontId="2" fillId="2" borderId="3" xfId="2" applyFont="1" applyFill="1" applyBorder="1" applyAlignment="1">
      <alignment vertical="center" wrapText="1"/>
    </xf>
    <xf numFmtId="9" fontId="2" fillId="2" borderId="13" xfId="2" applyFont="1" applyFill="1" applyBorder="1" applyAlignment="1">
      <alignment vertical="center" wrapText="1"/>
    </xf>
    <xf numFmtId="9" fontId="2" fillId="3" borderId="0" xfId="2" applyFont="1" applyFill="1" applyAlignment="1">
      <alignment vertical="center" wrapText="1"/>
    </xf>
    <xf numFmtId="0" fontId="28" fillId="2" borderId="3" xfId="0" applyFont="1" applyFill="1" applyBorder="1" applyAlignment="1">
      <alignment horizontal="center" vertical="center" wrapText="1"/>
    </xf>
    <xf numFmtId="164" fontId="29" fillId="0" borderId="3" xfId="1" applyFont="1" applyBorder="1" applyAlignment="1" applyProtection="1">
      <alignment horizontal="center" vertical="center" wrapText="1"/>
      <protection locked="0"/>
    </xf>
    <xf numFmtId="164" fontId="29" fillId="0" borderId="3" xfId="1" applyFont="1" applyFill="1" applyBorder="1" applyAlignment="1" applyProtection="1">
      <alignment horizontal="center" vertical="center" wrapText="1"/>
      <protection locked="0"/>
    </xf>
    <xf numFmtId="164" fontId="29" fillId="0" borderId="3" xfId="0" applyNumberFormat="1" applyFont="1" applyBorder="1" applyAlignment="1" applyProtection="1">
      <alignment vertical="center" wrapText="1"/>
      <protection locked="0"/>
    </xf>
    <xf numFmtId="164" fontId="29" fillId="3" borderId="3" xfId="1" applyFont="1" applyFill="1" applyBorder="1" applyAlignment="1" applyProtection="1">
      <alignment horizontal="center" vertical="center" wrapText="1"/>
      <protection locked="0"/>
    </xf>
    <xf numFmtId="0" fontId="30" fillId="0" borderId="0" xfId="0" applyFont="1" applyAlignment="1" applyProtection="1">
      <alignment vertical="center" wrapText="1"/>
      <protection locked="0"/>
    </xf>
    <xf numFmtId="164" fontId="28" fillId="2" borderId="3" xfId="1" applyFont="1" applyFill="1" applyBorder="1" applyAlignment="1" applyProtection="1">
      <alignment horizontal="center" vertical="center" wrapText="1"/>
    </xf>
    <xf numFmtId="0" fontId="29" fillId="0" borderId="3" xfId="0" applyFont="1" applyBorder="1" applyAlignment="1" applyProtection="1">
      <alignment horizontal="left" vertical="center" wrapText="1"/>
      <protection locked="0"/>
    </xf>
    <xf numFmtId="164" fontId="28" fillId="2" borderId="5" xfId="1" applyFont="1" applyFill="1" applyBorder="1" applyAlignment="1" applyProtection="1">
      <alignment horizontal="center" vertical="center" wrapText="1"/>
    </xf>
    <xf numFmtId="164" fontId="29" fillId="0" borderId="3" xfId="1" applyFont="1" applyBorder="1" applyAlignment="1" applyProtection="1">
      <alignment horizontal="left" vertical="center" wrapText="1"/>
      <protection locked="0"/>
    </xf>
    <xf numFmtId="0" fontId="29" fillId="3" borderId="3" xfId="0" applyFont="1" applyFill="1" applyBorder="1" applyAlignment="1" applyProtection="1">
      <alignment horizontal="left" vertical="center" wrapText="1"/>
      <protection locked="0"/>
    </xf>
    <xf numFmtId="0" fontId="28" fillId="2" borderId="3" xfId="0" applyFont="1" applyFill="1" applyBorder="1" applyAlignment="1">
      <alignment vertical="center" wrapText="1"/>
    </xf>
    <xf numFmtId="0" fontId="29" fillId="0" borderId="0" xfId="0" applyFont="1" applyAlignment="1" applyProtection="1">
      <alignment horizontal="left" vertical="center" wrapText="1"/>
      <protection locked="0"/>
    </xf>
    <xf numFmtId="164" fontId="31" fillId="0" borderId="3" xfId="1" applyFont="1" applyBorder="1" applyAlignment="1">
      <alignment vertical="center" wrapText="1"/>
    </xf>
    <xf numFmtId="0" fontId="28" fillId="2" borderId="5" xfId="0" applyFont="1" applyFill="1" applyBorder="1" applyAlignment="1">
      <alignment vertical="center" wrapText="1"/>
    </xf>
    <xf numFmtId="0" fontId="29" fillId="0" borderId="0" xfId="0" applyFont="1" applyAlignment="1" applyProtection="1">
      <alignment vertical="center" wrapText="1"/>
      <protection locked="0"/>
    </xf>
    <xf numFmtId="164" fontId="29" fillId="0" borderId="3" xfId="0" applyNumberFormat="1" applyFont="1" applyBorder="1" applyAlignment="1" applyProtection="1">
      <alignment horizontal="left" vertical="center" wrapText="1"/>
      <protection locked="0"/>
    </xf>
    <xf numFmtId="0" fontId="28" fillId="0" borderId="3" xfId="0" applyFont="1" applyBorder="1" applyAlignment="1">
      <alignment vertical="center" wrapText="1"/>
    </xf>
    <xf numFmtId="0" fontId="28" fillId="0" borderId="5" xfId="0" applyFont="1" applyBorder="1" applyAlignment="1">
      <alignment vertical="center" wrapText="1"/>
    </xf>
    <xf numFmtId="164" fontId="29" fillId="0" borderId="3" xfId="1" applyFont="1" applyBorder="1" applyAlignment="1" applyProtection="1">
      <alignment vertical="center" wrapText="1"/>
      <protection locked="0"/>
    </xf>
    <xf numFmtId="164" fontId="28" fillId="2" borderId="3" xfId="1" applyFont="1" applyFill="1" applyBorder="1" applyAlignment="1" applyProtection="1">
      <alignment vertical="center" wrapText="1"/>
    </xf>
    <xf numFmtId="0" fontId="29" fillId="3" borderId="0" xfId="0" applyFont="1" applyFill="1" applyAlignment="1" applyProtection="1">
      <alignment vertical="center" wrapText="1"/>
      <protection locked="0"/>
    </xf>
    <xf numFmtId="164" fontId="29" fillId="4" borderId="3" xfId="0" applyNumberFormat="1" applyFont="1" applyFill="1" applyBorder="1" applyAlignment="1">
      <alignment vertical="center" wrapText="1"/>
    </xf>
    <xf numFmtId="164" fontId="30" fillId="0" borderId="0" xfId="0" applyNumberFormat="1" applyFont="1" applyAlignment="1">
      <alignment vertical="center" wrapText="1"/>
    </xf>
    <xf numFmtId="9" fontId="28" fillId="3" borderId="0" xfId="2" applyFont="1" applyFill="1" applyAlignment="1">
      <alignment vertical="center" wrapText="1"/>
    </xf>
    <xf numFmtId="164" fontId="28" fillId="2" borderId="4" xfId="1" applyFont="1" applyFill="1" applyBorder="1" applyAlignment="1" applyProtection="1">
      <alignment vertical="center" wrapText="1"/>
    </xf>
    <xf numFmtId="164" fontId="28" fillId="2" borderId="13" xfId="1" applyFont="1" applyFill="1" applyBorder="1" applyAlignment="1" applyProtection="1">
      <alignment vertical="center" wrapText="1"/>
    </xf>
    <xf numFmtId="0" fontId="28" fillId="0" borderId="0" xfId="0" applyFont="1" applyAlignment="1">
      <alignment vertical="center" wrapText="1"/>
    </xf>
    <xf numFmtId="0" fontId="32" fillId="0" borderId="0" xfId="0" applyFont="1" applyAlignment="1">
      <alignment horizontal="left" vertical="center" wrapText="1"/>
    </xf>
    <xf numFmtId="0" fontId="32" fillId="0" borderId="0" xfId="0" applyFont="1" applyAlignment="1">
      <alignment vertical="center" wrapText="1"/>
    </xf>
    <xf numFmtId="0" fontId="30" fillId="0" borderId="0" xfId="0" applyFont="1" applyAlignment="1">
      <alignment vertical="center" wrapText="1"/>
    </xf>
    <xf numFmtId="164" fontId="29" fillId="0" borderId="3" xfId="1" applyFont="1" applyBorder="1" applyAlignment="1" applyProtection="1">
      <alignment horizontal="center" vertical="center"/>
      <protection locked="0"/>
    </xf>
    <xf numFmtId="164" fontId="29" fillId="0" borderId="0" xfId="1" applyFont="1" applyFill="1" applyBorder="1" applyAlignment="1" applyProtection="1">
      <alignment horizontal="center" vertical="center" wrapText="1"/>
      <protection locked="0"/>
    </xf>
    <xf numFmtId="164" fontId="29" fillId="0" borderId="0" xfId="1" applyFont="1" applyFill="1" applyBorder="1" applyAlignment="1" applyProtection="1">
      <alignment vertical="center" wrapText="1"/>
      <protection locked="0"/>
    </xf>
    <xf numFmtId="164" fontId="28" fillId="0" borderId="3" xfId="1" applyFont="1" applyFill="1" applyBorder="1" applyAlignment="1" applyProtection="1">
      <alignment horizontal="center" vertical="center" wrapText="1"/>
    </xf>
    <xf numFmtId="164" fontId="28" fillId="0" borderId="5" xfId="1" applyFont="1" applyFill="1" applyBorder="1" applyAlignment="1" applyProtection="1">
      <alignment horizontal="center" vertical="center" wrapText="1"/>
    </xf>
    <xf numFmtId="164" fontId="29" fillId="3" borderId="0" xfId="1" applyFont="1" applyFill="1" applyBorder="1" applyAlignment="1" applyProtection="1">
      <alignment vertical="center" wrapText="1"/>
      <protection locked="0"/>
    </xf>
    <xf numFmtId="164" fontId="28" fillId="4" borderId="13" xfId="1" applyFont="1" applyFill="1" applyBorder="1" applyAlignment="1" applyProtection="1">
      <alignment vertical="center" wrapText="1"/>
    </xf>
    <xf numFmtId="164" fontId="28" fillId="3" borderId="0" xfId="0" applyNumberFormat="1" applyFont="1" applyFill="1" applyAlignment="1">
      <alignment vertical="center" wrapText="1"/>
    </xf>
    <xf numFmtId="0" fontId="28" fillId="0" borderId="0" xfId="0" applyFont="1" applyAlignment="1">
      <alignment horizontal="center" vertical="center" wrapText="1"/>
    </xf>
    <xf numFmtId="9" fontId="28" fillId="0" borderId="0" xfId="2" applyFont="1" applyFill="1" applyBorder="1" applyAlignment="1" applyProtection="1">
      <alignment vertical="center" wrapText="1"/>
      <protection locked="0"/>
    </xf>
    <xf numFmtId="9" fontId="28" fillId="0" borderId="0" xfId="2" applyFont="1" applyFill="1" applyBorder="1" applyAlignment="1" applyProtection="1">
      <alignment horizontal="right" vertical="center" wrapText="1"/>
      <protection locked="0"/>
    </xf>
    <xf numFmtId="9" fontId="28" fillId="0" borderId="0" xfId="2" applyFont="1" applyFill="1" applyBorder="1" applyAlignment="1" applyProtection="1">
      <alignment vertical="center" wrapText="1"/>
    </xf>
    <xf numFmtId="164" fontId="28" fillId="0" borderId="0" xfId="0" applyNumberFormat="1" applyFont="1" applyAlignment="1">
      <alignment vertical="center" wrapText="1"/>
    </xf>
    <xf numFmtId="0" fontId="32" fillId="0" borderId="0" xfId="0" applyFont="1" applyAlignment="1">
      <alignment horizontal="center" vertical="center" wrapText="1"/>
    </xf>
    <xf numFmtId="164" fontId="28" fillId="0" borderId="0" xfId="2" applyNumberFormat="1" applyFont="1" applyFill="1" applyBorder="1" applyAlignment="1" applyProtection="1">
      <alignment vertical="center" wrapText="1"/>
    </xf>
    <xf numFmtId="10" fontId="28" fillId="0" borderId="0" xfId="2" applyNumberFormat="1" applyFont="1" applyFill="1" applyBorder="1" applyAlignment="1" applyProtection="1">
      <alignment vertical="center" wrapText="1"/>
    </xf>
    <xf numFmtId="0" fontId="30" fillId="0" borderId="0" xfId="0" applyFont="1" applyAlignment="1">
      <alignment horizontal="center" vertical="center" wrapText="1"/>
    </xf>
    <xf numFmtId="0" fontId="28" fillId="3" borderId="0" xfId="0" applyFont="1" applyFill="1" applyAlignment="1">
      <alignment horizontal="left" wrapText="1"/>
    </xf>
    <xf numFmtId="164" fontId="28" fillId="2" borderId="5" xfId="1" applyFont="1" applyFill="1" applyBorder="1" applyAlignment="1" applyProtection="1">
      <alignment horizontal="center" vertical="center" wrapText="1"/>
      <protection locked="0"/>
    </xf>
    <xf numFmtId="164" fontId="28" fillId="2" borderId="13" xfId="0" applyNumberFormat="1" applyFont="1" applyFill="1" applyBorder="1" applyAlignment="1">
      <alignment horizontal="left" wrapText="1"/>
    </xf>
    <xf numFmtId="164" fontId="29" fillId="0" borderId="34" xfId="0" applyNumberFormat="1" applyFont="1" applyBorder="1" applyAlignment="1" applyProtection="1">
      <alignment wrapText="1"/>
      <protection locked="0"/>
    </xf>
    <xf numFmtId="164" fontId="29" fillId="0" borderId="3" xfId="0" applyNumberFormat="1" applyFont="1" applyBorder="1" applyAlignment="1" applyProtection="1">
      <alignment wrapText="1"/>
      <protection locked="0"/>
    </xf>
    <xf numFmtId="164" fontId="28" fillId="4" borderId="3" xfId="1" applyFont="1" applyFill="1" applyBorder="1" applyAlignment="1">
      <alignment wrapText="1"/>
    </xf>
    <xf numFmtId="164" fontId="28" fillId="3" borderId="1" xfId="1" applyFont="1" applyFill="1" applyBorder="1" applyAlignment="1" applyProtection="1">
      <alignment wrapText="1"/>
    </xf>
    <xf numFmtId="0" fontId="28" fillId="3" borderId="36" xfId="0" applyFont="1" applyFill="1" applyBorder="1" applyAlignment="1">
      <alignment horizontal="left" wrapText="1"/>
    </xf>
    <xf numFmtId="0" fontId="28" fillId="2" borderId="13" xfId="0" applyFont="1" applyFill="1" applyBorder="1" applyAlignment="1">
      <alignment horizontal="left" wrapText="1"/>
    </xf>
    <xf numFmtId="0" fontId="33" fillId="2" borderId="34" xfId="0" applyFont="1" applyFill="1" applyBorder="1" applyAlignment="1">
      <alignment vertical="center" wrapText="1"/>
    </xf>
    <xf numFmtId="0" fontId="33" fillId="2" borderId="3" xfId="0" applyFont="1" applyFill="1" applyBorder="1" applyAlignment="1">
      <alignment vertical="center" wrapText="1"/>
    </xf>
    <xf numFmtId="0" fontId="33" fillId="2" borderId="3" xfId="0" applyFont="1" applyFill="1" applyBorder="1" applyAlignment="1" applyProtection="1">
      <alignment vertical="center" wrapText="1"/>
      <protection locked="0"/>
    </xf>
    <xf numFmtId="164" fontId="28" fillId="4" borderId="3" xfId="1" applyFont="1" applyFill="1" applyBorder="1" applyAlignment="1" applyProtection="1">
      <alignment wrapText="1"/>
    </xf>
    <xf numFmtId="0" fontId="29" fillId="0" borderId="0" xfId="0" applyFont="1" applyAlignment="1">
      <alignment wrapText="1"/>
    </xf>
    <xf numFmtId="0" fontId="33" fillId="0" borderId="34" xfId="0" applyFont="1" applyBorder="1" applyAlignment="1">
      <alignment vertical="center" wrapText="1"/>
    </xf>
    <xf numFmtId="0" fontId="33" fillId="0" borderId="3" xfId="0" applyFont="1" applyBorder="1" applyAlignment="1">
      <alignment vertical="center" wrapText="1"/>
    </xf>
    <xf numFmtId="164" fontId="29" fillId="2" borderId="3" xfId="0" applyNumberFormat="1" applyFont="1" applyFill="1" applyBorder="1" applyAlignment="1">
      <alignment wrapText="1"/>
    </xf>
    <xf numFmtId="164" fontId="29" fillId="2" borderId="3" xfId="1" applyFont="1" applyFill="1" applyBorder="1" applyAlignment="1">
      <alignment wrapText="1"/>
    </xf>
    <xf numFmtId="164" fontId="29" fillId="2" borderId="5" xfId="0" applyNumberFormat="1" applyFont="1" applyFill="1" applyBorder="1" applyAlignment="1">
      <alignment wrapText="1"/>
    </xf>
    <xf numFmtId="164" fontId="28" fillId="2" borderId="53" xfId="0" applyNumberFormat="1" applyFont="1" applyFill="1" applyBorder="1" applyAlignment="1">
      <alignment wrapText="1"/>
    </xf>
    <xf numFmtId="164" fontId="28" fillId="2" borderId="13" xfId="0" applyNumberFormat="1" applyFont="1" applyFill="1" applyBorder="1" applyAlignment="1">
      <alignment horizontal="center" wrapText="1"/>
    </xf>
    <xf numFmtId="164" fontId="28" fillId="3" borderId="1" xfId="1" applyFont="1" applyFill="1" applyBorder="1" applyAlignment="1">
      <alignment wrapText="1"/>
    </xf>
    <xf numFmtId="0" fontId="29" fillId="3" borderId="0" xfId="0" applyFont="1" applyFill="1" applyAlignment="1">
      <alignment wrapText="1"/>
    </xf>
    <xf numFmtId="164" fontId="1" fillId="3" borderId="0" xfId="0" applyNumberFormat="1" applyFont="1" applyFill="1" applyAlignment="1">
      <alignment wrapText="1"/>
    </xf>
    <xf numFmtId="164" fontId="29" fillId="0" borderId="0" xfId="0" applyNumberFormat="1" applyFont="1" applyAlignment="1">
      <alignment wrapText="1"/>
    </xf>
    <xf numFmtId="164" fontId="29" fillId="3" borderId="0" xfId="0" applyNumberFormat="1" applyFont="1" applyFill="1" applyAlignment="1" applyProtection="1">
      <alignment vertical="center" wrapText="1"/>
      <protection locked="0"/>
    </xf>
    <xf numFmtId="9" fontId="1" fillId="3" borderId="0" xfId="2" applyFont="1" applyFill="1" applyAlignment="1">
      <alignment wrapText="1"/>
    </xf>
    <xf numFmtId="164" fontId="29" fillId="0" borderId="0" xfId="0" applyNumberFormat="1" applyFont="1" applyAlignment="1" applyProtection="1">
      <alignment vertical="center" wrapText="1"/>
      <protection locked="0"/>
    </xf>
    <xf numFmtId="164" fontId="1" fillId="11" borderId="3" xfId="0" applyNumberFormat="1" applyFont="1" applyFill="1" applyBorder="1" applyAlignment="1">
      <alignment horizontal="left" wrapText="1"/>
    </xf>
    <xf numFmtId="164" fontId="1" fillId="11" borderId="34" xfId="0" applyNumberFormat="1" applyFont="1" applyFill="1" applyBorder="1" applyAlignment="1">
      <alignment horizontal="left" wrapText="1"/>
    </xf>
    <xf numFmtId="164" fontId="1" fillId="11" borderId="13" xfId="0" applyNumberFormat="1" applyFont="1" applyFill="1" applyBorder="1" applyAlignment="1">
      <alignment horizontal="left" wrapText="1"/>
    </xf>
    <xf numFmtId="164" fontId="2" fillId="11" borderId="47" xfId="1" applyFont="1" applyFill="1" applyBorder="1" applyAlignment="1">
      <alignment horizontal="left" wrapText="1"/>
    </xf>
    <xf numFmtId="164" fontId="2" fillId="11" borderId="3" xfId="1" applyFont="1" applyFill="1" applyBorder="1" applyAlignment="1">
      <alignment horizontal="left" wrapText="1"/>
    </xf>
    <xf numFmtId="164" fontId="2" fillId="11" borderId="13" xfId="1" applyFont="1" applyFill="1" applyBorder="1" applyAlignment="1">
      <alignment horizontal="left" wrapText="1"/>
    </xf>
    <xf numFmtId="164" fontId="6" fillId="5" borderId="3" xfId="0" applyNumberFormat="1" applyFont="1" applyFill="1" applyBorder="1" applyAlignment="1">
      <alignment horizontal="left" wrapText="1"/>
    </xf>
    <xf numFmtId="164" fontId="1" fillId="5" borderId="3" xfId="0" applyNumberFormat="1" applyFont="1" applyFill="1" applyBorder="1" applyAlignment="1">
      <alignment horizontal="left" wrapText="1"/>
    </xf>
    <xf numFmtId="164" fontId="6" fillId="5" borderId="50" xfId="0" applyNumberFormat="1" applyFont="1" applyFill="1" applyBorder="1" applyAlignment="1">
      <alignment horizontal="left" wrapText="1"/>
    </xf>
    <xf numFmtId="164" fontId="1" fillId="5" borderId="34" xfId="0" applyNumberFormat="1" applyFont="1" applyFill="1" applyBorder="1" applyAlignment="1">
      <alignment horizontal="left" wrapText="1"/>
    </xf>
    <xf numFmtId="164" fontId="6" fillId="5" borderId="50" xfId="0" applyNumberFormat="1" applyFont="1" applyFill="1" applyBorder="1" applyAlignment="1" applyProtection="1">
      <alignment horizontal="left" wrapText="1"/>
      <protection locked="0"/>
    </xf>
    <xf numFmtId="164" fontId="6" fillId="5" borderId="51" xfId="0" applyNumberFormat="1" applyFont="1" applyFill="1" applyBorder="1" applyAlignment="1">
      <alignment horizontal="left" wrapText="1"/>
    </xf>
    <xf numFmtId="164" fontId="1" fillId="5" borderId="13" xfId="0" applyNumberFormat="1" applyFont="1" applyFill="1" applyBorder="1" applyAlignment="1">
      <alignment horizontal="left" wrapText="1"/>
    </xf>
    <xf numFmtId="164" fontId="2" fillId="5" borderId="55" xfId="1" applyFont="1" applyFill="1" applyBorder="1" applyAlignment="1" applyProtection="1">
      <alignment horizontal="left" wrapText="1"/>
    </xf>
    <xf numFmtId="164" fontId="2" fillId="5" borderId="47" xfId="1" applyFont="1" applyFill="1" applyBorder="1" applyAlignment="1">
      <alignment horizontal="left" wrapText="1"/>
    </xf>
    <xf numFmtId="164" fontId="2" fillId="5" borderId="2" xfId="1" applyFont="1" applyFill="1" applyBorder="1" applyAlignment="1" applyProtection="1">
      <alignment horizontal="left" wrapText="1"/>
    </xf>
    <xf numFmtId="164" fontId="2" fillId="5" borderId="3" xfId="1" applyFont="1" applyFill="1" applyBorder="1" applyAlignment="1">
      <alignment horizontal="left" wrapText="1"/>
    </xf>
    <xf numFmtId="164" fontId="2" fillId="5" borderId="51" xfId="1" applyFont="1" applyFill="1" applyBorder="1" applyAlignment="1" applyProtection="1">
      <alignment horizontal="left" wrapText="1"/>
    </xf>
    <xf numFmtId="164" fontId="2" fillId="5" borderId="13" xfId="1" applyFont="1" applyFill="1" applyBorder="1" applyAlignment="1">
      <alignment horizontal="left" wrapText="1"/>
    </xf>
    <xf numFmtId="164" fontId="2" fillId="2" borderId="9" xfId="1" applyFont="1" applyFill="1" applyBorder="1" applyAlignment="1">
      <alignment horizontal="left" wrapText="1"/>
    </xf>
    <xf numFmtId="164" fontId="2" fillId="2" borderId="14" xfId="1" applyFont="1" applyFill="1" applyBorder="1" applyAlignment="1">
      <alignment horizontal="left" wrapText="1"/>
    </xf>
    <xf numFmtId="9" fontId="8" fillId="0" borderId="0" xfId="2" applyFont="1" applyFill="1" applyBorder="1" applyAlignment="1">
      <alignment horizontal="center"/>
    </xf>
    <xf numFmtId="9" fontId="10" fillId="0" borderId="0" xfId="2" applyFont="1" applyFill="1" applyBorder="1" applyAlignment="1">
      <alignment horizontal="center"/>
    </xf>
    <xf numFmtId="0" fontId="0" fillId="2" borderId="8" xfId="0" applyFill="1" applyBorder="1" applyAlignment="1">
      <alignment horizontal="left"/>
    </xf>
    <xf numFmtId="0" fontId="2" fillId="2" borderId="3" xfId="0" applyFont="1" applyFill="1" applyBorder="1" applyAlignment="1">
      <alignment horizontal="left" vertical="center" wrapText="1"/>
    </xf>
    <xf numFmtId="0" fontId="3" fillId="2" borderId="9" xfId="0" applyFont="1" applyFill="1" applyBorder="1" applyAlignment="1">
      <alignment horizontal="center" vertical="center"/>
    </xf>
    <xf numFmtId="164" fontId="1" fillId="2" borderId="3" xfId="1" applyFont="1" applyFill="1" applyBorder="1" applyAlignment="1">
      <alignment horizontal="left" vertical="center" wrapText="1"/>
    </xf>
    <xf numFmtId="164" fontId="2" fillId="2" borderId="3" xfId="1" applyFont="1" applyFill="1" applyBorder="1" applyAlignment="1">
      <alignment horizontal="center" vertical="center" wrapText="1"/>
    </xf>
    <xf numFmtId="9" fontId="0" fillId="2" borderId="9" xfId="0" applyNumberFormat="1" applyFill="1" applyBorder="1" applyAlignment="1">
      <alignment horizontal="center" vertical="center"/>
    </xf>
    <xf numFmtId="164" fontId="2" fillId="2" borderId="3" xfId="1" applyFont="1" applyFill="1" applyBorder="1" applyAlignment="1">
      <alignment horizontal="left" vertical="center" wrapText="1"/>
    </xf>
    <xf numFmtId="9" fontId="0" fillId="2" borderId="9" xfId="2" applyFont="1" applyFill="1" applyBorder="1" applyAlignment="1">
      <alignment horizontal="center" vertical="center"/>
    </xf>
    <xf numFmtId="164" fontId="3" fillId="2" borderId="13" xfId="1" applyFont="1" applyFill="1" applyBorder="1" applyAlignment="1">
      <alignment horizontal="left" vertical="center"/>
    </xf>
    <xf numFmtId="164" fontId="2" fillId="2" borderId="13" xfId="1" applyFont="1" applyFill="1" applyBorder="1" applyAlignment="1">
      <alignment horizontal="left" vertical="center" wrapText="1"/>
    </xf>
    <xf numFmtId="9" fontId="3" fillId="2" borderId="14" xfId="2" applyFont="1" applyFill="1" applyBorder="1" applyAlignment="1">
      <alignment horizontal="center" vertical="center"/>
    </xf>
    <xf numFmtId="9" fontId="2" fillId="2" borderId="3" xfId="1" applyNumberFormat="1" applyFont="1" applyFill="1" applyBorder="1" applyAlignment="1">
      <alignment horizontal="center" vertical="center" wrapText="1"/>
    </xf>
    <xf numFmtId="9" fontId="1" fillId="2" borderId="3" xfId="1" applyNumberFormat="1" applyFont="1" applyFill="1" applyBorder="1" applyAlignment="1">
      <alignment horizontal="center" vertical="center" wrapText="1"/>
    </xf>
    <xf numFmtId="9" fontId="1" fillId="2" borderId="3" xfId="2" applyFont="1" applyFill="1" applyBorder="1" applyAlignment="1">
      <alignment horizontal="center" vertical="center" wrapText="1"/>
    </xf>
    <xf numFmtId="9" fontId="1" fillId="2" borderId="13" xfId="2" applyFont="1" applyFill="1" applyBorder="1" applyAlignment="1">
      <alignment horizontal="center" vertical="center" wrapText="1"/>
    </xf>
    <xf numFmtId="164" fontId="29" fillId="0" borderId="3" xfId="1" applyFont="1" applyFill="1" applyBorder="1" applyAlignment="1" applyProtection="1">
      <alignment vertical="center" wrapText="1"/>
      <protection locked="0"/>
    </xf>
    <xf numFmtId="164" fontId="29" fillId="3" borderId="0" xfId="0" applyNumberFormat="1" applyFont="1" applyFill="1" applyAlignment="1">
      <alignment wrapText="1"/>
    </xf>
    <xf numFmtId="164" fontId="35" fillId="11" borderId="3" xfId="0" applyNumberFormat="1" applyFont="1" applyFill="1" applyBorder="1" applyAlignment="1">
      <alignment horizontal="left" wrapText="1"/>
    </xf>
    <xf numFmtId="164" fontId="35" fillId="11" borderId="34" xfId="0" applyNumberFormat="1" applyFont="1" applyFill="1" applyBorder="1" applyAlignment="1">
      <alignment horizontal="left" wrapText="1"/>
    </xf>
    <xf numFmtId="164" fontId="35" fillId="11" borderId="13" xfId="0" applyNumberFormat="1" applyFont="1" applyFill="1" applyBorder="1" applyAlignment="1">
      <alignment horizontal="left" wrapText="1"/>
    </xf>
    <xf numFmtId="164" fontId="36" fillId="11" borderId="47" xfId="1" applyFont="1" applyFill="1" applyBorder="1" applyAlignment="1">
      <alignment horizontal="left" wrapText="1"/>
    </xf>
    <xf numFmtId="164" fontId="36" fillId="11" borderId="3" xfId="1" applyFont="1" applyFill="1" applyBorder="1" applyAlignment="1">
      <alignment horizontal="left" wrapText="1"/>
    </xf>
    <xf numFmtId="164" fontId="36" fillId="11" borderId="13" xfId="1" applyFont="1" applyFill="1" applyBorder="1" applyAlignment="1">
      <alignment horizontal="left" wrapText="1"/>
    </xf>
    <xf numFmtId="0" fontId="1" fillId="0" borderId="0" xfId="0" applyFont="1"/>
    <xf numFmtId="164" fontId="1" fillId="0" borderId="0" xfId="0" applyNumberFormat="1" applyFont="1"/>
    <xf numFmtId="9" fontId="1" fillId="0" borderId="0" xfId="2" applyFont="1"/>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0" borderId="0" xfId="0" applyFont="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34" xfId="0" applyFont="1" applyFill="1" applyBorder="1" applyAlignment="1" applyProtection="1">
      <alignment horizontal="center" vertical="center" wrapText="1"/>
      <protection locked="0"/>
    </xf>
    <xf numFmtId="0" fontId="1" fillId="4" borderId="31" xfId="0" applyFont="1" applyFill="1" applyBorder="1" applyAlignment="1">
      <alignment horizontal="center" vertical="center" wrapText="1"/>
    </xf>
    <xf numFmtId="0" fontId="1" fillId="4" borderId="10" xfId="0" applyFont="1" applyFill="1" applyBorder="1" applyAlignment="1">
      <alignment horizontal="center" vertical="center" wrapText="1"/>
    </xf>
    <xf numFmtId="164" fontId="2" fillId="4" borderId="30" xfId="1" applyFont="1" applyFill="1" applyBorder="1" applyAlignment="1" applyProtection="1">
      <alignment horizontal="center" vertical="center" wrapText="1"/>
    </xf>
    <xf numFmtId="164" fontId="2" fillId="4" borderId="33" xfId="1" applyFont="1" applyFill="1" applyBorder="1" applyAlignment="1" applyProtection="1">
      <alignment horizontal="center" vertical="center" wrapText="1"/>
    </xf>
    <xf numFmtId="164" fontId="2" fillId="4" borderId="5" xfId="1" applyFont="1" applyFill="1" applyBorder="1" applyAlignment="1" applyProtection="1">
      <alignment horizontal="center" vertical="center" wrapText="1"/>
      <protection locked="0"/>
    </xf>
    <xf numFmtId="164" fontId="2" fillId="4" borderId="34"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5" borderId="43" xfId="0" applyFill="1" applyBorder="1" applyAlignment="1">
      <alignment horizontal="center" vertical="center" wrapText="1"/>
    </xf>
    <xf numFmtId="0" fontId="0" fillId="5" borderId="45" xfId="0"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0" fillId="0" borderId="0" xfId="0" applyFont="1" applyAlignment="1">
      <alignment horizontal="left" vertical="center" wrapText="1"/>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8" fillId="0" borderId="49" xfId="0" applyFont="1" applyBorder="1" applyAlignment="1">
      <alignment horizontal="left" vertical="center" wrapText="1"/>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164" fontId="28" fillId="4" borderId="5" xfId="1" applyFont="1" applyFill="1" applyBorder="1" applyAlignment="1" applyProtection="1">
      <alignment horizontal="center" vertical="center" wrapText="1"/>
      <protection locked="0"/>
    </xf>
    <xf numFmtId="164" fontId="28" fillId="4" borderId="34" xfId="1" applyFont="1" applyFill="1" applyBorder="1" applyAlignment="1" applyProtection="1">
      <alignment horizontal="center" vertical="center" wrapText="1"/>
      <protection locked="0"/>
    </xf>
    <xf numFmtId="0" fontId="24" fillId="3" borderId="4" xfId="0" applyFont="1" applyFill="1" applyBorder="1" applyAlignment="1" applyProtection="1">
      <alignment horizontal="left" vertical="center" wrapText="1"/>
      <protection locked="0"/>
    </xf>
    <xf numFmtId="0" fontId="24" fillId="3" borderId="1"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30" fillId="0" borderId="34" xfId="0" applyFont="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164" fontId="28" fillId="2" borderId="48" xfId="0" applyNumberFormat="1" applyFont="1" applyFill="1" applyBorder="1" applyAlignment="1">
      <alignment horizontal="center" vertical="center" wrapText="1"/>
    </xf>
    <xf numFmtId="0" fontId="28" fillId="2" borderId="34" xfId="0" applyFont="1" applyFill="1" applyBorder="1" applyAlignment="1">
      <alignment horizontal="center" vertical="center" wrapText="1"/>
    </xf>
    <xf numFmtId="164" fontId="28" fillId="2" borderId="48" xfId="0" applyNumberFormat="1" applyFont="1" applyFill="1" applyBorder="1" applyAlignment="1" applyProtection="1">
      <alignment horizontal="center" vertical="center" wrapText="1"/>
      <protection locked="0"/>
    </xf>
    <xf numFmtId="0" fontId="18" fillId="0" borderId="49" xfId="0" applyFont="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4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1" xfId="0" applyNumberFormat="1" applyFont="1" applyFill="1" applyBorder="1" applyAlignment="1">
      <alignment horizontal="center"/>
    </xf>
    <xf numFmtId="164" fontId="3" fillId="2" borderId="42" xfId="0" applyNumberFormat="1" applyFont="1" applyFill="1" applyBorder="1" applyAlignment="1">
      <alignment horizontal="center"/>
    </xf>
    <xf numFmtId="49" fontId="0" fillId="2" borderId="43" xfId="0" applyNumberFormat="1" applyFill="1" applyBorder="1" applyAlignment="1">
      <alignment horizontal="center" wrapText="1"/>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0" fontId="3" fillId="2" borderId="38"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164" fontId="3" fillId="2" borderId="4" xfId="0" applyNumberFormat="1" applyFont="1" applyFill="1" applyBorder="1" applyAlignment="1">
      <alignment horizontal="center"/>
    </xf>
    <xf numFmtId="164" fontId="3" fillId="2" borderId="32" xfId="0" applyNumberFormat="1" applyFont="1" applyFill="1" applyBorder="1" applyAlignment="1">
      <alignment horizontal="center"/>
    </xf>
    <xf numFmtId="0" fontId="0" fillId="2" borderId="43" xfId="0" applyFill="1" applyBorder="1" applyAlignment="1">
      <alignment horizontal="center" wrapText="1"/>
    </xf>
    <xf numFmtId="0" fontId="0" fillId="2" borderId="44" xfId="0" applyFill="1" applyBorder="1" applyAlignment="1">
      <alignment horizontal="center" wrapText="1"/>
    </xf>
    <xf numFmtId="0" fontId="0" fillId="2" borderId="45" xfId="0" applyFill="1" applyBorder="1" applyAlignment="1">
      <alignment horizontal="center" wrapText="1"/>
    </xf>
    <xf numFmtId="9" fontId="9" fillId="0" borderId="11" xfId="2"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2" borderId="17" xfId="0" applyFont="1" applyFill="1" applyBorder="1" applyAlignment="1">
      <alignment horizontal="center" wrapText="1"/>
    </xf>
    <xf numFmtId="0" fontId="2" fillId="2" borderId="15" xfId="0" applyFont="1" applyFill="1" applyBorder="1" applyAlignment="1">
      <alignment horizontal="center" wrapText="1"/>
    </xf>
    <xf numFmtId="0" fontId="2" fillId="2" borderId="18" xfId="0" applyFont="1" applyFill="1" applyBorder="1" applyAlignment="1">
      <alignment horizontal="center" wrapText="1"/>
    </xf>
    <xf numFmtId="0" fontId="34" fillId="6" borderId="17" xfId="0" applyFont="1" applyFill="1" applyBorder="1" applyAlignment="1">
      <alignment horizontal="center"/>
    </xf>
    <xf numFmtId="0" fontId="34" fillId="6" borderId="15" xfId="0" applyFont="1" applyFill="1" applyBorder="1" applyAlignment="1">
      <alignment horizontal="center"/>
    </xf>
    <xf numFmtId="0" fontId="34" fillId="6" borderId="18" xfId="0" applyFont="1" applyFill="1" applyBorder="1" applyAlignment="1">
      <alignment horizontal="center"/>
    </xf>
    <xf numFmtId="0" fontId="34" fillId="6" borderId="19" xfId="0" applyFont="1" applyFill="1" applyBorder="1" applyAlignment="1">
      <alignment horizontal="center"/>
    </xf>
    <xf numFmtId="0" fontId="34" fillId="6" borderId="25" xfId="0" applyFont="1" applyFill="1" applyBorder="1" applyAlignment="1">
      <alignment horizontal="center"/>
    </xf>
    <xf numFmtId="0" fontId="34" fillId="6" borderId="20" xfId="0" applyFont="1" applyFill="1" applyBorder="1" applyAlignment="1">
      <alignment horizontal="center"/>
    </xf>
    <xf numFmtId="0" fontId="2" fillId="5" borderId="3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11" borderId="47" xfId="0" applyFont="1" applyFill="1" applyBorder="1" applyAlignment="1">
      <alignment horizontal="center" vertical="center" wrapText="1"/>
    </xf>
    <xf numFmtId="0" fontId="34" fillId="2" borderId="26" xfId="0" applyFont="1" applyFill="1" applyBorder="1" applyAlignment="1">
      <alignment horizontal="center" wrapText="1"/>
    </xf>
    <xf numFmtId="0" fontId="34" fillId="2" borderId="27" xfId="0" applyFont="1" applyFill="1" applyBorder="1" applyAlignment="1">
      <alignment horizontal="center" wrapText="1"/>
    </xf>
    <xf numFmtId="0" fontId="34" fillId="2" borderId="21" xfId="0" applyFont="1" applyFill="1" applyBorder="1" applyAlignment="1">
      <alignment horizontal="center" wrapText="1"/>
    </xf>
    <xf numFmtId="0" fontId="2" fillId="0" borderId="0" xfId="0" applyFont="1" applyAlignment="1">
      <alignment horizontal="left" wrapText="1"/>
    </xf>
    <xf numFmtId="0" fontId="2" fillId="5" borderId="48" xfId="0" applyFont="1" applyFill="1" applyBorder="1" applyAlignment="1">
      <alignment horizontal="center" vertical="center" wrapText="1"/>
    </xf>
    <xf numFmtId="164" fontId="2" fillId="11" borderId="48" xfId="0"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personal/nanise_saune_undp_org/Documents/Desktop/NCE%20PBF/12th%20Sept/Annex%20D%20Forecast%20Sept%202023%20-%2031%20March%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ise.saune/AppData/Local/Microsoft/Windows/INetCache/Content.Outlook/CYKZABZT/Annex%20D%202022%20-%208months%20Budget%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Budget Table"/>
      <sheetName val="2) By Category"/>
      <sheetName val="4) -For PBSO Use-"/>
      <sheetName val="3) Explanatory Notes"/>
      <sheetName val="5) -For MPTF Use-"/>
      <sheetName val="Dropdowns"/>
      <sheetName val="Sheet2"/>
    </sheetNames>
    <sheetDataSet>
      <sheetData sheetId="0" refreshError="1"/>
      <sheetData sheetId="1" refreshError="1">
        <row r="9">
          <cell r="E9">
            <v>2000</v>
          </cell>
        </row>
        <row r="174">
          <cell r="E174">
            <v>7860.6997427146416</v>
          </cell>
        </row>
        <row r="175">
          <cell r="E175">
            <v>13387.897692307688</v>
          </cell>
        </row>
        <row r="177">
          <cell r="E177">
            <v>14628.36710632981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Budget Table"/>
      <sheetName val="2) By Category"/>
      <sheetName val="4) -For PBSO Use-"/>
      <sheetName val="3) Explanatory Notes"/>
      <sheetName val="5) -For MPTF Use-"/>
      <sheetName val="Dropdowns"/>
      <sheetName val="Sheet2"/>
    </sheetNames>
    <sheetDataSet>
      <sheetData sheetId="0" refreshError="1"/>
      <sheetData sheetId="1" refreshError="1"/>
      <sheetData sheetId="2">
        <row r="187">
          <cell r="E187">
            <v>7860.6997427146416</v>
          </cell>
        </row>
        <row r="190">
          <cell r="E190">
            <v>14628.36710632981</v>
          </cell>
        </row>
        <row r="193">
          <cell r="E193">
            <v>13387.897692307688</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Normal="100" workbookViewId="0">
      <selection activeCell="B9" sqref="B9"/>
    </sheetView>
  </sheetViews>
  <sheetFormatPr defaultColWidth="8.7265625" defaultRowHeight="14.5" x14ac:dyDescent="0.35"/>
  <cols>
    <col min="2" max="2" width="127.26953125" customWidth="1"/>
  </cols>
  <sheetData>
    <row r="2" spans="2:5" ht="36.75" customHeight="1" thickBot="1" x14ac:dyDescent="0.4">
      <c r="B2" s="399" t="s">
        <v>0</v>
      </c>
      <c r="C2" s="399"/>
      <c r="D2" s="399"/>
      <c r="E2" s="399"/>
    </row>
    <row r="3" spans="2:5" ht="295.5" customHeight="1" thickBot="1" x14ac:dyDescent="0.4">
      <c r="B3" s="93" t="s">
        <v>1</v>
      </c>
    </row>
  </sheetData>
  <mergeCells count="1">
    <mergeCell ref="B2:E2"/>
  </mergeCells>
  <pageMargins left="0.7" right="0.7" top="0.75" bottom="0.75" header="0.3" footer="0.3"/>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221"/>
  <sheetViews>
    <sheetView showGridLines="0" showZeros="0" tabSelected="1" zoomScale="88" zoomScaleNormal="88" workbookViewId="0">
      <pane ySplit="4" topLeftCell="A177" activePane="bottomLeft" state="frozen"/>
      <selection pane="bottomLeft" activeCell="I191" sqref="I191"/>
    </sheetView>
  </sheetViews>
  <sheetFormatPr defaultColWidth="9.1796875" defaultRowHeight="14.5" x14ac:dyDescent="0.35"/>
  <cols>
    <col min="1" max="1" width="9.1796875" style="134"/>
    <col min="2" max="2" width="30.7265625" style="134" customWidth="1"/>
    <col min="3" max="3" width="32.453125" style="134" customWidth="1"/>
    <col min="4" max="4" width="26.54296875" style="134" customWidth="1"/>
    <col min="5" max="5" width="21.54296875" style="134" customWidth="1"/>
    <col min="6" max="6" width="25.54296875" style="304" customWidth="1"/>
    <col min="7" max="7" width="27" style="134" customWidth="1"/>
    <col min="8" max="9" width="20.26953125" style="134" customWidth="1"/>
    <col min="10" max="10" width="20.26953125" style="304" customWidth="1"/>
    <col min="11" max="11" width="20.453125" style="134" customWidth="1"/>
    <col min="12" max="12" width="25.7265625" style="134" customWidth="1"/>
    <col min="13" max="13" width="23.1796875" style="134" customWidth="1"/>
    <col min="14" max="14" width="22.453125" style="158" customWidth="1"/>
    <col min="15" max="15" width="22.453125" style="202" customWidth="1"/>
    <col min="16" max="16" width="28.7265625" style="91" customWidth="1"/>
    <col min="17" max="17" width="30.26953125" style="134" customWidth="1"/>
    <col min="18" max="18" width="18.7265625" style="134" customWidth="1"/>
    <col min="19" max="19" width="9.1796875" style="134"/>
    <col min="20" max="20" width="17.7265625" style="134" customWidth="1"/>
    <col min="21" max="21" width="26.453125" style="134" customWidth="1"/>
    <col min="22" max="22" width="22.453125" style="134" customWidth="1"/>
    <col min="23" max="23" width="29.7265625" style="134" customWidth="1"/>
    <col min="24" max="24" width="23.453125" style="134" customWidth="1"/>
    <col min="25" max="25" width="18.453125" style="134" customWidth="1"/>
    <col min="26" max="26" width="17.453125" style="134" customWidth="1"/>
    <col min="27" max="27" width="25.1796875" style="134" customWidth="1"/>
    <col min="28" max="16384" width="9.1796875" style="134"/>
  </cols>
  <sheetData>
    <row r="1" spans="1:18" ht="30.75" customHeight="1" x14ac:dyDescent="0.35">
      <c r="B1" s="424" t="s">
        <v>0</v>
      </c>
      <c r="C1" s="424"/>
      <c r="D1" s="424"/>
      <c r="E1" s="424"/>
      <c r="F1" s="424"/>
      <c r="G1" s="424"/>
      <c r="H1" s="424"/>
      <c r="I1" s="424"/>
      <c r="J1" s="424"/>
      <c r="K1" s="424"/>
      <c r="L1" s="170"/>
      <c r="M1" s="170"/>
      <c r="N1" s="225"/>
      <c r="O1" s="189"/>
      <c r="P1" s="172"/>
      <c r="Q1" s="171"/>
    </row>
    <row r="2" spans="1:18" ht="16.5" customHeight="1" x14ac:dyDescent="0.35">
      <c r="B2" s="428" t="s">
        <v>2</v>
      </c>
      <c r="C2" s="428"/>
      <c r="D2" s="428"/>
      <c r="E2" s="428"/>
      <c r="F2" s="428"/>
      <c r="G2" s="428"/>
      <c r="H2" s="428"/>
      <c r="I2" s="428"/>
      <c r="J2" s="428"/>
      <c r="K2" s="428"/>
      <c r="L2" s="1"/>
      <c r="M2" s="1"/>
      <c r="N2" s="17"/>
      <c r="O2" s="190"/>
      <c r="P2" s="173"/>
    </row>
    <row r="3" spans="1:18" x14ac:dyDescent="0.35">
      <c r="F3" s="297"/>
    </row>
    <row r="4" spans="1:18" ht="119.25" customHeight="1" x14ac:dyDescent="0.35">
      <c r="B4" s="96" t="s">
        <v>3</v>
      </c>
      <c r="C4" s="96" t="s">
        <v>4</v>
      </c>
      <c r="D4" s="64" t="s">
        <v>5</v>
      </c>
      <c r="E4" s="64" t="s">
        <v>6</v>
      </c>
      <c r="F4" s="274" t="s">
        <v>7</v>
      </c>
      <c r="G4" s="236" t="s">
        <v>8</v>
      </c>
      <c r="H4" s="64" t="s">
        <v>9</v>
      </c>
      <c r="I4" s="64" t="s">
        <v>10</v>
      </c>
      <c r="J4" s="274" t="s">
        <v>11</v>
      </c>
      <c r="K4" s="236" t="s">
        <v>12</v>
      </c>
      <c r="L4" s="43" t="s">
        <v>13</v>
      </c>
      <c r="M4" s="64" t="s">
        <v>14</v>
      </c>
      <c r="N4" s="96" t="s">
        <v>15</v>
      </c>
      <c r="O4" s="191" t="s">
        <v>16</v>
      </c>
      <c r="P4" s="96" t="s">
        <v>17</v>
      </c>
      <c r="Q4" s="96" t="s">
        <v>18</v>
      </c>
      <c r="R4" s="18"/>
    </row>
    <row r="5" spans="1:18" ht="24" customHeight="1" x14ac:dyDescent="0.35">
      <c r="B5" s="62" t="s">
        <v>19</v>
      </c>
      <c r="C5" s="429" t="s">
        <v>20</v>
      </c>
      <c r="D5" s="430"/>
      <c r="E5" s="430"/>
      <c r="F5" s="430"/>
      <c r="G5" s="430"/>
      <c r="H5" s="430"/>
      <c r="I5" s="430"/>
      <c r="J5" s="430"/>
      <c r="K5" s="430"/>
      <c r="L5" s="430"/>
      <c r="M5" s="430"/>
      <c r="N5" s="430"/>
      <c r="O5" s="430"/>
      <c r="P5" s="430"/>
      <c r="Q5" s="431"/>
      <c r="R5" s="7"/>
    </row>
    <row r="6" spans="1:18" ht="24" customHeight="1" x14ac:dyDescent="0.35">
      <c r="B6" s="62" t="s">
        <v>21</v>
      </c>
      <c r="C6" s="425" t="s">
        <v>22</v>
      </c>
      <c r="D6" s="426"/>
      <c r="E6" s="426"/>
      <c r="F6" s="426"/>
      <c r="G6" s="426"/>
      <c r="H6" s="426"/>
      <c r="I6" s="426"/>
      <c r="J6" s="426"/>
      <c r="K6" s="426"/>
      <c r="L6" s="426"/>
      <c r="M6" s="426"/>
      <c r="N6" s="426"/>
      <c r="O6" s="426"/>
      <c r="P6" s="426"/>
      <c r="Q6" s="427"/>
      <c r="R6" s="20"/>
    </row>
    <row r="7" spans="1:18" ht="108.5" x14ac:dyDescent="0.35">
      <c r="B7" s="97" t="s">
        <v>23</v>
      </c>
      <c r="C7" s="131" t="s">
        <v>24</v>
      </c>
      <c r="D7" s="98">
        <v>25000</v>
      </c>
      <c r="E7" s="98">
        <v>21340.74</v>
      </c>
      <c r="F7" s="275">
        <v>21340</v>
      </c>
      <c r="G7" s="103">
        <v>0</v>
      </c>
      <c r="H7" s="98">
        <v>16723.681476569411</v>
      </c>
      <c r="I7" s="143">
        <v>31849.660671448</v>
      </c>
      <c r="J7" s="305">
        <f t="shared" ref="J7:J12" si="0">+I7+K7</f>
        <v>31849.660671448</v>
      </c>
      <c r="K7" s="103">
        <v>0</v>
      </c>
      <c r="L7" s="98"/>
      <c r="M7" s="99">
        <f>+E7+G7+I7+K7</f>
        <v>53190.400671448006</v>
      </c>
      <c r="N7" s="100">
        <v>0.5</v>
      </c>
      <c r="O7" s="138">
        <f>+E7+I7</f>
        <v>53190.400671448006</v>
      </c>
      <c r="P7" s="101" t="s">
        <v>25</v>
      </c>
      <c r="Q7" s="174" t="s">
        <v>26</v>
      </c>
      <c r="R7" s="102"/>
    </row>
    <row r="8" spans="1:18" ht="108.5" x14ac:dyDescent="0.35">
      <c r="B8" s="97" t="s">
        <v>27</v>
      </c>
      <c r="C8" s="131" t="s">
        <v>28</v>
      </c>
      <c r="D8" s="103">
        <v>10000</v>
      </c>
      <c r="E8" s="103">
        <v>9372.93</v>
      </c>
      <c r="F8" s="276">
        <f>+E8+G8</f>
        <v>9660</v>
      </c>
      <c r="G8" s="103">
        <f>+D8-E8-340</f>
        <v>287.06999999999971</v>
      </c>
      <c r="H8" s="98">
        <v>16685.219938107872</v>
      </c>
      <c r="I8" s="143">
        <v>17204.700671448001</v>
      </c>
      <c r="J8" s="305">
        <f t="shared" si="0"/>
        <v>17204.700671448001</v>
      </c>
      <c r="K8" s="103">
        <v>0</v>
      </c>
      <c r="L8" s="98"/>
      <c r="M8" s="99">
        <f t="shared" ref="M8:M14" si="1">+E8+G8+I8+K8</f>
        <v>26864.700671448001</v>
      </c>
      <c r="N8" s="100">
        <v>0.5</v>
      </c>
      <c r="O8" s="138">
        <f t="shared" ref="O8:O14" si="2">+E8+I8</f>
        <v>26577.630671448002</v>
      </c>
      <c r="P8" s="101" t="s">
        <v>25</v>
      </c>
      <c r="Q8" s="174" t="s">
        <v>26</v>
      </c>
      <c r="R8" s="102"/>
    </row>
    <row r="9" spans="1:18" ht="93" x14ac:dyDescent="0.35">
      <c r="B9" s="97" t="s">
        <v>29</v>
      </c>
      <c r="C9" s="131" t="s">
        <v>30</v>
      </c>
      <c r="D9" s="98">
        <v>5000</v>
      </c>
      <c r="E9" s="142">
        <v>3601.98</v>
      </c>
      <c r="F9" s="277">
        <v>5000</v>
      </c>
      <c r="G9" s="103">
        <f>+D9-E9</f>
        <v>1398.02</v>
      </c>
      <c r="H9" s="98">
        <v>4698.0404509283817</v>
      </c>
      <c r="I9" s="143">
        <v>2319.5906714480002</v>
      </c>
      <c r="J9" s="305">
        <f t="shared" si="0"/>
        <v>4319.5906714480006</v>
      </c>
      <c r="K9" s="103">
        <v>2000</v>
      </c>
      <c r="L9" s="98"/>
      <c r="M9" s="99">
        <f t="shared" si="1"/>
        <v>9319.5906714480006</v>
      </c>
      <c r="N9" s="100">
        <v>0.5</v>
      </c>
      <c r="O9" s="138">
        <f t="shared" si="2"/>
        <v>5921.5706714480002</v>
      </c>
      <c r="P9" s="101" t="s">
        <v>31</v>
      </c>
      <c r="Q9" s="175" t="s">
        <v>32</v>
      </c>
      <c r="R9" s="102"/>
    </row>
    <row r="10" spans="1:18" ht="108.5" x14ac:dyDescent="0.35">
      <c r="B10" s="97" t="s">
        <v>33</v>
      </c>
      <c r="C10" s="131" t="s">
        <v>34</v>
      </c>
      <c r="D10" s="98">
        <v>0</v>
      </c>
      <c r="E10" s="98">
        <v>4000</v>
      </c>
      <c r="F10" s="275">
        <v>4000</v>
      </c>
      <c r="G10" s="103">
        <v>0</v>
      </c>
      <c r="H10" s="98">
        <v>31178.809681697614</v>
      </c>
      <c r="I10" s="143">
        <v>14520.940671447999</v>
      </c>
      <c r="J10" s="305">
        <f t="shared" si="0"/>
        <v>26520.940671447999</v>
      </c>
      <c r="K10" s="103">
        <v>12000</v>
      </c>
      <c r="L10" s="98"/>
      <c r="M10" s="99">
        <f t="shared" si="1"/>
        <v>30520.940671447999</v>
      </c>
      <c r="N10" s="100">
        <v>0.5</v>
      </c>
      <c r="O10" s="138">
        <f t="shared" si="2"/>
        <v>18520.940671447999</v>
      </c>
      <c r="P10" s="101" t="s">
        <v>35</v>
      </c>
      <c r="Q10" s="175" t="s">
        <v>36</v>
      </c>
      <c r="R10" s="102"/>
    </row>
    <row r="11" spans="1:18" ht="62" x14ac:dyDescent="0.35">
      <c r="B11" s="97" t="s">
        <v>37</v>
      </c>
      <c r="C11" s="131" t="s">
        <v>38</v>
      </c>
      <c r="D11" s="98">
        <v>5000</v>
      </c>
      <c r="E11" s="98">
        <v>4025</v>
      </c>
      <c r="F11" s="275">
        <v>5000</v>
      </c>
      <c r="G11" s="103">
        <v>975</v>
      </c>
      <c r="H11" s="98">
        <v>9313.4250663129969</v>
      </c>
      <c r="I11" s="143">
        <v>11696.820671447998</v>
      </c>
      <c r="J11" s="305">
        <f t="shared" si="0"/>
        <v>13696.820671447998</v>
      </c>
      <c r="K11" s="103">
        <v>2000</v>
      </c>
      <c r="L11" s="98"/>
      <c r="M11" s="99">
        <f t="shared" si="1"/>
        <v>18696.820671447997</v>
      </c>
      <c r="N11" s="100">
        <v>0.5</v>
      </c>
      <c r="O11" s="138">
        <f t="shared" si="2"/>
        <v>15721.820671447998</v>
      </c>
      <c r="P11" s="101" t="s">
        <v>25</v>
      </c>
      <c r="Q11" s="175" t="s">
        <v>32</v>
      </c>
      <c r="R11" s="102"/>
    </row>
    <row r="12" spans="1:18" ht="62" x14ac:dyDescent="0.35">
      <c r="B12" s="97" t="s">
        <v>39</v>
      </c>
      <c r="C12" s="131" t="s">
        <v>40</v>
      </c>
      <c r="D12" s="101">
        <v>5000</v>
      </c>
      <c r="E12" s="101">
        <v>0</v>
      </c>
      <c r="F12" s="278">
        <v>5000</v>
      </c>
      <c r="G12" s="103">
        <v>0</v>
      </c>
      <c r="H12" s="98">
        <v>8031.3737842617147</v>
      </c>
      <c r="I12" s="143">
        <v>4203.2006714480003</v>
      </c>
      <c r="J12" s="305">
        <f t="shared" si="0"/>
        <v>7703.2006714480003</v>
      </c>
      <c r="K12" s="103">
        <v>3500</v>
      </c>
      <c r="L12" s="98"/>
      <c r="M12" s="99">
        <f t="shared" si="1"/>
        <v>7703.2006714480003</v>
      </c>
      <c r="N12" s="100">
        <v>0.5</v>
      </c>
      <c r="O12" s="138">
        <f t="shared" si="2"/>
        <v>4203.2006714480003</v>
      </c>
      <c r="P12" s="101" t="s">
        <v>25</v>
      </c>
      <c r="Q12" s="175" t="s">
        <v>32</v>
      </c>
      <c r="R12" s="102"/>
    </row>
    <row r="13" spans="1:18" ht="77.5" x14ac:dyDescent="0.35">
      <c r="B13" s="97" t="s">
        <v>41</v>
      </c>
      <c r="C13" s="132" t="s">
        <v>42</v>
      </c>
      <c r="D13" s="101">
        <v>100000</v>
      </c>
      <c r="E13" s="101">
        <v>100000</v>
      </c>
      <c r="F13" s="278">
        <v>100000</v>
      </c>
      <c r="G13" s="103">
        <v>0</v>
      </c>
      <c r="H13" s="101"/>
      <c r="I13" s="101">
        <v>0</v>
      </c>
      <c r="J13" s="305">
        <f t="shared" ref="J13:J14" si="3">+I13+K13</f>
        <v>0</v>
      </c>
      <c r="K13" s="103">
        <v>0</v>
      </c>
      <c r="L13" s="101"/>
      <c r="M13" s="99">
        <f t="shared" si="1"/>
        <v>100000</v>
      </c>
      <c r="N13" s="104">
        <v>0.5</v>
      </c>
      <c r="O13" s="138">
        <f t="shared" si="2"/>
        <v>100000</v>
      </c>
      <c r="P13" s="101" t="s">
        <v>43</v>
      </c>
      <c r="Q13" s="176" t="s">
        <v>42</v>
      </c>
      <c r="R13" s="102"/>
    </row>
    <row r="14" spans="1:18" ht="15.5" x14ac:dyDescent="0.35">
      <c r="A14" s="177"/>
      <c r="B14" s="97" t="s">
        <v>44</v>
      </c>
      <c r="C14" s="133"/>
      <c r="D14" s="133"/>
      <c r="E14" s="133"/>
      <c r="F14" s="279"/>
      <c r="G14" s="133"/>
      <c r="H14" s="101"/>
      <c r="I14" s="101"/>
      <c r="J14" s="305">
        <f t="shared" si="3"/>
        <v>0</v>
      </c>
      <c r="K14" s="103"/>
      <c r="L14" s="101"/>
      <c r="M14" s="99">
        <f t="shared" si="1"/>
        <v>0</v>
      </c>
      <c r="N14" s="104"/>
      <c r="O14" s="138">
        <f t="shared" si="2"/>
        <v>0</v>
      </c>
      <c r="P14" s="101"/>
      <c r="Q14" s="176"/>
    </row>
    <row r="15" spans="1:18" ht="15.5" x14ac:dyDescent="0.35">
      <c r="A15" s="177"/>
      <c r="C15" s="62" t="s">
        <v>45</v>
      </c>
      <c r="D15" s="8">
        <f t="shared" ref="D15:K15" si="4">SUM(D7:D13)</f>
        <v>150000</v>
      </c>
      <c r="E15" s="8">
        <f t="shared" si="4"/>
        <v>142340.65</v>
      </c>
      <c r="F15" s="280">
        <f>SUM(F7:F13)</f>
        <v>150000</v>
      </c>
      <c r="G15" s="8">
        <f>SUM(G7:G13)</f>
        <v>2660.0899999999997</v>
      </c>
      <c r="H15" s="8">
        <f t="shared" si="4"/>
        <v>86630.550397877989</v>
      </c>
      <c r="I15" s="8">
        <f t="shared" si="4"/>
        <v>81794.914028687999</v>
      </c>
      <c r="J15" s="280">
        <f t="shared" si="4"/>
        <v>101294.914028688</v>
      </c>
      <c r="K15" s="8">
        <f t="shared" si="4"/>
        <v>19500</v>
      </c>
      <c r="L15" s="8">
        <f>SUM(L7:L14)</f>
        <v>0</v>
      </c>
      <c r="M15" s="8">
        <f>SUM(M7:M14)</f>
        <v>246295.654028688</v>
      </c>
      <c r="N15" s="8">
        <f>(N7*M7)+(N8*M8)+(N9*M9)+(N10*M10)+(N11*M11)+(N12*M12)+(N13*M13)+(N14*M14)</f>
        <v>123147.827014344</v>
      </c>
      <c r="O15" s="192">
        <f>SUM(O7:O14)</f>
        <v>224135.56402868801</v>
      </c>
      <c r="P15" s="89"/>
      <c r="Q15" s="176"/>
      <c r="R15" s="21"/>
    </row>
    <row r="16" spans="1:18" ht="24" customHeight="1" x14ac:dyDescent="0.35">
      <c r="A16" s="177"/>
      <c r="B16" s="62" t="s">
        <v>46</v>
      </c>
      <c r="C16" s="421" t="s">
        <v>47</v>
      </c>
      <c r="D16" s="422"/>
      <c r="E16" s="422"/>
      <c r="F16" s="422"/>
      <c r="G16" s="422"/>
      <c r="H16" s="422"/>
      <c r="I16" s="422"/>
      <c r="J16" s="422"/>
      <c r="K16" s="422"/>
      <c r="L16" s="422"/>
      <c r="M16" s="422"/>
      <c r="N16" s="422"/>
      <c r="O16" s="422"/>
      <c r="P16" s="422"/>
      <c r="Q16" s="423"/>
      <c r="R16" s="20"/>
    </row>
    <row r="17" spans="1:18" ht="124" x14ac:dyDescent="0.35">
      <c r="A17" s="177"/>
      <c r="B17" s="97" t="s">
        <v>48</v>
      </c>
      <c r="C17" s="131" t="s">
        <v>49</v>
      </c>
      <c r="D17" s="98">
        <v>5000</v>
      </c>
      <c r="E17" s="98">
        <v>5000</v>
      </c>
      <c r="F17" s="275">
        <v>5000</v>
      </c>
      <c r="G17" s="103">
        <v>0</v>
      </c>
      <c r="H17" s="98">
        <v>8672.3994252873545</v>
      </c>
      <c r="I17" s="143">
        <v>6675.2706714479964</v>
      </c>
      <c r="J17" s="305">
        <f>+I17+K17</f>
        <v>11175.270671447997</v>
      </c>
      <c r="K17" s="103">
        <v>4500</v>
      </c>
      <c r="L17" s="98"/>
      <c r="M17" s="99">
        <f>+E17+G17+I17+K17</f>
        <v>16175.270671447997</v>
      </c>
      <c r="N17" s="100">
        <v>0.5</v>
      </c>
      <c r="O17" s="138">
        <f>+E17+I17</f>
        <v>11675.270671447997</v>
      </c>
      <c r="P17" s="101" t="s">
        <v>50</v>
      </c>
      <c r="Q17" s="175" t="s">
        <v>32</v>
      </c>
      <c r="R17" s="102"/>
    </row>
    <row r="18" spans="1:18" ht="139.5" x14ac:dyDescent="0.35">
      <c r="A18" s="177"/>
      <c r="B18" s="97" t="s">
        <v>51</v>
      </c>
      <c r="C18" s="131" t="s">
        <v>52</v>
      </c>
      <c r="D18" s="98">
        <v>35000</v>
      </c>
      <c r="E18" s="98">
        <f>17569.47+4347.46</f>
        <v>21916.93</v>
      </c>
      <c r="F18" s="276">
        <f>+E18+G18</f>
        <v>27000</v>
      </c>
      <c r="G18" s="103">
        <v>5083.07</v>
      </c>
      <c r="H18" s="98">
        <v>9941.6301945181258</v>
      </c>
      <c r="I18" s="143">
        <v>8521.4806714479964</v>
      </c>
      <c r="J18" s="305">
        <f>+I18+K18</f>
        <v>10521.480671447996</v>
      </c>
      <c r="K18" s="103">
        <v>2000</v>
      </c>
      <c r="L18" s="98"/>
      <c r="M18" s="99">
        <f t="shared" ref="M18:M19" si="5">+E18+G18+I18+K18</f>
        <v>37521.480671447993</v>
      </c>
      <c r="N18" s="100">
        <v>0.75</v>
      </c>
      <c r="O18" s="138">
        <f t="shared" ref="O18:O19" si="6">+E18+I18</f>
        <v>30438.410671447997</v>
      </c>
      <c r="P18" s="101" t="s">
        <v>53</v>
      </c>
      <c r="Q18" s="175" t="s">
        <v>32</v>
      </c>
      <c r="R18" s="102"/>
    </row>
    <row r="19" spans="1:18" ht="108.5" x14ac:dyDescent="0.35">
      <c r="A19" s="177"/>
      <c r="B19" s="97" t="s">
        <v>54</v>
      </c>
      <c r="C19" s="131" t="s">
        <v>55</v>
      </c>
      <c r="D19" s="98">
        <v>20000</v>
      </c>
      <c r="E19" s="98">
        <v>18000</v>
      </c>
      <c r="F19" s="275">
        <f>+E19+G19</f>
        <v>28000</v>
      </c>
      <c r="G19" s="103">
        <v>10000</v>
      </c>
      <c r="H19" s="98">
        <v>27999.322502210434</v>
      </c>
      <c r="I19" s="143">
        <v>11519.520671447997</v>
      </c>
      <c r="J19" s="305">
        <f>+I19+K19</f>
        <v>22519.520671447997</v>
      </c>
      <c r="K19" s="103">
        <v>11000</v>
      </c>
      <c r="L19" s="98"/>
      <c r="M19" s="99">
        <f t="shared" si="5"/>
        <v>50519.520671448001</v>
      </c>
      <c r="N19" s="100">
        <v>0.5</v>
      </c>
      <c r="O19" s="138">
        <f t="shared" si="6"/>
        <v>29519.520671447997</v>
      </c>
      <c r="P19" s="101" t="s">
        <v>35</v>
      </c>
      <c r="Q19" s="174" t="s">
        <v>56</v>
      </c>
      <c r="R19" s="102"/>
    </row>
    <row r="20" spans="1:18" ht="15.5" hidden="1" x14ac:dyDescent="0.35">
      <c r="A20" s="177"/>
      <c r="B20" s="97" t="s">
        <v>57</v>
      </c>
      <c r="C20" s="131"/>
      <c r="D20" s="131"/>
      <c r="E20" s="131"/>
      <c r="F20" s="281"/>
      <c r="G20" s="103"/>
      <c r="H20" s="98"/>
      <c r="I20" s="98"/>
      <c r="J20" s="275"/>
      <c r="K20" s="103"/>
      <c r="L20" s="98"/>
      <c r="M20" s="99">
        <f>SUM(G20:L20)</f>
        <v>0</v>
      </c>
      <c r="N20" s="100"/>
      <c r="O20" s="138"/>
      <c r="P20" s="101"/>
      <c r="Q20" s="174"/>
      <c r="R20" s="102"/>
    </row>
    <row r="21" spans="1:18" ht="15.5" hidden="1" x14ac:dyDescent="0.35">
      <c r="A21" s="177"/>
      <c r="B21" s="97" t="s">
        <v>58</v>
      </c>
      <c r="C21" s="131"/>
      <c r="D21" s="131"/>
      <c r="E21" s="131"/>
      <c r="F21" s="281"/>
      <c r="G21" s="103"/>
      <c r="H21" s="98"/>
      <c r="I21" s="98"/>
      <c r="J21" s="275"/>
      <c r="K21" s="103"/>
      <c r="L21" s="98"/>
      <c r="M21" s="99">
        <f>SUM(G21:L21)</f>
        <v>0</v>
      </c>
      <c r="N21" s="100"/>
      <c r="O21" s="138"/>
      <c r="P21" s="101"/>
      <c r="Q21" s="174"/>
      <c r="R21" s="102"/>
    </row>
    <row r="22" spans="1:18" ht="15.5" hidden="1" x14ac:dyDescent="0.35">
      <c r="A22" s="177"/>
      <c r="B22" s="97" t="s">
        <v>59</v>
      </c>
      <c r="C22" s="131"/>
      <c r="D22" s="131"/>
      <c r="E22" s="131"/>
      <c r="F22" s="281"/>
      <c r="G22" s="103"/>
      <c r="H22" s="98"/>
      <c r="I22" s="98"/>
      <c r="J22" s="275"/>
      <c r="K22" s="103"/>
      <c r="L22" s="98"/>
      <c r="M22" s="99">
        <f>SUM(G22:L22)</f>
        <v>0</v>
      </c>
      <c r="N22" s="100"/>
      <c r="O22" s="138"/>
      <c r="P22" s="101"/>
      <c r="Q22" s="174"/>
      <c r="R22" s="102"/>
    </row>
    <row r="23" spans="1:18" ht="15.5" hidden="1" x14ac:dyDescent="0.35">
      <c r="A23" s="177"/>
      <c r="B23" s="97" t="s">
        <v>60</v>
      </c>
      <c r="C23" s="131"/>
      <c r="D23" s="131"/>
      <c r="E23" s="131"/>
      <c r="F23" s="281"/>
      <c r="G23" s="103"/>
      <c r="H23" s="101"/>
      <c r="I23" s="101"/>
      <c r="J23" s="278"/>
      <c r="K23" s="103"/>
      <c r="L23" s="101"/>
      <c r="M23" s="99">
        <f>SUM(G23:L23)</f>
        <v>0</v>
      </c>
      <c r="N23" s="104"/>
      <c r="O23" s="193"/>
      <c r="P23" s="101"/>
      <c r="Q23" s="176"/>
      <c r="R23" s="102"/>
    </row>
    <row r="24" spans="1:18" ht="15.5" hidden="1" x14ac:dyDescent="0.35">
      <c r="A24" s="177"/>
      <c r="B24" s="97" t="s">
        <v>61</v>
      </c>
      <c r="C24" s="131"/>
      <c r="D24" s="131"/>
      <c r="E24" s="131"/>
      <c r="F24" s="281"/>
      <c r="G24" s="103"/>
      <c r="H24" s="101"/>
      <c r="I24" s="101"/>
      <c r="J24" s="278"/>
      <c r="K24" s="103"/>
      <c r="L24" s="101"/>
      <c r="M24" s="99">
        <f>SUM(G24:L24)</f>
        <v>0</v>
      </c>
      <c r="N24" s="104"/>
      <c r="O24" s="193"/>
      <c r="P24" s="101"/>
      <c r="Q24" s="176"/>
      <c r="R24" s="102"/>
    </row>
    <row r="25" spans="1:18" ht="15.5" x14ac:dyDescent="0.35">
      <c r="A25" s="177"/>
      <c r="C25" s="62" t="s">
        <v>45</v>
      </c>
      <c r="D25" s="11">
        <f t="shared" ref="D25:M25" si="7">SUM(D17:D24)</f>
        <v>60000</v>
      </c>
      <c r="E25" s="11">
        <f t="shared" si="7"/>
        <v>44916.93</v>
      </c>
      <c r="F25" s="282">
        <f>SUM(F17:F24)</f>
        <v>60000</v>
      </c>
      <c r="G25" s="11">
        <f>SUM(G17:G24)</f>
        <v>15083.07</v>
      </c>
      <c r="H25" s="11">
        <f t="shared" si="7"/>
        <v>46613.352122015916</v>
      </c>
      <c r="I25" s="11">
        <f t="shared" si="7"/>
        <v>26716.272014343991</v>
      </c>
      <c r="J25" s="282">
        <f>SUM(J17:J24)</f>
        <v>44216.272014343995</v>
      </c>
      <c r="K25" s="11">
        <f t="shared" si="7"/>
        <v>17500</v>
      </c>
      <c r="L25" s="11">
        <f t="shared" si="7"/>
        <v>0</v>
      </c>
      <c r="M25" s="11">
        <f t="shared" si="7"/>
        <v>104216.27201434399</v>
      </c>
      <c r="N25" s="8">
        <f>(N17*M17)+(N18*M18)+(N19*M19)+(N20*M20)+(N21*M21)+(N22*M22)+(N23*M23)+(N24*M24)</f>
        <v>61488.506175033996</v>
      </c>
      <c r="O25" s="192">
        <f>SUM(O17:O24)</f>
        <v>71633.202014343988</v>
      </c>
      <c r="P25" s="89"/>
      <c r="Q25" s="176"/>
      <c r="R25" s="21"/>
    </row>
    <row r="26" spans="1:18" ht="33" customHeight="1" x14ac:dyDescent="0.35">
      <c r="A26" s="177"/>
      <c r="B26" s="62" t="s">
        <v>62</v>
      </c>
      <c r="C26" s="421" t="s">
        <v>63</v>
      </c>
      <c r="D26" s="422"/>
      <c r="E26" s="422"/>
      <c r="F26" s="422"/>
      <c r="G26" s="422"/>
      <c r="H26" s="422"/>
      <c r="I26" s="422"/>
      <c r="J26" s="422"/>
      <c r="K26" s="422"/>
      <c r="L26" s="422"/>
      <c r="M26" s="422"/>
      <c r="N26" s="422"/>
      <c r="O26" s="422"/>
      <c r="P26" s="422"/>
      <c r="Q26" s="423"/>
      <c r="R26" s="20"/>
    </row>
    <row r="27" spans="1:18" ht="62" x14ac:dyDescent="0.35">
      <c r="A27" s="177"/>
      <c r="B27" s="97" t="s">
        <v>64</v>
      </c>
      <c r="C27" s="131" t="s">
        <v>65</v>
      </c>
      <c r="D27" s="98">
        <v>30000</v>
      </c>
      <c r="E27" s="98">
        <v>14871.58</v>
      </c>
      <c r="F27" s="275">
        <f>+E27+G27</f>
        <v>30000</v>
      </c>
      <c r="G27" s="103">
        <f>+D27-E27</f>
        <v>15128.42</v>
      </c>
      <c r="H27" s="98">
        <v>8368.0227674624221</v>
      </c>
      <c r="I27" s="143">
        <v>1860.39021983156</v>
      </c>
      <c r="J27" s="305">
        <f>+I27+K27</f>
        <v>6360.39021983156</v>
      </c>
      <c r="K27" s="103">
        <v>4500</v>
      </c>
      <c r="L27" s="98"/>
      <c r="M27" s="99">
        <f>+E27+G27+I27+K27</f>
        <v>36360.390219831563</v>
      </c>
      <c r="N27" s="100">
        <v>0.5</v>
      </c>
      <c r="O27" s="138">
        <f>+E27+I27</f>
        <v>16731.970219831561</v>
      </c>
      <c r="P27" s="101" t="s">
        <v>25</v>
      </c>
      <c r="Q27" s="174" t="s">
        <v>32</v>
      </c>
      <c r="R27" s="102"/>
    </row>
    <row r="28" spans="1:18" ht="62" x14ac:dyDescent="0.35">
      <c r="A28" s="177"/>
      <c r="B28" s="97" t="s">
        <v>66</v>
      </c>
      <c r="C28" s="131" t="s">
        <v>67</v>
      </c>
      <c r="D28" s="98">
        <v>20000</v>
      </c>
      <c r="E28" s="169">
        <v>0</v>
      </c>
      <c r="F28" s="283">
        <f>+G28</f>
        <v>20000</v>
      </c>
      <c r="G28" s="103">
        <v>20000</v>
      </c>
      <c r="H28" s="98">
        <v>8305.2022546419103</v>
      </c>
      <c r="I28" s="143">
        <v>2313.6502198315566</v>
      </c>
      <c r="J28" s="305">
        <f>+I28+K28</f>
        <v>8313.6502198315575</v>
      </c>
      <c r="K28" s="103">
        <v>6000</v>
      </c>
      <c r="L28" s="98"/>
      <c r="M28" s="99">
        <f t="shared" ref="M28:M29" si="8">+E28+G28+I28+K28</f>
        <v>28313.650219831557</v>
      </c>
      <c r="N28" s="100">
        <v>0.5</v>
      </c>
      <c r="O28" s="138">
        <f t="shared" ref="O28:O29" si="9">+E28+I28</f>
        <v>2313.6502198315566</v>
      </c>
      <c r="P28" s="101" t="s">
        <v>25</v>
      </c>
      <c r="Q28" s="174" t="s">
        <v>32</v>
      </c>
      <c r="R28" s="102"/>
    </row>
    <row r="29" spans="1:18" ht="108.5" x14ac:dyDescent="0.35">
      <c r="A29" s="177"/>
      <c r="B29" s="97" t="s">
        <v>68</v>
      </c>
      <c r="C29" s="131" t="s">
        <v>69</v>
      </c>
      <c r="D29" s="98">
        <v>20000</v>
      </c>
      <c r="E29" s="169">
        <v>0</v>
      </c>
      <c r="F29" s="283">
        <f>+G29</f>
        <v>20000</v>
      </c>
      <c r="G29" s="103">
        <v>20000</v>
      </c>
      <c r="H29" s="98">
        <v>8444.9458443854983</v>
      </c>
      <c r="I29" s="143">
        <v>1974.4402198315565</v>
      </c>
      <c r="J29" s="305">
        <f>+I29+K29</f>
        <v>7974.4402198315565</v>
      </c>
      <c r="K29" s="103">
        <v>6000</v>
      </c>
      <c r="L29" s="98"/>
      <c r="M29" s="99">
        <f t="shared" si="8"/>
        <v>27974.440219831558</v>
      </c>
      <c r="N29" s="100">
        <v>0.6</v>
      </c>
      <c r="O29" s="138">
        <f t="shared" si="9"/>
        <v>1974.4402198315565</v>
      </c>
      <c r="P29" s="95" t="s">
        <v>70</v>
      </c>
      <c r="Q29" s="174" t="s">
        <v>32</v>
      </c>
      <c r="R29" s="102"/>
    </row>
    <row r="30" spans="1:18" ht="15.5" hidden="1" x14ac:dyDescent="0.35">
      <c r="A30" s="177"/>
      <c r="B30" s="97" t="s">
        <v>71</v>
      </c>
      <c r="C30" s="131"/>
      <c r="D30" s="131"/>
      <c r="E30" s="131"/>
      <c r="F30" s="281"/>
      <c r="G30" s="103"/>
      <c r="H30" s="98"/>
      <c r="I30" s="98"/>
      <c r="J30" s="275"/>
      <c r="K30" s="103"/>
      <c r="L30" s="98"/>
      <c r="M30" s="99">
        <f>SUM(G30:L30)</f>
        <v>0</v>
      </c>
      <c r="N30" s="100"/>
      <c r="O30" s="138"/>
      <c r="P30" s="101"/>
      <c r="Q30" s="174"/>
      <c r="R30" s="102"/>
    </row>
    <row r="31" spans="1:18" s="177" customFormat="1" ht="15.5" hidden="1" x14ac:dyDescent="0.35">
      <c r="B31" s="97" t="s">
        <v>72</v>
      </c>
      <c r="C31" s="131"/>
      <c r="D31" s="131"/>
      <c r="E31" s="131"/>
      <c r="F31" s="281"/>
      <c r="G31" s="103"/>
      <c r="H31" s="98"/>
      <c r="I31" s="98"/>
      <c r="J31" s="275"/>
      <c r="K31" s="103"/>
      <c r="L31" s="98"/>
      <c r="M31" s="99">
        <f>SUM(G31:L31)</f>
        <v>0</v>
      </c>
      <c r="N31" s="100"/>
      <c r="O31" s="138"/>
      <c r="P31" s="101"/>
      <c r="Q31" s="174"/>
      <c r="R31" s="102"/>
    </row>
    <row r="32" spans="1:18" s="177" customFormat="1" ht="15.5" hidden="1" x14ac:dyDescent="0.35">
      <c r="B32" s="97" t="s">
        <v>73</v>
      </c>
      <c r="C32" s="131"/>
      <c r="D32" s="131"/>
      <c r="E32" s="131"/>
      <c r="F32" s="281"/>
      <c r="G32" s="103"/>
      <c r="H32" s="98"/>
      <c r="I32" s="98"/>
      <c r="J32" s="275"/>
      <c r="K32" s="103"/>
      <c r="L32" s="98"/>
      <c r="M32" s="99">
        <f>SUM(G32:L32)</f>
        <v>0</v>
      </c>
      <c r="N32" s="100"/>
      <c r="O32" s="138"/>
      <c r="P32" s="101"/>
      <c r="Q32" s="174"/>
      <c r="R32" s="102"/>
    </row>
    <row r="33" spans="1:18" s="177" customFormat="1" ht="15.5" hidden="1" x14ac:dyDescent="0.35">
      <c r="A33" s="134"/>
      <c r="B33" s="97" t="s">
        <v>74</v>
      </c>
      <c r="C33" s="131"/>
      <c r="D33" s="131"/>
      <c r="E33" s="131"/>
      <c r="F33" s="281"/>
      <c r="G33" s="103"/>
      <c r="H33" s="101"/>
      <c r="I33" s="101"/>
      <c r="J33" s="278"/>
      <c r="K33" s="103"/>
      <c r="L33" s="101"/>
      <c r="M33" s="99">
        <f>SUM(G33:L33)</f>
        <v>0</v>
      </c>
      <c r="N33" s="104"/>
      <c r="O33" s="193"/>
      <c r="P33" s="101"/>
      <c r="Q33" s="176"/>
      <c r="R33" s="102"/>
    </row>
    <row r="34" spans="1:18" ht="15.5" hidden="1" x14ac:dyDescent="0.35">
      <c r="B34" s="97" t="s">
        <v>75</v>
      </c>
      <c r="C34" s="131"/>
      <c r="D34" s="131"/>
      <c r="E34" s="131"/>
      <c r="F34" s="281"/>
      <c r="G34" s="103"/>
      <c r="H34" s="101"/>
      <c r="I34" s="101"/>
      <c r="J34" s="278"/>
      <c r="K34" s="103"/>
      <c r="L34" s="101"/>
      <c r="M34" s="99">
        <f>SUM(G34:L34)</f>
        <v>0</v>
      </c>
      <c r="N34" s="104"/>
      <c r="O34" s="193"/>
      <c r="P34" s="101"/>
      <c r="Q34" s="176"/>
      <c r="R34" s="102"/>
    </row>
    <row r="35" spans="1:18" ht="19.899999999999999" customHeight="1" x14ac:dyDescent="0.35">
      <c r="C35" s="62" t="s">
        <v>45</v>
      </c>
      <c r="D35" s="11">
        <f t="shared" ref="D35:M35" si="10">SUM(D27:D34)</f>
        <v>70000</v>
      </c>
      <c r="E35" s="11">
        <f t="shared" si="10"/>
        <v>14871.58</v>
      </c>
      <c r="F35" s="282">
        <f>SUM(F27:F34)</f>
        <v>70000</v>
      </c>
      <c r="G35" s="11">
        <f>SUM(G27:G34)</f>
        <v>55128.42</v>
      </c>
      <c r="H35" s="11">
        <f t="shared" si="10"/>
        <v>25118.170866489832</v>
      </c>
      <c r="I35" s="11">
        <f t="shared" si="10"/>
        <v>6148.4806594946731</v>
      </c>
      <c r="J35" s="282">
        <f>SUM(J27:J34)</f>
        <v>22648.480659494671</v>
      </c>
      <c r="K35" s="11">
        <f t="shared" si="10"/>
        <v>16500</v>
      </c>
      <c r="L35" s="11">
        <f t="shared" si="10"/>
        <v>0</v>
      </c>
      <c r="M35" s="11">
        <f t="shared" si="10"/>
        <v>92648.480659494671</v>
      </c>
      <c r="N35" s="8">
        <f>(N27*M27)+(N28*M28)+(N29*M29)+(N30*M30)+(N31*M31)+(N32*M32)+(N33*M33)+(N34*M34)</f>
        <v>49121.684351730495</v>
      </c>
      <c r="O35" s="192">
        <f>SUM(O27:O34)</f>
        <v>21020.060659494673</v>
      </c>
      <c r="P35" s="89"/>
      <c r="Q35" s="176"/>
      <c r="R35" s="21"/>
    </row>
    <row r="36" spans="1:18" ht="51" hidden="1" customHeight="1" x14ac:dyDescent="0.35">
      <c r="B36" s="62" t="s">
        <v>76</v>
      </c>
      <c r="C36" s="421"/>
      <c r="D36" s="422"/>
      <c r="E36" s="422"/>
      <c r="F36" s="422"/>
      <c r="G36" s="422"/>
      <c r="H36" s="422"/>
      <c r="I36" s="422"/>
      <c r="J36" s="422"/>
      <c r="K36" s="422"/>
      <c r="L36" s="422"/>
      <c r="M36" s="422"/>
      <c r="N36" s="422"/>
      <c r="O36" s="422"/>
      <c r="P36" s="422"/>
      <c r="Q36" s="423"/>
      <c r="R36" s="20"/>
    </row>
    <row r="37" spans="1:18" ht="15.5" hidden="1" x14ac:dyDescent="0.35">
      <c r="B37" s="97" t="s">
        <v>77</v>
      </c>
      <c r="C37" s="131"/>
      <c r="D37" s="131"/>
      <c r="E37" s="131"/>
      <c r="F37" s="281"/>
      <c r="G37" s="103"/>
      <c r="H37" s="98"/>
      <c r="I37" s="98"/>
      <c r="J37" s="275"/>
      <c r="K37" s="103"/>
      <c r="L37" s="98"/>
      <c r="M37" s="99">
        <f t="shared" ref="M37:M44" si="11">SUM(G37:L37)</f>
        <v>0</v>
      </c>
      <c r="N37" s="100"/>
      <c r="O37" s="138"/>
      <c r="P37" s="101"/>
      <c r="Q37" s="174"/>
      <c r="R37" s="102"/>
    </row>
    <row r="38" spans="1:18" ht="15.5" hidden="1" x14ac:dyDescent="0.35">
      <c r="B38" s="97" t="s">
        <v>78</v>
      </c>
      <c r="C38" s="131"/>
      <c r="D38" s="131"/>
      <c r="E38" s="131"/>
      <c r="F38" s="281"/>
      <c r="G38" s="103"/>
      <c r="H38" s="98"/>
      <c r="I38" s="98"/>
      <c r="J38" s="275"/>
      <c r="K38" s="103"/>
      <c r="L38" s="98"/>
      <c r="M38" s="99">
        <f t="shared" si="11"/>
        <v>0</v>
      </c>
      <c r="N38" s="100"/>
      <c r="O38" s="138"/>
      <c r="P38" s="101"/>
      <c r="Q38" s="174"/>
      <c r="R38" s="102"/>
    </row>
    <row r="39" spans="1:18" ht="15.5" hidden="1" x14ac:dyDescent="0.35">
      <c r="B39" s="97" t="s">
        <v>79</v>
      </c>
      <c r="C39" s="131"/>
      <c r="D39" s="131"/>
      <c r="E39" s="131"/>
      <c r="F39" s="281"/>
      <c r="G39" s="103"/>
      <c r="H39" s="98"/>
      <c r="I39" s="98"/>
      <c r="J39" s="275"/>
      <c r="K39" s="103"/>
      <c r="L39" s="98"/>
      <c r="M39" s="99">
        <f t="shared" si="11"/>
        <v>0</v>
      </c>
      <c r="N39" s="100"/>
      <c r="O39" s="138"/>
      <c r="P39" s="101"/>
      <c r="Q39" s="174"/>
      <c r="R39" s="102"/>
    </row>
    <row r="40" spans="1:18" ht="15.5" hidden="1" x14ac:dyDescent="0.35">
      <c r="B40" s="97" t="s">
        <v>80</v>
      </c>
      <c r="C40" s="131"/>
      <c r="D40" s="131"/>
      <c r="E40" s="131"/>
      <c r="F40" s="281"/>
      <c r="G40" s="103"/>
      <c r="H40" s="98"/>
      <c r="I40" s="98"/>
      <c r="J40" s="275"/>
      <c r="K40" s="103"/>
      <c r="L40" s="98"/>
      <c r="M40" s="99">
        <f t="shared" si="11"/>
        <v>0</v>
      </c>
      <c r="N40" s="100"/>
      <c r="O40" s="138"/>
      <c r="P40" s="101"/>
      <c r="Q40" s="174"/>
      <c r="R40" s="102"/>
    </row>
    <row r="41" spans="1:18" ht="15.5" hidden="1" x14ac:dyDescent="0.35">
      <c r="B41" s="97" t="s">
        <v>81</v>
      </c>
      <c r="C41" s="131"/>
      <c r="D41" s="131"/>
      <c r="E41" s="131"/>
      <c r="F41" s="281"/>
      <c r="G41" s="103"/>
      <c r="H41" s="98"/>
      <c r="I41" s="98"/>
      <c r="J41" s="275"/>
      <c r="K41" s="103"/>
      <c r="L41" s="98"/>
      <c r="M41" s="99">
        <f t="shared" si="11"/>
        <v>0</v>
      </c>
      <c r="N41" s="100"/>
      <c r="O41" s="138"/>
      <c r="P41" s="101"/>
      <c r="Q41" s="174"/>
      <c r="R41" s="102"/>
    </row>
    <row r="42" spans="1:18" ht="15.5" hidden="1" x14ac:dyDescent="0.35">
      <c r="A42" s="177"/>
      <c r="B42" s="97" t="s">
        <v>82</v>
      </c>
      <c r="C42" s="131"/>
      <c r="D42" s="131"/>
      <c r="E42" s="131"/>
      <c r="F42" s="281"/>
      <c r="G42" s="103"/>
      <c r="H42" s="98"/>
      <c r="I42" s="98"/>
      <c r="J42" s="275"/>
      <c r="K42" s="103"/>
      <c r="L42" s="98"/>
      <c r="M42" s="99">
        <f t="shared" si="11"/>
        <v>0</v>
      </c>
      <c r="N42" s="100"/>
      <c r="O42" s="138"/>
      <c r="P42" s="101"/>
      <c r="Q42" s="174"/>
      <c r="R42" s="102"/>
    </row>
    <row r="43" spans="1:18" s="177" customFormat="1" ht="15.5" hidden="1" x14ac:dyDescent="0.35">
      <c r="A43" s="134"/>
      <c r="B43" s="97" t="s">
        <v>83</v>
      </c>
      <c r="C43" s="132"/>
      <c r="D43" s="132"/>
      <c r="E43" s="132"/>
      <c r="F43" s="284"/>
      <c r="G43" s="103"/>
      <c r="H43" s="101"/>
      <c r="I43" s="101"/>
      <c r="J43" s="278"/>
      <c r="K43" s="103"/>
      <c r="L43" s="101"/>
      <c r="M43" s="99">
        <f t="shared" si="11"/>
        <v>0</v>
      </c>
      <c r="N43" s="104"/>
      <c r="O43" s="193"/>
      <c r="P43" s="101"/>
      <c r="Q43" s="176"/>
      <c r="R43" s="102"/>
    </row>
    <row r="44" spans="1:18" ht="15.5" hidden="1" x14ac:dyDescent="0.35">
      <c r="B44" s="97" t="s">
        <v>84</v>
      </c>
      <c r="C44" s="132"/>
      <c r="D44" s="132"/>
      <c r="E44" s="132"/>
      <c r="F44" s="284"/>
      <c r="G44" s="103"/>
      <c r="H44" s="101"/>
      <c r="I44" s="101"/>
      <c r="J44" s="278"/>
      <c r="K44" s="103"/>
      <c r="L44" s="101"/>
      <c r="M44" s="99">
        <f t="shared" si="11"/>
        <v>0</v>
      </c>
      <c r="N44" s="104"/>
      <c r="O44" s="193"/>
      <c r="P44" s="101"/>
      <c r="Q44" s="176"/>
      <c r="R44" s="102"/>
    </row>
    <row r="45" spans="1:18" ht="15.5" hidden="1" x14ac:dyDescent="0.35">
      <c r="C45" s="62" t="s">
        <v>45</v>
      </c>
      <c r="D45" s="62"/>
      <c r="E45" s="62"/>
      <c r="F45" s="285"/>
      <c r="G45" s="149">
        <f>SUM(G37:G44)</f>
        <v>0</v>
      </c>
      <c r="H45" s="8"/>
      <c r="I45" s="8"/>
      <c r="J45" s="280"/>
      <c r="K45" s="149">
        <f>SUM(K37:K44)</f>
        <v>0</v>
      </c>
      <c r="L45" s="8">
        <f>SUM(L37:L44)</f>
        <v>0</v>
      </c>
      <c r="M45" s="8">
        <f>SUM(M37:M44)</f>
        <v>0</v>
      </c>
      <c r="N45" s="8">
        <f>(N37*M37)+(N38*M38)+(N39*M39)+(N40*M40)+(N41*M41)+(N42*M42)+(N43*M43)+(N44*M44)</f>
        <v>0</v>
      </c>
      <c r="O45" s="192">
        <f>SUM(O37:O44)</f>
        <v>0</v>
      </c>
      <c r="P45" s="89"/>
      <c r="Q45" s="176"/>
      <c r="R45" s="21"/>
    </row>
    <row r="46" spans="1:18" ht="15.5" x14ac:dyDescent="0.35">
      <c r="B46" s="115"/>
      <c r="C46" s="144"/>
      <c r="D46" s="144"/>
      <c r="E46" s="144"/>
      <c r="F46" s="286"/>
      <c r="G46" s="145"/>
      <c r="H46" s="145"/>
      <c r="I46" s="145"/>
      <c r="J46" s="306"/>
      <c r="K46" s="145"/>
      <c r="L46" s="145"/>
      <c r="M46" s="145"/>
      <c r="N46" s="145"/>
      <c r="O46" s="194"/>
      <c r="P46" s="145"/>
      <c r="Q46" s="145"/>
      <c r="R46" s="102"/>
    </row>
    <row r="47" spans="1:18" ht="51" customHeight="1" x14ac:dyDescent="0.35">
      <c r="B47" s="62" t="s">
        <v>85</v>
      </c>
      <c r="C47" s="432" t="s">
        <v>86</v>
      </c>
      <c r="D47" s="433"/>
      <c r="E47" s="433"/>
      <c r="F47" s="433"/>
      <c r="G47" s="433"/>
      <c r="H47" s="433"/>
      <c r="I47" s="433"/>
      <c r="J47" s="433"/>
      <c r="K47" s="433"/>
      <c r="L47" s="433"/>
      <c r="M47" s="433"/>
      <c r="N47" s="433"/>
      <c r="O47" s="433"/>
      <c r="P47" s="433"/>
      <c r="Q47" s="434"/>
      <c r="R47" s="7"/>
    </row>
    <row r="48" spans="1:18" ht="21.65" customHeight="1" x14ac:dyDescent="0.35">
      <c r="B48" s="62" t="s">
        <v>87</v>
      </c>
      <c r="C48" s="421" t="s">
        <v>88</v>
      </c>
      <c r="D48" s="422"/>
      <c r="E48" s="422"/>
      <c r="F48" s="422"/>
      <c r="G48" s="422"/>
      <c r="H48" s="422"/>
      <c r="I48" s="422"/>
      <c r="J48" s="422"/>
      <c r="K48" s="422"/>
      <c r="L48" s="422"/>
      <c r="M48" s="422"/>
      <c r="N48" s="422"/>
      <c r="O48" s="422"/>
      <c r="P48" s="422"/>
      <c r="Q48" s="423"/>
      <c r="R48" s="20"/>
    </row>
    <row r="49" spans="1:18" ht="62" x14ac:dyDescent="0.35">
      <c r="B49" s="97" t="s">
        <v>89</v>
      </c>
      <c r="C49" s="131" t="s">
        <v>90</v>
      </c>
      <c r="D49" s="98">
        <v>5000</v>
      </c>
      <c r="E49" s="98">
        <v>4420.07</v>
      </c>
      <c r="F49" s="276">
        <f>+E49+G49</f>
        <v>5000</v>
      </c>
      <c r="G49" s="103">
        <f>+D49-E49</f>
        <v>579.93000000000029</v>
      </c>
      <c r="H49" s="103">
        <v>8464.7125110521647</v>
      </c>
      <c r="I49" s="143">
        <v>4210.3804396631094</v>
      </c>
      <c r="J49" s="305">
        <f>+I49+K49</f>
        <v>10210.380439663109</v>
      </c>
      <c r="K49" s="103">
        <v>6000</v>
      </c>
      <c r="L49" s="98"/>
      <c r="M49" s="99">
        <f>+E49+G49+I49+K49</f>
        <v>15210.380439663109</v>
      </c>
      <c r="N49" s="100">
        <v>0.5</v>
      </c>
      <c r="O49" s="140">
        <f>+E49+I49</f>
        <v>8630.4504396631091</v>
      </c>
      <c r="P49" s="95" t="s">
        <v>91</v>
      </c>
      <c r="Q49" s="174" t="s">
        <v>92</v>
      </c>
      <c r="R49" s="102"/>
    </row>
    <row r="50" spans="1:18" ht="108.5" x14ac:dyDescent="0.35">
      <c r="B50" s="97" t="s">
        <v>93</v>
      </c>
      <c r="C50" s="131" t="s">
        <v>94</v>
      </c>
      <c r="D50" s="98">
        <v>20000</v>
      </c>
      <c r="E50" s="98">
        <v>19573.52</v>
      </c>
      <c r="F50" s="276">
        <f>+E50+G50</f>
        <v>20000</v>
      </c>
      <c r="G50" s="103">
        <f>+D50-E50</f>
        <v>426.47999999999956</v>
      </c>
      <c r="H50" s="103">
        <v>27650.074049513707</v>
      </c>
      <c r="I50" s="143">
        <v>7643.84</v>
      </c>
      <c r="J50" s="305">
        <f>+I50+K50</f>
        <v>22643.84</v>
      </c>
      <c r="K50" s="103">
        <v>15000</v>
      </c>
      <c r="L50" s="98"/>
      <c r="M50" s="99">
        <f>+E50+G50+I50+K50</f>
        <v>42643.839999999997</v>
      </c>
      <c r="N50" s="100">
        <v>0.5</v>
      </c>
      <c r="O50" s="140">
        <f>+E50+I50</f>
        <v>27217.360000000001</v>
      </c>
      <c r="P50" s="101" t="s">
        <v>95</v>
      </c>
      <c r="Q50" s="174"/>
      <c r="R50" s="102"/>
    </row>
    <row r="51" spans="1:18" ht="15.5" hidden="1" x14ac:dyDescent="0.35">
      <c r="B51" s="97" t="s">
        <v>96</v>
      </c>
      <c r="C51" s="131" t="s">
        <v>97</v>
      </c>
      <c r="D51" s="131"/>
      <c r="E51" s="131"/>
      <c r="F51" s="281"/>
      <c r="G51" s="103"/>
      <c r="H51" s="98"/>
      <c r="I51" s="98"/>
      <c r="J51" s="275"/>
      <c r="K51" s="103"/>
      <c r="L51" s="98"/>
      <c r="M51" s="99">
        <f t="shared" ref="M51:M56" si="12">SUM(G51:L51)</f>
        <v>0</v>
      </c>
      <c r="N51" s="100"/>
      <c r="O51" s="138"/>
      <c r="P51" s="101"/>
      <c r="Q51" s="174"/>
      <c r="R51" s="102"/>
    </row>
    <row r="52" spans="1:18" ht="15.5" hidden="1" x14ac:dyDescent="0.35">
      <c r="B52" s="97" t="s">
        <v>98</v>
      </c>
      <c r="C52" s="131" t="s">
        <v>97</v>
      </c>
      <c r="D52" s="131"/>
      <c r="E52" s="131"/>
      <c r="F52" s="281"/>
      <c r="G52" s="103"/>
      <c r="H52" s="98"/>
      <c r="I52" s="98"/>
      <c r="J52" s="275"/>
      <c r="K52" s="103"/>
      <c r="L52" s="98"/>
      <c r="M52" s="99">
        <f t="shared" si="12"/>
        <v>0</v>
      </c>
      <c r="N52" s="100"/>
      <c r="O52" s="138"/>
      <c r="P52" s="101"/>
      <c r="Q52" s="174"/>
      <c r="R52" s="102"/>
    </row>
    <row r="53" spans="1:18" ht="15.5" hidden="1" x14ac:dyDescent="0.35">
      <c r="B53" s="97" t="s">
        <v>99</v>
      </c>
      <c r="C53" s="131" t="s">
        <v>97</v>
      </c>
      <c r="D53" s="131"/>
      <c r="E53" s="131"/>
      <c r="F53" s="281"/>
      <c r="G53" s="103"/>
      <c r="H53" s="98"/>
      <c r="I53" s="98"/>
      <c r="J53" s="275"/>
      <c r="K53" s="103"/>
      <c r="L53" s="98"/>
      <c r="M53" s="99">
        <f t="shared" si="12"/>
        <v>0</v>
      </c>
      <c r="N53" s="100"/>
      <c r="O53" s="138"/>
      <c r="P53" s="101"/>
      <c r="Q53" s="174"/>
      <c r="R53" s="102"/>
    </row>
    <row r="54" spans="1:18" ht="15.5" hidden="1" x14ac:dyDescent="0.35">
      <c r="B54" s="97" t="s">
        <v>100</v>
      </c>
      <c r="C54" s="131" t="s">
        <v>97</v>
      </c>
      <c r="D54" s="131"/>
      <c r="E54" s="131"/>
      <c r="F54" s="281"/>
      <c r="G54" s="103"/>
      <c r="H54" s="98"/>
      <c r="I54" s="98"/>
      <c r="J54" s="275"/>
      <c r="K54" s="103"/>
      <c r="L54" s="98"/>
      <c r="M54" s="99">
        <f t="shared" si="12"/>
        <v>0</v>
      </c>
      <c r="N54" s="100"/>
      <c r="O54" s="138"/>
      <c r="P54" s="101"/>
      <c r="Q54" s="174"/>
      <c r="R54" s="102"/>
    </row>
    <row r="55" spans="1:18" ht="15.5" hidden="1" x14ac:dyDescent="0.35">
      <c r="A55" s="177"/>
      <c r="B55" s="97" t="s">
        <v>101</v>
      </c>
      <c r="C55" s="131" t="s">
        <v>97</v>
      </c>
      <c r="D55" s="131"/>
      <c r="E55" s="131"/>
      <c r="F55" s="281"/>
      <c r="G55" s="103"/>
      <c r="H55" s="101"/>
      <c r="I55" s="101"/>
      <c r="J55" s="278"/>
      <c r="K55" s="103"/>
      <c r="L55" s="101"/>
      <c r="M55" s="99">
        <f t="shared" si="12"/>
        <v>0</v>
      </c>
      <c r="N55" s="104"/>
      <c r="O55" s="193"/>
      <c r="P55" s="101"/>
      <c r="Q55" s="176"/>
      <c r="R55" s="102"/>
    </row>
    <row r="56" spans="1:18" s="177" customFormat="1" ht="15.5" hidden="1" x14ac:dyDescent="0.35">
      <c r="B56" s="97" t="s">
        <v>102</v>
      </c>
      <c r="C56" s="131" t="s">
        <v>97</v>
      </c>
      <c r="D56" s="131"/>
      <c r="E56" s="131"/>
      <c r="F56" s="281"/>
      <c r="G56" s="103"/>
      <c r="H56" s="101"/>
      <c r="I56" s="101"/>
      <c r="J56" s="278"/>
      <c r="K56" s="103"/>
      <c r="L56" s="101"/>
      <c r="M56" s="99">
        <f t="shared" si="12"/>
        <v>0</v>
      </c>
      <c r="N56" s="104"/>
      <c r="O56" s="193"/>
      <c r="P56" s="101"/>
      <c r="Q56" s="176"/>
      <c r="R56" s="102"/>
    </row>
    <row r="57" spans="1:18" s="177" customFormat="1" ht="15.5" x14ac:dyDescent="0.35">
      <c r="A57" s="134"/>
      <c r="B57" s="134"/>
      <c r="C57" s="62" t="s">
        <v>45</v>
      </c>
      <c r="D57" s="8">
        <f t="shared" ref="D57:M57" si="13">SUM(D49:D56)</f>
        <v>25000</v>
      </c>
      <c r="E57" s="8">
        <f t="shared" si="13"/>
        <v>23993.59</v>
      </c>
      <c r="F57" s="280">
        <f t="shared" si="13"/>
        <v>25000</v>
      </c>
      <c r="G57" s="8">
        <f>SUM(G49:G56)</f>
        <v>1006.4099999999999</v>
      </c>
      <c r="H57" s="8">
        <f t="shared" si="13"/>
        <v>36114.786560565874</v>
      </c>
      <c r="I57" s="8">
        <f t="shared" si="13"/>
        <v>11854.22043966311</v>
      </c>
      <c r="J57" s="280">
        <f>SUM(J49:J56)</f>
        <v>32854.220439663113</v>
      </c>
      <c r="K57" s="8">
        <f t="shared" si="13"/>
        <v>21000</v>
      </c>
      <c r="L57" s="8">
        <f t="shared" si="13"/>
        <v>0</v>
      </c>
      <c r="M57" s="11">
        <f t="shared" si="13"/>
        <v>57854.220439663106</v>
      </c>
      <c r="N57" s="8">
        <f>(N49*M49)+(N50*M50)+(N51*M51)+(N52*M52)+(N53*M53)+(N54*M54)+(N55*M55)+(N56*M56)</f>
        <v>28927.110219831553</v>
      </c>
      <c r="O57" s="192">
        <f>SUM(O49:O56)</f>
        <v>35847.81043966311</v>
      </c>
      <c r="P57" s="89"/>
      <c r="Q57" s="176"/>
      <c r="R57" s="21"/>
    </row>
    <row r="58" spans="1:18" ht="30.65" customHeight="1" x14ac:dyDescent="0.35">
      <c r="B58" s="62" t="s">
        <v>103</v>
      </c>
      <c r="C58" s="421" t="s">
        <v>104</v>
      </c>
      <c r="D58" s="422"/>
      <c r="E58" s="422"/>
      <c r="F58" s="422"/>
      <c r="G58" s="422"/>
      <c r="H58" s="422"/>
      <c r="I58" s="422"/>
      <c r="J58" s="422"/>
      <c r="K58" s="422"/>
      <c r="L58" s="422"/>
      <c r="M58" s="422"/>
      <c r="N58" s="422"/>
      <c r="O58" s="422"/>
      <c r="P58" s="422"/>
      <c r="Q58" s="423"/>
      <c r="R58" s="20"/>
    </row>
    <row r="59" spans="1:18" ht="62" x14ac:dyDescent="0.35">
      <c r="B59" s="97" t="s">
        <v>105</v>
      </c>
      <c r="C59" s="131" t="s">
        <v>106</v>
      </c>
      <c r="D59" s="103">
        <v>10000</v>
      </c>
      <c r="E59" s="103">
        <v>9388.76</v>
      </c>
      <c r="F59" s="276">
        <f>+E59+G59</f>
        <v>10000</v>
      </c>
      <c r="G59" s="103">
        <f>+D59-E59</f>
        <v>611.23999999999978</v>
      </c>
      <c r="H59" s="98">
        <v>7675.7150751547306</v>
      </c>
      <c r="I59" s="143">
        <v>2964.6302198315566</v>
      </c>
      <c r="J59" s="305">
        <f>+I59+K59</f>
        <v>7464.630219831557</v>
      </c>
      <c r="K59" s="103">
        <v>4500</v>
      </c>
      <c r="L59" s="98"/>
      <c r="M59" s="99">
        <f>+E59+G59+I59+K59</f>
        <v>17464.630219831557</v>
      </c>
      <c r="N59" s="100">
        <v>0.5</v>
      </c>
      <c r="O59" s="140">
        <f>+E59+I59</f>
        <v>12353.390219831557</v>
      </c>
      <c r="P59" s="95" t="s">
        <v>91</v>
      </c>
      <c r="Q59" s="174" t="s">
        <v>107</v>
      </c>
      <c r="R59" s="102"/>
    </row>
    <row r="60" spans="1:18" ht="138.65" customHeight="1" x14ac:dyDescent="0.35">
      <c r="B60" s="97" t="s">
        <v>108</v>
      </c>
      <c r="C60" s="131" t="s">
        <v>109</v>
      </c>
      <c r="D60" s="103">
        <v>20000</v>
      </c>
      <c r="E60" s="103">
        <v>17147.77</v>
      </c>
      <c r="F60" s="276">
        <f>+E60+G60</f>
        <v>20000</v>
      </c>
      <c r="G60" s="103">
        <f>+D60-E60</f>
        <v>2852.2299999999996</v>
      </c>
      <c r="H60" s="98">
        <v>7650.0740495137052</v>
      </c>
      <c r="I60" s="143">
        <v>2916.5402198315569</v>
      </c>
      <c r="J60" s="305">
        <f>+I60+K60</f>
        <v>7416.5402198315569</v>
      </c>
      <c r="K60" s="103">
        <v>4500</v>
      </c>
      <c r="L60" s="98"/>
      <c r="M60" s="99">
        <f t="shared" ref="M60:M61" si="14">+E60+G60+I60+K60</f>
        <v>27416.540219831557</v>
      </c>
      <c r="N60" s="100">
        <v>0.5</v>
      </c>
      <c r="O60" s="140">
        <f>+E60+I60</f>
        <v>20064.310219831557</v>
      </c>
      <c r="P60" s="95" t="s">
        <v>110</v>
      </c>
      <c r="Q60" s="174" t="s">
        <v>111</v>
      </c>
      <c r="R60" s="102"/>
    </row>
    <row r="61" spans="1:18" ht="108.5" x14ac:dyDescent="0.35">
      <c r="B61" s="97" t="s">
        <v>112</v>
      </c>
      <c r="C61" s="133" t="s">
        <v>113</v>
      </c>
      <c r="D61" s="103">
        <v>30000</v>
      </c>
      <c r="E61" s="103">
        <v>19000</v>
      </c>
      <c r="F61" s="276">
        <f>+E61+G61</f>
        <v>30000</v>
      </c>
      <c r="G61" s="103">
        <f>+D61-E61</f>
        <v>11000</v>
      </c>
      <c r="H61" s="98">
        <v>7701.3561007957569</v>
      </c>
      <c r="I61" s="143">
        <v>4740.3502198315564</v>
      </c>
      <c r="J61" s="305">
        <f>+I61+K61</f>
        <v>7240.3502198315564</v>
      </c>
      <c r="K61" s="103">
        <v>2500</v>
      </c>
      <c r="L61" s="98"/>
      <c r="M61" s="99">
        <f t="shared" si="14"/>
        <v>37240.350219831555</v>
      </c>
      <c r="N61" s="100">
        <v>0.5</v>
      </c>
      <c r="O61" s="140">
        <f>+E61+I61</f>
        <v>23740.350219831555</v>
      </c>
      <c r="P61" s="95" t="s">
        <v>91</v>
      </c>
      <c r="Q61" s="174" t="s">
        <v>114</v>
      </c>
      <c r="R61" s="102"/>
    </row>
    <row r="62" spans="1:18" ht="62" x14ac:dyDescent="0.35">
      <c r="B62" s="136" t="s">
        <v>115</v>
      </c>
      <c r="C62" s="137" t="s">
        <v>116</v>
      </c>
      <c r="D62" s="188">
        <v>0</v>
      </c>
      <c r="E62" s="188">
        <v>0</v>
      </c>
      <c r="F62" s="287">
        <v>0</v>
      </c>
      <c r="G62" s="159">
        <v>0</v>
      </c>
      <c r="H62" s="138">
        <v>0</v>
      </c>
      <c r="I62" s="138">
        <v>0</v>
      </c>
      <c r="J62" s="305">
        <f>+I62+K62</f>
        <v>0</v>
      </c>
      <c r="K62" s="159">
        <v>0</v>
      </c>
      <c r="L62" s="138"/>
      <c r="M62" s="99">
        <f>+E62+G62+I62+K62</f>
        <v>0</v>
      </c>
      <c r="N62" s="139">
        <v>0.5</v>
      </c>
      <c r="O62" s="140">
        <f>+E62+I62</f>
        <v>0</v>
      </c>
      <c r="P62" s="140" t="s">
        <v>91</v>
      </c>
      <c r="Q62" s="178" t="s">
        <v>117</v>
      </c>
      <c r="R62" s="102"/>
    </row>
    <row r="63" spans="1:18" ht="15.5" hidden="1" x14ac:dyDescent="0.35">
      <c r="B63" s="97" t="s">
        <v>118</v>
      </c>
      <c r="C63" s="131" t="s">
        <v>97</v>
      </c>
      <c r="D63" s="131"/>
      <c r="E63" s="131"/>
      <c r="F63" s="281"/>
      <c r="G63" s="103"/>
      <c r="H63" s="98"/>
      <c r="I63" s="98"/>
      <c r="J63" s="275"/>
      <c r="K63" s="103"/>
      <c r="L63" s="98"/>
      <c r="M63" s="99">
        <f>SUM(G63:L63)</f>
        <v>0</v>
      </c>
      <c r="N63" s="100"/>
      <c r="O63" s="138"/>
      <c r="P63" s="101"/>
      <c r="Q63" s="174"/>
      <c r="R63" s="102"/>
    </row>
    <row r="64" spans="1:18" ht="15.5" hidden="1" x14ac:dyDescent="0.35">
      <c r="B64" s="97" t="s">
        <v>119</v>
      </c>
      <c r="C64" s="131" t="s">
        <v>97</v>
      </c>
      <c r="D64" s="131"/>
      <c r="E64" s="131"/>
      <c r="F64" s="281"/>
      <c r="G64" s="103"/>
      <c r="H64" s="98"/>
      <c r="I64" s="98"/>
      <c r="J64" s="275"/>
      <c r="K64" s="103"/>
      <c r="L64" s="98"/>
      <c r="M64" s="99">
        <f>SUM(G64:L64)</f>
        <v>0</v>
      </c>
      <c r="N64" s="100"/>
      <c r="O64" s="138"/>
      <c r="P64" s="101"/>
      <c r="Q64" s="174"/>
      <c r="R64" s="102"/>
    </row>
    <row r="65" spans="1:18" ht="15.5" hidden="1" x14ac:dyDescent="0.35">
      <c r="B65" s="97" t="s">
        <v>120</v>
      </c>
      <c r="C65" s="131" t="s">
        <v>97</v>
      </c>
      <c r="D65" s="131"/>
      <c r="E65" s="131"/>
      <c r="F65" s="281"/>
      <c r="G65" s="103"/>
      <c r="H65" s="101"/>
      <c r="I65" s="101"/>
      <c r="J65" s="278"/>
      <c r="K65" s="103"/>
      <c r="L65" s="101"/>
      <c r="M65" s="99">
        <f>SUM(G65:L65)</f>
        <v>0</v>
      </c>
      <c r="N65" s="104"/>
      <c r="O65" s="193"/>
      <c r="P65" s="101"/>
      <c r="Q65" s="176"/>
      <c r="R65" s="102"/>
    </row>
    <row r="66" spans="1:18" ht="15.5" hidden="1" x14ac:dyDescent="0.35">
      <c r="B66" s="97" t="s">
        <v>121</v>
      </c>
      <c r="C66" s="131" t="s">
        <v>97</v>
      </c>
      <c r="D66" s="131"/>
      <c r="E66" s="131"/>
      <c r="F66" s="281"/>
      <c r="G66" s="103"/>
      <c r="H66" s="101"/>
      <c r="I66" s="101"/>
      <c r="J66" s="278"/>
      <c r="K66" s="103"/>
      <c r="L66" s="101"/>
      <c r="M66" s="99">
        <f>SUM(G66:L66)</f>
        <v>0</v>
      </c>
      <c r="N66" s="104"/>
      <c r="O66" s="193"/>
      <c r="P66" s="101"/>
      <c r="Q66" s="176"/>
      <c r="R66" s="102"/>
    </row>
    <row r="67" spans="1:18" ht="15.5" x14ac:dyDescent="0.35">
      <c r="C67" s="62" t="s">
        <v>45</v>
      </c>
      <c r="D67" s="8">
        <f t="shared" ref="D67:M67" si="15">SUM(D59:D66)</f>
        <v>60000</v>
      </c>
      <c r="E67" s="8">
        <f t="shared" si="15"/>
        <v>45536.53</v>
      </c>
      <c r="F67" s="280">
        <f>SUM(F59:F66)</f>
        <v>60000</v>
      </c>
      <c r="G67" s="8">
        <f>SUM(G59:G66)</f>
        <v>14463.47</v>
      </c>
      <c r="H67" s="8">
        <f t="shared" si="15"/>
        <v>23027.145225464192</v>
      </c>
      <c r="I67" s="8">
        <f t="shared" si="15"/>
        <v>10621.52065949467</v>
      </c>
      <c r="J67" s="280">
        <f>SUM(J59:J66)</f>
        <v>22121.520659494672</v>
      </c>
      <c r="K67" s="8">
        <f t="shared" si="15"/>
        <v>11500</v>
      </c>
      <c r="L67" s="8">
        <f t="shared" si="15"/>
        <v>0</v>
      </c>
      <c r="M67" s="8">
        <f t="shared" si="15"/>
        <v>82121.520659494665</v>
      </c>
      <c r="N67" s="8">
        <f>(N59*M59)+(N60*M60)+(N61*M61)+(N62*M62)+(N63*M63)+(N64*M64)+(N65*M65)+(N66*M66)</f>
        <v>41060.760329747332</v>
      </c>
      <c r="O67" s="195">
        <f>SUM(O59:O66)</f>
        <v>56158.050659494671</v>
      </c>
      <c r="P67" s="90"/>
      <c r="Q67" s="176"/>
      <c r="R67" s="21"/>
    </row>
    <row r="68" spans="1:18" ht="51" hidden="1" customHeight="1" x14ac:dyDescent="0.35">
      <c r="B68" s="62" t="s">
        <v>122</v>
      </c>
      <c r="C68" s="421" t="s">
        <v>97</v>
      </c>
      <c r="D68" s="422"/>
      <c r="E68" s="422"/>
      <c r="F68" s="422"/>
      <c r="G68" s="422"/>
      <c r="H68" s="422"/>
      <c r="I68" s="422"/>
      <c r="J68" s="422"/>
      <c r="K68" s="422"/>
      <c r="L68" s="422"/>
      <c r="M68" s="422"/>
      <c r="N68" s="422"/>
      <c r="O68" s="422"/>
      <c r="P68" s="422"/>
      <c r="Q68" s="423"/>
      <c r="R68" s="20"/>
    </row>
    <row r="69" spans="1:18" ht="15.5" hidden="1" x14ac:dyDescent="0.35">
      <c r="B69" s="97" t="s">
        <v>123</v>
      </c>
      <c r="C69" s="131"/>
      <c r="D69" s="131"/>
      <c r="E69" s="131"/>
      <c r="F69" s="281"/>
      <c r="G69" s="103"/>
      <c r="H69" s="98"/>
      <c r="I69" s="98"/>
      <c r="J69" s="275"/>
      <c r="K69" s="103"/>
      <c r="L69" s="98"/>
      <c r="M69" s="99">
        <f t="shared" ref="M69:M76" si="16">SUM(G69:L69)</f>
        <v>0</v>
      </c>
      <c r="N69" s="100"/>
      <c r="O69" s="138"/>
      <c r="P69" s="101"/>
      <c r="Q69" s="174"/>
      <c r="R69" s="102"/>
    </row>
    <row r="70" spans="1:18" ht="15.5" hidden="1" x14ac:dyDescent="0.35">
      <c r="B70" s="97" t="s">
        <v>124</v>
      </c>
      <c r="C70" s="131"/>
      <c r="D70" s="131"/>
      <c r="E70" s="131"/>
      <c r="F70" s="281"/>
      <c r="G70" s="103"/>
      <c r="H70" s="98"/>
      <c r="I70" s="98"/>
      <c r="J70" s="275"/>
      <c r="K70" s="103"/>
      <c r="L70" s="98"/>
      <c r="M70" s="99">
        <f t="shared" si="16"/>
        <v>0</v>
      </c>
      <c r="N70" s="100"/>
      <c r="O70" s="138"/>
      <c r="P70" s="101"/>
      <c r="Q70" s="174"/>
      <c r="R70" s="102"/>
    </row>
    <row r="71" spans="1:18" ht="15.5" hidden="1" x14ac:dyDescent="0.35">
      <c r="B71" s="97" t="s">
        <v>125</v>
      </c>
      <c r="C71" s="131"/>
      <c r="D71" s="131"/>
      <c r="E71" s="131"/>
      <c r="F71" s="281"/>
      <c r="G71" s="103"/>
      <c r="H71" s="98"/>
      <c r="I71" s="98"/>
      <c r="J71" s="275"/>
      <c r="K71" s="103"/>
      <c r="L71" s="98"/>
      <c r="M71" s="99">
        <f t="shared" si="16"/>
        <v>0</v>
      </c>
      <c r="N71" s="100"/>
      <c r="O71" s="138"/>
      <c r="P71" s="101"/>
      <c r="Q71" s="174"/>
      <c r="R71" s="102"/>
    </row>
    <row r="72" spans="1:18" ht="15.5" hidden="1" x14ac:dyDescent="0.35">
      <c r="A72" s="177"/>
      <c r="B72" s="97" t="s">
        <v>126</v>
      </c>
      <c r="C72" s="131"/>
      <c r="D72" s="131"/>
      <c r="E72" s="131"/>
      <c r="F72" s="281"/>
      <c r="G72" s="103"/>
      <c r="H72" s="98"/>
      <c r="I72" s="98"/>
      <c r="J72" s="275"/>
      <c r="K72" s="103"/>
      <c r="L72" s="98"/>
      <c r="M72" s="99">
        <f t="shared" si="16"/>
        <v>0</v>
      </c>
      <c r="N72" s="100"/>
      <c r="O72" s="138"/>
      <c r="P72" s="101"/>
      <c r="Q72" s="174"/>
      <c r="R72" s="102"/>
    </row>
    <row r="73" spans="1:18" s="177" customFormat="1" ht="15.5" hidden="1" x14ac:dyDescent="0.35">
      <c r="A73" s="134"/>
      <c r="B73" s="97" t="s">
        <v>127</v>
      </c>
      <c r="C73" s="131"/>
      <c r="D73" s="131"/>
      <c r="E73" s="131"/>
      <c r="F73" s="281"/>
      <c r="G73" s="103"/>
      <c r="H73" s="98"/>
      <c r="I73" s="98"/>
      <c r="J73" s="275"/>
      <c r="K73" s="103"/>
      <c r="L73" s="98"/>
      <c r="M73" s="99">
        <f t="shared" si="16"/>
        <v>0</v>
      </c>
      <c r="N73" s="100"/>
      <c r="O73" s="138"/>
      <c r="P73" s="101"/>
      <c r="Q73" s="174"/>
      <c r="R73" s="102"/>
    </row>
    <row r="74" spans="1:18" ht="15.5" hidden="1" x14ac:dyDescent="0.35">
      <c r="B74" s="97" t="s">
        <v>128</v>
      </c>
      <c r="C74" s="131"/>
      <c r="D74" s="131"/>
      <c r="E74" s="131"/>
      <c r="F74" s="281"/>
      <c r="G74" s="103"/>
      <c r="H74" s="98"/>
      <c r="I74" s="98"/>
      <c r="J74" s="275"/>
      <c r="K74" s="103"/>
      <c r="L74" s="98"/>
      <c r="M74" s="99">
        <f t="shared" si="16"/>
        <v>0</v>
      </c>
      <c r="N74" s="100"/>
      <c r="O74" s="138"/>
      <c r="P74" s="101"/>
      <c r="Q74" s="174"/>
      <c r="R74" s="102"/>
    </row>
    <row r="75" spans="1:18" ht="15.5" hidden="1" x14ac:dyDescent="0.35">
      <c r="B75" s="97" t="s">
        <v>129</v>
      </c>
      <c r="C75" s="132"/>
      <c r="D75" s="132"/>
      <c r="E75" s="132"/>
      <c r="F75" s="284"/>
      <c r="G75" s="103"/>
      <c r="H75" s="101"/>
      <c r="I75" s="101"/>
      <c r="J75" s="278"/>
      <c r="K75" s="103"/>
      <c r="L75" s="101"/>
      <c r="M75" s="99">
        <f t="shared" si="16"/>
        <v>0</v>
      </c>
      <c r="N75" s="104"/>
      <c r="O75" s="193"/>
      <c r="P75" s="101"/>
      <c r="Q75" s="176"/>
      <c r="R75" s="102"/>
    </row>
    <row r="76" spans="1:18" ht="15.5" hidden="1" x14ac:dyDescent="0.35">
      <c r="B76" s="97" t="s">
        <v>130</v>
      </c>
      <c r="C76" s="132"/>
      <c r="D76" s="132"/>
      <c r="E76" s="132"/>
      <c r="F76" s="284"/>
      <c r="G76" s="103"/>
      <c r="H76" s="101"/>
      <c r="I76" s="101"/>
      <c r="J76" s="278"/>
      <c r="K76" s="103"/>
      <c r="L76" s="101"/>
      <c r="M76" s="99">
        <f t="shared" si="16"/>
        <v>0</v>
      </c>
      <c r="N76" s="104"/>
      <c r="O76" s="193"/>
      <c r="P76" s="101"/>
      <c r="Q76" s="176"/>
      <c r="R76" s="102"/>
    </row>
    <row r="77" spans="1:18" ht="15.5" hidden="1" x14ac:dyDescent="0.35">
      <c r="C77" s="62" t="s">
        <v>45</v>
      </c>
      <c r="D77" s="141"/>
      <c r="E77" s="141"/>
      <c r="F77" s="288"/>
      <c r="G77" s="148">
        <f>SUM(G69:G76)</f>
        <v>0</v>
      </c>
      <c r="H77" s="11"/>
      <c r="I77" s="11"/>
      <c r="J77" s="282"/>
      <c r="K77" s="148">
        <f>SUM(K69:K76)</f>
        <v>0</v>
      </c>
      <c r="L77" s="11">
        <f>SUM(L69:L76)</f>
        <v>0</v>
      </c>
      <c r="M77" s="11">
        <f>SUM(M69:M76)</f>
        <v>0</v>
      </c>
      <c r="N77" s="8">
        <f>(N69*M69)+(N70*M70)+(N71*M71)+(N72*M72)+(N73*M73)+(N74*M74)+(N75*M75)+(N76*M76)</f>
        <v>0</v>
      </c>
      <c r="O77" s="195">
        <f>SUM(O69:O76)</f>
        <v>0</v>
      </c>
      <c r="P77" s="90"/>
      <c r="Q77" s="176"/>
      <c r="R77" s="21"/>
    </row>
    <row r="78" spans="1:18" ht="51" hidden="1" customHeight="1" x14ac:dyDescent="0.35">
      <c r="B78" s="62" t="s">
        <v>131</v>
      </c>
      <c r="C78" s="421" t="s">
        <v>97</v>
      </c>
      <c r="D78" s="422"/>
      <c r="E78" s="422"/>
      <c r="F78" s="422"/>
      <c r="G78" s="422"/>
      <c r="H78" s="422"/>
      <c r="I78" s="422"/>
      <c r="J78" s="422"/>
      <c r="K78" s="422"/>
      <c r="L78" s="422"/>
      <c r="M78" s="422"/>
      <c r="N78" s="422"/>
      <c r="O78" s="422"/>
      <c r="P78" s="422"/>
      <c r="Q78" s="423"/>
      <c r="R78" s="20"/>
    </row>
    <row r="79" spans="1:18" ht="15.5" hidden="1" x14ac:dyDescent="0.35">
      <c r="B79" s="97" t="s">
        <v>132</v>
      </c>
      <c r="C79" s="131"/>
      <c r="D79" s="131"/>
      <c r="E79" s="131"/>
      <c r="F79" s="281"/>
      <c r="G79" s="103"/>
      <c r="H79" s="98"/>
      <c r="I79" s="98"/>
      <c r="J79" s="275"/>
      <c r="K79" s="103"/>
      <c r="L79" s="98"/>
      <c r="M79" s="99">
        <f t="shared" ref="M79:M86" si="17">SUM(G79:L79)</f>
        <v>0</v>
      </c>
      <c r="N79" s="100"/>
      <c r="O79" s="138"/>
      <c r="P79" s="101"/>
      <c r="Q79" s="174"/>
      <c r="R79" s="102"/>
    </row>
    <row r="80" spans="1:18" ht="15.5" hidden="1" x14ac:dyDescent="0.35">
      <c r="B80" s="97" t="s">
        <v>133</v>
      </c>
      <c r="C80" s="131"/>
      <c r="D80" s="131"/>
      <c r="E80" s="131"/>
      <c r="F80" s="281"/>
      <c r="G80" s="103"/>
      <c r="H80" s="98"/>
      <c r="I80" s="98"/>
      <c r="J80" s="275"/>
      <c r="K80" s="103"/>
      <c r="L80" s="98"/>
      <c r="M80" s="99">
        <f t="shared" si="17"/>
        <v>0</v>
      </c>
      <c r="N80" s="100"/>
      <c r="O80" s="138"/>
      <c r="P80" s="101"/>
      <c r="Q80" s="174"/>
      <c r="R80" s="102"/>
    </row>
    <row r="81" spans="2:18" ht="15.5" hidden="1" x14ac:dyDescent="0.35">
      <c r="B81" s="97" t="s">
        <v>134</v>
      </c>
      <c r="C81" s="131"/>
      <c r="D81" s="131"/>
      <c r="E81" s="131"/>
      <c r="F81" s="281"/>
      <c r="G81" s="103"/>
      <c r="H81" s="98"/>
      <c r="I81" s="98"/>
      <c r="J81" s="275"/>
      <c r="K81" s="103"/>
      <c r="L81" s="98"/>
      <c r="M81" s="99">
        <f t="shared" si="17"/>
        <v>0</v>
      </c>
      <c r="N81" s="100"/>
      <c r="O81" s="138"/>
      <c r="P81" s="101"/>
      <c r="Q81" s="174"/>
      <c r="R81" s="102"/>
    </row>
    <row r="82" spans="2:18" ht="15.5" hidden="1" x14ac:dyDescent="0.35">
      <c r="B82" s="97" t="s">
        <v>135</v>
      </c>
      <c r="C82" s="131"/>
      <c r="D82" s="131"/>
      <c r="E82" s="131"/>
      <c r="F82" s="281"/>
      <c r="G82" s="103"/>
      <c r="H82" s="98"/>
      <c r="I82" s="98"/>
      <c r="J82" s="275"/>
      <c r="K82" s="103"/>
      <c r="L82" s="98"/>
      <c r="M82" s="99">
        <f t="shared" si="17"/>
        <v>0</v>
      </c>
      <c r="N82" s="100"/>
      <c r="O82" s="138"/>
      <c r="P82" s="101"/>
      <c r="Q82" s="174"/>
      <c r="R82" s="102"/>
    </row>
    <row r="83" spans="2:18" ht="15.5" hidden="1" x14ac:dyDescent="0.35">
      <c r="B83" s="97" t="s">
        <v>136</v>
      </c>
      <c r="C83" s="131"/>
      <c r="D83" s="131"/>
      <c r="E83" s="131"/>
      <c r="F83" s="281"/>
      <c r="G83" s="103"/>
      <c r="H83" s="98"/>
      <c r="I83" s="98"/>
      <c r="J83" s="275"/>
      <c r="K83" s="103"/>
      <c r="L83" s="98"/>
      <c r="M83" s="99">
        <f t="shared" si="17"/>
        <v>0</v>
      </c>
      <c r="N83" s="100"/>
      <c r="O83" s="138"/>
      <c r="P83" s="101"/>
      <c r="Q83" s="174"/>
      <c r="R83" s="102"/>
    </row>
    <row r="84" spans="2:18" ht="15.5" hidden="1" x14ac:dyDescent="0.35">
      <c r="B84" s="97" t="s">
        <v>137</v>
      </c>
      <c r="C84" s="131"/>
      <c r="D84" s="131"/>
      <c r="E84" s="131"/>
      <c r="F84" s="281"/>
      <c r="G84" s="103"/>
      <c r="H84" s="98"/>
      <c r="I84" s="98"/>
      <c r="J84" s="275"/>
      <c r="K84" s="103"/>
      <c r="L84" s="98"/>
      <c r="M84" s="99">
        <f t="shared" si="17"/>
        <v>0</v>
      </c>
      <c r="N84" s="100"/>
      <c r="O84" s="138"/>
      <c r="P84" s="101"/>
      <c r="Q84" s="174"/>
      <c r="R84" s="102"/>
    </row>
    <row r="85" spans="2:18" ht="15.5" hidden="1" x14ac:dyDescent="0.35">
      <c r="B85" s="97" t="s">
        <v>138</v>
      </c>
      <c r="C85" s="132"/>
      <c r="D85" s="132"/>
      <c r="E85" s="132"/>
      <c r="F85" s="284"/>
      <c r="G85" s="103"/>
      <c r="H85" s="101"/>
      <c r="I85" s="101"/>
      <c r="J85" s="278"/>
      <c r="K85" s="103"/>
      <c r="L85" s="101"/>
      <c r="M85" s="99">
        <f t="shared" si="17"/>
        <v>0</v>
      </c>
      <c r="N85" s="104"/>
      <c r="O85" s="193"/>
      <c r="P85" s="101"/>
      <c r="Q85" s="176"/>
      <c r="R85" s="102"/>
    </row>
    <row r="86" spans="2:18" ht="15.5" hidden="1" x14ac:dyDescent="0.35">
      <c r="B86" s="97" t="s">
        <v>139</v>
      </c>
      <c r="C86" s="132"/>
      <c r="D86" s="132"/>
      <c r="E86" s="132"/>
      <c r="F86" s="284"/>
      <c r="G86" s="103"/>
      <c r="H86" s="101"/>
      <c r="I86" s="101"/>
      <c r="J86" s="278"/>
      <c r="K86" s="103"/>
      <c r="L86" s="101"/>
      <c r="M86" s="99">
        <f t="shared" si="17"/>
        <v>0</v>
      </c>
      <c r="N86" s="104"/>
      <c r="O86" s="193"/>
      <c r="P86" s="101"/>
      <c r="Q86" s="176"/>
      <c r="R86" s="102"/>
    </row>
    <row r="87" spans="2:18" ht="15.5" hidden="1" x14ac:dyDescent="0.35">
      <c r="C87" s="62" t="s">
        <v>45</v>
      </c>
      <c r="D87" s="62"/>
      <c r="E87" s="62"/>
      <c r="F87" s="285"/>
      <c r="G87" s="149">
        <f>SUM(G79:G86)</f>
        <v>0</v>
      </c>
      <c r="H87" s="8"/>
      <c r="I87" s="8"/>
      <c r="J87" s="280"/>
      <c r="K87" s="149">
        <f>SUM(K79:K86)</f>
        <v>0</v>
      </c>
      <c r="L87" s="8">
        <f>SUM(L79:L86)</f>
        <v>0</v>
      </c>
      <c r="M87" s="8">
        <f>SUM(M79:M86)</f>
        <v>0</v>
      </c>
      <c r="N87" s="8">
        <f>(N79*M79)+(N80*M80)+(N81*M81)+(N82*M82)+(N83*M83)+(N84*M84)+(N85*M85)+(N86*M86)</f>
        <v>0</v>
      </c>
      <c r="O87" s="195">
        <f>SUM(O79:O86)</f>
        <v>0</v>
      </c>
      <c r="P87" s="90"/>
      <c r="Q87" s="176"/>
      <c r="R87" s="21"/>
    </row>
    <row r="88" spans="2:18" ht="15.75" customHeight="1" x14ac:dyDescent="0.35">
      <c r="B88" s="1"/>
      <c r="C88" s="115"/>
      <c r="D88" s="115"/>
      <c r="E88" s="115"/>
      <c r="F88" s="349"/>
      <c r="G88" s="114"/>
      <c r="H88" s="114"/>
      <c r="I88" s="114"/>
      <c r="J88" s="307"/>
      <c r="K88" s="114"/>
      <c r="L88" s="114"/>
      <c r="M88" s="114"/>
      <c r="N88" s="145"/>
      <c r="O88" s="196"/>
      <c r="P88" s="114"/>
      <c r="Q88" s="115"/>
      <c r="R88" s="2"/>
    </row>
    <row r="89" spans="2:18" ht="28.5" customHeight="1" x14ac:dyDescent="0.35">
      <c r="B89" s="62" t="s">
        <v>140</v>
      </c>
      <c r="C89" s="432" t="s">
        <v>141</v>
      </c>
      <c r="D89" s="433"/>
      <c r="E89" s="433"/>
      <c r="F89" s="433"/>
      <c r="G89" s="433"/>
      <c r="H89" s="433"/>
      <c r="I89" s="433"/>
      <c r="J89" s="433"/>
      <c r="K89" s="433"/>
      <c r="L89" s="433"/>
      <c r="M89" s="433"/>
      <c r="N89" s="433"/>
      <c r="O89" s="433"/>
      <c r="P89" s="433"/>
      <c r="Q89" s="434"/>
      <c r="R89" s="7"/>
    </row>
    <row r="90" spans="2:18" ht="24.65" customHeight="1" x14ac:dyDescent="0.35">
      <c r="B90" s="62" t="s">
        <v>142</v>
      </c>
      <c r="C90" s="421" t="s">
        <v>143</v>
      </c>
      <c r="D90" s="422"/>
      <c r="E90" s="422"/>
      <c r="F90" s="422"/>
      <c r="G90" s="422"/>
      <c r="H90" s="422"/>
      <c r="I90" s="422"/>
      <c r="J90" s="422"/>
      <c r="K90" s="422"/>
      <c r="L90" s="422"/>
      <c r="M90" s="422"/>
      <c r="N90" s="422"/>
      <c r="O90" s="422"/>
      <c r="P90" s="422"/>
      <c r="Q90" s="423"/>
      <c r="R90" s="20"/>
    </row>
    <row r="91" spans="2:18" ht="108.5" x14ac:dyDescent="0.35">
      <c r="B91" s="97" t="s">
        <v>144</v>
      </c>
      <c r="C91" s="131" t="s">
        <v>145</v>
      </c>
      <c r="D91" s="98">
        <v>45000</v>
      </c>
      <c r="E91" s="98">
        <v>13823.33</v>
      </c>
      <c r="F91" s="276">
        <f>+E91+G91</f>
        <v>45000</v>
      </c>
      <c r="G91" s="103">
        <f>+D91-E91</f>
        <v>31176.67</v>
      </c>
      <c r="H91" s="103">
        <v>8382.1253315649865</v>
      </c>
      <c r="I91" s="143">
        <v>2007.680219831555</v>
      </c>
      <c r="J91" s="305">
        <f>+I91+K91</f>
        <v>7507.6802198315545</v>
      </c>
      <c r="K91" s="103">
        <v>5500</v>
      </c>
      <c r="L91" s="98"/>
      <c r="M91" s="99">
        <f>+E91+G91+I91+K91</f>
        <v>52507.680219831556</v>
      </c>
      <c r="N91" s="100">
        <v>0.6</v>
      </c>
      <c r="O91" s="138">
        <f>+E91+I91</f>
        <v>15831.010219831554</v>
      </c>
      <c r="P91" s="95" t="s">
        <v>146</v>
      </c>
      <c r="Q91" s="174" t="s">
        <v>111</v>
      </c>
      <c r="R91" s="102"/>
    </row>
    <row r="92" spans="2:18" ht="108.5" x14ac:dyDescent="0.35">
      <c r="B92" s="97" t="s">
        <v>147</v>
      </c>
      <c r="C92" s="131" t="s">
        <v>148</v>
      </c>
      <c r="D92" s="98">
        <v>20000</v>
      </c>
      <c r="E92" s="98">
        <v>6133.77</v>
      </c>
      <c r="F92" s="276">
        <f>+E92+G92</f>
        <v>20000</v>
      </c>
      <c r="G92" s="103">
        <f>+D92-E92</f>
        <v>13866.23</v>
      </c>
      <c r="H92" s="103">
        <v>27630.843280282937</v>
      </c>
      <c r="I92" s="143">
        <v>3329.5002198315551</v>
      </c>
      <c r="J92" s="305">
        <f>+I92+K92</f>
        <v>16503.750219831556</v>
      </c>
      <c r="K92" s="103">
        <v>13174.25</v>
      </c>
      <c r="L92" s="98"/>
      <c r="M92" s="99">
        <f>+E92+G92+I92+K92</f>
        <v>36503.750219831556</v>
      </c>
      <c r="N92" s="100">
        <v>0.5</v>
      </c>
      <c r="O92" s="138">
        <f>+E92+I92</f>
        <v>9463.2702198315565</v>
      </c>
      <c r="P92" s="95" t="s">
        <v>149</v>
      </c>
      <c r="Q92" s="174" t="s">
        <v>150</v>
      </c>
      <c r="R92" s="102"/>
    </row>
    <row r="93" spans="2:18" ht="15.5" hidden="1" x14ac:dyDescent="0.35">
      <c r="B93" s="97" t="s">
        <v>151</v>
      </c>
      <c r="C93" s="131" t="s">
        <v>97</v>
      </c>
      <c r="D93" s="131"/>
      <c r="E93" s="131"/>
      <c r="F93" s="281"/>
      <c r="G93" s="103"/>
      <c r="H93" s="98"/>
      <c r="I93" s="98"/>
      <c r="J93" s="275"/>
      <c r="K93" s="103"/>
      <c r="L93" s="98"/>
      <c r="M93" s="99">
        <f t="shared" ref="M93:M98" si="18">SUM(G93:L93)</f>
        <v>0</v>
      </c>
      <c r="N93" s="100"/>
      <c r="O93" s="138"/>
      <c r="P93" s="101"/>
      <c r="Q93" s="174"/>
      <c r="R93" s="102"/>
    </row>
    <row r="94" spans="2:18" ht="15.5" hidden="1" x14ac:dyDescent="0.35">
      <c r="B94" s="97" t="s">
        <v>152</v>
      </c>
      <c r="C94" s="131" t="s">
        <v>97</v>
      </c>
      <c r="D94" s="131"/>
      <c r="E94" s="131"/>
      <c r="F94" s="281"/>
      <c r="G94" s="103"/>
      <c r="H94" s="98"/>
      <c r="I94" s="98"/>
      <c r="J94" s="275"/>
      <c r="K94" s="103"/>
      <c r="L94" s="98"/>
      <c r="M94" s="99">
        <f t="shared" si="18"/>
        <v>0</v>
      </c>
      <c r="N94" s="100"/>
      <c r="O94" s="138"/>
      <c r="P94" s="101"/>
      <c r="Q94" s="174"/>
      <c r="R94" s="102"/>
    </row>
    <row r="95" spans="2:18" ht="15.5" hidden="1" x14ac:dyDescent="0.35">
      <c r="B95" s="97" t="s">
        <v>153</v>
      </c>
      <c r="C95" s="131" t="s">
        <v>97</v>
      </c>
      <c r="D95" s="131"/>
      <c r="E95" s="131"/>
      <c r="F95" s="281"/>
      <c r="G95" s="103"/>
      <c r="H95" s="98"/>
      <c r="I95" s="98"/>
      <c r="J95" s="275"/>
      <c r="K95" s="103"/>
      <c r="L95" s="98"/>
      <c r="M95" s="99">
        <f t="shared" si="18"/>
        <v>0</v>
      </c>
      <c r="N95" s="100"/>
      <c r="O95" s="138"/>
      <c r="P95" s="101"/>
      <c r="Q95" s="174"/>
      <c r="R95" s="102"/>
    </row>
    <row r="96" spans="2:18" ht="15.5" hidden="1" x14ac:dyDescent="0.35">
      <c r="B96" s="97" t="s">
        <v>154</v>
      </c>
      <c r="C96" s="131" t="s">
        <v>97</v>
      </c>
      <c r="D96" s="131"/>
      <c r="E96" s="131"/>
      <c r="F96" s="281"/>
      <c r="G96" s="103"/>
      <c r="H96" s="98"/>
      <c r="I96" s="98"/>
      <c r="J96" s="275"/>
      <c r="K96" s="103"/>
      <c r="L96" s="98"/>
      <c r="M96" s="99">
        <f t="shared" si="18"/>
        <v>0</v>
      </c>
      <c r="N96" s="100"/>
      <c r="O96" s="138"/>
      <c r="P96" s="101"/>
      <c r="Q96" s="174"/>
      <c r="R96" s="102"/>
    </row>
    <row r="97" spans="2:18" ht="15.5" hidden="1" x14ac:dyDescent="0.35">
      <c r="B97" s="97" t="s">
        <v>155</v>
      </c>
      <c r="C97" s="131" t="s">
        <v>97</v>
      </c>
      <c r="D97" s="131"/>
      <c r="E97" s="131"/>
      <c r="F97" s="281"/>
      <c r="G97" s="103"/>
      <c r="H97" s="101"/>
      <c r="I97" s="101"/>
      <c r="J97" s="278"/>
      <c r="K97" s="103"/>
      <c r="L97" s="101"/>
      <c r="M97" s="99">
        <f t="shared" si="18"/>
        <v>0</v>
      </c>
      <c r="N97" s="104"/>
      <c r="O97" s="193"/>
      <c r="P97" s="101"/>
      <c r="Q97" s="176"/>
      <c r="R97" s="102"/>
    </row>
    <row r="98" spans="2:18" ht="15.5" hidden="1" x14ac:dyDescent="0.35">
      <c r="B98" s="97" t="s">
        <v>156</v>
      </c>
      <c r="C98" s="131" t="s">
        <v>97</v>
      </c>
      <c r="D98" s="131"/>
      <c r="E98" s="131"/>
      <c r="F98" s="281"/>
      <c r="G98" s="103"/>
      <c r="H98" s="101"/>
      <c r="I98" s="101"/>
      <c r="J98" s="278"/>
      <c r="K98" s="103"/>
      <c r="L98" s="101"/>
      <c r="M98" s="99">
        <f t="shared" si="18"/>
        <v>0</v>
      </c>
      <c r="N98" s="104"/>
      <c r="O98" s="193"/>
      <c r="P98" s="101"/>
      <c r="Q98" s="176"/>
      <c r="R98" s="102"/>
    </row>
    <row r="99" spans="2:18" ht="15.5" x14ac:dyDescent="0.35">
      <c r="C99" s="62" t="s">
        <v>45</v>
      </c>
      <c r="D99" s="8">
        <f t="shared" ref="D99:M99" si="19">SUM(D91:D98)</f>
        <v>65000</v>
      </c>
      <c r="E99" s="8">
        <f t="shared" si="19"/>
        <v>19957.099999999999</v>
      </c>
      <c r="F99" s="280">
        <f>SUM(F91:F98)</f>
        <v>65000</v>
      </c>
      <c r="G99" s="8">
        <f>SUM(G91:G98)</f>
        <v>45042.899999999994</v>
      </c>
      <c r="H99" s="8">
        <f t="shared" si="19"/>
        <v>36012.968611847922</v>
      </c>
      <c r="I99" s="8">
        <f t="shared" si="19"/>
        <v>5337.1804396631105</v>
      </c>
      <c r="J99" s="280">
        <f>SUM(J91:J98)</f>
        <v>24011.430439663112</v>
      </c>
      <c r="K99" s="8">
        <f t="shared" si="19"/>
        <v>18674.25</v>
      </c>
      <c r="L99" s="8">
        <f t="shared" si="19"/>
        <v>0</v>
      </c>
      <c r="M99" s="11">
        <f t="shared" si="19"/>
        <v>89011.43043966312</v>
      </c>
      <c r="N99" s="8">
        <f>(N91*M91)+(N92*M92)+(N93*M93)+(N94*M94)+(N95*M95)+(N96*M96)+(N97*M97)+(N98*M98)</f>
        <v>49756.483241814713</v>
      </c>
      <c r="O99" s="195">
        <f>SUM(O91:O98)</f>
        <v>25294.280439663111</v>
      </c>
      <c r="P99" s="90"/>
      <c r="Q99" s="176"/>
      <c r="R99" s="21"/>
    </row>
    <row r="100" spans="2:18" ht="51" customHeight="1" x14ac:dyDescent="0.35">
      <c r="B100" s="62" t="s">
        <v>157</v>
      </c>
      <c r="C100" s="421" t="s">
        <v>158</v>
      </c>
      <c r="D100" s="422"/>
      <c r="E100" s="422"/>
      <c r="F100" s="422"/>
      <c r="G100" s="422"/>
      <c r="H100" s="422"/>
      <c r="I100" s="422"/>
      <c r="J100" s="422"/>
      <c r="K100" s="422"/>
      <c r="L100" s="422"/>
      <c r="M100" s="422"/>
      <c r="N100" s="422"/>
      <c r="O100" s="422"/>
      <c r="P100" s="422"/>
      <c r="Q100" s="423"/>
      <c r="R100" s="20"/>
    </row>
    <row r="101" spans="2:18" ht="62" x14ac:dyDescent="0.35">
      <c r="B101" s="97" t="s">
        <v>159</v>
      </c>
      <c r="C101" s="131" t="s">
        <v>160</v>
      </c>
      <c r="D101" s="98">
        <v>15000</v>
      </c>
      <c r="E101" s="98">
        <v>13823.33</v>
      </c>
      <c r="F101" s="275">
        <f>+E101+G101</f>
        <v>15000</v>
      </c>
      <c r="G101" s="103">
        <f>+D101-E101</f>
        <v>1176.67</v>
      </c>
      <c r="H101" s="98">
        <v>7118.022767462423</v>
      </c>
      <c r="I101" s="143">
        <v>1860.3902198315575</v>
      </c>
      <c r="J101" s="305">
        <f>+I101+K101</f>
        <v>6860.3902198315573</v>
      </c>
      <c r="K101" s="103">
        <v>5000</v>
      </c>
      <c r="L101" s="98"/>
      <c r="M101" s="99">
        <f>+E101+G101+I101+K101</f>
        <v>21860.390219831559</v>
      </c>
      <c r="N101" s="100">
        <v>0.5</v>
      </c>
      <c r="O101" s="138">
        <f>+E101+I101</f>
        <v>15683.720219831557</v>
      </c>
      <c r="P101" s="95" t="s">
        <v>91</v>
      </c>
      <c r="Q101" s="174" t="s">
        <v>111</v>
      </c>
      <c r="R101" s="102"/>
    </row>
    <row r="102" spans="2:18" ht="62" x14ac:dyDescent="0.35">
      <c r="B102" s="97" t="s">
        <v>161</v>
      </c>
      <c r="C102" s="131" t="s">
        <v>162</v>
      </c>
      <c r="D102" s="98"/>
      <c r="E102" s="169">
        <v>0</v>
      </c>
      <c r="F102" s="283">
        <v>0</v>
      </c>
      <c r="G102" s="103"/>
      <c r="H102" s="98">
        <v>6952.6381520778077</v>
      </c>
      <c r="I102" s="143">
        <v>1860.3902198315575</v>
      </c>
      <c r="J102" s="305">
        <f>+I102+K102</f>
        <v>6860.3902198315573</v>
      </c>
      <c r="K102" s="103">
        <v>5000</v>
      </c>
      <c r="L102" s="98"/>
      <c r="M102" s="99">
        <f t="shared" ref="M102:M103" si="20">+E102+G102+I102+K102</f>
        <v>6860.3902198315573</v>
      </c>
      <c r="N102" s="100">
        <v>0.5</v>
      </c>
      <c r="O102" s="138">
        <f t="shared" ref="O102:O104" si="21">+E102+I102</f>
        <v>1860.3902198315575</v>
      </c>
      <c r="P102" s="95" t="s">
        <v>91</v>
      </c>
      <c r="Q102" s="174" t="s">
        <v>163</v>
      </c>
      <c r="R102" s="102"/>
    </row>
    <row r="103" spans="2:18" ht="62" x14ac:dyDescent="0.35">
      <c r="B103" s="97" t="s">
        <v>164</v>
      </c>
      <c r="C103" s="131" t="s">
        <v>165</v>
      </c>
      <c r="D103" s="98">
        <v>15000</v>
      </c>
      <c r="E103" s="169">
        <v>0</v>
      </c>
      <c r="F103" s="283">
        <f>+G103</f>
        <v>15000</v>
      </c>
      <c r="G103" s="103">
        <v>15000</v>
      </c>
      <c r="H103" s="98">
        <v>7169.3048187444747</v>
      </c>
      <c r="I103" s="143">
        <v>1860.3902198315575</v>
      </c>
      <c r="J103" s="305">
        <f>+I103+K103</f>
        <v>6860.3902198315573</v>
      </c>
      <c r="K103" s="103">
        <v>5000</v>
      </c>
      <c r="L103" s="98"/>
      <c r="M103" s="99">
        <f t="shared" si="20"/>
        <v>21860.390219831559</v>
      </c>
      <c r="N103" s="100">
        <v>0.5</v>
      </c>
      <c r="O103" s="138">
        <f t="shared" si="21"/>
        <v>1860.3902198315575</v>
      </c>
      <c r="P103" s="95" t="s">
        <v>91</v>
      </c>
      <c r="Q103" s="174" t="s">
        <v>111</v>
      </c>
      <c r="R103" s="102"/>
    </row>
    <row r="104" spans="2:18" ht="108.5" x14ac:dyDescent="0.35">
      <c r="B104" s="97" t="s">
        <v>166</v>
      </c>
      <c r="C104" s="131" t="s">
        <v>167</v>
      </c>
      <c r="D104" s="98">
        <v>35000</v>
      </c>
      <c r="E104" s="169">
        <v>0</v>
      </c>
      <c r="F104" s="283">
        <f>+G104</f>
        <v>35000</v>
      </c>
      <c r="G104" s="103">
        <v>35000</v>
      </c>
      <c r="H104" s="98">
        <v>7080.8432802829366</v>
      </c>
      <c r="I104" s="143">
        <v>1860.3902198315575</v>
      </c>
      <c r="J104" s="305">
        <f t="shared" ref="J104" si="22">+I104+K104</f>
        <v>6860.3902198315573</v>
      </c>
      <c r="K104" s="103">
        <v>5000</v>
      </c>
      <c r="L104" s="98"/>
      <c r="M104" s="99">
        <f>+E104+G104+I104+K104</f>
        <v>41860.390219831555</v>
      </c>
      <c r="N104" s="100">
        <v>0.5</v>
      </c>
      <c r="O104" s="138">
        <f t="shared" si="21"/>
        <v>1860.3902198315575</v>
      </c>
      <c r="P104" s="95" t="s">
        <v>91</v>
      </c>
      <c r="Q104" s="174" t="s">
        <v>26</v>
      </c>
      <c r="R104" s="102"/>
    </row>
    <row r="105" spans="2:18" ht="15.5" hidden="1" x14ac:dyDescent="0.35">
      <c r="B105" s="97" t="s">
        <v>168</v>
      </c>
      <c r="C105" s="131" t="s">
        <v>97</v>
      </c>
      <c r="D105" s="131"/>
      <c r="E105" s="131"/>
      <c r="F105" s="281"/>
      <c r="G105" s="103"/>
      <c r="H105" s="98"/>
      <c r="I105" s="98"/>
      <c r="J105" s="275"/>
      <c r="K105" s="103"/>
      <c r="L105" s="98"/>
      <c r="M105" s="99">
        <f>SUM(G105:L105)</f>
        <v>0</v>
      </c>
      <c r="N105" s="100"/>
      <c r="O105" s="138"/>
      <c r="P105" s="101"/>
      <c r="Q105" s="174"/>
      <c r="R105" s="102"/>
    </row>
    <row r="106" spans="2:18" ht="15.5" hidden="1" x14ac:dyDescent="0.35">
      <c r="B106" s="97" t="s">
        <v>169</v>
      </c>
      <c r="C106" s="131" t="s">
        <v>97</v>
      </c>
      <c r="D106" s="131"/>
      <c r="E106" s="131"/>
      <c r="F106" s="281"/>
      <c r="G106" s="103"/>
      <c r="H106" s="98"/>
      <c r="I106" s="98"/>
      <c r="J106" s="275"/>
      <c r="K106" s="103"/>
      <c r="L106" s="98"/>
      <c r="M106" s="99">
        <f>SUM(G106:L106)</f>
        <v>0</v>
      </c>
      <c r="N106" s="100"/>
      <c r="O106" s="138"/>
      <c r="P106" s="101"/>
      <c r="Q106" s="174"/>
      <c r="R106" s="102"/>
    </row>
    <row r="107" spans="2:18" ht="15.5" hidden="1" x14ac:dyDescent="0.35">
      <c r="B107" s="97" t="s">
        <v>170</v>
      </c>
      <c r="C107" s="131" t="s">
        <v>97</v>
      </c>
      <c r="D107" s="131"/>
      <c r="E107" s="131"/>
      <c r="F107" s="281"/>
      <c r="G107" s="103"/>
      <c r="H107" s="101"/>
      <c r="I107" s="101"/>
      <c r="J107" s="278"/>
      <c r="K107" s="103"/>
      <c r="L107" s="101"/>
      <c r="M107" s="99">
        <f>SUM(G107:L107)</f>
        <v>0</v>
      </c>
      <c r="N107" s="104"/>
      <c r="O107" s="193"/>
      <c r="P107" s="101"/>
      <c r="Q107" s="176"/>
      <c r="R107" s="102"/>
    </row>
    <row r="108" spans="2:18" ht="15.5" hidden="1" x14ac:dyDescent="0.35">
      <c r="B108" s="97" t="s">
        <v>171</v>
      </c>
      <c r="C108" s="131" t="s">
        <v>97</v>
      </c>
      <c r="D108" s="131"/>
      <c r="E108" s="131"/>
      <c r="F108" s="281"/>
      <c r="G108" s="103"/>
      <c r="H108" s="101"/>
      <c r="I108" s="101"/>
      <c r="J108" s="278"/>
      <c r="K108" s="103"/>
      <c r="L108" s="101"/>
      <c r="M108" s="99">
        <f>SUM(G108:L108)</f>
        <v>0</v>
      </c>
      <c r="N108" s="104"/>
      <c r="O108" s="193"/>
      <c r="P108" s="101"/>
      <c r="Q108" s="176"/>
      <c r="R108" s="102"/>
    </row>
    <row r="109" spans="2:18" ht="15.5" x14ac:dyDescent="0.35">
      <c r="C109" s="62" t="s">
        <v>45</v>
      </c>
      <c r="D109" s="11">
        <f t="shared" ref="D109:M109" si="23">SUM(D101:D108)</f>
        <v>65000</v>
      </c>
      <c r="E109" s="11">
        <f t="shared" si="23"/>
        <v>13823.33</v>
      </c>
      <c r="F109" s="282">
        <f t="shared" si="23"/>
        <v>65000</v>
      </c>
      <c r="G109" s="11">
        <f>SUM(G101:G108)</f>
        <v>51176.67</v>
      </c>
      <c r="H109" s="11">
        <f t="shared" si="23"/>
        <v>28320.809018567645</v>
      </c>
      <c r="I109" s="11">
        <f t="shared" si="23"/>
        <v>7441.56087932623</v>
      </c>
      <c r="J109" s="282">
        <f>SUM(J101:J108)</f>
        <v>27441.560879326229</v>
      </c>
      <c r="K109" s="11">
        <f t="shared" si="23"/>
        <v>20000</v>
      </c>
      <c r="L109" s="11">
        <f t="shared" si="23"/>
        <v>0</v>
      </c>
      <c r="M109" s="11">
        <f t="shared" si="23"/>
        <v>92441.560879326222</v>
      </c>
      <c r="N109" s="8">
        <f>(N101*M101)+(N102*M102)+(N103*M103)+(N104*M104)+(N105*M105)+(N106*M106)+(N107*M107)+(N108*M108)</f>
        <v>46220.780439663111</v>
      </c>
      <c r="O109" s="195">
        <f>SUM(O101:O108)</f>
        <v>21264.890879326234</v>
      </c>
      <c r="P109" s="90"/>
      <c r="Q109" s="176"/>
      <c r="R109" s="21"/>
    </row>
    <row r="110" spans="2:18" ht="29.15" customHeight="1" x14ac:dyDescent="0.35">
      <c r="B110" s="62" t="s">
        <v>172</v>
      </c>
      <c r="C110" s="437" t="s">
        <v>173</v>
      </c>
      <c r="D110" s="438"/>
      <c r="E110" s="438"/>
      <c r="F110" s="438"/>
      <c r="G110" s="438"/>
      <c r="H110" s="438"/>
      <c r="I110" s="438"/>
      <c r="J110" s="438"/>
      <c r="K110" s="438"/>
      <c r="L110" s="438"/>
      <c r="M110" s="438"/>
      <c r="N110" s="438"/>
      <c r="O110" s="438"/>
      <c r="P110" s="438"/>
      <c r="Q110" s="439"/>
      <c r="R110" s="20"/>
    </row>
    <row r="111" spans="2:18" ht="62" x14ac:dyDescent="0.35">
      <c r="B111" s="97" t="s">
        <v>174</v>
      </c>
      <c r="C111" s="131" t="s">
        <v>175</v>
      </c>
      <c r="D111" s="98">
        <v>5000</v>
      </c>
      <c r="E111" s="98">
        <v>13823.33</v>
      </c>
      <c r="F111" s="275">
        <f>+E111</f>
        <v>13823.33</v>
      </c>
      <c r="G111" s="103">
        <v>5000</v>
      </c>
      <c r="H111" s="98">
        <v>7188.5355879752433</v>
      </c>
      <c r="I111" s="143">
        <v>4199.18021983156</v>
      </c>
      <c r="J111" s="305">
        <f>+I111+K111</f>
        <v>13199.18021983156</v>
      </c>
      <c r="K111" s="103">
        <v>9000</v>
      </c>
      <c r="L111" s="98"/>
      <c r="M111" s="99">
        <f>+E111+G111+I111+K111</f>
        <v>32022.510219831562</v>
      </c>
      <c r="N111" s="100">
        <v>0.5</v>
      </c>
      <c r="O111" s="138">
        <f>+E111+I111</f>
        <v>18022.510219831558</v>
      </c>
      <c r="P111" s="95" t="s">
        <v>91</v>
      </c>
      <c r="Q111" s="174" t="s">
        <v>176</v>
      </c>
      <c r="R111" s="102"/>
    </row>
    <row r="112" spans="2:18" ht="77.5" x14ac:dyDescent="0.35">
      <c r="B112" s="97" t="s">
        <v>177</v>
      </c>
      <c r="C112" s="135" t="s">
        <v>178</v>
      </c>
      <c r="D112" s="98">
        <v>15000</v>
      </c>
      <c r="E112" s="135"/>
      <c r="F112" s="290">
        <f>+G112</f>
        <v>18176.669999999998</v>
      </c>
      <c r="G112" s="103">
        <f>15000+3176.67</f>
        <v>18176.669999999998</v>
      </c>
      <c r="H112" s="98">
        <v>6226.9971264367823</v>
      </c>
      <c r="I112" s="143">
        <v>3720.7802198315603</v>
      </c>
      <c r="J112" s="305">
        <f>+I112+K112</f>
        <v>9720.7802198315603</v>
      </c>
      <c r="K112" s="103">
        <v>6000</v>
      </c>
      <c r="L112" s="98"/>
      <c r="M112" s="99">
        <f t="shared" ref="M112:M114" si="24">+E112+G112+I112+K112</f>
        <v>27897.45021983156</v>
      </c>
      <c r="N112" s="100">
        <v>0.5</v>
      </c>
      <c r="O112" s="138">
        <f t="shared" ref="O112:O114" si="25">+E112+I112</f>
        <v>3720.7802198315603</v>
      </c>
      <c r="P112" s="95" t="s">
        <v>91</v>
      </c>
      <c r="Q112" s="174" t="s">
        <v>111</v>
      </c>
      <c r="R112" s="102"/>
    </row>
    <row r="113" spans="2:18" ht="88.15" customHeight="1" x14ac:dyDescent="0.35">
      <c r="B113" s="129" t="s">
        <v>179</v>
      </c>
      <c r="C113" s="135" t="s">
        <v>180</v>
      </c>
      <c r="D113" s="98">
        <v>2000</v>
      </c>
      <c r="E113" s="135"/>
      <c r="F113" s="283">
        <v>0</v>
      </c>
      <c r="G113" s="103">
        <v>0</v>
      </c>
      <c r="H113" s="98">
        <v>3944.9458443855005</v>
      </c>
      <c r="I113" s="143">
        <v>0</v>
      </c>
      <c r="J113" s="305">
        <f>+I113+K113</f>
        <v>0</v>
      </c>
      <c r="K113" s="103">
        <v>0</v>
      </c>
      <c r="L113" s="98"/>
      <c r="M113" s="99">
        <f t="shared" si="24"/>
        <v>0</v>
      </c>
      <c r="N113" s="100">
        <v>0.5</v>
      </c>
      <c r="O113" s="138">
        <f t="shared" si="25"/>
        <v>0</v>
      </c>
      <c r="P113" s="130" t="s">
        <v>181</v>
      </c>
      <c r="Q113" s="179" t="s">
        <v>182</v>
      </c>
      <c r="R113" s="102"/>
    </row>
    <row r="114" spans="2:18" ht="62" x14ac:dyDescent="0.35">
      <c r="B114" s="129" t="s">
        <v>183</v>
      </c>
      <c r="C114" s="135" t="s">
        <v>184</v>
      </c>
      <c r="D114" s="98">
        <v>10000</v>
      </c>
      <c r="E114" s="135"/>
      <c r="F114" s="283">
        <v>0</v>
      </c>
      <c r="G114" s="103">
        <v>0</v>
      </c>
      <c r="H114" s="98">
        <v>7007.856100795756</v>
      </c>
      <c r="I114" s="143">
        <v>0</v>
      </c>
      <c r="J114" s="305">
        <f t="shared" ref="J114:J118" si="26">+I114+K114</f>
        <v>0</v>
      </c>
      <c r="K114" s="103">
        <v>0</v>
      </c>
      <c r="L114" s="98"/>
      <c r="M114" s="99">
        <f t="shared" si="24"/>
        <v>0</v>
      </c>
      <c r="N114" s="100">
        <v>0.5</v>
      </c>
      <c r="O114" s="138">
        <f t="shared" si="25"/>
        <v>0</v>
      </c>
      <c r="P114" s="130" t="s">
        <v>91</v>
      </c>
      <c r="Q114" s="179" t="s">
        <v>111</v>
      </c>
      <c r="R114" s="102"/>
    </row>
    <row r="115" spans="2:18" ht="15.5" hidden="1" x14ac:dyDescent="0.35">
      <c r="B115" s="97" t="s">
        <v>185</v>
      </c>
      <c r="C115" s="131" t="s">
        <v>97</v>
      </c>
      <c r="D115" s="131"/>
      <c r="E115" s="131"/>
      <c r="F115" s="281"/>
      <c r="G115" s="103"/>
      <c r="H115" s="98"/>
      <c r="I115" s="98"/>
      <c r="J115" s="305">
        <f t="shared" si="26"/>
        <v>0</v>
      </c>
      <c r="K115" s="103"/>
      <c r="L115" s="98"/>
      <c r="M115" s="99">
        <f>SUM(G115:L115)</f>
        <v>0</v>
      </c>
      <c r="N115" s="100"/>
      <c r="O115" s="138"/>
      <c r="P115" s="101"/>
      <c r="Q115" s="174"/>
      <c r="R115" s="102"/>
    </row>
    <row r="116" spans="2:18" ht="15.5" hidden="1" x14ac:dyDescent="0.35">
      <c r="B116" s="97" t="s">
        <v>186</v>
      </c>
      <c r="C116" s="131" t="s">
        <v>97</v>
      </c>
      <c r="D116" s="131"/>
      <c r="E116" s="131"/>
      <c r="F116" s="281"/>
      <c r="G116" s="103"/>
      <c r="H116" s="98"/>
      <c r="I116" s="98"/>
      <c r="J116" s="305">
        <f t="shared" si="26"/>
        <v>0</v>
      </c>
      <c r="K116" s="103"/>
      <c r="L116" s="98"/>
      <c r="M116" s="99">
        <f>SUM(G116:L116)</f>
        <v>0</v>
      </c>
      <c r="N116" s="100"/>
      <c r="O116" s="138"/>
      <c r="P116" s="101"/>
      <c r="Q116" s="174"/>
      <c r="R116" s="102"/>
    </row>
    <row r="117" spans="2:18" ht="15.5" hidden="1" x14ac:dyDescent="0.35">
      <c r="B117" s="97" t="s">
        <v>187</v>
      </c>
      <c r="C117" s="131" t="s">
        <v>97</v>
      </c>
      <c r="D117" s="131"/>
      <c r="E117" s="131"/>
      <c r="F117" s="281"/>
      <c r="G117" s="103"/>
      <c r="H117" s="101"/>
      <c r="I117" s="101"/>
      <c r="J117" s="305">
        <f t="shared" si="26"/>
        <v>0</v>
      </c>
      <c r="K117" s="103"/>
      <c r="L117" s="101"/>
      <c r="M117" s="99">
        <f>SUM(G117:L117)</f>
        <v>0</v>
      </c>
      <c r="N117" s="104"/>
      <c r="O117" s="193"/>
      <c r="P117" s="101"/>
      <c r="Q117" s="176"/>
      <c r="R117" s="102"/>
    </row>
    <row r="118" spans="2:18" ht="15.5" hidden="1" x14ac:dyDescent="0.35">
      <c r="B118" s="97" t="s">
        <v>188</v>
      </c>
      <c r="C118" s="131" t="s">
        <v>97</v>
      </c>
      <c r="D118" s="131"/>
      <c r="E118" s="131"/>
      <c r="F118" s="281"/>
      <c r="G118" s="103"/>
      <c r="H118" s="101"/>
      <c r="I118" s="101"/>
      <c r="J118" s="305">
        <f t="shared" si="26"/>
        <v>0</v>
      </c>
      <c r="K118" s="103"/>
      <c r="L118" s="101"/>
      <c r="M118" s="99">
        <f>SUM(G118:L118)</f>
        <v>0</v>
      </c>
      <c r="N118" s="104"/>
      <c r="O118" s="193"/>
      <c r="P118" s="101"/>
      <c r="Q118" s="176"/>
      <c r="R118" s="102"/>
    </row>
    <row r="119" spans="2:18" ht="15.5" x14ac:dyDescent="0.35">
      <c r="C119" s="62" t="s">
        <v>45</v>
      </c>
      <c r="D119" s="8">
        <f t="shared" ref="D119:M119" si="27">SUM(D111:D118)</f>
        <v>32000</v>
      </c>
      <c r="E119" s="8">
        <f t="shared" si="27"/>
        <v>13823.33</v>
      </c>
      <c r="F119" s="280">
        <f>SUM(F111:F118)</f>
        <v>32000</v>
      </c>
      <c r="G119" s="8">
        <f>SUM(G111:G118)</f>
        <v>23176.67</v>
      </c>
      <c r="H119" s="8">
        <f t="shared" si="27"/>
        <v>24368.334659593282</v>
      </c>
      <c r="I119" s="8">
        <f t="shared" si="27"/>
        <v>7919.9604396631203</v>
      </c>
      <c r="J119" s="280">
        <f>SUM(J111:J118)</f>
        <v>22919.960439663118</v>
      </c>
      <c r="K119" s="8">
        <f t="shared" si="27"/>
        <v>15000</v>
      </c>
      <c r="L119" s="8">
        <f t="shared" si="27"/>
        <v>0</v>
      </c>
      <c r="M119" s="8">
        <f t="shared" si="27"/>
        <v>59919.960439663118</v>
      </c>
      <c r="N119" s="8">
        <f>(N111*M111)+(N112*M112)+(N113*M113)+(N114*M114)+(N115*M115)+(N116*M116)+(N117*M117)+(N118*M118)</f>
        <v>29959.980219831559</v>
      </c>
      <c r="O119" s="197">
        <f>SUM(O111:O118)</f>
        <v>21743.29043966312</v>
      </c>
      <c r="P119" s="150"/>
      <c r="Q119" s="180"/>
      <c r="R119" s="21"/>
    </row>
    <row r="120" spans="2:18" ht="51" hidden="1" customHeight="1" x14ac:dyDescent="0.35">
      <c r="B120" s="146" t="s">
        <v>189</v>
      </c>
      <c r="C120" s="443" t="s">
        <v>97</v>
      </c>
      <c r="D120" s="444"/>
      <c r="E120" s="444"/>
      <c r="F120" s="444"/>
      <c r="G120" s="444"/>
      <c r="H120" s="444"/>
      <c r="I120" s="444"/>
      <c r="J120" s="444"/>
      <c r="K120" s="444"/>
      <c r="L120" s="444"/>
      <c r="M120" s="444"/>
      <c r="N120" s="444"/>
      <c r="O120" s="444"/>
      <c r="P120" s="444"/>
      <c r="Q120" s="445"/>
      <c r="R120" s="20"/>
    </row>
    <row r="121" spans="2:18" ht="15.5" hidden="1" x14ac:dyDescent="0.35">
      <c r="B121" s="151" t="s">
        <v>190</v>
      </c>
      <c r="C121" s="131"/>
      <c r="D121" s="131"/>
      <c r="E121" s="131"/>
      <c r="F121" s="281"/>
      <c r="G121" s="103"/>
      <c r="H121" s="103"/>
      <c r="I121" s="103"/>
      <c r="J121" s="276"/>
      <c r="K121" s="103"/>
      <c r="L121" s="103"/>
      <c r="M121" s="152">
        <f t="shared" ref="M121:M128" si="28">SUM(G121:L121)</f>
        <v>0</v>
      </c>
      <c r="N121" s="153"/>
      <c r="O121" s="159"/>
      <c r="P121" s="103"/>
      <c r="Q121" s="180"/>
      <c r="R121" s="102"/>
    </row>
    <row r="122" spans="2:18" ht="15.5" hidden="1" x14ac:dyDescent="0.35">
      <c r="B122" s="151" t="s">
        <v>191</v>
      </c>
      <c r="C122" s="131"/>
      <c r="D122" s="131"/>
      <c r="E122" s="131"/>
      <c r="F122" s="281"/>
      <c r="G122" s="103"/>
      <c r="H122" s="103"/>
      <c r="I122" s="103"/>
      <c r="J122" s="276"/>
      <c r="K122" s="103"/>
      <c r="L122" s="103"/>
      <c r="M122" s="152">
        <f t="shared" si="28"/>
        <v>0</v>
      </c>
      <c r="N122" s="153"/>
      <c r="O122" s="159"/>
      <c r="P122" s="103"/>
      <c r="Q122" s="180"/>
      <c r="R122" s="102"/>
    </row>
    <row r="123" spans="2:18" ht="15.5" hidden="1" x14ac:dyDescent="0.35">
      <c r="B123" s="151" t="s">
        <v>192</v>
      </c>
      <c r="C123" s="131"/>
      <c r="D123" s="131"/>
      <c r="E123" s="131"/>
      <c r="F123" s="281"/>
      <c r="G123" s="103"/>
      <c r="H123" s="103"/>
      <c r="I123" s="103"/>
      <c r="J123" s="276"/>
      <c r="K123" s="103"/>
      <c r="L123" s="103"/>
      <c r="M123" s="152">
        <f t="shared" si="28"/>
        <v>0</v>
      </c>
      <c r="N123" s="153"/>
      <c r="O123" s="159"/>
      <c r="P123" s="103"/>
      <c r="Q123" s="180"/>
      <c r="R123" s="102"/>
    </row>
    <row r="124" spans="2:18" ht="15.5" hidden="1" x14ac:dyDescent="0.35">
      <c r="B124" s="151" t="s">
        <v>193</v>
      </c>
      <c r="C124" s="131"/>
      <c r="D124" s="131"/>
      <c r="E124" s="131"/>
      <c r="F124" s="281"/>
      <c r="G124" s="103"/>
      <c r="H124" s="103"/>
      <c r="I124" s="103"/>
      <c r="J124" s="276"/>
      <c r="K124" s="103"/>
      <c r="L124" s="103"/>
      <c r="M124" s="152">
        <f t="shared" si="28"/>
        <v>0</v>
      </c>
      <c r="N124" s="153"/>
      <c r="O124" s="159"/>
      <c r="P124" s="103"/>
      <c r="Q124" s="180"/>
      <c r="R124" s="102"/>
    </row>
    <row r="125" spans="2:18" ht="15.5" hidden="1" x14ac:dyDescent="0.35">
      <c r="B125" s="151" t="s">
        <v>194</v>
      </c>
      <c r="C125" s="131"/>
      <c r="D125" s="131"/>
      <c r="E125" s="131"/>
      <c r="F125" s="281"/>
      <c r="G125" s="103"/>
      <c r="H125" s="103"/>
      <c r="I125" s="103"/>
      <c r="J125" s="276"/>
      <c r="K125" s="103"/>
      <c r="L125" s="103"/>
      <c r="M125" s="152">
        <f t="shared" si="28"/>
        <v>0</v>
      </c>
      <c r="N125" s="153"/>
      <c r="O125" s="159"/>
      <c r="P125" s="103"/>
      <c r="Q125" s="180"/>
      <c r="R125" s="102"/>
    </row>
    <row r="126" spans="2:18" ht="15.5" hidden="1" x14ac:dyDescent="0.35">
      <c r="B126" s="151" t="s">
        <v>195</v>
      </c>
      <c r="C126" s="131"/>
      <c r="D126" s="131"/>
      <c r="E126" s="131"/>
      <c r="F126" s="281"/>
      <c r="G126" s="103"/>
      <c r="H126" s="103"/>
      <c r="I126" s="103"/>
      <c r="J126" s="276"/>
      <c r="K126" s="103"/>
      <c r="L126" s="103"/>
      <c r="M126" s="152">
        <f t="shared" si="28"/>
        <v>0</v>
      </c>
      <c r="N126" s="153"/>
      <c r="O126" s="159"/>
      <c r="P126" s="103"/>
      <c r="Q126" s="180"/>
      <c r="R126" s="102"/>
    </row>
    <row r="127" spans="2:18" ht="15.5" hidden="1" x14ac:dyDescent="0.35">
      <c r="B127" s="151" t="s">
        <v>196</v>
      </c>
      <c r="C127" s="131"/>
      <c r="D127" s="131"/>
      <c r="E127" s="131"/>
      <c r="F127" s="281"/>
      <c r="G127" s="103"/>
      <c r="H127" s="103"/>
      <c r="I127" s="103"/>
      <c r="J127" s="276"/>
      <c r="K127" s="103"/>
      <c r="L127" s="103"/>
      <c r="M127" s="152">
        <f t="shared" si="28"/>
        <v>0</v>
      </c>
      <c r="N127" s="153"/>
      <c r="O127" s="159"/>
      <c r="P127" s="103"/>
      <c r="Q127" s="180"/>
      <c r="R127" s="102"/>
    </row>
    <row r="128" spans="2:18" ht="15.5" hidden="1" x14ac:dyDescent="0.35">
      <c r="B128" s="151" t="s">
        <v>197</v>
      </c>
      <c r="C128" s="131"/>
      <c r="D128" s="131"/>
      <c r="E128" s="131"/>
      <c r="F128" s="281"/>
      <c r="G128" s="103"/>
      <c r="H128" s="103"/>
      <c r="I128" s="103"/>
      <c r="J128" s="276"/>
      <c r="K128" s="103"/>
      <c r="L128" s="103"/>
      <c r="M128" s="152">
        <f t="shared" si="28"/>
        <v>0</v>
      </c>
      <c r="N128" s="153"/>
      <c r="O128" s="159"/>
      <c r="P128" s="103"/>
      <c r="Q128" s="180"/>
      <c r="R128" s="102"/>
    </row>
    <row r="129" spans="2:18" ht="15.5" hidden="1" x14ac:dyDescent="0.35">
      <c r="C129" s="146" t="s">
        <v>45</v>
      </c>
      <c r="D129" s="146"/>
      <c r="E129" s="146"/>
      <c r="F129" s="291"/>
      <c r="G129" s="149">
        <f>SUM(G121:G128)</f>
        <v>0</v>
      </c>
      <c r="H129" s="149"/>
      <c r="I129" s="149"/>
      <c r="J129" s="308"/>
      <c r="K129" s="149">
        <f>SUM(K121:K128)</f>
        <v>0</v>
      </c>
      <c r="L129" s="149">
        <f>SUM(L121:L128)</f>
        <v>0</v>
      </c>
      <c r="M129" s="149">
        <f>SUM(M121:M128)</f>
        <v>0</v>
      </c>
      <c r="N129" s="149">
        <f>(N121*M121)+(N122*M122)+(N123*M123)+(N124*M124)+(N125*M125)+(N126*M126)+(N127*M127)+(N128*M128)</f>
        <v>0</v>
      </c>
      <c r="O129" s="198">
        <f>SUM(O121:O128)</f>
        <v>0</v>
      </c>
      <c r="P129" s="150"/>
      <c r="Q129" s="180"/>
      <c r="R129" s="21"/>
    </row>
    <row r="130" spans="2:18" ht="15.75" hidden="1" customHeight="1" x14ac:dyDescent="0.35">
      <c r="B130" s="1"/>
      <c r="C130" s="115"/>
      <c r="D130" s="115"/>
      <c r="E130" s="115"/>
      <c r="F130" s="289"/>
      <c r="G130" s="114"/>
      <c r="H130" s="114"/>
      <c r="I130" s="114"/>
      <c r="J130" s="307"/>
      <c r="K130" s="114"/>
      <c r="L130" s="114"/>
      <c r="M130" s="114"/>
      <c r="N130" s="145"/>
      <c r="O130" s="196"/>
      <c r="P130" s="114"/>
      <c r="Q130" s="154"/>
      <c r="R130" s="2"/>
    </row>
    <row r="131" spans="2:18" ht="51" hidden="1" customHeight="1" x14ac:dyDescent="0.35">
      <c r="B131" s="146" t="s">
        <v>198</v>
      </c>
      <c r="C131" s="440" t="s">
        <v>97</v>
      </c>
      <c r="D131" s="441"/>
      <c r="E131" s="441"/>
      <c r="F131" s="441"/>
      <c r="G131" s="441"/>
      <c r="H131" s="441"/>
      <c r="I131" s="441"/>
      <c r="J131" s="441"/>
      <c r="K131" s="441"/>
      <c r="L131" s="441"/>
      <c r="M131" s="441"/>
      <c r="N131" s="441"/>
      <c r="O131" s="441"/>
      <c r="P131" s="441"/>
      <c r="Q131" s="442"/>
      <c r="R131" s="7"/>
    </row>
    <row r="132" spans="2:18" ht="51" hidden="1" customHeight="1" x14ac:dyDescent="0.35">
      <c r="B132" s="146" t="s">
        <v>199</v>
      </c>
      <c r="C132" s="443"/>
      <c r="D132" s="444"/>
      <c r="E132" s="444"/>
      <c r="F132" s="444"/>
      <c r="G132" s="444"/>
      <c r="H132" s="444"/>
      <c r="I132" s="444"/>
      <c r="J132" s="444"/>
      <c r="K132" s="444"/>
      <c r="L132" s="444"/>
      <c r="M132" s="444"/>
      <c r="N132" s="444"/>
      <c r="O132" s="444"/>
      <c r="P132" s="444"/>
      <c r="Q132" s="445"/>
      <c r="R132" s="20"/>
    </row>
    <row r="133" spans="2:18" ht="15.5" hidden="1" x14ac:dyDescent="0.35">
      <c r="B133" s="151" t="s">
        <v>200</v>
      </c>
      <c r="C133" s="131"/>
      <c r="D133" s="131"/>
      <c r="E133" s="131"/>
      <c r="F133" s="281"/>
      <c r="G133" s="103"/>
      <c r="H133" s="103"/>
      <c r="I133" s="103"/>
      <c r="J133" s="276"/>
      <c r="K133" s="103"/>
      <c r="L133" s="103"/>
      <c r="M133" s="152">
        <f t="shared" ref="M133:M140" si="29">SUM(G133:L133)</f>
        <v>0</v>
      </c>
      <c r="N133" s="153"/>
      <c r="O133" s="159"/>
      <c r="P133" s="103"/>
      <c r="Q133" s="180"/>
      <c r="R133" s="102"/>
    </row>
    <row r="134" spans="2:18" ht="15.5" hidden="1" x14ac:dyDescent="0.35">
      <c r="B134" s="151" t="s">
        <v>201</v>
      </c>
      <c r="C134" s="131"/>
      <c r="D134" s="131"/>
      <c r="E134" s="131"/>
      <c r="F134" s="281"/>
      <c r="G134" s="103"/>
      <c r="H134" s="103"/>
      <c r="I134" s="103"/>
      <c r="J134" s="276"/>
      <c r="K134" s="103"/>
      <c r="L134" s="103"/>
      <c r="M134" s="152">
        <f t="shared" si="29"/>
        <v>0</v>
      </c>
      <c r="N134" s="153"/>
      <c r="O134" s="159"/>
      <c r="P134" s="103"/>
      <c r="Q134" s="180"/>
      <c r="R134" s="102"/>
    </row>
    <row r="135" spans="2:18" ht="15.5" hidden="1" x14ac:dyDescent="0.35">
      <c r="B135" s="151" t="s">
        <v>202</v>
      </c>
      <c r="C135" s="131"/>
      <c r="D135" s="131"/>
      <c r="E135" s="131"/>
      <c r="F135" s="281"/>
      <c r="G135" s="103"/>
      <c r="H135" s="103"/>
      <c r="I135" s="103"/>
      <c r="J135" s="276"/>
      <c r="K135" s="103"/>
      <c r="L135" s="103"/>
      <c r="M135" s="152">
        <f t="shared" si="29"/>
        <v>0</v>
      </c>
      <c r="N135" s="153"/>
      <c r="O135" s="159"/>
      <c r="P135" s="103"/>
      <c r="Q135" s="180"/>
      <c r="R135" s="102"/>
    </row>
    <row r="136" spans="2:18" ht="15.5" hidden="1" x14ac:dyDescent="0.35">
      <c r="B136" s="151" t="s">
        <v>203</v>
      </c>
      <c r="C136" s="131"/>
      <c r="D136" s="131"/>
      <c r="E136" s="131"/>
      <c r="F136" s="281"/>
      <c r="G136" s="103"/>
      <c r="H136" s="103"/>
      <c r="I136" s="103"/>
      <c r="J136" s="276"/>
      <c r="K136" s="103"/>
      <c r="L136" s="103"/>
      <c r="M136" s="152">
        <f t="shared" si="29"/>
        <v>0</v>
      </c>
      <c r="N136" s="153"/>
      <c r="O136" s="159"/>
      <c r="P136" s="103"/>
      <c r="Q136" s="180"/>
      <c r="R136" s="102"/>
    </row>
    <row r="137" spans="2:18" ht="15.5" hidden="1" x14ac:dyDescent="0.35">
      <c r="B137" s="151" t="s">
        <v>204</v>
      </c>
      <c r="C137" s="131"/>
      <c r="D137" s="131"/>
      <c r="E137" s="131"/>
      <c r="F137" s="281"/>
      <c r="G137" s="103"/>
      <c r="H137" s="103"/>
      <c r="I137" s="103"/>
      <c r="J137" s="276"/>
      <c r="K137" s="103"/>
      <c r="L137" s="103"/>
      <c r="M137" s="152">
        <f t="shared" si="29"/>
        <v>0</v>
      </c>
      <c r="N137" s="153"/>
      <c r="O137" s="159"/>
      <c r="P137" s="103"/>
      <c r="Q137" s="180"/>
      <c r="R137" s="102"/>
    </row>
    <row r="138" spans="2:18" ht="15.5" hidden="1" x14ac:dyDescent="0.35">
      <c r="B138" s="151" t="s">
        <v>205</v>
      </c>
      <c r="C138" s="131"/>
      <c r="D138" s="131"/>
      <c r="E138" s="131"/>
      <c r="F138" s="281"/>
      <c r="G138" s="103"/>
      <c r="H138" s="103"/>
      <c r="I138" s="103"/>
      <c r="J138" s="276"/>
      <c r="K138" s="103"/>
      <c r="L138" s="103"/>
      <c r="M138" s="152">
        <f t="shared" si="29"/>
        <v>0</v>
      </c>
      <c r="N138" s="153"/>
      <c r="O138" s="159"/>
      <c r="P138" s="103"/>
      <c r="Q138" s="180"/>
      <c r="R138" s="102"/>
    </row>
    <row r="139" spans="2:18" ht="15.5" hidden="1" x14ac:dyDescent="0.35">
      <c r="B139" s="151" t="s">
        <v>206</v>
      </c>
      <c r="C139" s="131"/>
      <c r="D139" s="131"/>
      <c r="E139" s="131"/>
      <c r="F139" s="281"/>
      <c r="G139" s="103"/>
      <c r="H139" s="103"/>
      <c r="I139" s="103"/>
      <c r="J139" s="276"/>
      <c r="K139" s="103"/>
      <c r="L139" s="103"/>
      <c r="M139" s="152">
        <f t="shared" si="29"/>
        <v>0</v>
      </c>
      <c r="N139" s="153"/>
      <c r="O139" s="159"/>
      <c r="P139" s="103"/>
      <c r="Q139" s="180"/>
      <c r="R139" s="102"/>
    </row>
    <row r="140" spans="2:18" ht="15.5" hidden="1" x14ac:dyDescent="0.35">
      <c r="B140" s="151" t="s">
        <v>207</v>
      </c>
      <c r="C140" s="131"/>
      <c r="D140" s="131"/>
      <c r="E140" s="131"/>
      <c r="F140" s="281"/>
      <c r="G140" s="103"/>
      <c r="H140" s="103"/>
      <c r="I140" s="103"/>
      <c r="J140" s="276"/>
      <c r="K140" s="103"/>
      <c r="L140" s="103"/>
      <c r="M140" s="152">
        <f t="shared" si="29"/>
        <v>0</v>
      </c>
      <c r="N140" s="153"/>
      <c r="O140" s="159"/>
      <c r="P140" s="103"/>
      <c r="Q140" s="180"/>
      <c r="R140" s="102"/>
    </row>
    <row r="141" spans="2:18" ht="15.5" hidden="1" x14ac:dyDescent="0.35">
      <c r="C141" s="146" t="s">
        <v>45</v>
      </c>
      <c r="D141" s="146"/>
      <c r="E141" s="146"/>
      <c r="F141" s="291"/>
      <c r="G141" s="149">
        <f>SUM(G133:G140)</f>
        <v>0</v>
      </c>
      <c r="H141" s="149"/>
      <c r="I141" s="149"/>
      <c r="J141" s="308"/>
      <c r="K141" s="149">
        <f>SUM(K133:K140)</f>
        <v>0</v>
      </c>
      <c r="L141" s="149">
        <f>SUM(L133:L140)</f>
        <v>0</v>
      </c>
      <c r="M141" s="148">
        <f>SUM(M133:M140)</f>
        <v>0</v>
      </c>
      <c r="N141" s="149">
        <f>(N133*M133)+(N134*M134)+(N135*M135)+(N136*M136)+(N137*M137)+(N138*M138)+(N139*M139)+(N140*M140)</f>
        <v>0</v>
      </c>
      <c r="O141" s="198">
        <f>SUM(O133:O140)</f>
        <v>0</v>
      </c>
      <c r="P141" s="150"/>
      <c r="Q141" s="180"/>
      <c r="R141" s="21"/>
    </row>
    <row r="142" spans="2:18" ht="51" hidden="1" customHeight="1" x14ac:dyDescent="0.35">
      <c r="B142" s="146" t="s">
        <v>208</v>
      </c>
      <c r="C142" s="443"/>
      <c r="D142" s="444"/>
      <c r="E142" s="444"/>
      <c r="F142" s="444"/>
      <c r="G142" s="444"/>
      <c r="H142" s="444"/>
      <c r="I142" s="444"/>
      <c r="J142" s="444"/>
      <c r="K142" s="444"/>
      <c r="L142" s="444"/>
      <c r="M142" s="444"/>
      <c r="N142" s="444"/>
      <c r="O142" s="444"/>
      <c r="P142" s="444"/>
      <c r="Q142" s="445"/>
      <c r="R142" s="20"/>
    </row>
    <row r="143" spans="2:18" ht="15.5" hidden="1" x14ac:dyDescent="0.35">
      <c r="B143" s="151" t="s">
        <v>209</v>
      </c>
      <c r="C143" s="131"/>
      <c r="D143" s="131"/>
      <c r="E143" s="131"/>
      <c r="F143" s="281"/>
      <c r="G143" s="103"/>
      <c r="H143" s="103"/>
      <c r="I143" s="103"/>
      <c r="J143" s="276"/>
      <c r="K143" s="103"/>
      <c r="L143" s="103"/>
      <c r="M143" s="152">
        <f t="shared" ref="M143:M150" si="30">SUM(G143:L143)</f>
        <v>0</v>
      </c>
      <c r="N143" s="153"/>
      <c r="O143" s="159"/>
      <c r="P143" s="103"/>
      <c r="Q143" s="180"/>
      <c r="R143" s="102"/>
    </row>
    <row r="144" spans="2:18" ht="15.5" hidden="1" x14ac:dyDescent="0.35">
      <c r="B144" s="151" t="s">
        <v>210</v>
      </c>
      <c r="C144" s="131"/>
      <c r="D144" s="131"/>
      <c r="E144" s="131"/>
      <c r="F144" s="281"/>
      <c r="G144" s="103"/>
      <c r="H144" s="103"/>
      <c r="I144" s="103"/>
      <c r="J144" s="276"/>
      <c r="K144" s="103"/>
      <c r="L144" s="103"/>
      <c r="M144" s="152">
        <f t="shared" si="30"/>
        <v>0</v>
      </c>
      <c r="N144" s="153"/>
      <c r="O144" s="159"/>
      <c r="P144" s="103"/>
      <c r="Q144" s="180"/>
      <c r="R144" s="102"/>
    </row>
    <row r="145" spans="2:18" ht="15.5" hidden="1" x14ac:dyDescent="0.35">
      <c r="B145" s="151" t="s">
        <v>211</v>
      </c>
      <c r="C145" s="131"/>
      <c r="D145" s="131"/>
      <c r="E145" s="131"/>
      <c r="F145" s="281"/>
      <c r="G145" s="103"/>
      <c r="H145" s="103"/>
      <c r="I145" s="103"/>
      <c r="J145" s="276"/>
      <c r="K145" s="103"/>
      <c r="L145" s="103"/>
      <c r="M145" s="152">
        <f t="shared" si="30"/>
        <v>0</v>
      </c>
      <c r="N145" s="153"/>
      <c r="O145" s="159"/>
      <c r="P145" s="103"/>
      <c r="Q145" s="180"/>
      <c r="R145" s="102"/>
    </row>
    <row r="146" spans="2:18" ht="15.5" hidden="1" x14ac:dyDescent="0.35">
      <c r="B146" s="151" t="s">
        <v>212</v>
      </c>
      <c r="C146" s="131"/>
      <c r="D146" s="131"/>
      <c r="E146" s="131"/>
      <c r="F146" s="281"/>
      <c r="G146" s="103"/>
      <c r="H146" s="103"/>
      <c r="I146" s="103"/>
      <c r="J146" s="276"/>
      <c r="K146" s="103"/>
      <c r="L146" s="103"/>
      <c r="M146" s="152">
        <f t="shared" si="30"/>
        <v>0</v>
      </c>
      <c r="N146" s="153"/>
      <c r="O146" s="159"/>
      <c r="P146" s="103"/>
      <c r="Q146" s="180"/>
      <c r="R146" s="102"/>
    </row>
    <row r="147" spans="2:18" ht="15.5" hidden="1" x14ac:dyDescent="0.35">
      <c r="B147" s="151" t="s">
        <v>213</v>
      </c>
      <c r="C147" s="131"/>
      <c r="D147" s="131"/>
      <c r="E147" s="131"/>
      <c r="F147" s="281"/>
      <c r="G147" s="103"/>
      <c r="H147" s="103"/>
      <c r="I147" s="103"/>
      <c r="J147" s="276"/>
      <c r="K147" s="103"/>
      <c r="L147" s="103"/>
      <c r="M147" s="152">
        <f t="shared" si="30"/>
        <v>0</v>
      </c>
      <c r="N147" s="153"/>
      <c r="O147" s="159"/>
      <c r="P147" s="103"/>
      <c r="Q147" s="180"/>
      <c r="R147" s="102"/>
    </row>
    <row r="148" spans="2:18" ht="15.5" hidden="1" x14ac:dyDescent="0.35">
      <c r="B148" s="151" t="s">
        <v>214</v>
      </c>
      <c r="C148" s="131"/>
      <c r="D148" s="131"/>
      <c r="E148" s="131"/>
      <c r="F148" s="281"/>
      <c r="G148" s="103"/>
      <c r="H148" s="103"/>
      <c r="I148" s="103"/>
      <c r="J148" s="276"/>
      <c r="K148" s="103"/>
      <c r="L148" s="103"/>
      <c r="M148" s="152">
        <f t="shared" si="30"/>
        <v>0</v>
      </c>
      <c r="N148" s="153"/>
      <c r="O148" s="159"/>
      <c r="P148" s="103"/>
      <c r="Q148" s="180"/>
      <c r="R148" s="102"/>
    </row>
    <row r="149" spans="2:18" ht="15.5" hidden="1" x14ac:dyDescent="0.35">
      <c r="B149" s="151" t="s">
        <v>215</v>
      </c>
      <c r="C149" s="131"/>
      <c r="D149" s="131"/>
      <c r="E149" s="131"/>
      <c r="F149" s="281"/>
      <c r="G149" s="103"/>
      <c r="H149" s="103"/>
      <c r="I149" s="103"/>
      <c r="J149" s="276"/>
      <c r="K149" s="103"/>
      <c r="L149" s="103"/>
      <c r="M149" s="152">
        <f t="shared" si="30"/>
        <v>0</v>
      </c>
      <c r="N149" s="153"/>
      <c r="O149" s="159"/>
      <c r="P149" s="103"/>
      <c r="Q149" s="180"/>
      <c r="R149" s="102"/>
    </row>
    <row r="150" spans="2:18" ht="15.5" hidden="1" x14ac:dyDescent="0.35">
      <c r="B150" s="151" t="s">
        <v>216</v>
      </c>
      <c r="C150" s="131"/>
      <c r="D150" s="131"/>
      <c r="E150" s="131"/>
      <c r="F150" s="281"/>
      <c r="G150" s="103"/>
      <c r="H150" s="103"/>
      <c r="I150" s="103"/>
      <c r="J150" s="276"/>
      <c r="K150" s="103"/>
      <c r="L150" s="103"/>
      <c r="M150" s="152">
        <f t="shared" si="30"/>
        <v>0</v>
      </c>
      <c r="N150" s="153"/>
      <c r="O150" s="159"/>
      <c r="P150" s="103"/>
      <c r="Q150" s="180"/>
      <c r="R150" s="102"/>
    </row>
    <row r="151" spans="2:18" ht="15.5" hidden="1" x14ac:dyDescent="0.35">
      <c r="C151" s="146" t="s">
        <v>45</v>
      </c>
      <c r="D151" s="147"/>
      <c r="E151" s="147"/>
      <c r="F151" s="292"/>
      <c r="G151" s="148">
        <f>SUM(G143:G150)</f>
        <v>0</v>
      </c>
      <c r="H151" s="148"/>
      <c r="I151" s="148"/>
      <c r="J151" s="309"/>
      <c r="K151" s="148">
        <f>SUM(K143:K150)</f>
        <v>0</v>
      </c>
      <c r="L151" s="148">
        <f>SUM(L143:L150)</f>
        <v>0</v>
      </c>
      <c r="M151" s="148">
        <f>SUM(M143:M150)</f>
        <v>0</v>
      </c>
      <c r="N151" s="149">
        <f>(N143*M143)+(N144*M144)+(N145*M145)+(N146*M146)+(N147*M147)+(N148*M148)+(N149*M149)+(N150*M150)</f>
        <v>0</v>
      </c>
      <c r="O151" s="198">
        <f>SUM(O143:O150)</f>
        <v>0</v>
      </c>
      <c r="P151" s="150"/>
      <c r="Q151" s="180"/>
      <c r="R151" s="21"/>
    </row>
    <row r="152" spans="2:18" ht="51" hidden="1" customHeight="1" x14ac:dyDescent="0.35">
      <c r="B152" s="146" t="s">
        <v>217</v>
      </c>
      <c r="C152" s="443"/>
      <c r="D152" s="444"/>
      <c r="E152" s="444"/>
      <c r="F152" s="444"/>
      <c r="G152" s="444"/>
      <c r="H152" s="444"/>
      <c r="I152" s="444"/>
      <c r="J152" s="444"/>
      <c r="K152" s="444"/>
      <c r="L152" s="444"/>
      <c r="M152" s="444"/>
      <c r="N152" s="444"/>
      <c r="O152" s="444"/>
      <c r="P152" s="444"/>
      <c r="Q152" s="445"/>
      <c r="R152" s="20"/>
    </row>
    <row r="153" spans="2:18" ht="15.5" hidden="1" x14ac:dyDescent="0.35">
      <c r="B153" s="151" t="s">
        <v>218</v>
      </c>
      <c r="C153" s="131"/>
      <c r="D153" s="131"/>
      <c r="E153" s="131"/>
      <c r="F153" s="281"/>
      <c r="G153" s="103"/>
      <c r="H153" s="103"/>
      <c r="I153" s="103"/>
      <c r="J153" s="276"/>
      <c r="K153" s="103"/>
      <c r="L153" s="103"/>
      <c r="M153" s="152">
        <f t="shared" ref="M153:M160" si="31">SUM(G153:L153)</f>
        <v>0</v>
      </c>
      <c r="N153" s="153"/>
      <c r="O153" s="159"/>
      <c r="P153" s="103"/>
      <c r="Q153" s="180"/>
      <c r="R153" s="102"/>
    </row>
    <row r="154" spans="2:18" ht="15.5" hidden="1" x14ac:dyDescent="0.35">
      <c r="B154" s="151" t="s">
        <v>219</v>
      </c>
      <c r="C154" s="131"/>
      <c r="D154" s="131"/>
      <c r="E154" s="131"/>
      <c r="F154" s="281"/>
      <c r="G154" s="103"/>
      <c r="H154" s="103"/>
      <c r="I154" s="103"/>
      <c r="J154" s="276"/>
      <c r="K154" s="103"/>
      <c r="L154" s="103"/>
      <c r="M154" s="152">
        <f t="shared" si="31"/>
        <v>0</v>
      </c>
      <c r="N154" s="153"/>
      <c r="O154" s="159"/>
      <c r="P154" s="103"/>
      <c r="Q154" s="180"/>
      <c r="R154" s="102"/>
    </row>
    <row r="155" spans="2:18" ht="15.5" hidden="1" x14ac:dyDescent="0.35">
      <c r="B155" s="151" t="s">
        <v>220</v>
      </c>
      <c r="C155" s="131"/>
      <c r="D155" s="131"/>
      <c r="E155" s="131"/>
      <c r="F155" s="281"/>
      <c r="G155" s="103"/>
      <c r="H155" s="103"/>
      <c r="I155" s="103"/>
      <c r="J155" s="276"/>
      <c r="K155" s="103"/>
      <c r="L155" s="103"/>
      <c r="M155" s="152">
        <f t="shared" si="31"/>
        <v>0</v>
      </c>
      <c r="N155" s="153"/>
      <c r="O155" s="159"/>
      <c r="P155" s="103"/>
      <c r="Q155" s="180"/>
      <c r="R155" s="102"/>
    </row>
    <row r="156" spans="2:18" ht="15.5" hidden="1" x14ac:dyDescent="0.35">
      <c r="B156" s="151" t="s">
        <v>221</v>
      </c>
      <c r="C156" s="131"/>
      <c r="D156" s="131"/>
      <c r="E156" s="131"/>
      <c r="F156" s="281"/>
      <c r="G156" s="103"/>
      <c r="H156" s="103"/>
      <c r="I156" s="103"/>
      <c r="J156" s="276"/>
      <c r="K156" s="103"/>
      <c r="L156" s="103"/>
      <c r="M156" s="152">
        <f t="shared" si="31"/>
        <v>0</v>
      </c>
      <c r="N156" s="153"/>
      <c r="O156" s="159"/>
      <c r="P156" s="103"/>
      <c r="Q156" s="180"/>
      <c r="R156" s="102"/>
    </row>
    <row r="157" spans="2:18" ht="15.5" hidden="1" x14ac:dyDescent="0.35">
      <c r="B157" s="151" t="s">
        <v>222</v>
      </c>
      <c r="C157" s="131"/>
      <c r="D157" s="131"/>
      <c r="E157" s="131"/>
      <c r="F157" s="281"/>
      <c r="G157" s="103"/>
      <c r="H157" s="103"/>
      <c r="I157" s="103"/>
      <c r="J157" s="276"/>
      <c r="K157" s="103"/>
      <c r="L157" s="103"/>
      <c r="M157" s="152">
        <f t="shared" si="31"/>
        <v>0</v>
      </c>
      <c r="N157" s="153"/>
      <c r="O157" s="159"/>
      <c r="P157" s="103"/>
      <c r="Q157" s="180"/>
      <c r="R157" s="102"/>
    </row>
    <row r="158" spans="2:18" ht="15.5" hidden="1" x14ac:dyDescent="0.35">
      <c r="B158" s="151" t="s">
        <v>223</v>
      </c>
      <c r="C158" s="131"/>
      <c r="D158" s="131"/>
      <c r="E158" s="131"/>
      <c r="F158" s="281"/>
      <c r="G158" s="103"/>
      <c r="H158" s="103"/>
      <c r="I158" s="103"/>
      <c r="J158" s="276"/>
      <c r="K158" s="103"/>
      <c r="L158" s="103"/>
      <c r="M158" s="152">
        <f t="shared" si="31"/>
        <v>0</v>
      </c>
      <c r="N158" s="153"/>
      <c r="O158" s="159"/>
      <c r="P158" s="103"/>
      <c r="Q158" s="180"/>
      <c r="R158" s="102"/>
    </row>
    <row r="159" spans="2:18" ht="15.5" hidden="1" x14ac:dyDescent="0.35">
      <c r="B159" s="151" t="s">
        <v>224</v>
      </c>
      <c r="C159" s="131"/>
      <c r="D159" s="131"/>
      <c r="E159" s="131"/>
      <c r="F159" s="281"/>
      <c r="G159" s="103"/>
      <c r="H159" s="103"/>
      <c r="I159" s="103"/>
      <c r="J159" s="276"/>
      <c r="K159" s="103"/>
      <c r="L159" s="103"/>
      <c r="M159" s="152">
        <f t="shared" si="31"/>
        <v>0</v>
      </c>
      <c r="N159" s="153"/>
      <c r="O159" s="159"/>
      <c r="P159" s="103"/>
      <c r="Q159" s="180"/>
      <c r="R159" s="102"/>
    </row>
    <row r="160" spans="2:18" ht="15.5" hidden="1" x14ac:dyDescent="0.35">
      <c r="B160" s="151" t="s">
        <v>225</v>
      </c>
      <c r="C160" s="131"/>
      <c r="D160" s="131"/>
      <c r="E160" s="131"/>
      <c r="F160" s="281"/>
      <c r="G160" s="103"/>
      <c r="H160" s="103"/>
      <c r="I160" s="103"/>
      <c r="J160" s="276"/>
      <c r="K160" s="103"/>
      <c r="L160" s="103"/>
      <c r="M160" s="152">
        <f t="shared" si="31"/>
        <v>0</v>
      </c>
      <c r="N160" s="153"/>
      <c r="O160" s="159"/>
      <c r="P160" s="103"/>
      <c r="Q160" s="180"/>
      <c r="R160" s="102"/>
    </row>
    <row r="161" spans="2:18" ht="15.5" hidden="1" x14ac:dyDescent="0.35">
      <c r="C161" s="146" t="s">
        <v>45</v>
      </c>
      <c r="D161" s="147"/>
      <c r="E161" s="147"/>
      <c r="F161" s="292"/>
      <c r="G161" s="148">
        <f>SUM(G153:G160)</f>
        <v>0</v>
      </c>
      <c r="H161" s="148"/>
      <c r="I161" s="148"/>
      <c r="J161" s="309"/>
      <c r="K161" s="148">
        <f>SUM(K153:K160)</f>
        <v>0</v>
      </c>
      <c r="L161" s="148">
        <f>SUM(L153:L160)</f>
        <v>0</v>
      </c>
      <c r="M161" s="148">
        <f>SUM(M153:M160)</f>
        <v>0</v>
      </c>
      <c r="N161" s="149">
        <f>(N153*M153)+(N154*M154)+(N155*M155)+(N156*M156)+(N157*M157)+(N158*M158)+(N159*M159)+(N160*M160)</f>
        <v>0</v>
      </c>
      <c r="O161" s="198">
        <f>SUM(O153:O160)</f>
        <v>0</v>
      </c>
      <c r="P161" s="150"/>
      <c r="Q161" s="180"/>
      <c r="R161" s="21"/>
    </row>
    <row r="162" spans="2:18" ht="51" hidden="1" customHeight="1" x14ac:dyDescent="0.35">
      <c r="B162" s="146" t="s">
        <v>226</v>
      </c>
      <c r="C162" s="443"/>
      <c r="D162" s="444"/>
      <c r="E162" s="444"/>
      <c r="F162" s="444"/>
      <c r="G162" s="444"/>
      <c r="H162" s="444"/>
      <c r="I162" s="444"/>
      <c r="J162" s="444"/>
      <c r="K162" s="444"/>
      <c r="L162" s="444"/>
      <c r="M162" s="444"/>
      <c r="N162" s="444"/>
      <c r="O162" s="444"/>
      <c r="P162" s="444"/>
      <c r="Q162" s="445"/>
      <c r="R162" s="20"/>
    </row>
    <row r="163" spans="2:18" ht="15.5" hidden="1" x14ac:dyDescent="0.35">
      <c r="B163" s="151" t="s">
        <v>227</v>
      </c>
      <c r="C163" s="131"/>
      <c r="D163" s="131"/>
      <c r="E163" s="131"/>
      <c r="F163" s="281"/>
      <c r="G163" s="103"/>
      <c r="H163" s="103"/>
      <c r="I163" s="103"/>
      <c r="J163" s="276"/>
      <c r="K163" s="103"/>
      <c r="L163" s="103"/>
      <c r="M163" s="152">
        <f>SUM(G163:L163)</f>
        <v>0</v>
      </c>
      <c r="N163" s="153"/>
      <c r="O163" s="159"/>
      <c r="P163" s="103"/>
      <c r="Q163" s="180"/>
      <c r="R163" s="102"/>
    </row>
    <row r="164" spans="2:18" ht="15.5" hidden="1" x14ac:dyDescent="0.35">
      <c r="B164" s="151" t="s">
        <v>228</v>
      </c>
      <c r="C164" s="131"/>
      <c r="D164" s="131"/>
      <c r="E164" s="131"/>
      <c r="F164" s="281"/>
      <c r="G164" s="103"/>
      <c r="H164" s="103"/>
      <c r="I164" s="103"/>
      <c r="J164" s="276"/>
      <c r="K164" s="103"/>
      <c r="L164" s="103"/>
      <c r="M164" s="152">
        <f t="shared" ref="M164:M170" si="32">SUM(G164:L164)</f>
        <v>0</v>
      </c>
      <c r="N164" s="153"/>
      <c r="O164" s="159"/>
      <c r="P164" s="103"/>
      <c r="Q164" s="180"/>
      <c r="R164" s="102"/>
    </row>
    <row r="165" spans="2:18" ht="15.5" hidden="1" x14ac:dyDescent="0.35">
      <c r="B165" s="151" t="s">
        <v>229</v>
      </c>
      <c r="C165" s="131"/>
      <c r="D165" s="131"/>
      <c r="E165" s="131"/>
      <c r="F165" s="281"/>
      <c r="G165" s="103"/>
      <c r="H165" s="103"/>
      <c r="I165" s="103"/>
      <c r="J165" s="276"/>
      <c r="K165" s="103"/>
      <c r="L165" s="103"/>
      <c r="M165" s="152">
        <f t="shared" si="32"/>
        <v>0</v>
      </c>
      <c r="N165" s="153"/>
      <c r="O165" s="159"/>
      <c r="P165" s="103"/>
      <c r="Q165" s="180"/>
      <c r="R165" s="102"/>
    </row>
    <row r="166" spans="2:18" ht="15.5" hidden="1" x14ac:dyDescent="0.35">
      <c r="B166" s="151" t="s">
        <v>230</v>
      </c>
      <c r="C166" s="131"/>
      <c r="D166" s="131"/>
      <c r="E166" s="131"/>
      <c r="F166" s="281"/>
      <c r="G166" s="103"/>
      <c r="H166" s="103"/>
      <c r="I166" s="103"/>
      <c r="J166" s="276"/>
      <c r="K166" s="103"/>
      <c r="L166" s="103"/>
      <c r="M166" s="152">
        <f t="shared" si="32"/>
        <v>0</v>
      </c>
      <c r="N166" s="153"/>
      <c r="O166" s="159"/>
      <c r="P166" s="103"/>
      <c r="Q166" s="180"/>
      <c r="R166" s="102"/>
    </row>
    <row r="167" spans="2:18" ht="15.5" hidden="1" x14ac:dyDescent="0.35">
      <c r="B167" s="151" t="s">
        <v>231</v>
      </c>
      <c r="C167" s="131"/>
      <c r="D167" s="131"/>
      <c r="E167" s="131"/>
      <c r="F167" s="281"/>
      <c r="G167" s="103"/>
      <c r="H167" s="103"/>
      <c r="I167" s="103"/>
      <c r="J167" s="276"/>
      <c r="K167" s="103"/>
      <c r="L167" s="103"/>
      <c r="M167" s="152">
        <f>SUM(G167:L167)</f>
        <v>0</v>
      </c>
      <c r="N167" s="153"/>
      <c r="O167" s="159"/>
      <c r="P167" s="103"/>
      <c r="Q167" s="180"/>
      <c r="R167" s="102"/>
    </row>
    <row r="168" spans="2:18" ht="15.5" hidden="1" x14ac:dyDescent="0.35">
      <c r="B168" s="151" t="s">
        <v>232</v>
      </c>
      <c r="C168" s="131"/>
      <c r="D168" s="131"/>
      <c r="E168" s="131"/>
      <c r="F168" s="281"/>
      <c r="G168" s="103"/>
      <c r="H168" s="103"/>
      <c r="I168" s="103"/>
      <c r="J168" s="276"/>
      <c r="K168" s="103"/>
      <c r="L168" s="103"/>
      <c r="M168" s="152">
        <f t="shared" si="32"/>
        <v>0</v>
      </c>
      <c r="N168" s="153"/>
      <c r="O168" s="159"/>
      <c r="P168" s="103"/>
      <c r="Q168" s="180"/>
      <c r="R168" s="102"/>
    </row>
    <row r="169" spans="2:18" ht="15.5" hidden="1" x14ac:dyDescent="0.35">
      <c r="B169" s="151" t="s">
        <v>233</v>
      </c>
      <c r="C169" s="131"/>
      <c r="D169" s="131"/>
      <c r="E169" s="131"/>
      <c r="F169" s="281"/>
      <c r="G169" s="103"/>
      <c r="H169" s="103"/>
      <c r="I169" s="103"/>
      <c r="J169" s="276"/>
      <c r="K169" s="103"/>
      <c r="L169" s="103"/>
      <c r="M169" s="152">
        <f t="shared" si="32"/>
        <v>0</v>
      </c>
      <c r="N169" s="153"/>
      <c r="O169" s="159"/>
      <c r="P169" s="103"/>
      <c r="Q169" s="180"/>
      <c r="R169" s="102"/>
    </row>
    <row r="170" spans="2:18" ht="15.5" hidden="1" x14ac:dyDescent="0.35">
      <c r="B170" s="151" t="s">
        <v>234</v>
      </c>
      <c r="C170" s="131"/>
      <c r="D170" s="131"/>
      <c r="E170" s="131"/>
      <c r="F170" s="281"/>
      <c r="G170" s="103"/>
      <c r="H170" s="103"/>
      <c r="I170" s="103"/>
      <c r="J170" s="276"/>
      <c r="K170" s="103"/>
      <c r="L170" s="103"/>
      <c r="M170" s="152">
        <f t="shared" si="32"/>
        <v>0</v>
      </c>
      <c r="N170" s="153"/>
      <c r="O170" s="159"/>
      <c r="P170" s="103"/>
      <c r="Q170" s="180"/>
      <c r="R170" s="102"/>
    </row>
    <row r="171" spans="2:18" ht="15.5" hidden="1" x14ac:dyDescent="0.35">
      <c r="C171" s="146" t="s">
        <v>45</v>
      </c>
      <c r="D171" s="146"/>
      <c r="E171" s="146"/>
      <c r="F171" s="291"/>
      <c r="G171" s="149">
        <f>SUM(G163:G170)</f>
        <v>0</v>
      </c>
      <c r="H171" s="149"/>
      <c r="I171" s="149"/>
      <c r="J171" s="308"/>
      <c r="K171" s="149">
        <f>SUM(K163:K170)</f>
        <v>0</v>
      </c>
      <c r="L171" s="149">
        <f>SUM(L163:L170)</f>
        <v>0</v>
      </c>
      <c r="M171" s="149">
        <f>SUM(M163:M170)</f>
        <v>0</v>
      </c>
      <c r="N171" s="149">
        <f>(N163*M163)+(N164*M164)+(N165*M165)+(N166*M166)+(N167*M167)+(N168*M168)+(N169*M169)+(N170*M170)</f>
        <v>0</v>
      </c>
      <c r="O171" s="198">
        <f>SUM(O163:O170)</f>
        <v>0</v>
      </c>
      <c r="P171" s="150"/>
      <c r="Q171" s="180"/>
      <c r="R171" s="21"/>
    </row>
    <row r="172" spans="2:18" ht="15.75" customHeight="1" x14ac:dyDescent="0.35">
      <c r="B172" s="1"/>
      <c r="C172" s="115"/>
      <c r="D172" s="115"/>
      <c r="E172" s="115"/>
      <c r="F172" s="289"/>
      <c r="G172" s="114"/>
      <c r="H172" s="114"/>
      <c r="I172" s="114"/>
      <c r="J172" s="307"/>
      <c r="K172" s="114"/>
      <c r="L172" s="114"/>
      <c r="M172" s="114"/>
      <c r="N172" s="145"/>
      <c r="O172" s="196"/>
      <c r="P172" s="114"/>
      <c r="Q172" s="115"/>
      <c r="R172" s="2"/>
    </row>
    <row r="173" spans="2:18" ht="15.75" customHeight="1" x14ac:dyDescent="0.35">
      <c r="B173" s="1"/>
      <c r="C173" s="115"/>
      <c r="D173" s="115"/>
      <c r="E173" s="115"/>
      <c r="F173" s="349"/>
      <c r="G173" s="114"/>
      <c r="H173" s="114"/>
      <c r="I173" s="114"/>
      <c r="J173" s="307"/>
      <c r="K173" s="114"/>
      <c r="L173" s="114"/>
      <c r="M173" s="114"/>
      <c r="N173" s="145"/>
      <c r="O173" s="196"/>
      <c r="P173" s="114"/>
      <c r="Q173" s="115"/>
      <c r="R173" s="2"/>
    </row>
    <row r="174" spans="2:18" ht="112.15" customHeight="1" x14ac:dyDescent="0.35">
      <c r="B174" s="62" t="s">
        <v>235</v>
      </c>
      <c r="C174" s="108"/>
      <c r="D174" s="109">
        <v>251000</v>
      </c>
      <c r="E174" s="109">
        <v>125887.29</v>
      </c>
      <c r="F174" s="388">
        <f>+E174+G174</f>
        <v>251000</v>
      </c>
      <c r="G174" s="160">
        <f>+D174-E174</f>
        <v>125112.71</v>
      </c>
      <c r="H174" s="161">
        <v>17393.16824404088</v>
      </c>
      <c r="I174" s="161">
        <v>15776.270000000002</v>
      </c>
      <c r="J174" s="293">
        <f>+I174+K174</f>
        <v>23636.969742714646</v>
      </c>
      <c r="K174" s="161">
        <f>+'[1]1) Budget Table'!$E$174</f>
        <v>7860.6997427146416</v>
      </c>
      <c r="L174" s="109"/>
      <c r="M174" s="99">
        <f>+E174+G174+I174+K174</f>
        <v>274636.96974271466</v>
      </c>
      <c r="N174" s="100">
        <v>0.5</v>
      </c>
      <c r="O174" s="199">
        <f>+E174+I174</f>
        <v>141663.56</v>
      </c>
      <c r="P174" s="111" t="s">
        <v>91</v>
      </c>
      <c r="Q174" s="181" t="s">
        <v>236</v>
      </c>
      <c r="R174" s="21"/>
    </row>
    <row r="175" spans="2:18" ht="69.75" customHeight="1" x14ac:dyDescent="0.35">
      <c r="B175" s="62" t="s">
        <v>237</v>
      </c>
      <c r="C175" s="108"/>
      <c r="D175" s="109">
        <v>75000</v>
      </c>
      <c r="E175" s="109">
        <v>49867.49</v>
      </c>
      <c r="F175" s="388">
        <f>+E175+G175</f>
        <v>75000</v>
      </c>
      <c r="G175" s="160">
        <f>+D175-E175</f>
        <v>25132.510000000002</v>
      </c>
      <c r="H175" s="161">
        <v>27930.769230769227</v>
      </c>
      <c r="I175" s="161">
        <v>24667.7</v>
      </c>
      <c r="J175" s="293">
        <f>+I175+K175</f>
        <v>38055.597692307689</v>
      </c>
      <c r="K175" s="161">
        <f>+'[1]1) Budget Table'!$E$175</f>
        <v>13387.897692307688</v>
      </c>
      <c r="L175" s="109"/>
      <c r="M175" s="99">
        <f t="shared" ref="M175:M176" si="33">+E175+G175+I175+K175</f>
        <v>113055.59769230768</v>
      </c>
      <c r="N175" s="100">
        <v>0.5</v>
      </c>
      <c r="O175" s="199">
        <f t="shared" ref="O175:O178" si="34">+E175+I175</f>
        <v>74535.19</v>
      </c>
      <c r="P175" s="111" t="s">
        <v>91</v>
      </c>
      <c r="Q175" s="181" t="s">
        <v>238</v>
      </c>
      <c r="R175" s="21"/>
    </row>
    <row r="176" spans="2:18" ht="84" customHeight="1" x14ac:dyDescent="0.35">
      <c r="B176" s="62" t="s">
        <v>239</v>
      </c>
      <c r="C176" s="112"/>
      <c r="D176" s="109">
        <v>130000</v>
      </c>
      <c r="E176" s="109">
        <v>64657.89</v>
      </c>
      <c r="F176" s="293">
        <f>+E176+G176</f>
        <v>130000</v>
      </c>
      <c r="G176" s="160">
        <f>+D176-E176</f>
        <v>65342.11</v>
      </c>
      <c r="H176" s="110">
        <v>4000</v>
      </c>
      <c r="I176" s="110">
        <v>0</v>
      </c>
      <c r="J176" s="293">
        <f t="shared" ref="J176" si="35">+I176+K176</f>
        <v>0</v>
      </c>
      <c r="K176" s="161">
        <v>0</v>
      </c>
      <c r="L176" s="109"/>
      <c r="M176" s="99">
        <f t="shared" si="33"/>
        <v>130000</v>
      </c>
      <c r="N176" s="100">
        <v>0.5</v>
      </c>
      <c r="O176" s="199">
        <f t="shared" si="34"/>
        <v>64657.89</v>
      </c>
      <c r="P176" s="111" t="s">
        <v>240</v>
      </c>
      <c r="Q176" s="181" t="s">
        <v>241</v>
      </c>
      <c r="R176" s="21"/>
    </row>
    <row r="177" spans="2:18" ht="65.25" customHeight="1" x14ac:dyDescent="0.35">
      <c r="B177" s="74" t="s">
        <v>242</v>
      </c>
      <c r="C177" s="108"/>
      <c r="D177" s="109">
        <v>45000</v>
      </c>
      <c r="E177" s="111">
        <v>0</v>
      </c>
      <c r="F177" s="293">
        <f>+E177+G177</f>
        <v>45000</v>
      </c>
      <c r="G177" s="160">
        <v>45000</v>
      </c>
      <c r="H177" s="110">
        <v>18301.719164456234</v>
      </c>
      <c r="I177" s="110"/>
      <c r="J177" s="293">
        <f>+I177+K177</f>
        <v>14628.36710632981</v>
      </c>
      <c r="K177" s="161">
        <f>+'[1]1) Budget Table'!$E$177</f>
        <v>14628.36710632981</v>
      </c>
      <c r="L177" s="109"/>
      <c r="M177" s="99">
        <f>+E177+G177+I177+K177</f>
        <v>59628.36710632981</v>
      </c>
      <c r="N177" s="100">
        <v>0.5</v>
      </c>
      <c r="O177" s="199">
        <f>+E177+I177</f>
        <v>0</v>
      </c>
      <c r="P177" s="111" t="s">
        <v>91</v>
      </c>
      <c r="Q177" s="182"/>
      <c r="R177" s="21"/>
    </row>
    <row r="178" spans="2:18" ht="21.75" customHeight="1" x14ac:dyDescent="0.35">
      <c r="B178" s="4"/>
      <c r="C178" s="162" t="s">
        <v>243</v>
      </c>
      <c r="D178" s="65">
        <f t="shared" ref="D178:M178" si="36">SUM(D174:D177)</f>
        <v>501000</v>
      </c>
      <c r="E178" s="65">
        <f t="shared" si="36"/>
        <v>240412.66999999998</v>
      </c>
      <c r="F178" s="294">
        <f t="shared" si="36"/>
        <v>501000</v>
      </c>
      <c r="G178" s="65">
        <f>SUM(G174:G177)</f>
        <v>260587.33000000002</v>
      </c>
      <c r="H178" s="65">
        <f t="shared" si="36"/>
        <v>67625.656639266352</v>
      </c>
      <c r="I178" s="65">
        <f t="shared" si="36"/>
        <v>40443.97</v>
      </c>
      <c r="J178" s="294">
        <f>SUM(J174:J177)</f>
        <v>76320.934541352151</v>
      </c>
      <c r="K178" s="65">
        <f t="shared" si="36"/>
        <v>35876.964541352136</v>
      </c>
      <c r="L178" s="65">
        <f t="shared" si="36"/>
        <v>0</v>
      </c>
      <c r="M178" s="65">
        <f t="shared" si="36"/>
        <v>577320.93454135209</v>
      </c>
      <c r="N178" s="8">
        <f>(N174*M174)+(N175*M175)+(N176*M176)+(N177*M177)</f>
        <v>288660.46727067605</v>
      </c>
      <c r="O178" s="200">
        <f t="shared" si="34"/>
        <v>280856.64</v>
      </c>
      <c r="P178" s="90"/>
      <c r="Q178" s="108"/>
      <c r="R178" s="6"/>
    </row>
    <row r="179" spans="2:18" ht="15.75" customHeight="1" x14ac:dyDescent="0.35">
      <c r="B179" s="4"/>
      <c r="C179" s="105"/>
      <c r="D179" s="105"/>
      <c r="E179" s="105"/>
      <c r="F179" s="347"/>
      <c r="G179" s="114"/>
      <c r="H179" s="107"/>
      <c r="I179" s="107"/>
      <c r="J179" s="310"/>
      <c r="K179" s="114"/>
      <c r="L179" s="107"/>
      <c r="M179" s="107"/>
      <c r="N179" s="106"/>
      <c r="O179" s="201"/>
      <c r="P179" s="107"/>
      <c r="Q179" s="105"/>
      <c r="R179" s="6"/>
    </row>
    <row r="180" spans="2:18" ht="15.75" customHeight="1" x14ac:dyDescent="0.35">
      <c r="B180" s="4"/>
      <c r="C180" s="105"/>
      <c r="D180" s="105"/>
      <c r="E180" s="105"/>
      <c r="F180" s="347"/>
      <c r="G180" s="114"/>
      <c r="H180" s="107"/>
      <c r="I180" s="107"/>
      <c r="J180" s="310"/>
      <c r="K180" s="114"/>
      <c r="L180" s="107"/>
      <c r="M180" s="107"/>
      <c r="N180" s="106"/>
      <c r="O180" s="201"/>
      <c r="P180" s="107"/>
      <c r="Q180" s="105"/>
      <c r="R180" s="6"/>
    </row>
    <row r="181" spans="2:18" ht="15.75" customHeight="1" x14ac:dyDescent="0.35">
      <c r="B181" s="4"/>
      <c r="C181" s="105"/>
      <c r="D181" s="105"/>
      <c r="E181" s="105"/>
      <c r="F181" s="295"/>
      <c r="G181" s="114"/>
      <c r="H181" s="107"/>
      <c r="I181" s="107"/>
      <c r="J181" s="310"/>
      <c r="K181" s="114"/>
      <c r="L181" s="107"/>
      <c r="M181" s="107"/>
      <c r="N181" s="106"/>
      <c r="O181" s="201"/>
      <c r="P181" s="107"/>
      <c r="Q181" s="105"/>
      <c r="R181" s="6"/>
    </row>
    <row r="182" spans="2:18" ht="15.75" customHeight="1" x14ac:dyDescent="0.35">
      <c r="B182" s="4"/>
      <c r="C182" s="105"/>
      <c r="D182" s="105"/>
      <c r="E182" s="105"/>
      <c r="F182" s="295"/>
      <c r="G182" s="114"/>
      <c r="H182" s="107"/>
      <c r="I182" s="107"/>
      <c r="J182" s="310"/>
      <c r="K182" s="114"/>
      <c r="L182" s="107"/>
      <c r="M182" s="107"/>
      <c r="N182" s="106"/>
      <c r="O182" s="201"/>
      <c r="P182" s="107"/>
      <c r="Q182" s="105"/>
      <c r="R182" s="6"/>
    </row>
    <row r="183" spans="2:18" ht="15.75" customHeight="1" x14ac:dyDescent="0.35">
      <c r="B183" s="4"/>
      <c r="C183" s="105"/>
      <c r="D183" s="105"/>
      <c r="E183" s="105"/>
      <c r="F183" s="295"/>
      <c r="G183" s="114"/>
      <c r="H183" s="107"/>
      <c r="I183" s="107"/>
      <c r="J183" s="310"/>
      <c r="K183" s="114"/>
      <c r="L183" s="107"/>
      <c r="M183" s="107"/>
      <c r="N183" s="106"/>
      <c r="O183" s="201"/>
      <c r="P183" s="107"/>
      <c r="Q183" s="105"/>
      <c r="R183" s="6"/>
    </row>
    <row r="184" spans="2:18" ht="15.75" customHeight="1" x14ac:dyDescent="0.35">
      <c r="B184" s="4"/>
      <c r="C184" s="105"/>
      <c r="D184" s="105"/>
      <c r="E184" s="105"/>
      <c r="F184" s="295"/>
      <c r="G184" s="114"/>
      <c r="H184" s="107"/>
      <c r="I184" s="107"/>
      <c r="J184" s="310"/>
      <c r="K184" s="114"/>
      <c r="L184" s="107"/>
      <c r="M184" s="107"/>
      <c r="N184" s="106"/>
      <c r="O184" s="201"/>
      <c r="P184" s="107"/>
      <c r="Q184" s="105"/>
      <c r="R184" s="6"/>
    </row>
    <row r="185" spans="2:18" ht="15.75" customHeight="1" thickBot="1" x14ac:dyDescent="0.4">
      <c r="B185" s="4"/>
      <c r="C185" s="105"/>
      <c r="D185" s="105"/>
      <c r="E185" s="105"/>
      <c r="F185" s="295"/>
      <c r="G185" s="114"/>
      <c r="H185" s="107"/>
      <c r="I185" s="107"/>
      <c r="J185" s="310"/>
      <c r="K185" s="114"/>
      <c r="L185" s="107"/>
      <c r="M185" s="107"/>
      <c r="N185" s="106"/>
      <c r="O185" s="201"/>
      <c r="P185" s="107"/>
      <c r="Q185" s="105"/>
      <c r="R185" s="6"/>
    </row>
    <row r="186" spans="2:18" ht="15.5" x14ac:dyDescent="0.35">
      <c r="B186" s="4"/>
      <c r="C186" s="446" t="s">
        <v>244</v>
      </c>
      <c r="D186" s="447"/>
      <c r="E186" s="447"/>
      <c r="F186" s="447"/>
      <c r="G186" s="447"/>
      <c r="H186" s="447"/>
      <c r="I186" s="447"/>
      <c r="J186" s="447"/>
      <c r="K186" s="447"/>
      <c r="L186" s="447"/>
      <c r="M186" s="448"/>
      <c r="N186" s="226"/>
      <c r="O186" s="201"/>
      <c r="P186" s="107"/>
      <c r="Q186" s="6"/>
    </row>
    <row r="187" spans="2:18" ht="40.5" customHeight="1" x14ac:dyDescent="0.35">
      <c r="B187" s="4"/>
      <c r="C187" s="410"/>
      <c r="D187" s="419" t="str">
        <f>+D4</f>
        <v>UNDP (Original Budget)</v>
      </c>
      <c r="E187" s="419" t="str">
        <f>+E4</f>
        <v>UNDP (Expenditures March 2022 - 31 Aug 2023)</v>
      </c>
      <c r="F187" s="449" t="str">
        <f>+F4</f>
        <v>UNDP (Revised Budget)</v>
      </c>
      <c r="G187" s="414" t="str">
        <f>G4</f>
        <v xml:space="preserve"> UNDP (NCE 6 months Budget)</v>
      </c>
      <c r="H187" s="414" t="str">
        <f>+H4</f>
        <v>WVSI (Original Budget)</v>
      </c>
      <c r="I187" s="414" t="str">
        <f>+I4</f>
        <v>WVSI(Expenditures March 2022 - 31 Aug 2023)</v>
      </c>
      <c r="J187" s="435" t="str">
        <f>+J4</f>
        <v>WVSI (Revised Budget)</v>
      </c>
      <c r="K187" s="414" t="str">
        <f>K4</f>
        <v>WVSI (NCE 6 months)</v>
      </c>
      <c r="L187" s="414" t="str">
        <f>L4</f>
        <v>Recipient Organization 3</v>
      </c>
      <c r="M187" s="412" t="s">
        <v>14</v>
      </c>
      <c r="N187" s="227"/>
      <c r="O187" s="201"/>
      <c r="P187" s="107"/>
      <c r="Q187" s="6"/>
    </row>
    <row r="188" spans="2:18" ht="24.75" customHeight="1" x14ac:dyDescent="0.35">
      <c r="B188" s="4"/>
      <c r="C188" s="411"/>
      <c r="D188" s="420"/>
      <c r="E188" s="420"/>
      <c r="F188" s="450"/>
      <c r="G188" s="415"/>
      <c r="H188" s="415"/>
      <c r="I188" s="415"/>
      <c r="J188" s="436"/>
      <c r="K188" s="415"/>
      <c r="L188" s="415"/>
      <c r="M188" s="413"/>
      <c r="N188" s="227"/>
      <c r="O188" s="201"/>
      <c r="P188" s="107"/>
      <c r="Q188" s="6"/>
    </row>
    <row r="189" spans="2:18" ht="41.25" customHeight="1" x14ac:dyDescent="0.35">
      <c r="B189" s="113"/>
      <c r="C189" s="165" t="s">
        <v>245</v>
      </c>
      <c r="D189" s="166">
        <f t="shared" ref="D189:L189" si="37">SUM(D15,D25,D35,D45,D57,D67,D77,D87,D99,D109,D119,D129,D141,D151,D161,D171,D174,D175,D176,D177)</f>
        <v>1028000</v>
      </c>
      <c r="E189" s="166">
        <f t="shared" si="37"/>
        <v>559675.71</v>
      </c>
      <c r="F189" s="296">
        <f>SUM(F15,F25,F35,F45,F57,F67,F77,F87,F99,F109,F119,F129,F141,F151,F161,F171,F174,F175,F176,F177)</f>
        <v>1028000</v>
      </c>
      <c r="G189" s="166">
        <f>SUM(G15,G25,G35,G45,G57,G67,G77,G87,G99,G109,G119,G129,G141,G151,G161,G171,G174,G175,G176,G177)</f>
        <v>468325.02999999997</v>
      </c>
      <c r="H189" s="166">
        <f t="shared" si="37"/>
        <v>373831.77410168899</v>
      </c>
      <c r="I189" s="166">
        <f>SUM(I15,I25,I35,I45,I57,I67,I77,I87,I99,I109,I119,I129,I141,I151,I161,I171,I174,I175,I176,I177)</f>
        <v>198278.07956033692</v>
      </c>
      <c r="J189" s="296">
        <f>SUM(J15,J25,J35,J45,J57,J67,J77,J87,J99,J109,J119,J129,J141,J151,J161,J171,J174,J175,J176,J177)</f>
        <v>373829.29410168907</v>
      </c>
      <c r="K189" s="166">
        <f t="shared" si="37"/>
        <v>175551.21454135212</v>
      </c>
      <c r="L189" s="166">
        <f t="shared" si="37"/>
        <v>0</v>
      </c>
      <c r="M189" s="167">
        <f>+F189+J189</f>
        <v>1401829.294101689</v>
      </c>
      <c r="N189" s="228"/>
      <c r="O189" s="196"/>
      <c r="P189" s="107"/>
      <c r="Q189" s="113"/>
    </row>
    <row r="190" spans="2:18" ht="51.75" customHeight="1" x14ac:dyDescent="0.35">
      <c r="B190" s="115"/>
      <c r="C190" s="165" t="s">
        <v>246</v>
      </c>
      <c r="D190" s="166">
        <f>D189*0.07</f>
        <v>71960</v>
      </c>
      <c r="E190" s="166">
        <f t="shared" ref="E190:K190" si="38">E189*0.07</f>
        <v>39177.299700000003</v>
      </c>
      <c r="F190" s="166">
        <f t="shared" si="38"/>
        <v>71960</v>
      </c>
      <c r="G190" s="166">
        <f t="shared" si="38"/>
        <v>32782.752099999998</v>
      </c>
      <c r="H190" s="166">
        <f t="shared" si="38"/>
        <v>26168.22418711823</v>
      </c>
      <c r="I190" s="166">
        <f t="shared" si="38"/>
        <v>13879.465569223586</v>
      </c>
      <c r="J190" s="296">
        <f t="shared" si="38"/>
        <v>26168.050587118236</v>
      </c>
      <c r="K190" s="166">
        <f t="shared" si="38"/>
        <v>12288.585017894649</v>
      </c>
      <c r="L190" s="166">
        <f>L189*0.07</f>
        <v>0</v>
      </c>
      <c r="M190" s="167">
        <f>+M189*0.07</f>
        <v>98128.050587118239</v>
      </c>
      <c r="N190" s="229"/>
      <c r="O190" s="196"/>
      <c r="P190" s="107"/>
      <c r="Q190" s="116"/>
    </row>
    <row r="191" spans="2:18" ht="51.75" customHeight="1" thickBot="1" x14ac:dyDescent="0.4">
      <c r="B191" s="115"/>
      <c r="C191" s="163" t="s">
        <v>14</v>
      </c>
      <c r="D191" s="164">
        <f t="shared" ref="D191:M191" si="39">SUM(D189:D190)</f>
        <v>1099960</v>
      </c>
      <c r="E191" s="164">
        <f t="shared" si="39"/>
        <v>598853.00969999994</v>
      </c>
      <c r="F191" s="164">
        <f t="shared" si="39"/>
        <v>1099960</v>
      </c>
      <c r="G191" s="164">
        <f>SUM(G189:G190)</f>
        <v>501107.78209999995</v>
      </c>
      <c r="H191" s="164">
        <f t="shared" si="39"/>
        <v>399999.99828880723</v>
      </c>
      <c r="I191" s="164">
        <f>SUM(I189:I190)</f>
        <v>212157.54512956052</v>
      </c>
      <c r="J191" s="311">
        <f t="shared" si="39"/>
        <v>399997.34468880732</v>
      </c>
      <c r="K191" s="164">
        <f t="shared" si="39"/>
        <v>187839.79955924678</v>
      </c>
      <c r="L191" s="164">
        <f t="shared" si="39"/>
        <v>0</v>
      </c>
      <c r="M191" s="168">
        <f t="shared" si="39"/>
        <v>1499957.3446888071</v>
      </c>
      <c r="N191" s="229"/>
      <c r="Q191" s="116"/>
    </row>
    <row r="192" spans="2:18" ht="42" customHeight="1" x14ac:dyDescent="0.35">
      <c r="B192" s="115"/>
      <c r="E192" s="212"/>
      <c r="F192" s="297"/>
      <c r="G192" s="212"/>
      <c r="I192" s="212"/>
      <c r="J192" s="297"/>
      <c r="O192" s="203"/>
      <c r="P192" s="84"/>
      <c r="Q192" s="2"/>
      <c r="R192" s="116"/>
    </row>
    <row r="193" spans="2:18" s="177" customFormat="1" ht="29.25" customHeight="1" thickBot="1" x14ac:dyDescent="0.4">
      <c r="B193" s="105"/>
      <c r="C193" s="4"/>
      <c r="D193" s="273"/>
      <c r="E193" s="273"/>
      <c r="F193" s="298"/>
      <c r="G193" s="155"/>
      <c r="H193" s="14"/>
      <c r="I193" s="14"/>
      <c r="J193" s="312"/>
      <c r="K193" s="155"/>
      <c r="L193" s="14"/>
      <c r="M193" s="14"/>
      <c r="N193" s="230"/>
      <c r="O193" s="204"/>
      <c r="P193" s="86"/>
      <c r="Q193" s="6"/>
      <c r="R193" s="113"/>
    </row>
    <row r="194" spans="2:18" ht="23.25" customHeight="1" x14ac:dyDescent="0.35">
      <c r="B194" s="116"/>
      <c r="C194" s="405" t="s">
        <v>247</v>
      </c>
      <c r="D194" s="406"/>
      <c r="E194" s="406"/>
      <c r="F194" s="406"/>
      <c r="G194" s="406"/>
      <c r="H194" s="407"/>
      <c r="I194" s="1"/>
      <c r="J194" s="301"/>
      <c r="K194" s="1"/>
      <c r="L194" s="1"/>
      <c r="M194" s="1"/>
      <c r="N194" s="17"/>
      <c r="O194" s="204"/>
      <c r="P194" s="86"/>
      <c r="Q194" s="116"/>
    </row>
    <row r="195" spans="2:18" ht="41.25" customHeight="1" x14ac:dyDescent="0.35">
      <c r="B195" s="116"/>
      <c r="C195" s="63"/>
      <c r="D195" s="400" t="s">
        <v>248</v>
      </c>
      <c r="E195" s="400" t="s">
        <v>249</v>
      </c>
      <c r="F195" s="408"/>
      <c r="G195" s="400" t="s">
        <v>14</v>
      </c>
      <c r="H195" s="402" t="s">
        <v>250</v>
      </c>
      <c r="I195" s="404"/>
      <c r="J195" s="313"/>
      <c r="K195" s="416"/>
      <c r="L195" s="416"/>
      <c r="M195" s="404"/>
      <c r="N195" s="404"/>
      <c r="O195" s="204"/>
      <c r="P195" s="86"/>
      <c r="Q195" s="116"/>
    </row>
    <row r="196" spans="2:18" ht="27.75" customHeight="1" x14ac:dyDescent="0.35">
      <c r="B196" s="116"/>
      <c r="C196" s="63"/>
      <c r="D196" s="401"/>
      <c r="E196" s="401"/>
      <c r="F196" s="409"/>
      <c r="G196" s="401"/>
      <c r="H196" s="403"/>
      <c r="I196" s="404"/>
      <c r="J196" s="313"/>
      <c r="K196" s="416"/>
      <c r="L196" s="416"/>
      <c r="M196" s="404"/>
      <c r="N196" s="404"/>
      <c r="O196" s="205"/>
      <c r="P196" s="83"/>
      <c r="Q196" s="116"/>
    </row>
    <row r="197" spans="2:18" ht="55.5" customHeight="1" x14ac:dyDescent="0.35">
      <c r="B197" s="116"/>
      <c r="C197" s="12" t="s">
        <v>251</v>
      </c>
      <c r="D197" s="65">
        <f>+D191*H197</f>
        <v>769972</v>
      </c>
      <c r="E197" s="66">
        <f>+H191*H197</f>
        <v>279999.99880216504</v>
      </c>
      <c r="F197" s="299"/>
      <c r="G197" s="66">
        <f>+D197+E197</f>
        <v>1049971.998802165</v>
      </c>
      <c r="H197" s="216">
        <v>0.7</v>
      </c>
      <c r="I197" s="213"/>
      <c r="J197" s="314"/>
      <c r="K197" s="20"/>
      <c r="L197" s="20"/>
      <c r="M197" s="20"/>
      <c r="N197" s="231"/>
      <c r="O197" s="205"/>
      <c r="P197" s="83"/>
      <c r="Q197" s="116"/>
    </row>
    <row r="198" spans="2:18" ht="57.75" customHeight="1" x14ac:dyDescent="0.35">
      <c r="B198" s="404"/>
      <c r="C198" s="75" t="s">
        <v>252</v>
      </c>
      <c r="D198" s="65">
        <f>+D191*H198</f>
        <v>329988</v>
      </c>
      <c r="E198" s="66">
        <f>+H191*H198</f>
        <v>119999.99948664216</v>
      </c>
      <c r="F198" s="299"/>
      <c r="G198" s="66">
        <f>+D198+E198</f>
        <v>449987.99948664219</v>
      </c>
      <c r="H198" s="217">
        <v>0.3</v>
      </c>
      <c r="I198" s="213"/>
      <c r="J198" s="314"/>
      <c r="K198" s="20"/>
      <c r="L198" s="20"/>
      <c r="M198" s="20"/>
      <c r="N198" s="231"/>
      <c r="O198" s="206"/>
      <c r="P198" s="85"/>
    </row>
    <row r="199" spans="2:18" ht="57.75" customHeight="1" x14ac:dyDescent="0.35">
      <c r="B199" s="404"/>
      <c r="C199" s="75" t="s">
        <v>253</v>
      </c>
      <c r="D199" s="65">
        <f>$D$191*I199</f>
        <v>0</v>
      </c>
      <c r="E199" s="66">
        <f>$E$191*I199</f>
        <v>0</v>
      </c>
      <c r="F199" s="299"/>
      <c r="G199" s="66">
        <f ca="1">SUM(D199:G199)</f>
        <v>0</v>
      </c>
      <c r="H199" s="217">
        <f ca="1">SUM(D199:G199)</f>
        <v>0</v>
      </c>
      <c r="I199" s="214"/>
      <c r="J199" s="315"/>
      <c r="K199" s="20"/>
      <c r="L199" s="20"/>
      <c r="M199" s="20"/>
      <c r="N199" s="231"/>
      <c r="O199" s="207"/>
      <c r="P199" s="87"/>
    </row>
    <row r="200" spans="2:18" ht="38.25" customHeight="1" thickBot="1" x14ac:dyDescent="0.4">
      <c r="B200" s="404"/>
      <c r="C200" s="5" t="s">
        <v>254</v>
      </c>
      <c r="D200" s="67">
        <f>SUM(D197:D199)</f>
        <v>1099960</v>
      </c>
      <c r="E200" s="67">
        <f>SUM(E197:E199)</f>
        <v>399999.99828880723</v>
      </c>
      <c r="F200" s="300"/>
      <c r="G200" s="67">
        <f>+G197+G198</f>
        <v>1499959.9982888072</v>
      </c>
      <c r="H200" s="68">
        <f ca="1">SUM(H197:H199)</f>
        <v>1</v>
      </c>
      <c r="I200" s="215"/>
      <c r="J200" s="316"/>
      <c r="K200" s="20"/>
      <c r="L200" s="20"/>
      <c r="M200" s="20"/>
      <c r="N200" s="232"/>
      <c r="O200" s="208"/>
      <c r="P200" s="84"/>
    </row>
    <row r="201" spans="2:18" ht="21.75" customHeight="1" thickBot="1" x14ac:dyDescent="0.4">
      <c r="B201" s="404"/>
      <c r="C201" s="1"/>
      <c r="D201" s="1"/>
      <c r="E201" s="1"/>
      <c r="F201" s="301"/>
      <c r="G201" s="155"/>
      <c r="H201" s="155"/>
      <c r="I201" s="155"/>
      <c r="J201" s="317"/>
      <c r="K201" s="155"/>
      <c r="L201" s="155"/>
      <c r="M201" s="155"/>
      <c r="N201" s="233"/>
      <c r="O201" s="208"/>
      <c r="P201" s="84"/>
    </row>
    <row r="202" spans="2:18" ht="49.5" customHeight="1" x14ac:dyDescent="0.35">
      <c r="B202" s="404"/>
      <c r="C202" s="69" t="s">
        <v>255</v>
      </c>
      <c r="D202" s="156">
        <f>SUM(N15,N25,N35,N45,N57,N67,N77,N87,N99,N109,N119,N129,N141,N151,N161,N171,N178)*1.07</f>
        <v>768627.65121106</v>
      </c>
      <c r="E202" s="222"/>
      <c r="F202" s="302"/>
      <c r="H202" s="155"/>
      <c r="I202" s="155"/>
      <c r="J202" s="317"/>
      <c r="K202" s="211"/>
      <c r="L202" s="155"/>
      <c r="M202" s="155"/>
      <c r="N202" s="234" t="s">
        <v>256</v>
      </c>
      <c r="O202" s="209">
        <f>SUM(O178,O171,O161,O151,O141,O129,O119,O109,O99,O87,O77,O67,O57,O45,O35,O25,O15)</f>
        <v>757953.78956033685</v>
      </c>
    </row>
    <row r="203" spans="2:18" ht="28.5" customHeight="1" thickBot="1" x14ac:dyDescent="0.4">
      <c r="B203" s="404"/>
      <c r="C203" s="70" t="s">
        <v>257</v>
      </c>
      <c r="D203" s="183">
        <f>D202/M191</f>
        <v>0.51243300613360143</v>
      </c>
      <c r="E203" s="222"/>
      <c r="F203" s="302"/>
      <c r="H203" s="218"/>
      <c r="K203" s="224"/>
      <c r="L203" s="184"/>
      <c r="M203" s="184"/>
      <c r="N203" s="235" t="s">
        <v>258</v>
      </c>
      <c r="O203" s="210">
        <f>O202/(G197)</f>
        <v>0.721880002919154</v>
      </c>
      <c r="P203" s="185"/>
    </row>
    <row r="204" spans="2:18" ht="28.5" customHeight="1" x14ac:dyDescent="0.35">
      <c r="B204" s="404"/>
      <c r="C204" s="220"/>
      <c r="D204" s="221"/>
      <c r="E204" s="223"/>
      <c r="F204" s="303"/>
      <c r="H204" s="157"/>
      <c r="I204" s="157"/>
      <c r="J204" s="318"/>
      <c r="K204" s="157"/>
      <c r="L204" s="157"/>
      <c r="M204" s="157"/>
    </row>
    <row r="205" spans="2:18" ht="32.25" customHeight="1" x14ac:dyDescent="0.35">
      <c r="B205" s="404"/>
      <c r="C205" s="70" t="s">
        <v>259</v>
      </c>
      <c r="D205" s="186">
        <f>(E176+G176+I176+K176+K177+I177+G177+E177)*1.07</f>
        <v>202902.35280377293</v>
      </c>
      <c r="E205" s="222"/>
      <c r="F205" s="302"/>
      <c r="H205" s="219"/>
      <c r="I205" s="219"/>
      <c r="J205" s="319"/>
      <c r="K205" s="187"/>
      <c r="L205" s="187"/>
      <c r="M205" s="187"/>
    </row>
    <row r="206" spans="2:18" ht="23.25" customHeight="1" x14ac:dyDescent="0.35">
      <c r="B206" s="404"/>
      <c r="C206" s="70" t="s">
        <v>260</v>
      </c>
      <c r="D206" s="183">
        <f>D205/M191</f>
        <v>0.13527208191768189</v>
      </c>
      <c r="E206" s="222"/>
      <c r="F206" s="302"/>
      <c r="H206" s="218"/>
      <c r="I206" s="218"/>
      <c r="J206" s="320"/>
      <c r="K206" s="187"/>
      <c r="L206" s="187"/>
      <c r="M206" s="187"/>
      <c r="O206" s="211"/>
    </row>
    <row r="207" spans="2:18" ht="66.75" customHeight="1" thickBot="1" x14ac:dyDescent="0.4">
      <c r="B207" s="404"/>
      <c r="C207" s="417" t="s">
        <v>261</v>
      </c>
      <c r="D207" s="418"/>
      <c r="H207" s="158"/>
      <c r="I207" s="158"/>
      <c r="J207" s="321"/>
      <c r="K207" s="158"/>
      <c r="L207" s="158"/>
      <c r="M207" s="158"/>
    </row>
    <row r="208" spans="2:18" ht="55.5" customHeight="1" x14ac:dyDescent="0.35">
      <c r="B208" s="404"/>
      <c r="R208" s="177"/>
    </row>
    <row r="209" spans="2:2" ht="42.75" customHeight="1" x14ac:dyDescent="0.35">
      <c r="B209" s="404"/>
    </row>
    <row r="210" spans="2:2" ht="21.75" customHeight="1" x14ac:dyDescent="0.35">
      <c r="B210" s="404"/>
    </row>
    <row r="211" spans="2:2" ht="21.75" customHeight="1" x14ac:dyDescent="0.35">
      <c r="B211" s="404"/>
    </row>
    <row r="212" spans="2:2" ht="23.25" customHeight="1" x14ac:dyDescent="0.35">
      <c r="B212" s="404"/>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formatCells="0" formatColumns="0" formatRows="0"/>
  <mergeCells count="47">
    <mergeCell ref="J187:J188"/>
    <mergeCell ref="C58:Q58"/>
    <mergeCell ref="C68:Q68"/>
    <mergeCell ref="C78:Q78"/>
    <mergeCell ref="C89:Q89"/>
    <mergeCell ref="C90:Q90"/>
    <mergeCell ref="C100:Q100"/>
    <mergeCell ref="C110:Q110"/>
    <mergeCell ref="C131:Q131"/>
    <mergeCell ref="C120:Q120"/>
    <mergeCell ref="C142:Q142"/>
    <mergeCell ref="C132:Q132"/>
    <mergeCell ref="C152:Q152"/>
    <mergeCell ref="C162:Q162"/>
    <mergeCell ref="C186:M186"/>
    <mergeCell ref="F187:F188"/>
    <mergeCell ref="C48:Q48"/>
    <mergeCell ref="B1:K1"/>
    <mergeCell ref="C16:Q16"/>
    <mergeCell ref="C6:Q6"/>
    <mergeCell ref="C26:Q26"/>
    <mergeCell ref="B2:K2"/>
    <mergeCell ref="C36:Q36"/>
    <mergeCell ref="C5:Q5"/>
    <mergeCell ref="C47:Q47"/>
    <mergeCell ref="B198:B212"/>
    <mergeCell ref="C187:C188"/>
    <mergeCell ref="M187:M188"/>
    <mergeCell ref="M195:M196"/>
    <mergeCell ref="N195:N196"/>
    <mergeCell ref="G187:G188"/>
    <mergeCell ref="K187:K188"/>
    <mergeCell ref="L187:L188"/>
    <mergeCell ref="G195:G196"/>
    <mergeCell ref="K195:K196"/>
    <mergeCell ref="L195:L196"/>
    <mergeCell ref="C207:D207"/>
    <mergeCell ref="D187:D188"/>
    <mergeCell ref="E187:E188"/>
    <mergeCell ref="H187:H188"/>
    <mergeCell ref="I187:I188"/>
    <mergeCell ref="D195:D196"/>
    <mergeCell ref="E195:E196"/>
    <mergeCell ref="H195:H196"/>
    <mergeCell ref="I195:I196"/>
    <mergeCell ref="C194:H194"/>
    <mergeCell ref="F195:F196"/>
  </mergeCells>
  <conditionalFormatting sqref="D203 H203">
    <cfRule type="cellIs" dxfId="26" priority="49" operator="lessThan">
      <formula>0.15</formula>
    </cfRule>
  </conditionalFormatting>
  <conditionalFormatting sqref="D206 H206:J206">
    <cfRule type="cellIs" dxfId="25" priority="47" operator="lessThan">
      <formula>0.05</formula>
    </cfRule>
  </conditionalFormatting>
  <conditionalFormatting sqref="I200:J200">
    <cfRule type="cellIs" dxfId="24" priority="1" operator="greaterThan">
      <formula>1</formula>
    </cfRule>
  </conditionalFormatting>
  <conditionalFormatting sqref="O199:P199 N200">
    <cfRule type="cellIs" dxfId="23" priority="4" operator="greaterThan">
      <formula>1</formula>
    </cfRule>
  </conditionalFormatting>
  <dataValidations xWindow="431" yWindow="475" count="6">
    <dataValidation allowBlank="1" showInputMessage="1" showErrorMessage="1" prompt="Insert *text* description of Output here" sqref="C6:F6 C16:F16 C26:F26 C36:F36 C48:F48 C58:F58 C68:F68 C78:F78 C90:F90 C100:F100 C110:F110 C120:F120 C132:F132 C142:F142 C152:F152 C162:F162" xr:uid="{31AC9CA6-D499-4711-A99F-BECD0A64F3A8}"/>
    <dataValidation allowBlank="1" showInputMessage="1" showErrorMessage="1" prompt="Insert *text* description of Activity here" sqref="C163:F163 C101 C7 C37:F37 C17 C27 C69:F69 C79:F79 C49 C59 C91 C121:F121 C133:F133 C143:F143 C153:F153 C111" xr:uid="{E7A390F5-03DD-4A67-B842-17326B4F2DA4}"/>
    <dataValidation allowBlank="1" showInputMessage="1" showErrorMessage="1" prompt="Insert *text* description of Outcome here" sqref="C131:Q131 C89:Q89 C47:Q47 C5:Q5" xr:uid="{89ACADD6-F982-42D9-AC8D-CCF9750605B2}"/>
    <dataValidation allowBlank="1" showInputMessage="1" showErrorMessage="1" prompt="% Towards Gender Equality and Women's Empowerment Must be Higher than 15%_x000a_" sqref="D203 H203 L203:M203" xr:uid="{E72508C7-C8DD-46A5-878C-E4FA07CAB6AF}"/>
    <dataValidation allowBlank="1" showInputMessage="1" showErrorMessage="1" prompt="M&amp;E Budget Cannot be Less than 5%_x000a_" sqref="H206:M206 D206" xr:uid="{53928C0A-D548-4B6B-97FC-07D38B0E5FA7}"/>
    <dataValidation allowBlank="1" showErrorMessage="1" prompt="% Towards Gender Equality and Women's Empowerment Must be Higher than 15%_x000a_" sqref="H205:M205 D205" xr:uid="{8C6643DA-1D03-44FB-AC1F-C4CB706ED3AA}"/>
  </dataValidations>
  <pageMargins left="0.7" right="0.7" top="0.75" bottom="0.75" header="0.3" footer="0.3"/>
  <pageSetup scale="37" orientation="landscape" r:id="rId1"/>
  <rowBreaks count="1" manualBreakCount="1">
    <brk id="58" max="16383" man="1"/>
  </rowBreaks>
  <colBreaks count="1" manualBreakCount="1">
    <brk id="17" max="1048575" man="1"/>
  </colBreaks>
  <customProperties>
    <customPr name="QAA_DRILLPATH_NODE_ID" r:id="rId2"/>
  </customProperties>
  <ignoredErrors>
    <ignoredError sqref="K187:L188 G187:G18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T245"/>
  <sheetViews>
    <sheetView showGridLines="0" showZeros="0" view="pageBreakPreview" topLeftCell="A4" zoomScale="70" zoomScaleNormal="80" zoomScaleSheetLayoutView="70" workbookViewId="0">
      <pane xSplit="3" ySplit="4" topLeftCell="I199" activePane="bottomRight" state="frozen"/>
      <selection pane="topRight" activeCell="D4" sqref="D4"/>
      <selection pane="bottomLeft" activeCell="A8" sqref="A8"/>
      <selection pane="bottomRight" activeCell="J188" sqref="J188"/>
    </sheetView>
  </sheetViews>
  <sheetFormatPr defaultColWidth="9.1796875" defaultRowHeight="15.5" x14ac:dyDescent="0.35"/>
  <cols>
    <col min="1" max="1" width="4.453125" style="24" customWidth="1"/>
    <col min="2" max="2" width="3.26953125" style="24" customWidth="1"/>
    <col min="3" max="3" width="51.453125" style="24" customWidth="1"/>
    <col min="4" max="4" width="23.1796875" style="24" customWidth="1"/>
    <col min="5" max="5" width="25.1796875" style="24" customWidth="1"/>
    <col min="6" max="6" width="23.1796875" style="335" customWidth="1"/>
    <col min="7" max="9" width="23.81640625" style="25" customWidth="1"/>
    <col min="10" max="10" width="23.81640625" style="344" customWidth="1"/>
    <col min="11" max="11" width="27.26953125" style="25" customWidth="1"/>
    <col min="12" max="12" width="36.453125" style="25" customWidth="1"/>
    <col min="13" max="13" width="25.7265625" style="24" customWidth="1"/>
    <col min="14" max="14" width="21.453125" style="24" customWidth="1"/>
    <col min="15" max="15" width="16.7265625" style="24" customWidth="1"/>
    <col min="16" max="16" width="19.453125" style="24" customWidth="1"/>
    <col min="17" max="17" width="19" style="24" customWidth="1"/>
    <col min="18" max="18" width="26" style="24" customWidth="1"/>
    <col min="19" max="19" width="21.1796875" style="24" customWidth="1"/>
    <col min="20" max="20" width="7" style="24" customWidth="1"/>
    <col min="21" max="21" width="24.26953125" style="24" customWidth="1"/>
    <col min="22" max="22" width="26.453125" style="24" customWidth="1"/>
    <col min="23" max="23" width="30.1796875" style="24" customWidth="1"/>
    <col min="24" max="24" width="33" style="24" customWidth="1"/>
    <col min="25" max="26" width="22.7265625" style="24" customWidth="1"/>
    <col min="27" max="27" width="23.453125" style="24" customWidth="1"/>
    <col min="28" max="28" width="32.1796875" style="24" customWidth="1"/>
    <col min="29" max="29" width="9.1796875" style="24"/>
    <col min="30" max="30" width="17.7265625" style="24" customWidth="1"/>
    <col min="31" max="31" width="26.453125" style="24" customWidth="1"/>
    <col min="32" max="32" width="22.453125" style="24" customWidth="1"/>
    <col min="33" max="33" width="29.7265625" style="24" customWidth="1"/>
    <col min="34" max="34" width="23.453125" style="24" customWidth="1"/>
    <col min="35" max="35" width="18.453125" style="24" customWidth="1"/>
    <col min="36" max="36" width="17.453125" style="24" customWidth="1"/>
    <col min="37" max="37" width="25.1796875" style="24" customWidth="1"/>
    <col min="38" max="16384" width="9.1796875" style="24"/>
  </cols>
  <sheetData>
    <row r="1" spans="2:20" ht="31.5" customHeight="1" x14ac:dyDescent="1">
      <c r="B1" s="117"/>
      <c r="C1" s="399" t="s">
        <v>0</v>
      </c>
      <c r="D1" s="399"/>
      <c r="E1" s="399"/>
      <c r="F1" s="399"/>
      <c r="G1" s="399"/>
      <c r="H1" s="399"/>
      <c r="I1" s="399"/>
      <c r="J1" s="399"/>
      <c r="K1" s="399"/>
      <c r="L1" s="399"/>
      <c r="M1" s="15"/>
      <c r="N1" s="16"/>
      <c r="O1" s="16"/>
      <c r="P1" s="117"/>
      <c r="Q1" s="117"/>
      <c r="R1" s="10"/>
      <c r="S1" s="3"/>
      <c r="T1" s="117"/>
    </row>
    <row r="2" spans="2:20" ht="24" customHeight="1" x14ac:dyDescent="0.45">
      <c r="B2" s="117"/>
      <c r="C2" s="459" t="s">
        <v>262</v>
      </c>
      <c r="D2" s="459"/>
      <c r="E2" s="459"/>
      <c r="F2" s="459"/>
      <c r="G2" s="459"/>
      <c r="H2" s="459"/>
      <c r="I2" s="459"/>
      <c r="J2" s="459"/>
      <c r="K2" s="459"/>
      <c r="L2" s="94"/>
      <c r="M2" s="117"/>
      <c r="N2" s="117"/>
      <c r="O2" s="117"/>
      <c r="P2" s="117"/>
      <c r="Q2" s="117"/>
      <c r="R2" s="10"/>
      <c r="S2" s="3"/>
      <c r="T2" s="117"/>
    </row>
    <row r="3" spans="2:20" ht="24" customHeight="1" x14ac:dyDescent="0.35">
      <c r="B3" s="117"/>
      <c r="C3" s="19"/>
      <c r="D3" s="19"/>
      <c r="E3" s="19"/>
      <c r="F3" s="322"/>
      <c r="G3" s="19"/>
      <c r="H3" s="19"/>
      <c r="I3" s="19"/>
      <c r="J3" s="322"/>
      <c r="K3" s="19"/>
      <c r="L3" s="19"/>
      <c r="M3" s="117"/>
      <c r="N3" s="117"/>
      <c r="O3" s="117"/>
      <c r="P3" s="117"/>
      <c r="Q3" s="117"/>
      <c r="R3" s="10"/>
      <c r="S3" s="3"/>
      <c r="T3" s="117"/>
    </row>
    <row r="4" spans="2:20" ht="53.25" customHeight="1" x14ac:dyDescent="0.35">
      <c r="B4" s="117"/>
      <c r="C4" s="19"/>
      <c r="D4" s="92" t="str">
        <f>'1) Budget Table'!D4</f>
        <v>UNDP (Original Budget)</v>
      </c>
      <c r="E4" s="92" t="str">
        <f>+'1) Budget Table'!E4</f>
        <v>UNDP (Expenditures March 2022 - 31 Aug 2023)</v>
      </c>
      <c r="F4" s="323" t="str">
        <f>+'1) Budget Table'!F4</f>
        <v>UNDP (Revised Budget)</v>
      </c>
      <c r="G4" s="92" t="str">
        <f>'1) Budget Table'!G4</f>
        <v xml:space="preserve"> UNDP (NCE 6 months Budget)</v>
      </c>
      <c r="H4" s="92" t="str">
        <f>+'1) Budget Table'!H4</f>
        <v>WVSI (Original Budget)</v>
      </c>
      <c r="I4" s="92" t="str">
        <f>+'1) Budget Table'!I4</f>
        <v>WVSI(Expenditures March 2022 - 31 Aug 2023)</v>
      </c>
      <c r="J4" s="323" t="str">
        <f>+'1) Budget Table'!J4</f>
        <v>WVSI (Revised Budget)</v>
      </c>
      <c r="K4" s="92" t="str">
        <f>'1) Budget Table'!K4</f>
        <v>WVSI (NCE 6 months)</v>
      </c>
      <c r="L4" s="92" t="str">
        <f>'1) Budget Table'!L4</f>
        <v>Recipient Organization 3</v>
      </c>
      <c r="M4" s="88" t="s">
        <v>14</v>
      </c>
      <c r="N4" s="117"/>
      <c r="O4" s="117"/>
      <c r="P4" s="117"/>
      <c r="Q4" s="117"/>
      <c r="R4" s="10"/>
      <c r="S4" s="3"/>
      <c r="T4" s="117"/>
    </row>
    <row r="5" spans="2:20" ht="24" customHeight="1" x14ac:dyDescent="0.35">
      <c r="B5" s="451" t="s">
        <v>263</v>
      </c>
      <c r="C5" s="452"/>
      <c r="D5" s="452"/>
      <c r="E5" s="452"/>
      <c r="F5" s="452"/>
      <c r="G5" s="452"/>
      <c r="H5" s="452"/>
      <c r="I5" s="452"/>
      <c r="J5" s="452"/>
      <c r="K5" s="452"/>
      <c r="L5" s="452"/>
      <c r="M5" s="453"/>
      <c r="N5" s="117"/>
      <c r="O5" s="117"/>
      <c r="P5" s="117"/>
      <c r="Q5" s="117"/>
      <c r="R5" s="10"/>
      <c r="S5" s="3"/>
      <c r="T5" s="117"/>
    </row>
    <row r="6" spans="2:20" ht="22.5" customHeight="1" x14ac:dyDescent="0.35">
      <c r="B6" s="117"/>
      <c r="C6" s="451" t="s">
        <v>264</v>
      </c>
      <c r="D6" s="452"/>
      <c r="E6" s="452"/>
      <c r="F6" s="452"/>
      <c r="G6" s="452"/>
      <c r="H6" s="452"/>
      <c r="I6" s="452"/>
      <c r="J6" s="452"/>
      <c r="K6" s="452"/>
      <c r="L6" s="452"/>
      <c r="M6" s="453"/>
      <c r="N6" s="117"/>
      <c r="O6" s="117"/>
      <c r="P6" s="117"/>
      <c r="Q6" s="117"/>
      <c r="R6" s="10"/>
      <c r="S6" s="3"/>
      <c r="T6" s="117"/>
    </row>
    <row r="7" spans="2:20" ht="24.75" customHeight="1" thickBot="1" x14ac:dyDescent="0.4">
      <c r="B7" s="117"/>
      <c r="C7" s="32" t="s">
        <v>265</v>
      </c>
      <c r="D7" s="241">
        <f>+'1) Budget Table'!D15</f>
        <v>150000</v>
      </c>
      <c r="E7" s="241">
        <f>+'1) Budget Table'!E15</f>
        <v>142340.65</v>
      </c>
      <c r="F7" s="324">
        <f>+'1) Budget Table'!F15</f>
        <v>150000</v>
      </c>
      <c r="G7" s="33">
        <f>+'1) Budget Table'!G15</f>
        <v>2660.0899999999997</v>
      </c>
      <c r="H7" s="33">
        <f>+'1) Budget Table'!H15</f>
        <v>86630.550397877989</v>
      </c>
      <c r="I7" s="33">
        <f>+'1) Budget Table'!I15</f>
        <v>81794.914028687999</v>
      </c>
      <c r="J7" s="342">
        <f>+'1) Budget Table'!J15</f>
        <v>101294.914028688</v>
      </c>
      <c r="K7" s="33">
        <f>'1) Budget Table'!K15</f>
        <v>19500</v>
      </c>
      <c r="L7" s="33">
        <f>'1) Budget Table'!L15</f>
        <v>0</v>
      </c>
      <c r="M7" s="34">
        <f>SUM(G7:L7)</f>
        <v>291880.46845525398</v>
      </c>
      <c r="N7" s="117"/>
      <c r="O7" s="117"/>
      <c r="P7" s="117"/>
      <c r="Q7" s="117"/>
      <c r="R7" s="10"/>
      <c r="S7" s="3"/>
      <c r="T7" s="117"/>
    </row>
    <row r="8" spans="2:20" ht="21.75" customHeight="1" x14ac:dyDescent="0.35">
      <c r="B8" s="117"/>
      <c r="C8" s="30" t="s">
        <v>266</v>
      </c>
      <c r="D8" s="237"/>
      <c r="E8" s="118">
        <v>0</v>
      </c>
      <c r="F8" s="325"/>
      <c r="G8" s="118"/>
      <c r="H8" s="118">
        <v>14034.4</v>
      </c>
      <c r="I8" s="118">
        <v>13292.824028687977</v>
      </c>
      <c r="J8" s="325">
        <f>K8+I8</f>
        <v>13292.824028687977</v>
      </c>
      <c r="K8" s="118"/>
      <c r="L8" s="119"/>
      <c r="M8" s="31">
        <f t="shared" ref="M8:M15" si="0">SUM(G8:L8)</f>
        <v>40620.048057375956</v>
      </c>
      <c r="N8" s="117"/>
      <c r="O8" s="117"/>
      <c r="P8" s="117"/>
      <c r="Q8" s="117"/>
      <c r="R8" s="117"/>
      <c r="S8" s="117"/>
      <c r="T8" s="117"/>
    </row>
    <row r="9" spans="2:20" x14ac:dyDescent="0.35">
      <c r="B9" s="117"/>
      <c r="C9" s="22" t="s">
        <v>267</v>
      </c>
      <c r="D9" s="120">
        <v>10000</v>
      </c>
      <c r="E9" s="120">
        <v>10455.85</v>
      </c>
      <c r="F9" s="326">
        <v>10455.85</v>
      </c>
      <c r="G9" s="120"/>
      <c r="H9" s="118">
        <v>36967.948717948719</v>
      </c>
      <c r="I9" s="118">
        <v>28830.27</v>
      </c>
      <c r="J9" s="325">
        <f t="shared" ref="J9:J14" si="1">K9+I9</f>
        <v>36830.270000000004</v>
      </c>
      <c r="K9" s="118">
        <v>8000</v>
      </c>
      <c r="L9" s="101"/>
      <c r="M9" s="29">
        <f t="shared" si="0"/>
        <v>110628.48871794873</v>
      </c>
      <c r="N9" s="117"/>
      <c r="O9" s="117"/>
      <c r="P9" s="117"/>
      <c r="Q9" s="117"/>
      <c r="R9" s="117"/>
      <c r="S9" s="117"/>
      <c r="T9" s="117"/>
    </row>
    <row r="10" spans="2:20" ht="15.75" customHeight="1" x14ac:dyDescent="0.35">
      <c r="B10" s="117"/>
      <c r="C10" s="22" t="s">
        <v>268</v>
      </c>
      <c r="D10" s="120">
        <v>1000</v>
      </c>
      <c r="E10" s="120">
        <v>0</v>
      </c>
      <c r="F10" s="326">
        <v>0</v>
      </c>
      <c r="G10" s="120"/>
      <c r="H10" s="118">
        <v>1153.8461538461538</v>
      </c>
      <c r="I10" s="118">
        <v>1050.94</v>
      </c>
      <c r="J10" s="325">
        <f t="shared" si="1"/>
        <v>1050.94</v>
      </c>
      <c r="K10" s="118"/>
      <c r="L10" s="120"/>
      <c r="M10" s="29">
        <f t="shared" si="0"/>
        <v>3255.7261538461539</v>
      </c>
      <c r="N10" s="117"/>
      <c r="O10" s="117"/>
      <c r="P10" s="117"/>
      <c r="Q10" s="117"/>
      <c r="R10" s="117"/>
      <c r="S10" s="117"/>
      <c r="T10" s="117"/>
    </row>
    <row r="11" spans="2:20" x14ac:dyDescent="0.35">
      <c r="B11" s="117"/>
      <c r="C11" s="23" t="s">
        <v>269</v>
      </c>
      <c r="D11" s="120">
        <v>8000</v>
      </c>
      <c r="E11" s="120">
        <v>8888.65</v>
      </c>
      <c r="F11" s="326">
        <v>8888.65</v>
      </c>
      <c r="G11" s="120"/>
      <c r="H11" s="118">
        <v>0</v>
      </c>
      <c r="I11" s="118">
        <v>0</v>
      </c>
      <c r="J11" s="325">
        <f t="shared" si="1"/>
        <v>0</v>
      </c>
      <c r="K11" s="118"/>
      <c r="L11" s="120"/>
      <c r="M11" s="29">
        <f t="shared" si="0"/>
        <v>0</v>
      </c>
      <c r="N11" s="117"/>
      <c r="O11" s="117"/>
      <c r="P11" s="117"/>
      <c r="Q11" s="117"/>
      <c r="R11" s="117"/>
      <c r="S11" s="117"/>
      <c r="T11" s="117"/>
    </row>
    <row r="12" spans="2:20" x14ac:dyDescent="0.35">
      <c r="B12" s="117"/>
      <c r="C12" s="22" t="s">
        <v>270</v>
      </c>
      <c r="D12" s="120">
        <v>30000</v>
      </c>
      <c r="E12" s="120">
        <v>20996.15</v>
      </c>
      <c r="F12" s="326">
        <f>20996.15+5000.09+2659.26</f>
        <v>28655.5</v>
      </c>
      <c r="G12" s="120">
        <v>2660.09</v>
      </c>
      <c r="H12" s="118">
        <v>34474.358974358976</v>
      </c>
      <c r="I12" s="118">
        <v>38620.879999999997</v>
      </c>
      <c r="J12" s="325">
        <f t="shared" si="1"/>
        <v>50120.88</v>
      </c>
      <c r="K12" s="118">
        <v>11500</v>
      </c>
      <c r="L12" s="120"/>
      <c r="M12" s="29">
        <f t="shared" si="0"/>
        <v>137376.20897435897</v>
      </c>
      <c r="N12" s="117"/>
      <c r="O12" s="117"/>
      <c r="P12" s="117"/>
      <c r="Q12" s="117"/>
      <c r="R12" s="117"/>
      <c r="S12" s="117"/>
      <c r="T12" s="117"/>
    </row>
    <row r="13" spans="2:20" ht="21.75" customHeight="1" x14ac:dyDescent="0.35">
      <c r="B13" s="117"/>
      <c r="C13" s="22" t="s">
        <v>271</v>
      </c>
      <c r="D13" s="120">
        <v>100000</v>
      </c>
      <c r="E13" s="120">
        <v>100000</v>
      </c>
      <c r="F13" s="326">
        <v>100000</v>
      </c>
      <c r="G13" s="120"/>
      <c r="H13" s="118">
        <v>0</v>
      </c>
      <c r="I13" s="118">
        <v>0</v>
      </c>
      <c r="J13" s="325">
        <f t="shared" si="1"/>
        <v>0</v>
      </c>
      <c r="K13" s="118"/>
      <c r="L13" s="120"/>
      <c r="M13" s="29">
        <f t="shared" si="0"/>
        <v>0</v>
      </c>
      <c r="N13" s="247"/>
      <c r="O13" s="117"/>
      <c r="P13" s="117"/>
      <c r="Q13" s="117"/>
      <c r="R13" s="117"/>
      <c r="S13" s="117"/>
      <c r="T13" s="117"/>
    </row>
    <row r="14" spans="2:20" ht="21.75" customHeight="1" x14ac:dyDescent="0.35">
      <c r="B14" s="117"/>
      <c r="C14" s="22" t="s">
        <v>272</v>
      </c>
      <c r="D14" s="120">
        <v>1000</v>
      </c>
      <c r="E14" s="120">
        <v>2000</v>
      </c>
      <c r="F14" s="326">
        <v>2000</v>
      </c>
      <c r="G14" s="120"/>
      <c r="H14" s="118">
        <v>0</v>
      </c>
      <c r="I14" s="118">
        <v>0</v>
      </c>
      <c r="J14" s="325">
        <f t="shared" si="1"/>
        <v>0</v>
      </c>
      <c r="K14" s="118"/>
      <c r="L14" s="120"/>
      <c r="M14" s="29">
        <f t="shared" si="0"/>
        <v>0</v>
      </c>
      <c r="N14" s="117"/>
      <c r="O14" s="117"/>
      <c r="P14" s="117"/>
      <c r="Q14" s="117"/>
      <c r="R14" s="117"/>
      <c r="S14" s="117"/>
      <c r="T14" s="117"/>
    </row>
    <row r="15" spans="2:20" ht="15.75" customHeight="1" x14ac:dyDescent="0.35">
      <c r="B15" s="117"/>
      <c r="C15" s="26" t="s">
        <v>273</v>
      </c>
      <c r="D15" s="35">
        <f t="shared" ref="D15:L15" si="2">SUM(D8:D14)</f>
        <v>150000</v>
      </c>
      <c r="E15" s="35">
        <f t="shared" si="2"/>
        <v>142340.65</v>
      </c>
      <c r="F15" s="327">
        <f>SUM(F8:F14)</f>
        <v>150000</v>
      </c>
      <c r="G15" s="35">
        <f t="shared" si="2"/>
        <v>2660.09</v>
      </c>
      <c r="H15" s="35">
        <f t="shared" si="2"/>
        <v>86630.553846153853</v>
      </c>
      <c r="I15" s="35">
        <f t="shared" si="2"/>
        <v>81794.914028687985</v>
      </c>
      <c r="J15" s="327">
        <f t="shared" si="2"/>
        <v>101294.91402868798</v>
      </c>
      <c r="K15" s="35">
        <f t="shared" si="2"/>
        <v>19500</v>
      </c>
      <c r="L15" s="35">
        <f t="shared" si="2"/>
        <v>0</v>
      </c>
      <c r="M15" s="76">
        <f t="shared" si="0"/>
        <v>291880.47190352983</v>
      </c>
      <c r="N15" s="117"/>
      <c r="O15" s="117"/>
      <c r="P15" s="117"/>
      <c r="Q15" s="117"/>
      <c r="R15" s="117"/>
      <c r="S15" s="117"/>
      <c r="T15" s="117"/>
    </row>
    <row r="16" spans="2:20" s="25" customFormat="1" x14ac:dyDescent="0.35">
      <c r="B16" s="121"/>
      <c r="C16" s="39"/>
      <c r="D16" s="42"/>
      <c r="E16" s="42"/>
      <c r="F16" s="328"/>
      <c r="G16" s="40"/>
      <c r="H16" s="40"/>
      <c r="I16" s="40"/>
      <c r="J16" s="343"/>
      <c r="K16" s="40"/>
      <c r="L16" s="40"/>
      <c r="M16" s="77"/>
      <c r="N16" s="121"/>
      <c r="O16" s="121"/>
      <c r="P16" s="121"/>
      <c r="Q16" s="121"/>
      <c r="R16" s="121"/>
      <c r="S16" s="121"/>
      <c r="T16" s="121"/>
    </row>
    <row r="17" spans="3:20" x14ac:dyDescent="0.35">
      <c r="C17" s="451" t="s">
        <v>274</v>
      </c>
      <c r="D17" s="452"/>
      <c r="E17" s="452"/>
      <c r="F17" s="452"/>
      <c r="G17" s="452"/>
      <c r="H17" s="452"/>
      <c r="I17" s="452"/>
      <c r="J17" s="452"/>
      <c r="K17" s="452"/>
      <c r="L17" s="452"/>
      <c r="M17" s="453"/>
      <c r="N17" s="117"/>
      <c r="O17" s="117"/>
      <c r="P17" s="117"/>
      <c r="Q17" s="117"/>
      <c r="R17" s="117"/>
      <c r="S17" s="117"/>
      <c r="T17" s="117"/>
    </row>
    <row r="18" spans="3:20" ht="27" customHeight="1" thickBot="1" x14ac:dyDescent="0.4">
      <c r="C18" s="32" t="s">
        <v>265</v>
      </c>
      <c r="D18" s="241">
        <f>+'1) Budget Table'!D25</f>
        <v>60000</v>
      </c>
      <c r="E18" s="241">
        <f>+'1) Budget Table'!E25</f>
        <v>44916.93</v>
      </c>
      <c r="F18" s="324">
        <f>+'1) Budget Table'!F25</f>
        <v>60000</v>
      </c>
      <c r="G18" s="33">
        <f>'1) Budget Table'!G25</f>
        <v>15083.07</v>
      </c>
      <c r="H18" s="33">
        <f>+'1) Budget Table'!H25</f>
        <v>46613.352122015916</v>
      </c>
      <c r="I18" s="33">
        <f>+'1) Budget Table'!I25</f>
        <v>26716.272014343991</v>
      </c>
      <c r="J18" s="342">
        <f>+'1) Budget Table'!J25</f>
        <v>44216.272014343995</v>
      </c>
      <c r="K18" s="33">
        <f>'1) Budget Table'!K25</f>
        <v>17500</v>
      </c>
      <c r="L18" s="33">
        <f>'1) Budget Table'!L25</f>
        <v>0</v>
      </c>
      <c r="M18" s="34">
        <f t="shared" ref="M18:M26" si="3">SUM(G18:L18)</f>
        <v>150128.9661507039</v>
      </c>
      <c r="N18" s="117"/>
      <c r="O18" s="117"/>
      <c r="P18" s="117"/>
      <c r="Q18" s="117"/>
      <c r="R18" s="117"/>
      <c r="S18" s="117"/>
      <c r="T18" s="117"/>
    </row>
    <row r="19" spans="3:20" x14ac:dyDescent="0.35">
      <c r="C19" s="30" t="s">
        <v>266</v>
      </c>
      <c r="D19" s="237"/>
      <c r="E19" s="118"/>
      <c r="F19" s="325"/>
      <c r="G19" s="118"/>
      <c r="H19" s="118">
        <v>7017.2</v>
      </c>
      <c r="I19" s="118">
        <v>6646.4120143439877</v>
      </c>
      <c r="J19" s="325">
        <f t="shared" ref="J19:J25" si="4">K19+I19</f>
        <v>6646.4120143439877</v>
      </c>
      <c r="K19" s="118"/>
      <c r="L19" s="119"/>
      <c r="M19" s="31">
        <f t="shared" si="3"/>
        <v>20310.024028687974</v>
      </c>
      <c r="N19" s="117"/>
      <c r="O19" s="117"/>
      <c r="P19" s="117"/>
      <c r="Q19" s="117"/>
      <c r="R19" s="117"/>
      <c r="S19" s="117"/>
      <c r="T19" s="117"/>
    </row>
    <row r="20" spans="3:20" x14ac:dyDescent="0.35">
      <c r="C20" s="22" t="s">
        <v>267</v>
      </c>
      <c r="D20" s="120">
        <v>7000</v>
      </c>
      <c r="E20" s="120">
        <v>7000</v>
      </c>
      <c r="F20" s="326">
        <v>7000</v>
      </c>
      <c r="G20" s="120"/>
      <c r="H20" s="118">
        <v>20378.205128205129</v>
      </c>
      <c r="I20" s="118">
        <v>3679.1500000000005</v>
      </c>
      <c r="J20" s="325">
        <f t="shared" si="4"/>
        <v>13679.150000000001</v>
      </c>
      <c r="K20" s="118">
        <v>10000</v>
      </c>
      <c r="L20" s="101"/>
      <c r="M20" s="29">
        <f t="shared" si="3"/>
        <v>47736.505128205128</v>
      </c>
      <c r="N20" s="117"/>
      <c r="O20" s="117"/>
      <c r="P20" s="117"/>
      <c r="Q20" s="117"/>
      <c r="R20" s="117"/>
      <c r="S20" s="117"/>
      <c r="T20" s="117"/>
    </row>
    <row r="21" spans="3:20" ht="31" x14ac:dyDescent="0.35">
      <c r="C21" s="22" t="s">
        <v>268</v>
      </c>
      <c r="D21" s="120">
        <v>2000</v>
      </c>
      <c r="E21" s="120"/>
      <c r="F21" s="326">
        <v>2000</v>
      </c>
      <c r="G21" s="120">
        <v>2000</v>
      </c>
      <c r="H21" s="118">
        <v>1153.8461538461538</v>
      </c>
      <c r="I21" s="118">
        <v>1469.1099999999997</v>
      </c>
      <c r="J21" s="325">
        <f t="shared" si="4"/>
        <v>1469.1099999999997</v>
      </c>
      <c r="K21" s="118"/>
      <c r="L21" s="120"/>
      <c r="M21" s="29">
        <f t="shared" si="3"/>
        <v>6092.0661538461527</v>
      </c>
      <c r="N21" s="117"/>
      <c r="O21" s="117"/>
      <c r="P21" s="117"/>
      <c r="Q21" s="117"/>
      <c r="R21" s="117"/>
      <c r="S21" s="117"/>
      <c r="T21" s="117"/>
    </row>
    <row r="22" spans="3:20" x14ac:dyDescent="0.35">
      <c r="C22" s="23" t="s">
        <v>269</v>
      </c>
      <c r="D22" s="120">
        <v>40000</v>
      </c>
      <c r="E22" s="120">
        <f>10028.47+12574.46</f>
        <v>22602.93</v>
      </c>
      <c r="F22" s="326">
        <f>10028.47+12574.46+10000+83.07+3000</f>
        <v>35686</v>
      </c>
      <c r="G22" s="120">
        <v>12083.07</v>
      </c>
      <c r="H22" s="118">
        <v>0</v>
      </c>
      <c r="I22" s="118">
        <v>0</v>
      </c>
      <c r="J22" s="325">
        <f t="shared" si="4"/>
        <v>0</v>
      </c>
      <c r="K22" s="118"/>
      <c r="L22" s="120"/>
      <c r="M22" s="29">
        <f t="shared" si="3"/>
        <v>12083.07</v>
      </c>
      <c r="N22" s="117"/>
      <c r="O22" s="117"/>
      <c r="P22" s="117"/>
      <c r="Q22" s="117"/>
      <c r="R22" s="117"/>
      <c r="S22" s="117"/>
      <c r="T22" s="117"/>
    </row>
    <row r="23" spans="3:20" x14ac:dyDescent="0.35">
      <c r="C23" s="22" t="s">
        <v>270</v>
      </c>
      <c r="D23" s="120">
        <v>10000</v>
      </c>
      <c r="E23" s="120">
        <v>13314</v>
      </c>
      <c r="F23" s="326">
        <v>13314</v>
      </c>
      <c r="G23" s="120"/>
      <c r="H23" s="118">
        <v>18064.102564102566</v>
      </c>
      <c r="I23" s="118">
        <v>14921.599999999999</v>
      </c>
      <c r="J23" s="325">
        <f t="shared" si="4"/>
        <v>22421.599999999999</v>
      </c>
      <c r="K23" s="118">
        <v>7500</v>
      </c>
      <c r="L23" s="120"/>
      <c r="M23" s="29">
        <f t="shared" si="3"/>
        <v>62907.302564102567</v>
      </c>
      <c r="N23" s="247"/>
      <c r="O23" s="117"/>
      <c r="P23" s="117"/>
      <c r="Q23" s="117"/>
      <c r="R23" s="117"/>
      <c r="S23" s="117"/>
      <c r="T23" s="117"/>
    </row>
    <row r="24" spans="3:20" x14ac:dyDescent="0.35">
      <c r="C24" s="22" t="s">
        <v>271</v>
      </c>
      <c r="D24" s="120"/>
      <c r="E24" s="120"/>
      <c r="F24" s="326"/>
      <c r="G24" s="120"/>
      <c r="H24" s="118"/>
      <c r="I24" s="118">
        <v>0</v>
      </c>
      <c r="J24" s="325">
        <f t="shared" si="4"/>
        <v>0</v>
      </c>
      <c r="K24" s="118"/>
      <c r="L24" s="120"/>
      <c r="M24" s="29">
        <f t="shared" si="3"/>
        <v>0</v>
      </c>
      <c r="N24" s="117"/>
      <c r="O24" s="117"/>
      <c r="P24" s="117"/>
      <c r="Q24" s="117"/>
      <c r="R24" s="117"/>
      <c r="S24" s="117"/>
      <c r="T24" s="117"/>
    </row>
    <row r="25" spans="3:20" x14ac:dyDescent="0.35">
      <c r="C25" s="22" t="s">
        <v>272</v>
      </c>
      <c r="D25" s="120">
        <v>1000</v>
      </c>
      <c r="E25" s="120">
        <v>2000</v>
      </c>
      <c r="F25" s="326">
        <v>2000</v>
      </c>
      <c r="G25" s="120">
        <v>1000</v>
      </c>
      <c r="H25" s="118"/>
      <c r="I25" s="118">
        <v>0</v>
      </c>
      <c r="J25" s="325">
        <f t="shared" si="4"/>
        <v>0</v>
      </c>
      <c r="K25" s="118">
        <v>0</v>
      </c>
      <c r="L25" s="120"/>
      <c r="M25" s="29">
        <f t="shared" si="3"/>
        <v>1000</v>
      </c>
      <c r="N25" s="117"/>
      <c r="O25" s="117"/>
      <c r="P25" s="117"/>
      <c r="Q25" s="117"/>
      <c r="R25" s="117"/>
      <c r="S25" s="117"/>
      <c r="T25" s="117"/>
    </row>
    <row r="26" spans="3:20" x14ac:dyDescent="0.35">
      <c r="C26" s="26" t="s">
        <v>273</v>
      </c>
      <c r="D26" s="35">
        <f t="shared" ref="D26:L26" si="5">SUM(D19:D25)</f>
        <v>60000</v>
      </c>
      <c r="E26" s="35">
        <f t="shared" si="5"/>
        <v>44916.93</v>
      </c>
      <c r="F26" s="327">
        <f>SUM(F19:F25)</f>
        <v>60000</v>
      </c>
      <c r="G26" s="35">
        <f>SUM(G19:G25)</f>
        <v>15083.07</v>
      </c>
      <c r="H26" s="35">
        <f t="shared" si="5"/>
        <v>46613.353846153848</v>
      </c>
      <c r="I26" s="35">
        <f t="shared" si="5"/>
        <v>26716.272014343987</v>
      </c>
      <c r="J26" s="327">
        <f t="shared" si="5"/>
        <v>44216.272014343987</v>
      </c>
      <c r="K26" s="35">
        <f t="shared" si="5"/>
        <v>17500</v>
      </c>
      <c r="L26" s="35">
        <f t="shared" si="5"/>
        <v>0</v>
      </c>
      <c r="M26" s="29">
        <f t="shared" si="3"/>
        <v>150128.96787484182</v>
      </c>
      <c r="N26" s="117"/>
      <c r="O26" s="117"/>
      <c r="P26" s="117"/>
      <c r="Q26" s="117"/>
      <c r="R26" s="117"/>
      <c r="S26" s="117"/>
      <c r="T26" s="117"/>
    </row>
    <row r="27" spans="3:20" s="25" customFormat="1" x14ac:dyDescent="0.35">
      <c r="C27" s="39"/>
      <c r="D27" s="42"/>
      <c r="E27" s="42"/>
      <c r="F27" s="328"/>
      <c r="G27" s="40"/>
      <c r="H27" s="40"/>
      <c r="I27" s="40"/>
      <c r="J27" s="343"/>
      <c r="K27" s="40"/>
      <c r="L27" s="40"/>
      <c r="M27" s="41"/>
      <c r="N27" s="121"/>
      <c r="O27" s="121"/>
      <c r="P27" s="121"/>
      <c r="Q27" s="121"/>
      <c r="R27" s="121"/>
      <c r="S27" s="121"/>
      <c r="T27" s="121"/>
    </row>
    <row r="28" spans="3:20" x14ac:dyDescent="0.35">
      <c r="C28" s="451" t="s">
        <v>275</v>
      </c>
      <c r="D28" s="452"/>
      <c r="E28" s="452"/>
      <c r="F28" s="452"/>
      <c r="G28" s="452"/>
      <c r="H28" s="452"/>
      <c r="I28" s="452"/>
      <c r="J28" s="452"/>
      <c r="K28" s="452"/>
      <c r="L28" s="452"/>
      <c r="M28" s="453"/>
      <c r="N28" s="117"/>
      <c r="O28" s="117"/>
      <c r="P28" s="117"/>
      <c r="Q28" s="117"/>
      <c r="R28" s="117"/>
      <c r="S28" s="117"/>
      <c r="T28" s="117"/>
    </row>
    <row r="29" spans="3:20" ht="21.75" customHeight="1" thickBot="1" x14ac:dyDescent="0.4">
      <c r="C29" s="32" t="s">
        <v>265</v>
      </c>
      <c r="D29" s="241">
        <f>+'1) Budget Table'!D35</f>
        <v>70000</v>
      </c>
      <c r="E29" s="241">
        <f>+'1) Budget Table'!E35</f>
        <v>14871.58</v>
      </c>
      <c r="F29" s="324">
        <f>+'1) Budget Table'!F35</f>
        <v>70000</v>
      </c>
      <c r="G29" s="33">
        <f>'1) Budget Table'!G35</f>
        <v>55128.42</v>
      </c>
      <c r="H29" s="33">
        <f>+'1) Budget Table'!H35</f>
        <v>25118.170866489832</v>
      </c>
      <c r="I29" s="33">
        <f>+'1) Budget Table'!I35</f>
        <v>6148.4806594946731</v>
      </c>
      <c r="J29" s="342">
        <f>+'1) Budget Table'!J35</f>
        <v>22648.480659494671</v>
      </c>
      <c r="K29" s="33">
        <f>'1) Budget Table'!K35</f>
        <v>16500</v>
      </c>
      <c r="L29" s="33">
        <f>'1) Budget Table'!L35</f>
        <v>0</v>
      </c>
      <c r="M29" s="34">
        <f t="shared" ref="M29:M37" si="6">SUM(G29:L29)</f>
        <v>125543.55218547917</v>
      </c>
      <c r="N29" s="117"/>
      <c r="O29" s="117"/>
      <c r="P29" s="117"/>
      <c r="Q29" s="117"/>
      <c r="R29" s="117"/>
      <c r="S29" s="117"/>
      <c r="T29" s="117"/>
    </row>
    <row r="30" spans="3:20" x14ac:dyDescent="0.35">
      <c r="C30" s="30" t="s">
        <v>266</v>
      </c>
      <c r="D30" s="118"/>
      <c r="E30" s="118"/>
      <c r="F30" s="325"/>
      <c r="G30" s="118"/>
      <c r="H30" s="118">
        <v>5892.5298408488097</v>
      </c>
      <c r="I30" s="118">
        <v>5581.1706594946718</v>
      </c>
      <c r="J30" s="325">
        <f t="shared" ref="J30:J36" si="7">K30+I30</f>
        <v>5581.1706594946718</v>
      </c>
      <c r="K30" s="118"/>
      <c r="L30" s="119"/>
      <c r="M30" s="31">
        <f t="shared" si="6"/>
        <v>17054.871159838156</v>
      </c>
      <c r="N30" s="117"/>
      <c r="O30" s="117"/>
      <c r="P30" s="117"/>
      <c r="Q30" s="117"/>
      <c r="R30" s="117"/>
      <c r="S30" s="117"/>
      <c r="T30" s="117"/>
    </row>
    <row r="31" spans="3:20" s="25" customFormat="1" ht="15.75" customHeight="1" x14ac:dyDescent="0.35">
      <c r="C31" s="22" t="s">
        <v>267</v>
      </c>
      <c r="D31" s="120">
        <v>5000</v>
      </c>
      <c r="E31" s="120"/>
      <c r="F31" s="326">
        <v>5000</v>
      </c>
      <c r="G31" s="120">
        <v>5000</v>
      </c>
      <c r="H31" s="118">
        <v>1006.4102564102564</v>
      </c>
      <c r="I31" s="118">
        <v>0</v>
      </c>
      <c r="J31" s="325">
        <f t="shared" si="7"/>
        <v>2500</v>
      </c>
      <c r="K31" s="118">
        <v>2500</v>
      </c>
      <c r="L31" s="101"/>
      <c r="M31" s="29">
        <f t="shared" si="6"/>
        <v>11006.410256410256</v>
      </c>
      <c r="N31" s="121"/>
      <c r="O31" s="121"/>
      <c r="P31" s="121"/>
      <c r="Q31" s="121"/>
      <c r="R31" s="121"/>
      <c r="S31" s="121"/>
      <c r="T31" s="121"/>
    </row>
    <row r="32" spans="3:20" s="25" customFormat="1" ht="31" x14ac:dyDescent="0.35">
      <c r="C32" s="22" t="s">
        <v>268</v>
      </c>
      <c r="D32" s="120">
        <v>1500</v>
      </c>
      <c r="E32" s="120"/>
      <c r="F32" s="326">
        <v>1500</v>
      </c>
      <c r="G32" s="120">
        <v>1500</v>
      </c>
      <c r="H32" s="118">
        <v>0</v>
      </c>
      <c r="I32" s="118">
        <v>0</v>
      </c>
      <c r="J32" s="325">
        <f t="shared" si="7"/>
        <v>0</v>
      </c>
      <c r="K32" s="118"/>
      <c r="L32" s="120"/>
      <c r="M32" s="29">
        <f t="shared" si="6"/>
        <v>1500</v>
      </c>
      <c r="N32" s="121"/>
      <c r="O32" s="121"/>
      <c r="P32" s="121"/>
      <c r="Q32" s="121"/>
      <c r="R32" s="121"/>
      <c r="S32" s="121"/>
      <c r="T32" s="121"/>
    </row>
    <row r="33" spans="3:20" s="25" customFormat="1" x14ac:dyDescent="0.35">
      <c r="C33" s="23" t="s">
        <v>269</v>
      </c>
      <c r="D33" s="120">
        <v>50000</v>
      </c>
      <c r="E33" s="120"/>
      <c r="F33" s="326">
        <f>50000-2871.58</f>
        <v>47128.42</v>
      </c>
      <c r="G33" s="120">
        <f>50000-2871.58</f>
        <v>47128.42</v>
      </c>
      <c r="H33" s="118">
        <v>0</v>
      </c>
      <c r="I33" s="118">
        <v>0</v>
      </c>
      <c r="J33" s="325">
        <f t="shared" si="7"/>
        <v>0</v>
      </c>
      <c r="K33" s="118"/>
      <c r="L33" s="120"/>
      <c r="M33" s="29">
        <f t="shared" si="6"/>
        <v>47128.42</v>
      </c>
      <c r="N33" s="121"/>
      <c r="O33" s="121"/>
      <c r="P33" s="121"/>
      <c r="Q33" s="121"/>
      <c r="R33" s="121"/>
      <c r="S33" s="121"/>
      <c r="T33" s="121"/>
    </row>
    <row r="34" spans="3:20" x14ac:dyDescent="0.35">
      <c r="C34" s="22" t="s">
        <v>270</v>
      </c>
      <c r="D34" s="120">
        <v>12000</v>
      </c>
      <c r="E34" s="120">
        <v>14871.58</v>
      </c>
      <c r="F34" s="326">
        <v>14871.58</v>
      </c>
      <c r="G34" s="120">
        <v>0</v>
      </c>
      <c r="H34" s="118">
        <v>18219.23076923077</v>
      </c>
      <c r="I34" s="118">
        <v>567.30999999999995</v>
      </c>
      <c r="J34" s="325">
        <f t="shared" si="7"/>
        <v>14567.31</v>
      </c>
      <c r="K34" s="118">
        <v>14000</v>
      </c>
      <c r="L34" s="120"/>
      <c r="M34" s="29">
        <f t="shared" si="6"/>
        <v>47353.850769230768</v>
      </c>
      <c r="N34" s="117"/>
      <c r="O34" s="117"/>
      <c r="P34" s="117"/>
      <c r="Q34" s="117"/>
      <c r="R34" s="117"/>
      <c r="S34" s="117"/>
      <c r="T34" s="117"/>
    </row>
    <row r="35" spans="3:20" x14ac:dyDescent="0.35">
      <c r="C35" s="22" t="s">
        <v>271</v>
      </c>
      <c r="D35" s="120"/>
      <c r="E35" s="120"/>
      <c r="F35" s="326"/>
      <c r="G35" s="120"/>
      <c r="H35" s="118">
        <v>0</v>
      </c>
      <c r="I35" s="118">
        <v>0</v>
      </c>
      <c r="J35" s="325">
        <f t="shared" si="7"/>
        <v>0</v>
      </c>
      <c r="K35" s="118"/>
      <c r="L35" s="120"/>
      <c r="M35" s="29">
        <f t="shared" si="6"/>
        <v>0</v>
      </c>
      <c r="N35" s="117"/>
      <c r="O35" s="117"/>
      <c r="P35" s="117"/>
      <c r="Q35" s="117"/>
      <c r="R35" s="117"/>
      <c r="S35" s="117"/>
      <c r="T35" s="117"/>
    </row>
    <row r="36" spans="3:20" x14ac:dyDescent="0.35">
      <c r="C36" s="22" t="s">
        <v>272</v>
      </c>
      <c r="D36" s="120">
        <v>1500</v>
      </c>
      <c r="E36" s="120"/>
      <c r="F36" s="326">
        <v>1500</v>
      </c>
      <c r="G36" s="120">
        <v>1500</v>
      </c>
      <c r="H36" s="118">
        <v>0</v>
      </c>
      <c r="I36" s="118">
        <v>0</v>
      </c>
      <c r="J36" s="325">
        <f t="shared" si="7"/>
        <v>0</v>
      </c>
      <c r="K36" s="118"/>
      <c r="L36" s="120"/>
      <c r="M36" s="29">
        <f t="shared" si="6"/>
        <v>1500</v>
      </c>
      <c r="N36" s="117"/>
      <c r="O36" s="117"/>
      <c r="P36" s="117"/>
      <c r="Q36" s="117"/>
      <c r="R36" s="117"/>
      <c r="S36" s="117"/>
      <c r="T36" s="117"/>
    </row>
    <row r="37" spans="3:20" x14ac:dyDescent="0.35">
      <c r="C37" s="26" t="s">
        <v>273</v>
      </c>
      <c r="D37" s="35">
        <f t="shared" ref="D37:L37" si="8">SUM(D30:D36)</f>
        <v>70000</v>
      </c>
      <c r="E37" s="35">
        <f t="shared" si="8"/>
        <v>14871.58</v>
      </c>
      <c r="F37" s="327">
        <f t="shared" si="8"/>
        <v>70000</v>
      </c>
      <c r="G37" s="35">
        <f t="shared" si="8"/>
        <v>55128.42</v>
      </c>
      <c r="H37" s="35">
        <f t="shared" si="8"/>
        <v>25118.170866489836</v>
      </c>
      <c r="I37" s="35">
        <f t="shared" si="8"/>
        <v>6148.4806594946713</v>
      </c>
      <c r="J37" s="327">
        <f t="shared" si="8"/>
        <v>22648.480659494671</v>
      </c>
      <c r="K37" s="35">
        <f t="shared" si="8"/>
        <v>16500</v>
      </c>
      <c r="L37" s="35">
        <f t="shared" si="8"/>
        <v>0</v>
      </c>
      <c r="M37" s="29">
        <f t="shared" si="6"/>
        <v>125543.55218547917</v>
      </c>
      <c r="N37" s="117"/>
      <c r="O37" s="117"/>
      <c r="P37" s="117"/>
      <c r="Q37" s="117"/>
      <c r="R37" s="117"/>
      <c r="S37" s="117"/>
      <c r="T37" s="117"/>
    </row>
    <row r="38" spans="3:20" hidden="1" x14ac:dyDescent="0.35">
      <c r="C38" s="451" t="s">
        <v>276</v>
      </c>
      <c r="D38" s="452"/>
      <c r="E38" s="452"/>
      <c r="F38" s="452"/>
      <c r="G38" s="452"/>
      <c r="H38" s="452"/>
      <c r="I38" s="452"/>
      <c r="J38" s="452"/>
      <c r="K38" s="452"/>
      <c r="L38" s="452"/>
      <c r="M38" s="453"/>
      <c r="N38" s="117"/>
      <c r="O38" s="117"/>
      <c r="P38" s="117"/>
      <c r="Q38" s="117"/>
      <c r="R38" s="117"/>
      <c r="S38" s="117"/>
      <c r="T38" s="117"/>
    </row>
    <row r="39" spans="3:20" s="25" customFormat="1" hidden="1" x14ac:dyDescent="0.35">
      <c r="C39" s="36"/>
      <c r="D39" s="37"/>
      <c r="E39" s="37"/>
      <c r="F39" s="329"/>
      <c r="G39" s="37"/>
      <c r="H39" s="37"/>
      <c r="I39" s="37"/>
      <c r="J39" s="329"/>
      <c r="K39" s="37"/>
      <c r="L39" s="37"/>
      <c r="M39" s="38"/>
      <c r="N39" s="121"/>
      <c r="O39" s="121"/>
      <c r="P39" s="121"/>
      <c r="Q39" s="121"/>
      <c r="R39" s="121"/>
      <c r="S39" s="121"/>
      <c r="T39" s="121"/>
    </row>
    <row r="40" spans="3:20" ht="20.25" hidden="1" customHeight="1" thickBot="1" x14ac:dyDescent="0.4">
      <c r="C40" s="32" t="s">
        <v>265</v>
      </c>
      <c r="D40" s="32"/>
      <c r="E40" s="32"/>
      <c r="F40" s="330"/>
      <c r="G40" s="33">
        <f>'1) Budget Table'!G45</f>
        <v>0</v>
      </c>
      <c r="H40" s="33"/>
      <c r="I40" s="33"/>
      <c r="J40" s="342"/>
      <c r="K40" s="33">
        <f>'1) Budget Table'!K45</f>
        <v>0</v>
      </c>
      <c r="L40" s="33">
        <f>'1) Budget Table'!L45</f>
        <v>0</v>
      </c>
      <c r="M40" s="34">
        <f t="shared" ref="M40:M48" si="9">SUM(G40:L40)</f>
        <v>0</v>
      </c>
      <c r="N40" s="117"/>
      <c r="O40" s="117"/>
      <c r="P40" s="117"/>
      <c r="Q40" s="117"/>
      <c r="R40" s="117"/>
      <c r="S40" s="117"/>
      <c r="T40" s="117"/>
    </row>
    <row r="41" spans="3:20" hidden="1" x14ac:dyDescent="0.35">
      <c r="C41" s="30" t="s">
        <v>266</v>
      </c>
      <c r="D41" s="30"/>
      <c r="E41" s="30"/>
      <c r="F41" s="331"/>
      <c r="G41" s="118"/>
      <c r="H41" s="118"/>
      <c r="I41" s="118"/>
      <c r="J41" s="325"/>
      <c r="K41" s="119"/>
      <c r="L41" s="119"/>
      <c r="M41" s="31">
        <f t="shared" si="9"/>
        <v>0</v>
      </c>
      <c r="N41" s="117"/>
      <c r="O41" s="117"/>
      <c r="P41" s="117"/>
      <c r="Q41" s="117"/>
      <c r="R41" s="117"/>
      <c r="S41" s="117"/>
      <c r="T41" s="117"/>
    </row>
    <row r="42" spans="3:20" ht="15.75" hidden="1" customHeight="1" x14ac:dyDescent="0.35">
      <c r="C42" s="22" t="s">
        <v>267</v>
      </c>
      <c r="D42" s="22"/>
      <c r="E42" s="22"/>
      <c r="F42" s="332"/>
      <c r="G42" s="120"/>
      <c r="H42" s="120"/>
      <c r="I42" s="120"/>
      <c r="J42" s="326"/>
      <c r="K42" s="101"/>
      <c r="L42" s="101"/>
      <c r="M42" s="29">
        <f t="shared" si="9"/>
        <v>0</v>
      </c>
      <c r="N42" s="117"/>
      <c r="O42" s="117"/>
      <c r="P42" s="117"/>
      <c r="Q42" s="117"/>
      <c r="R42" s="117"/>
      <c r="S42" s="117"/>
      <c r="T42" s="117"/>
    </row>
    <row r="43" spans="3:20" ht="32.25" hidden="1" customHeight="1" x14ac:dyDescent="0.35">
      <c r="C43" s="22" t="s">
        <v>268</v>
      </c>
      <c r="D43" s="22"/>
      <c r="E43" s="22"/>
      <c r="F43" s="332"/>
      <c r="G43" s="120"/>
      <c r="H43" s="120"/>
      <c r="I43" s="120"/>
      <c r="J43" s="326"/>
      <c r="K43" s="120"/>
      <c r="L43" s="120"/>
      <c r="M43" s="29">
        <f t="shared" si="9"/>
        <v>0</v>
      </c>
      <c r="N43" s="117"/>
      <c r="O43" s="117"/>
      <c r="P43" s="117"/>
      <c r="Q43" s="117"/>
      <c r="R43" s="117"/>
      <c r="S43" s="117"/>
      <c r="T43" s="117"/>
    </row>
    <row r="44" spans="3:20" s="25" customFormat="1" hidden="1" x14ac:dyDescent="0.35">
      <c r="C44" s="23" t="s">
        <v>269</v>
      </c>
      <c r="D44" s="23"/>
      <c r="E44" s="23"/>
      <c r="F44" s="333"/>
      <c r="G44" s="120"/>
      <c r="H44" s="120"/>
      <c r="I44" s="120"/>
      <c r="J44" s="326"/>
      <c r="K44" s="120"/>
      <c r="L44" s="120"/>
      <c r="M44" s="29">
        <f t="shared" si="9"/>
        <v>0</v>
      </c>
      <c r="N44" s="121"/>
      <c r="O44" s="121"/>
      <c r="P44" s="121"/>
      <c r="Q44" s="121"/>
      <c r="R44" s="121"/>
      <c r="S44" s="121"/>
      <c r="T44" s="121"/>
    </row>
    <row r="45" spans="3:20" hidden="1" x14ac:dyDescent="0.35">
      <c r="C45" s="22" t="s">
        <v>270</v>
      </c>
      <c r="D45" s="22"/>
      <c r="E45" s="22"/>
      <c r="F45" s="332"/>
      <c r="G45" s="120"/>
      <c r="H45" s="120"/>
      <c r="I45" s="120"/>
      <c r="J45" s="326"/>
      <c r="K45" s="120"/>
      <c r="L45" s="120"/>
      <c r="M45" s="29">
        <f t="shared" si="9"/>
        <v>0</v>
      </c>
      <c r="N45" s="117"/>
      <c r="O45" s="117"/>
      <c r="P45" s="117"/>
      <c r="Q45" s="117"/>
      <c r="R45" s="117"/>
      <c r="S45" s="117"/>
      <c r="T45" s="117"/>
    </row>
    <row r="46" spans="3:20" hidden="1" x14ac:dyDescent="0.35">
      <c r="C46" s="22" t="s">
        <v>271</v>
      </c>
      <c r="D46" s="22"/>
      <c r="E46" s="22"/>
      <c r="F46" s="332"/>
      <c r="G46" s="120"/>
      <c r="H46" s="120"/>
      <c r="I46" s="120"/>
      <c r="J46" s="326"/>
      <c r="K46" s="120"/>
      <c r="L46" s="120"/>
      <c r="M46" s="29">
        <f t="shared" si="9"/>
        <v>0</v>
      </c>
      <c r="N46" s="117"/>
      <c r="O46" s="117"/>
      <c r="P46" s="117"/>
      <c r="Q46" s="117"/>
      <c r="R46" s="117"/>
      <c r="S46" s="117"/>
      <c r="T46" s="117"/>
    </row>
    <row r="47" spans="3:20" hidden="1" x14ac:dyDescent="0.35">
      <c r="C47" s="22" t="s">
        <v>272</v>
      </c>
      <c r="D47" s="22"/>
      <c r="E47" s="22"/>
      <c r="F47" s="332"/>
      <c r="G47" s="120"/>
      <c r="H47" s="120"/>
      <c r="I47" s="120"/>
      <c r="J47" s="326"/>
      <c r="K47" s="120"/>
      <c r="L47" s="120"/>
      <c r="M47" s="29">
        <f t="shared" si="9"/>
        <v>0</v>
      </c>
      <c r="N47" s="117"/>
      <c r="O47" s="117"/>
      <c r="P47" s="117"/>
      <c r="Q47" s="117"/>
      <c r="R47" s="117"/>
      <c r="S47" s="117"/>
      <c r="T47" s="117"/>
    </row>
    <row r="48" spans="3:20" ht="21" hidden="1" customHeight="1" x14ac:dyDescent="0.35">
      <c r="C48" s="26" t="s">
        <v>273</v>
      </c>
      <c r="D48" s="26"/>
      <c r="E48" s="26"/>
      <c r="F48" s="334"/>
      <c r="G48" s="35">
        <f>SUM(G41:G47)</f>
        <v>0</v>
      </c>
      <c r="H48" s="35"/>
      <c r="I48" s="35"/>
      <c r="J48" s="327"/>
      <c r="K48" s="35">
        <f>SUM(K41:K47)</f>
        <v>0</v>
      </c>
      <c r="L48" s="35">
        <f>SUM(L41:L47)</f>
        <v>0</v>
      </c>
      <c r="M48" s="29">
        <f t="shared" si="9"/>
        <v>0</v>
      </c>
      <c r="N48" s="117"/>
      <c r="O48" s="117"/>
      <c r="P48" s="117"/>
      <c r="Q48" s="117"/>
      <c r="R48" s="117"/>
      <c r="S48" s="117"/>
      <c r="T48" s="117"/>
    </row>
    <row r="49" spans="2:20" s="25" customFormat="1" ht="22.5" customHeight="1" x14ac:dyDescent="0.35">
      <c r="B49" s="121"/>
      <c r="C49" s="42"/>
      <c r="D49" s="42"/>
      <c r="E49" s="42"/>
      <c r="F49" s="328"/>
      <c r="G49" s="40"/>
      <c r="H49" s="40"/>
      <c r="I49" s="40"/>
      <c r="J49" s="343"/>
      <c r="K49" s="40"/>
      <c r="L49" s="40"/>
      <c r="M49" s="41"/>
      <c r="N49" s="121"/>
      <c r="O49" s="121"/>
      <c r="P49" s="121"/>
      <c r="Q49" s="121"/>
      <c r="R49" s="121"/>
      <c r="S49" s="121"/>
      <c r="T49" s="121"/>
    </row>
    <row r="50" spans="2:20" x14ac:dyDescent="0.35">
      <c r="B50" s="451" t="s">
        <v>277</v>
      </c>
      <c r="C50" s="452"/>
      <c r="D50" s="452"/>
      <c r="E50" s="452"/>
      <c r="F50" s="452"/>
      <c r="G50" s="452"/>
      <c r="H50" s="452"/>
      <c r="I50" s="452"/>
      <c r="J50" s="452"/>
      <c r="K50" s="452"/>
      <c r="L50" s="452"/>
      <c r="M50" s="453"/>
      <c r="N50" s="117"/>
      <c r="O50" s="117"/>
      <c r="P50" s="117"/>
      <c r="Q50" s="117"/>
      <c r="R50" s="117"/>
      <c r="S50" s="117"/>
      <c r="T50" s="117"/>
    </row>
    <row r="51" spans="2:20" x14ac:dyDescent="0.35">
      <c r="B51" s="117"/>
      <c r="C51" s="451" t="s">
        <v>278</v>
      </c>
      <c r="D51" s="452"/>
      <c r="E51" s="452"/>
      <c r="F51" s="452"/>
      <c r="G51" s="452"/>
      <c r="H51" s="452"/>
      <c r="I51" s="452"/>
      <c r="J51" s="452"/>
      <c r="K51" s="452"/>
      <c r="L51" s="452"/>
      <c r="M51" s="453"/>
      <c r="N51" s="117"/>
      <c r="O51" s="117"/>
      <c r="P51" s="117"/>
      <c r="Q51" s="117"/>
      <c r="R51" s="117"/>
      <c r="S51" s="117"/>
      <c r="T51" s="117"/>
    </row>
    <row r="52" spans="2:20" ht="24" customHeight="1" thickBot="1" x14ac:dyDescent="0.4">
      <c r="B52" s="117"/>
      <c r="C52" s="32" t="s">
        <v>265</v>
      </c>
      <c r="D52" s="241">
        <f>+'1) Budget Table'!D57</f>
        <v>25000</v>
      </c>
      <c r="E52" s="241">
        <f>+'1) Budget Table'!E57</f>
        <v>23993.59</v>
      </c>
      <c r="F52" s="324">
        <f>+'1) Budget Table'!F57</f>
        <v>25000</v>
      </c>
      <c r="G52" s="33">
        <f>'1) Budget Table'!G57</f>
        <v>1006.4099999999999</v>
      </c>
      <c r="H52" s="33">
        <f>+'1) Budget Table'!H57</f>
        <v>36114.786560565874</v>
      </c>
      <c r="I52" s="33">
        <f>+'1) Budget Table'!I57</f>
        <v>11854.22043966311</v>
      </c>
      <c r="J52" s="342">
        <f>+'1) Budget Table'!J57</f>
        <v>32854.220439663113</v>
      </c>
      <c r="K52" s="33">
        <f>'1) Budget Table'!K57</f>
        <v>21000</v>
      </c>
      <c r="L52" s="33">
        <f>'1) Budget Table'!L57</f>
        <v>0</v>
      </c>
      <c r="M52" s="34">
        <f>SUM(G52:L52)</f>
        <v>102829.6374398921</v>
      </c>
      <c r="N52" s="117"/>
      <c r="O52" s="117"/>
      <c r="P52" s="117"/>
      <c r="Q52" s="117"/>
      <c r="R52" s="117"/>
      <c r="S52" s="117"/>
      <c r="T52" s="117"/>
    </row>
    <row r="53" spans="2:20" ht="15.75" customHeight="1" x14ac:dyDescent="0.35">
      <c r="B53" s="117"/>
      <c r="C53" s="30" t="s">
        <v>266</v>
      </c>
      <c r="D53" s="118"/>
      <c r="E53" s="118"/>
      <c r="F53" s="325"/>
      <c r="G53" s="118"/>
      <c r="H53" s="118">
        <v>3928.35</v>
      </c>
      <c r="I53" s="118">
        <v>3720.7804396631136</v>
      </c>
      <c r="J53" s="325">
        <f t="shared" ref="J53:J59" si="10">K53+I53</f>
        <v>3720.7804396631136</v>
      </c>
      <c r="K53" s="118"/>
      <c r="L53" s="119"/>
      <c r="M53" s="31">
        <f t="shared" ref="M53:M60" si="11">SUM(G53:L53)</f>
        <v>11369.910879326228</v>
      </c>
      <c r="N53" s="117"/>
      <c r="O53" s="117"/>
      <c r="P53" s="117"/>
      <c r="Q53" s="117"/>
      <c r="R53" s="117"/>
      <c r="S53" s="117"/>
      <c r="T53" s="117"/>
    </row>
    <row r="54" spans="2:20" ht="15.75" customHeight="1" x14ac:dyDescent="0.35">
      <c r="B54" s="117"/>
      <c r="C54" s="22" t="s">
        <v>267</v>
      </c>
      <c r="D54" s="120">
        <v>5000</v>
      </c>
      <c r="E54" s="120">
        <v>5000</v>
      </c>
      <c r="F54" s="326">
        <v>5000</v>
      </c>
      <c r="G54" s="120"/>
      <c r="H54" s="118">
        <v>14981.305128205127</v>
      </c>
      <c r="I54" s="118">
        <v>1670.5</v>
      </c>
      <c r="J54" s="325">
        <f t="shared" si="10"/>
        <v>13670.5</v>
      </c>
      <c r="K54" s="118">
        <v>12000</v>
      </c>
      <c r="L54" s="101"/>
      <c r="M54" s="29">
        <f t="shared" si="11"/>
        <v>42322.305128205131</v>
      </c>
      <c r="N54" s="117"/>
      <c r="O54" s="117"/>
      <c r="P54" s="117"/>
      <c r="Q54" s="117"/>
      <c r="R54" s="117"/>
      <c r="S54" s="117"/>
      <c r="T54" s="117"/>
    </row>
    <row r="55" spans="2:20" ht="15.75" customHeight="1" x14ac:dyDescent="0.35">
      <c r="B55" s="117"/>
      <c r="C55" s="22" t="s">
        <v>268</v>
      </c>
      <c r="D55" s="120"/>
      <c r="E55" s="120"/>
      <c r="F55" s="326"/>
      <c r="G55" s="120"/>
      <c r="H55" s="118">
        <v>1153.8461538461538</v>
      </c>
      <c r="I55" s="118">
        <v>1469.11</v>
      </c>
      <c r="J55" s="325">
        <f t="shared" si="10"/>
        <v>1469.11</v>
      </c>
      <c r="K55" s="118"/>
      <c r="L55" s="120"/>
      <c r="M55" s="29">
        <f t="shared" si="11"/>
        <v>4092.0661538461536</v>
      </c>
      <c r="N55" s="117"/>
      <c r="O55" s="117"/>
      <c r="P55" s="117"/>
      <c r="Q55" s="117"/>
      <c r="R55" s="117"/>
      <c r="S55" s="117"/>
      <c r="T55" s="117"/>
    </row>
    <row r="56" spans="2:20" ht="18.75" customHeight="1" x14ac:dyDescent="0.35">
      <c r="B56" s="117"/>
      <c r="C56" s="23" t="s">
        <v>269</v>
      </c>
      <c r="D56" s="120">
        <v>15000</v>
      </c>
      <c r="E56" s="120">
        <v>13993.59</v>
      </c>
      <c r="F56" s="326">
        <v>15000</v>
      </c>
      <c r="G56" s="120">
        <v>1006.41</v>
      </c>
      <c r="H56" s="118">
        <v>0</v>
      </c>
      <c r="I56" s="118">
        <v>0</v>
      </c>
      <c r="J56" s="325">
        <f t="shared" si="10"/>
        <v>0</v>
      </c>
      <c r="K56" s="118"/>
      <c r="L56" s="120"/>
      <c r="M56" s="29">
        <f t="shared" si="11"/>
        <v>1006.41</v>
      </c>
      <c r="N56" s="117"/>
      <c r="O56" s="117"/>
      <c r="P56" s="117"/>
      <c r="Q56" s="117"/>
      <c r="R56" s="117"/>
      <c r="S56" s="117"/>
      <c r="T56" s="117"/>
    </row>
    <row r="57" spans="2:20" x14ac:dyDescent="0.35">
      <c r="B57" s="117"/>
      <c r="C57" s="22" t="s">
        <v>270</v>
      </c>
      <c r="D57" s="120">
        <v>5000</v>
      </c>
      <c r="E57" s="120">
        <v>5000</v>
      </c>
      <c r="F57" s="326">
        <v>5000</v>
      </c>
      <c r="G57" s="120"/>
      <c r="H57" s="118">
        <v>16051.282051282051</v>
      </c>
      <c r="I57" s="118">
        <v>4993.83</v>
      </c>
      <c r="J57" s="325">
        <f t="shared" si="10"/>
        <v>13993.83</v>
      </c>
      <c r="K57" s="118">
        <v>9000</v>
      </c>
      <c r="L57" s="120"/>
      <c r="M57" s="29">
        <f t="shared" si="11"/>
        <v>44038.942051282051</v>
      </c>
      <c r="N57" s="117"/>
      <c r="O57" s="117"/>
      <c r="P57" s="117"/>
      <c r="Q57" s="117"/>
      <c r="R57" s="117"/>
      <c r="S57" s="117"/>
      <c r="T57" s="117"/>
    </row>
    <row r="58" spans="2:20" s="25" customFormat="1" ht="21.75" customHeight="1" x14ac:dyDescent="0.35">
      <c r="B58" s="117"/>
      <c r="C58" s="22" t="s">
        <v>271</v>
      </c>
      <c r="D58" s="120"/>
      <c r="E58" s="120"/>
      <c r="F58" s="326"/>
      <c r="G58" s="120"/>
      <c r="H58" s="118">
        <v>0</v>
      </c>
      <c r="I58" s="118">
        <v>0</v>
      </c>
      <c r="J58" s="325">
        <f t="shared" si="10"/>
        <v>0</v>
      </c>
      <c r="K58" s="118"/>
      <c r="L58" s="120"/>
      <c r="M58" s="29">
        <f t="shared" si="11"/>
        <v>0</v>
      </c>
      <c r="N58" s="121"/>
      <c r="O58" s="121"/>
      <c r="P58" s="121"/>
      <c r="Q58" s="121"/>
      <c r="R58" s="121"/>
      <c r="S58" s="121"/>
      <c r="T58" s="121"/>
    </row>
    <row r="59" spans="2:20" s="25" customFormat="1" x14ac:dyDescent="0.35">
      <c r="B59" s="117"/>
      <c r="C59" s="22" t="s">
        <v>272</v>
      </c>
      <c r="D59" s="120"/>
      <c r="E59" s="120"/>
      <c r="F59" s="326"/>
      <c r="G59" s="120"/>
      <c r="H59" s="118"/>
      <c r="I59" s="118">
        <v>0</v>
      </c>
      <c r="J59" s="325">
        <f t="shared" si="10"/>
        <v>0</v>
      </c>
      <c r="K59" s="118">
        <v>0</v>
      </c>
      <c r="L59" s="120"/>
      <c r="M59" s="29">
        <f t="shared" si="11"/>
        <v>0</v>
      </c>
      <c r="N59" s="121"/>
      <c r="O59" s="121"/>
      <c r="P59" s="121"/>
      <c r="Q59" s="121"/>
      <c r="R59" s="121"/>
      <c r="S59" s="121"/>
      <c r="T59" s="121"/>
    </row>
    <row r="60" spans="2:20" x14ac:dyDescent="0.35">
      <c r="B60" s="117"/>
      <c r="C60" s="26" t="s">
        <v>273</v>
      </c>
      <c r="D60" s="35">
        <f t="shared" ref="D60:L60" si="12">SUM(D53:D59)</f>
        <v>25000</v>
      </c>
      <c r="E60" s="35">
        <f t="shared" si="12"/>
        <v>23993.59</v>
      </c>
      <c r="F60" s="327">
        <f t="shared" si="12"/>
        <v>25000</v>
      </c>
      <c r="G60" s="35">
        <f t="shared" si="12"/>
        <v>1006.41</v>
      </c>
      <c r="H60" s="35">
        <f t="shared" si="12"/>
        <v>36114.783333333326</v>
      </c>
      <c r="I60" s="35">
        <f t="shared" si="12"/>
        <v>11854.220439663113</v>
      </c>
      <c r="J60" s="327">
        <f t="shared" si="12"/>
        <v>32854.220439663113</v>
      </c>
      <c r="K60" s="35">
        <f t="shared" si="12"/>
        <v>21000</v>
      </c>
      <c r="L60" s="35">
        <f t="shared" si="12"/>
        <v>0</v>
      </c>
      <c r="M60" s="29">
        <f t="shared" si="11"/>
        <v>102829.63421265956</v>
      </c>
      <c r="N60" s="117"/>
      <c r="O60" s="117"/>
      <c r="P60" s="117"/>
      <c r="Q60" s="117"/>
      <c r="R60" s="117"/>
      <c r="S60" s="117"/>
      <c r="T60" s="117"/>
    </row>
    <row r="61" spans="2:20" s="25" customFormat="1" x14ac:dyDescent="0.35">
      <c r="B61" s="121"/>
      <c r="C61" s="39"/>
      <c r="D61" s="42"/>
      <c r="E61" s="42"/>
      <c r="F61" s="328"/>
      <c r="G61" s="40"/>
      <c r="H61" s="40"/>
      <c r="I61" s="40"/>
      <c r="J61" s="343"/>
      <c r="K61" s="40"/>
      <c r="L61" s="40"/>
      <c r="M61" s="41"/>
      <c r="N61" s="121"/>
      <c r="O61" s="121"/>
      <c r="P61" s="121"/>
      <c r="Q61" s="121"/>
      <c r="R61" s="121"/>
      <c r="S61" s="121"/>
      <c r="T61" s="121"/>
    </row>
    <row r="62" spans="2:20" x14ac:dyDescent="0.35">
      <c r="B62" s="121"/>
      <c r="C62" s="451" t="s">
        <v>103</v>
      </c>
      <c r="D62" s="452"/>
      <c r="E62" s="452"/>
      <c r="F62" s="452"/>
      <c r="G62" s="452"/>
      <c r="H62" s="452"/>
      <c r="I62" s="452"/>
      <c r="J62" s="452"/>
      <c r="K62" s="452"/>
      <c r="L62" s="452"/>
      <c r="M62" s="453"/>
      <c r="N62" s="117"/>
      <c r="O62" s="117"/>
      <c r="P62" s="117"/>
      <c r="Q62" s="117"/>
      <c r="R62" s="117"/>
      <c r="S62" s="117"/>
      <c r="T62" s="117"/>
    </row>
    <row r="63" spans="2:20" ht="21.75" customHeight="1" thickBot="1" x14ac:dyDescent="0.4">
      <c r="B63" s="117"/>
      <c r="C63" s="32" t="s">
        <v>265</v>
      </c>
      <c r="D63" s="241">
        <f>+'1) Budget Table'!D67</f>
        <v>60000</v>
      </c>
      <c r="E63" s="241">
        <f>+'1) Budget Table'!E67</f>
        <v>45536.53</v>
      </c>
      <c r="F63" s="324">
        <f>+'1) Budget Table'!F67</f>
        <v>60000</v>
      </c>
      <c r="G63" s="33">
        <f>'1) Budget Table'!G67</f>
        <v>14463.47</v>
      </c>
      <c r="H63" s="33">
        <f>+'1) Budget Table'!H67</f>
        <v>23027.145225464192</v>
      </c>
      <c r="I63" s="33">
        <f>+'1) Budget Table'!I67</f>
        <v>10621.52065949467</v>
      </c>
      <c r="J63" s="342">
        <f>+'1) Budget Table'!J67</f>
        <v>22121.520659494672</v>
      </c>
      <c r="K63" s="33">
        <f>'1) Budget Table'!K67</f>
        <v>11500</v>
      </c>
      <c r="L63" s="33">
        <f>'1) Budget Table'!L67</f>
        <v>0</v>
      </c>
      <c r="M63" s="34">
        <f t="shared" ref="M63:M71" si="13">SUM(G63:L63)</f>
        <v>81733.656544453537</v>
      </c>
      <c r="N63" s="117"/>
      <c r="O63" s="117"/>
      <c r="P63" s="117"/>
      <c r="Q63" s="117"/>
      <c r="R63" s="117"/>
      <c r="S63" s="117"/>
      <c r="T63" s="117"/>
    </row>
    <row r="64" spans="2:20" ht="15.75" customHeight="1" x14ac:dyDescent="0.35">
      <c r="B64" s="117"/>
      <c r="C64" s="30" t="s">
        <v>266</v>
      </c>
      <c r="D64" s="118"/>
      <c r="E64" s="118"/>
      <c r="F64" s="325"/>
      <c r="G64" s="118"/>
      <c r="H64" s="118">
        <v>5892.5298408488097</v>
      </c>
      <c r="I64" s="118">
        <v>5581.1706594946718</v>
      </c>
      <c r="J64" s="325">
        <f t="shared" ref="J64:J70" si="14">K64+I64</f>
        <v>5581.1706594946718</v>
      </c>
      <c r="K64" s="118"/>
      <c r="L64" s="119"/>
      <c r="M64" s="31">
        <f t="shared" si="13"/>
        <v>17054.871159838156</v>
      </c>
      <c r="N64" s="117"/>
      <c r="O64" s="117"/>
      <c r="P64" s="117"/>
      <c r="Q64" s="117"/>
      <c r="R64" s="117"/>
      <c r="S64" s="117"/>
      <c r="T64" s="117"/>
    </row>
    <row r="65" spans="2:20" ht="15.75" customHeight="1" x14ac:dyDescent="0.35">
      <c r="B65" s="117"/>
      <c r="C65" s="22" t="s">
        <v>267</v>
      </c>
      <c r="D65" s="120">
        <v>10000</v>
      </c>
      <c r="E65" s="120">
        <v>10504.34</v>
      </c>
      <c r="F65" s="326">
        <v>10504.34</v>
      </c>
      <c r="G65" s="120"/>
      <c r="H65" s="118">
        <v>1134.6153846153845</v>
      </c>
      <c r="I65" s="118">
        <v>1744.71</v>
      </c>
      <c r="J65" s="325">
        <f t="shared" si="14"/>
        <v>3244.71</v>
      </c>
      <c r="K65" s="118">
        <v>1500</v>
      </c>
      <c r="L65" s="101"/>
      <c r="M65" s="29">
        <f t="shared" si="13"/>
        <v>7624.0353846153848</v>
      </c>
      <c r="N65" s="117"/>
      <c r="O65" s="117"/>
      <c r="P65" s="117"/>
      <c r="Q65" s="117"/>
      <c r="R65" s="117"/>
      <c r="S65" s="117"/>
      <c r="T65" s="117"/>
    </row>
    <row r="66" spans="2:20" ht="15.75" customHeight="1" x14ac:dyDescent="0.35">
      <c r="B66" s="117"/>
      <c r="C66" s="22" t="s">
        <v>268</v>
      </c>
      <c r="D66" s="120"/>
      <c r="E66" s="120"/>
      <c r="F66" s="326"/>
      <c r="G66" s="120"/>
      <c r="H66" s="118">
        <v>0</v>
      </c>
      <c r="I66" s="118">
        <v>0</v>
      </c>
      <c r="J66" s="325">
        <f t="shared" si="14"/>
        <v>0</v>
      </c>
      <c r="K66" s="118"/>
      <c r="L66" s="120"/>
      <c r="M66" s="29">
        <f t="shared" si="13"/>
        <v>0</v>
      </c>
      <c r="N66" s="117"/>
      <c r="O66" s="117"/>
      <c r="P66" s="117"/>
      <c r="Q66" s="117"/>
      <c r="R66" s="117"/>
      <c r="S66" s="117"/>
      <c r="T66" s="117"/>
    </row>
    <row r="67" spans="2:20" x14ac:dyDescent="0.35">
      <c r="B67" s="117"/>
      <c r="C67" s="23" t="s">
        <v>269</v>
      </c>
      <c r="D67" s="120">
        <v>20000</v>
      </c>
      <c r="E67" s="120">
        <v>19775.400000000001</v>
      </c>
      <c r="F67" s="326">
        <v>22413.439999999999</v>
      </c>
      <c r="G67" s="120">
        <f>+F67-E67</f>
        <v>2638.0399999999972</v>
      </c>
      <c r="H67" s="118">
        <v>0</v>
      </c>
      <c r="I67" s="118">
        <v>0</v>
      </c>
      <c r="J67" s="325">
        <f t="shared" si="14"/>
        <v>0</v>
      </c>
      <c r="K67" s="118"/>
      <c r="L67" s="120"/>
      <c r="M67" s="29">
        <f t="shared" si="13"/>
        <v>2638.0399999999972</v>
      </c>
      <c r="N67" s="247"/>
      <c r="O67" s="117"/>
      <c r="P67" s="117"/>
      <c r="Q67" s="117"/>
      <c r="R67" s="117"/>
      <c r="S67" s="117"/>
      <c r="T67" s="117"/>
    </row>
    <row r="68" spans="2:20" x14ac:dyDescent="0.35">
      <c r="B68" s="117"/>
      <c r="C68" s="22" t="s">
        <v>270</v>
      </c>
      <c r="D68" s="120">
        <v>30000</v>
      </c>
      <c r="E68" s="120">
        <v>13256.79</v>
      </c>
      <c r="F68" s="326">
        <f>+E68+G68</f>
        <v>25082.22</v>
      </c>
      <c r="G68" s="120">
        <f>7000+4825.43</f>
        <v>11825.43</v>
      </c>
      <c r="H68" s="118">
        <v>16000</v>
      </c>
      <c r="I68" s="118">
        <v>3295.6400000000003</v>
      </c>
      <c r="J68" s="325">
        <f t="shared" si="14"/>
        <v>13295.64</v>
      </c>
      <c r="K68" s="118">
        <v>10000</v>
      </c>
      <c r="L68" s="120"/>
      <c r="M68" s="29">
        <f t="shared" si="13"/>
        <v>54416.71</v>
      </c>
      <c r="N68" s="117"/>
      <c r="O68" s="117"/>
      <c r="P68" s="117"/>
      <c r="Q68" s="117"/>
      <c r="R68" s="117"/>
      <c r="S68" s="117"/>
      <c r="T68" s="117"/>
    </row>
    <row r="69" spans="2:20" x14ac:dyDescent="0.35">
      <c r="B69" s="117"/>
      <c r="C69" s="22" t="s">
        <v>271</v>
      </c>
      <c r="D69" s="120"/>
      <c r="E69" s="120"/>
      <c r="F69" s="326"/>
      <c r="G69" s="120"/>
      <c r="H69" s="118">
        <v>0</v>
      </c>
      <c r="I69" s="118">
        <v>0</v>
      </c>
      <c r="J69" s="325">
        <f t="shared" si="14"/>
        <v>0</v>
      </c>
      <c r="K69" s="118"/>
      <c r="L69" s="120"/>
      <c r="M69" s="29">
        <f t="shared" si="13"/>
        <v>0</v>
      </c>
      <c r="N69" s="117"/>
      <c r="O69" s="117"/>
      <c r="P69" s="117"/>
      <c r="Q69" s="117"/>
      <c r="R69" s="117"/>
      <c r="S69" s="117"/>
      <c r="T69" s="117"/>
    </row>
    <row r="70" spans="2:20" x14ac:dyDescent="0.35">
      <c r="B70" s="117"/>
      <c r="C70" s="22" t="s">
        <v>272</v>
      </c>
      <c r="D70" s="238"/>
      <c r="E70" s="120">
        <v>2000</v>
      </c>
      <c r="F70" s="326">
        <v>2000</v>
      </c>
      <c r="G70" s="120"/>
      <c r="H70" s="118"/>
      <c r="I70" s="118">
        <v>0</v>
      </c>
      <c r="J70" s="325">
        <f t="shared" si="14"/>
        <v>0</v>
      </c>
      <c r="K70" s="118"/>
      <c r="L70" s="120"/>
      <c r="M70" s="29">
        <f t="shared" si="13"/>
        <v>0</v>
      </c>
      <c r="N70" s="117"/>
      <c r="O70" s="117"/>
      <c r="P70" s="117"/>
      <c r="Q70" s="117"/>
      <c r="R70" s="117"/>
      <c r="S70" s="117"/>
      <c r="T70" s="117"/>
    </row>
    <row r="71" spans="2:20" x14ac:dyDescent="0.35">
      <c r="B71" s="117"/>
      <c r="C71" s="26" t="s">
        <v>273</v>
      </c>
      <c r="D71" s="35">
        <f t="shared" ref="D71:L71" si="15">SUM(D64:D70)</f>
        <v>60000</v>
      </c>
      <c r="E71" s="35">
        <f t="shared" si="15"/>
        <v>45536.53</v>
      </c>
      <c r="F71" s="327">
        <f t="shared" si="15"/>
        <v>60000</v>
      </c>
      <c r="G71" s="35">
        <f t="shared" si="15"/>
        <v>14463.469999999998</v>
      </c>
      <c r="H71" s="35">
        <f t="shared" si="15"/>
        <v>23027.145225464195</v>
      </c>
      <c r="I71" s="35">
        <f t="shared" si="15"/>
        <v>10621.520659494672</v>
      </c>
      <c r="J71" s="327">
        <f t="shared" si="15"/>
        <v>22121.520659494672</v>
      </c>
      <c r="K71" s="35">
        <f t="shared" si="15"/>
        <v>11500</v>
      </c>
      <c r="L71" s="35">
        <f t="shared" si="15"/>
        <v>0</v>
      </c>
      <c r="M71" s="29">
        <f t="shared" si="13"/>
        <v>81733.656544453537</v>
      </c>
      <c r="N71" s="117"/>
      <c r="O71" s="117"/>
      <c r="P71" s="117"/>
      <c r="Q71" s="117"/>
      <c r="R71" s="117"/>
      <c r="S71" s="117"/>
      <c r="T71" s="117"/>
    </row>
    <row r="72" spans="2:20" s="25" customFormat="1" x14ac:dyDescent="0.35">
      <c r="B72" s="121"/>
      <c r="C72" s="39"/>
      <c r="D72" s="42"/>
      <c r="E72" s="42"/>
      <c r="F72" s="328">
        <f>+F63-F71</f>
        <v>0</v>
      </c>
      <c r="G72" s="40"/>
      <c r="H72" s="40"/>
      <c r="I72" s="40"/>
      <c r="J72" s="343"/>
      <c r="K72" s="40"/>
      <c r="L72" s="40"/>
      <c r="M72" s="41"/>
      <c r="N72" s="121"/>
      <c r="O72" s="121"/>
      <c r="P72" s="121"/>
      <c r="Q72" s="121"/>
      <c r="R72" s="121"/>
      <c r="S72" s="121"/>
      <c r="T72" s="121"/>
    </row>
    <row r="73" spans="2:20" hidden="1" x14ac:dyDescent="0.35">
      <c r="B73" s="117"/>
      <c r="C73" s="451" t="s">
        <v>122</v>
      </c>
      <c r="D73" s="452"/>
      <c r="E73" s="452"/>
      <c r="F73" s="452"/>
      <c r="G73" s="452"/>
      <c r="H73" s="452"/>
      <c r="I73" s="452"/>
      <c r="J73" s="452"/>
      <c r="K73" s="452"/>
      <c r="L73" s="452"/>
      <c r="M73" s="453"/>
      <c r="N73" s="117"/>
      <c r="O73" s="117"/>
      <c r="P73" s="117"/>
      <c r="Q73" s="117"/>
      <c r="R73" s="117"/>
      <c r="S73" s="117"/>
      <c r="T73" s="117"/>
    </row>
    <row r="74" spans="2:20" ht="21.75" hidden="1" customHeight="1" thickBot="1" x14ac:dyDescent="0.4">
      <c r="B74" s="121"/>
      <c r="C74" s="32" t="s">
        <v>265</v>
      </c>
      <c r="D74" s="32"/>
      <c r="E74" s="32"/>
      <c r="F74" s="330"/>
      <c r="G74" s="33">
        <f>'1) Budget Table'!G77</f>
        <v>0</v>
      </c>
      <c r="H74" s="33"/>
      <c r="I74" s="33"/>
      <c r="J74" s="342"/>
      <c r="K74" s="33">
        <f>'1) Budget Table'!K77</f>
        <v>0</v>
      </c>
      <c r="L74" s="33">
        <f>'1) Budget Table'!L77</f>
        <v>0</v>
      </c>
      <c r="M74" s="34">
        <f t="shared" ref="M74:M82" si="16">SUM(G74:L74)</f>
        <v>0</v>
      </c>
      <c r="N74" s="117"/>
      <c r="O74" s="117"/>
      <c r="P74" s="117"/>
      <c r="Q74" s="117"/>
      <c r="R74" s="117"/>
      <c r="S74" s="117"/>
      <c r="T74" s="117"/>
    </row>
    <row r="75" spans="2:20" ht="18" hidden="1" customHeight="1" x14ac:dyDescent="0.35">
      <c r="B75" s="117"/>
      <c r="C75" s="30" t="s">
        <v>266</v>
      </c>
      <c r="D75" s="30"/>
      <c r="E75" s="30"/>
      <c r="F75" s="331"/>
      <c r="G75" s="118"/>
      <c r="H75" s="118"/>
      <c r="I75" s="118"/>
      <c r="J75" s="325"/>
      <c r="K75" s="119"/>
      <c r="L75" s="119"/>
      <c r="M75" s="31">
        <f t="shared" si="16"/>
        <v>0</v>
      </c>
      <c r="N75" s="117"/>
      <c r="O75" s="117"/>
      <c r="P75" s="117"/>
      <c r="Q75" s="117"/>
      <c r="R75" s="117"/>
      <c r="S75" s="117"/>
      <c r="T75" s="117"/>
    </row>
    <row r="76" spans="2:20" ht="15.75" hidden="1" customHeight="1" x14ac:dyDescent="0.35">
      <c r="B76" s="117"/>
      <c r="C76" s="22" t="s">
        <v>267</v>
      </c>
      <c r="D76" s="22"/>
      <c r="E76" s="22"/>
      <c r="F76" s="332"/>
      <c r="G76" s="120"/>
      <c r="H76" s="120"/>
      <c r="I76" s="120"/>
      <c r="J76" s="326"/>
      <c r="K76" s="101"/>
      <c r="L76" s="101"/>
      <c r="M76" s="29">
        <f t="shared" si="16"/>
        <v>0</v>
      </c>
      <c r="N76" s="117"/>
      <c r="O76" s="117"/>
      <c r="P76" s="117"/>
      <c r="Q76" s="117"/>
      <c r="R76" s="117"/>
      <c r="S76" s="117"/>
      <c r="T76" s="117"/>
    </row>
    <row r="77" spans="2:20" s="25" customFormat="1" ht="15.75" hidden="1" customHeight="1" x14ac:dyDescent="0.35">
      <c r="B77" s="117"/>
      <c r="C77" s="22" t="s">
        <v>268</v>
      </c>
      <c r="D77" s="22"/>
      <c r="E77" s="22"/>
      <c r="F77" s="332"/>
      <c r="G77" s="120"/>
      <c r="H77" s="120"/>
      <c r="I77" s="120"/>
      <c r="J77" s="326"/>
      <c r="K77" s="120"/>
      <c r="L77" s="120"/>
      <c r="M77" s="29">
        <f t="shared" si="16"/>
        <v>0</v>
      </c>
      <c r="N77" s="121"/>
      <c r="O77" s="121"/>
      <c r="P77" s="121"/>
      <c r="Q77" s="121"/>
      <c r="R77" s="121"/>
      <c r="S77" s="121"/>
      <c r="T77" s="121"/>
    </row>
    <row r="78" spans="2:20" hidden="1" x14ac:dyDescent="0.35">
      <c r="B78" s="121"/>
      <c r="C78" s="23" t="s">
        <v>269</v>
      </c>
      <c r="D78" s="23"/>
      <c r="E78" s="23"/>
      <c r="F78" s="333"/>
      <c r="G78" s="120"/>
      <c r="H78" s="120"/>
      <c r="I78" s="120"/>
      <c r="J78" s="326"/>
      <c r="K78" s="120"/>
      <c r="L78" s="120"/>
      <c r="M78" s="29">
        <f t="shared" si="16"/>
        <v>0</v>
      </c>
      <c r="N78" s="117"/>
      <c r="O78" s="117"/>
      <c r="P78" s="117"/>
      <c r="Q78" s="117"/>
      <c r="R78" s="117"/>
      <c r="S78" s="117"/>
      <c r="T78" s="117"/>
    </row>
    <row r="79" spans="2:20" hidden="1" x14ac:dyDescent="0.35">
      <c r="B79" s="121"/>
      <c r="C79" s="22" t="s">
        <v>270</v>
      </c>
      <c r="D79" s="22"/>
      <c r="E79" s="22"/>
      <c r="F79" s="332"/>
      <c r="G79" s="120"/>
      <c r="H79" s="120"/>
      <c r="I79" s="120"/>
      <c r="J79" s="326"/>
      <c r="K79" s="120"/>
      <c r="L79" s="120"/>
      <c r="M79" s="29">
        <f t="shared" si="16"/>
        <v>0</v>
      </c>
      <c r="N79" s="117"/>
      <c r="O79" s="117"/>
      <c r="P79" s="117"/>
      <c r="Q79" s="117"/>
      <c r="R79" s="117"/>
      <c r="S79" s="117"/>
      <c r="T79" s="117"/>
    </row>
    <row r="80" spans="2:20" hidden="1" x14ac:dyDescent="0.35">
      <c r="B80" s="121"/>
      <c r="C80" s="22" t="s">
        <v>271</v>
      </c>
      <c r="D80" s="22"/>
      <c r="E80" s="22"/>
      <c r="F80" s="332"/>
      <c r="G80" s="120"/>
      <c r="H80" s="120"/>
      <c r="I80" s="120"/>
      <c r="J80" s="326"/>
      <c r="K80" s="120"/>
      <c r="L80" s="120"/>
      <c r="M80" s="29">
        <f t="shared" si="16"/>
        <v>0</v>
      </c>
      <c r="N80" s="117"/>
      <c r="O80" s="117"/>
      <c r="P80" s="117"/>
      <c r="Q80" s="117"/>
      <c r="R80" s="117"/>
      <c r="S80" s="117"/>
      <c r="T80" s="117"/>
    </row>
    <row r="81" spans="2:20" hidden="1" x14ac:dyDescent="0.35">
      <c r="B81" s="117"/>
      <c r="C81" s="22" t="s">
        <v>272</v>
      </c>
      <c r="D81" s="22"/>
      <c r="E81" s="22"/>
      <c r="F81" s="332"/>
      <c r="G81" s="120"/>
      <c r="H81" s="120"/>
      <c r="I81" s="120"/>
      <c r="J81" s="326"/>
      <c r="K81" s="120"/>
      <c r="L81" s="120"/>
      <c r="M81" s="29">
        <f t="shared" si="16"/>
        <v>0</v>
      </c>
      <c r="N81" s="117"/>
      <c r="O81" s="117"/>
      <c r="P81" s="117"/>
      <c r="Q81" s="117"/>
      <c r="R81" s="117"/>
      <c r="S81" s="117"/>
      <c r="T81" s="117"/>
    </row>
    <row r="82" spans="2:20" hidden="1" x14ac:dyDescent="0.35">
      <c r="B82" s="117"/>
      <c r="C82" s="26" t="s">
        <v>273</v>
      </c>
      <c r="D82" s="26"/>
      <c r="E82" s="26"/>
      <c r="F82" s="334"/>
      <c r="G82" s="35">
        <f>SUM(G75:G81)</f>
        <v>0</v>
      </c>
      <c r="H82" s="35"/>
      <c r="I82" s="35"/>
      <c r="J82" s="327"/>
      <c r="K82" s="35">
        <f>SUM(K75:K81)</f>
        <v>0</v>
      </c>
      <c r="L82" s="35">
        <f>SUM(L75:L81)</f>
        <v>0</v>
      </c>
      <c r="M82" s="29">
        <f t="shared" si="16"/>
        <v>0</v>
      </c>
      <c r="N82" s="117"/>
      <c r="O82" s="117"/>
      <c r="P82" s="117"/>
      <c r="Q82" s="117"/>
      <c r="R82" s="117"/>
      <c r="S82" s="117"/>
      <c r="T82" s="117"/>
    </row>
    <row r="83" spans="2:20" s="25" customFormat="1" hidden="1" x14ac:dyDescent="0.35">
      <c r="B83" s="121"/>
      <c r="C83" s="39"/>
      <c r="D83" s="42"/>
      <c r="E83" s="42"/>
      <c r="F83" s="328"/>
      <c r="G83" s="40"/>
      <c r="H83" s="40"/>
      <c r="I83" s="40"/>
      <c r="J83" s="343"/>
      <c r="K83" s="40"/>
      <c r="L83" s="40"/>
      <c r="M83" s="41"/>
      <c r="N83" s="121"/>
      <c r="O83" s="121"/>
      <c r="P83" s="121"/>
      <c r="Q83" s="121"/>
      <c r="R83" s="121"/>
      <c r="S83" s="121"/>
      <c r="T83" s="121"/>
    </row>
    <row r="84" spans="2:20" hidden="1" x14ac:dyDescent="0.35">
      <c r="B84" s="117"/>
      <c r="C84" s="451" t="s">
        <v>131</v>
      </c>
      <c r="D84" s="452"/>
      <c r="E84" s="452"/>
      <c r="F84" s="452"/>
      <c r="G84" s="452"/>
      <c r="H84" s="452"/>
      <c r="I84" s="452"/>
      <c r="J84" s="452"/>
      <c r="K84" s="452"/>
      <c r="L84" s="452"/>
      <c r="M84" s="453"/>
      <c r="N84" s="117"/>
      <c r="O84" s="117"/>
      <c r="P84" s="117"/>
      <c r="Q84" s="117"/>
      <c r="R84" s="117"/>
      <c r="S84" s="117"/>
      <c r="T84" s="117"/>
    </row>
    <row r="85" spans="2:20" ht="21.75" hidden="1" customHeight="1" thickBot="1" x14ac:dyDescent="0.4">
      <c r="B85" s="117"/>
      <c r="C85" s="32" t="s">
        <v>265</v>
      </c>
      <c r="D85" s="32"/>
      <c r="E85" s="32"/>
      <c r="F85" s="330"/>
      <c r="G85" s="33">
        <f>'1) Budget Table'!G87</f>
        <v>0</v>
      </c>
      <c r="H85" s="33"/>
      <c r="I85" s="33"/>
      <c r="J85" s="342"/>
      <c r="K85" s="33">
        <f>'1) Budget Table'!K87</f>
        <v>0</v>
      </c>
      <c r="L85" s="33">
        <f>'1) Budget Table'!L87</f>
        <v>0</v>
      </c>
      <c r="M85" s="34">
        <f t="shared" ref="M85:M93" si="17">SUM(G85:L85)</f>
        <v>0</v>
      </c>
      <c r="N85" s="117"/>
      <c r="O85" s="117"/>
      <c r="P85" s="117"/>
      <c r="Q85" s="117"/>
      <c r="R85" s="117"/>
      <c r="S85" s="117"/>
      <c r="T85" s="117"/>
    </row>
    <row r="86" spans="2:20" ht="15.75" hidden="1" customHeight="1" x14ac:dyDescent="0.35">
      <c r="B86" s="117"/>
      <c r="C86" s="30" t="s">
        <v>266</v>
      </c>
      <c r="D86" s="30"/>
      <c r="E86" s="30"/>
      <c r="F86" s="331"/>
      <c r="G86" s="118"/>
      <c r="H86" s="118"/>
      <c r="I86" s="118"/>
      <c r="J86" s="325"/>
      <c r="K86" s="119"/>
      <c r="L86" s="119"/>
      <c r="M86" s="31">
        <f t="shared" si="17"/>
        <v>0</v>
      </c>
      <c r="N86" s="117"/>
      <c r="O86" s="117"/>
      <c r="P86" s="117"/>
      <c r="Q86" s="117"/>
      <c r="R86" s="117"/>
      <c r="S86" s="117"/>
      <c r="T86" s="117"/>
    </row>
    <row r="87" spans="2:20" ht="15.75" hidden="1" customHeight="1" x14ac:dyDescent="0.35">
      <c r="B87" s="121"/>
      <c r="C87" s="22" t="s">
        <v>267</v>
      </c>
      <c r="D87" s="22"/>
      <c r="E87" s="22"/>
      <c r="F87" s="332"/>
      <c r="G87" s="120"/>
      <c r="H87" s="120"/>
      <c r="I87" s="120"/>
      <c r="J87" s="326"/>
      <c r="K87" s="101"/>
      <c r="L87" s="101"/>
      <c r="M87" s="29">
        <f t="shared" si="17"/>
        <v>0</v>
      </c>
      <c r="N87" s="117"/>
      <c r="O87" s="117"/>
      <c r="P87" s="117"/>
      <c r="Q87" s="117"/>
      <c r="R87" s="117"/>
      <c r="S87" s="117"/>
      <c r="T87" s="117"/>
    </row>
    <row r="88" spans="2:20" ht="15.75" hidden="1" customHeight="1" x14ac:dyDescent="0.35">
      <c r="B88" s="117"/>
      <c r="C88" s="22" t="s">
        <v>268</v>
      </c>
      <c r="D88" s="22"/>
      <c r="E88" s="22"/>
      <c r="F88" s="332"/>
      <c r="G88" s="120"/>
      <c r="H88" s="120"/>
      <c r="I88" s="120"/>
      <c r="J88" s="326"/>
      <c r="K88" s="120"/>
      <c r="L88" s="120"/>
      <c r="M88" s="29">
        <f t="shared" si="17"/>
        <v>0</v>
      </c>
      <c r="N88" s="117"/>
      <c r="O88" s="117"/>
      <c r="P88" s="117"/>
      <c r="Q88" s="117"/>
      <c r="R88" s="117"/>
      <c r="S88" s="117"/>
      <c r="T88" s="117"/>
    </row>
    <row r="89" spans="2:20" hidden="1" x14ac:dyDescent="0.35">
      <c r="B89" s="117"/>
      <c r="C89" s="23" t="s">
        <v>269</v>
      </c>
      <c r="D89" s="23"/>
      <c r="E89" s="23"/>
      <c r="F89" s="333"/>
      <c r="G89" s="120"/>
      <c r="H89" s="120"/>
      <c r="I89" s="120"/>
      <c r="J89" s="326"/>
      <c r="K89" s="120"/>
      <c r="L89" s="120"/>
      <c r="M89" s="29">
        <f t="shared" si="17"/>
        <v>0</v>
      </c>
      <c r="N89" s="117"/>
      <c r="O89" s="117"/>
      <c r="P89" s="117"/>
      <c r="Q89" s="117"/>
      <c r="R89" s="117"/>
      <c r="S89" s="117"/>
      <c r="T89" s="117"/>
    </row>
    <row r="90" spans="2:20" hidden="1" x14ac:dyDescent="0.35">
      <c r="B90" s="117"/>
      <c r="C90" s="22" t="s">
        <v>270</v>
      </c>
      <c r="D90" s="22"/>
      <c r="E90" s="22"/>
      <c r="F90" s="332"/>
      <c r="G90" s="120"/>
      <c r="H90" s="120"/>
      <c r="I90" s="120"/>
      <c r="J90" s="326"/>
      <c r="K90" s="120"/>
      <c r="L90" s="120"/>
      <c r="M90" s="29">
        <f t="shared" si="17"/>
        <v>0</v>
      </c>
      <c r="N90" s="117"/>
      <c r="O90" s="117"/>
      <c r="P90" s="117"/>
      <c r="Q90" s="117"/>
      <c r="R90" s="117"/>
      <c r="S90" s="117"/>
      <c r="T90" s="117"/>
    </row>
    <row r="91" spans="2:20" ht="25.5" hidden="1" customHeight="1" x14ac:dyDescent="0.35">
      <c r="B91" s="117"/>
      <c r="C91" s="22" t="s">
        <v>271</v>
      </c>
      <c r="D91" s="22"/>
      <c r="E91" s="22"/>
      <c r="F91" s="332"/>
      <c r="G91" s="120"/>
      <c r="H91" s="120"/>
      <c r="I91" s="120"/>
      <c r="J91" s="326"/>
      <c r="K91" s="120"/>
      <c r="L91" s="120"/>
      <c r="M91" s="29">
        <f t="shared" si="17"/>
        <v>0</v>
      </c>
      <c r="N91" s="117"/>
      <c r="O91" s="117"/>
      <c r="P91" s="117"/>
      <c r="Q91" s="117"/>
      <c r="R91" s="117"/>
      <c r="S91" s="117"/>
      <c r="T91" s="117"/>
    </row>
    <row r="92" spans="2:20" hidden="1" x14ac:dyDescent="0.35">
      <c r="B92" s="121"/>
      <c r="C92" s="22" t="s">
        <v>272</v>
      </c>
      <c r="D92" s="22"/>
      <c r="E92" s="22"/>
      <c r="F92" s="332"/>
      <c r="G92" s="120"/>
      <c r="H92" s="120"/>
      <c r="I92" s="120"/>
      <c r="J92" s="326"/>
      <c r="K92" s="120"/>
      <c r="L92" s="120"/>
      <c r="M92" s="29">
        <f t="shared" si="17"/>
        <v>0</v>
      </c>
      <c r="N92" s="117"/>
      <c r="O92" s="117"/>
      <c r="P92" s="117"/>
      <c r="Q92" s="117"/>
      <c r="R92" s="117"/>
      <c r="S92" s="117"/>
      <c r="T92" s="117"/>
    </row>
    <row r="93" spans="2:20" ht="15.75" hidden="1" customHeight="1" x14ac:dyDescent="0.35">
      <c r="B93" s="117"/>
      <c r="C93" s="26" t="s">
        <v>273</v>
      </c>
      <c r="D93" s="26"/>
      <c r="E93" s="26"/>
      <c r="F93" s="334"/>
      <c r="G93" s="35">
        <f>SUM(G86:G92)</f>
        <v>0</v>
      </c>
      <c r="H93" s="35"/>
      <c r="I93" s="35"/>
      <c r="J93" s="327"/>
      <c r="K93" s="35">
        <f>SUM(K86:K92)</f>
        <v>0</v>
      </c>
      <c r="L93" s="35">
        <f>SUM(L86:L92)</f>
        <v>0</v>
      </c>
      <c r="M93" s="29">
        <f t="shared" si="17"/>
        <v>0</v>
      </c>
      <c r="N93" s="117"/>
      <c r="O93" s="117"/>
      <c r="P93" s="117"/>
      <c r="Q93" s="117"/>
      <c r="R93" s="117"/>
      <c r="S93" s="117"/>
      <c r="T93" s="117"/>
    </row>
    <row r="94" spans="2:20" ht="25.5" customHeight="1" x14ac:dyDescent="0.35">
      <c r="B94" s="117"/>
      <c r="C94" s="117"/>
      <c r="D94" s="117"/>
      <c r="E94" s="117"/>
      <c r="F94" s="346"/>
      <c r="G94" s="117"/>
      <c r="H94" s="117"/>
      <c r="I94" s="117"/>
      <c r="J94" s="335"/>
      <c r="K94" s="117"/>
      <c r="L94" s="117"/>
      <c r="M94" s="117"/>
      <c r="N94" s="117"/>
      <c r="O94" s="117"/>
      <c r="P94" s="117"/>
      <c r="Q94" s="117"/>
      <c r="R94" s="117"/>
      <c r="S94" s="117"/>
      <c r="T94" s="117"/>
    </row>
    <row r="95" spans="2:20" x14ac:dyDescent="0.35">
      <c r="B95" s="451" t="s">
        <v>279</v>
      </c>
      <c r="C95" s="452"/>
      <c r="D95" s="452"/>
      <c r="E95" s="452"/>
      <c r="F95" s="452"/>
      <c r="G95" s="452"/>
      <c r="H95" s="452"/>
      <c r="I95" s="452"/>
      <c r="J95" s="452"/>
      <c r="K95" s="452"/>
      <c r="L95" s="452"/>
      <c r="M95" s="453"/>
      <c r="N95" s="117"/>
      <c r="O95" s="117"/>
      <c r="P95" s="117"/>
      <c r="Q95" s="117"/>
      <c r="R95" s="117"/>
      <c r="S95" s="117"/>
      <c r="T95" s="117"/>
    </row>
    <row r="96" spans="2:20" x14ac:dyDescent="0.35">
      <c r="B96" s="117"/>
      <c r="C96" s="451" t="s">
        <v>142</v>
      </c>
      <c r="D96" s="452"/>
      <c r="E96" s="452"/>
      <c r="F96" s="452"/>
      <c r="G96" s="452"/>
      <c r="H96" s="452"/>
      <c r="I96" s="452"/>
      <c r="J96" s="452"/>
      <c r="K96" s="452"/>
      <c r="L96" s="452"/>
      <c r="M96" s="453"/>
      <c r="N96" s="117"/>
      <c r="O96" s="117"/>
      <c r="P96" s="117"/>
      <c r="Q96" s="117"/>
      <c r="R96" s="117"/>
      <c r="S96" s="117"/>
      <c r="T96" s="117"/>
    </row>
    <row r="97" spans="3:20" ht="22.5" customHeight="1" thickBot="1" x14ac:dyDescent="0.4">
      <c r="C97" s="32" t="s">
        <v>265</v>
      </c>
      <c r="D97" s="241">
        <f>+'1) Budget Table'!D99</f>
        <v>65000</v>
      </c>
      <c r="E97" s="241">
        <f>+'1) Budget Table'!E99</f>
        <v>19957.099999999999</v>
      </c>
      <c r="F97" s="324">
        <f>+'1) Budget Table'!F99</f>
        <v>65000</v>
      </c>
      <c r="G97" s="33">
        <f>'1) Budget Table'!G99</f>
        <v>45042.899999999994</v>
      </c>
      <c r="H97" s="33">
        <f>+'1) Budget Table'!H99</f>
        <v>36012.968611847922</v>
      </c>
      <c r="I97" s="33">
        <f>+'1) Budget Table'!I99</f>
        <v>5337.1804396631105</v>
      </c>
      <c r="J97" s="342">
        <f>+'1) Budget Table'!J99</f>
        <v>24011.430439663112</v>
      </c>
      <c r="K97" s="33">
        <f>'1) Budget Table'!K99</f>
        <v>18674.25</v>
      </c>
      <c r="L97" s="33">
        <f>'1) Budget Table'!L99</f>
        <v>0</v>
      </c>
      <c r="M97" s="34">
        <f>SUM(G97:L97)</f>
        <v>129078.72949117413</v>
      </c>
      <c r="N97" s="117"/>
      <c r="O97" s="117"/>
      <c r="P97" s="117"/>
      <c r="Q97" s="117"/>
      <c r="R97" s="117"/>
      <c r="S97" s="117"/>
      <c r="T97" s="117"/>
    </row>
    <row r="98" spans="3:20" x14ac:dyDescent="0.35">
      <c r="C98" s="30" t="s">
        <v>266</v>
      </c>
      <c r="D98" s="118"/>
      <c r="E98" s="237"/>
      <c r="F98" s="336"/>
      <c r="G98" s="118"/>
      <c r="H98" s="118">
        <v>3928.3532272325401</v>
      </c>
      <c r="I98" s="118">
        <v>3720.7804396631136</v>
      </c>
      <c r="J98" s="325">
        <f t="shared" ref="J98:J104" si="18">K98+I98</f>
        <v>3720.7804396631136</v>
      </c>
      <c r="K98" s="118"/>
      <c r="L98" s="119"/>
      <c r="M98" s="31">
        <f t="shared" ref="M98:M105" si="19">SUM(G98:L98)</f>
        <v>11369.914106558768</v>
      </c>
      <c r="N98" s="117"/>
      <c r="O98" s="117"/>
      <c r="P98" s="117"/>
      <c r="Q98" s="117"/>
      <c r="R98" s="117"/>
      <c r="S98" s="117"/>
      <c r="T98" s="117"/>
    </row>
    <row r="99" spans="3:20" x14ac:dyDescent="0.35">
      <c r="C99" s="22" t="s">
        <v>267</v>
      </c>
      <c r="D99" s="120">
        <v>5000</v>
      </c>
      <c r="E99" s="238"/>
      <c r="F99" s="326">
        <v>5000</v>
      </c>
      <c r="G99" s="120">
        <v>5000</v>
      </c>
      <c r="H99" s="118">
        <v>14967.948717948717</v>
      </c>
      <c r="I99" s="118">
        <v>0</v>
      </c>
      <c r="J99" s="325">
        <f t="shared" si="18"/>
        <v>8500</v>
      </c>
      <c r="K99" s="118">
        <v>8500</v>
      </c>
      <c r="L99" s="101"/>
      <c r="M99" s="29">
        <f t="shared" si="19"/>
        <v>36967.948717948719</v>
      </c>
      <c r="N99" s="117"/>
      <c r="O99" s="117"/>
      <c r="P99" s="117"/>
      <c r="Q99" s="117"/>
      <c r="R99" s="117"/>
      <c r="S99" s="117"/>
      <c r="T99" s="117"/>
    </row>
    <row r="100" spans="3:20" ht="15.75" customHeight="1" x14ac:dyDescent="0.35">
      <c r="C100" s="22" t="s">
        <v>268</v>
      </c>
      <c r="D100" s="120">
        <v>1500</v>
      </c>
      <c r="E100" s="238"/>
      <c r="F100" s="326">
        <v>1500</v>
      </c>
      <c r="G100" s="120">
        <v>1500</v>
      </c>
      <c r="H100" s="118">
        <v>1153.8461538461538</v>
      </c>
      <c r="I100" s="118">
        <v>1469.11</v>
      </c>
      <c r="J100" s="325">
        <f t="shared" si="18"/>
        <v>1469.11</v>
      </c>
      <c r="K100" s="118"/>
      <c r="L100" s="120"/>
      <c r="M100" s="29">
        <f t="shared" si="19"/>
        <v>5592.0661538461536</v>
      </c>
      <c r="N100" s="117"/>
      <c r="O100" s="117"/>
      <c r="P100" s="117"/>
      <c r="Q100" s="117"/>
      <c r="R100" s="117"/>
      <c r="S100" s="117"/>
      <c r="T100" s="117"/>
    </row>
    <row r="101" spans="3:20" x14ac:dyDescent="0.35">
      <c r="C101" s="23" t="s">
        <v>269</v>
      </c>
      <c r="D101" s="120">
        <v>50000</v>
      </c>
      <c r="E101" s="120">
        <f>5133.77+13823.33</f>
        <v>18957.099999999999</v>
      </c>
      <c r="F101" s="326">
        <f>+E101+G101</f>
        <v>50000</v>
      </c>
      <c r="G101" s="120">
        <f>50000-18957.1</f>
        <v>31042.9</v>
      </c>
      <c r="H101" s="118">
        <v>0</v>
      </c>
      <c r="I101" s="118">
        <v>0</v>
      </c>
      <c r="J101" s="325">
        <f t="shared" si="18"/>
        <v>0</v>
      </c>
      <c r="K101" s="118"/>
      <c r="L101" s="120"/>
      <c r="M101" s="29">
        <f t="shared" si="19"/>
        <v>31042.9</v>
      </c>
      <c r="N101" s="117"/>
      <c r="O101" s="117"/>
      <c r="P101" s="117"/>
      <c r="Q101" s="117"/>
      <c r="R101" s="117"/>
      <c r="S101" s="117"/>
      <c r="T101" s="117"/>
    </row>
    <row r="102" spans="3:20" x14ac:dyDescent="0.35">
      <c r="C102" s="22" t="s">
        <v>270</v>
      </c>
      <c r="D102" s="120">
        <v>7000</v>
      </c>
      <c r="E102" s="238"/>
      <c r="F102" s="326">
        <v>7000</v>
      </c>
      <c r="G102" s="120">
        <v>7000</v>
      </c>
      <c r="H102" s="118">
        <v>15962.820512820512</v>
      </c>
      <c r="I102" s="118">
        <v>147.29</v>
      </c>
      <c r="J102" s="325">
        <f t="shared" si="18"/>
        <v>10321.540000000001</v>
      </c>
      <c r="K102" s="118">
        <v>10174.25</v>
      </c>
      <c r="L102" s="120"/>
      <c r="M102" s="29">
        <f t="shared" si="19"/>
        <v>43605.900512820517</v>
      </c>
      <c r="N102" s="117"/>
      <c r="O102" s="117"/>
      <c r="P102" s="117"/>
      <c r="Q102" s="117"/>
      <c r="R102" s="117"/>
      <c r="S102" s="117"/>
      <c r="T102" s="117"/>
    </row>
    <row r="103" spans="3:20" x14ac:dyDescent="0.35">
      <c r="C103" s="22" t="s">
        <v>271</v>
      </c>
      <c r="D103" s="120"/>
      <c r="E103" s="238"/>
      <c r="F103" s="326"/>
      <c r="G103" s="120"/>
      <c r="H103" s="118"/>
      <c r="I103" s="118">
        <v>0</v>
      </c>
      <c r="J103" s="325">
        <f t="shared" si="18"/>
        <v>0</v>
      </c>
      <c r="K103" s="118"/>
      <c r="L103" s="120"/>
      <c r="M103" s="29">
        <f t="shared" si="19"/>
        <v>0</v>
      </c>
      <c r="N103" s="117"/>
      <c r="O103" s="117"/>
      <c r="P103" s="117"/>
      <c r="Q103" s="117"/>
      <c r="R103" s="117"/>
      <c r="S103" s="117"/>
      <c r="T103" s="117"/>
    </row>
    <row r="104" spans="3:20" x14ac:dyDescent="0.35">
      <c r="C104" s="22" t="s">
        <v>272</v>
      </c>
      <c r="D104" s="120">
        <v>1500</v>
      </c>
      <c r="E104" s="238">
        <v>1000</v>
      </c>
      <c r="F104" s="326">
        <f>1500-842.9+E104-157.1</f>
        <v>1500</v>
      </c>
      <c r="G104" s="120">
        <f>1500-842.9-157.1</f>
        <v>500</v>
      </c>
      <c r="H104" s="118"/>
      <c r="I104" s="118">
        <v>0</v>
      </c>
      <c r="J104" s="325">
        <f t="shared" si="18"/>
        <v>0</v>
      </c>
      <c r="K104" s="118"/>
      <c r="L104" s="120"/>
      <c r="M104" s="29">
        <f t="shared" si="19"/>
        <v>500</v>
      </c>
      <c r="N104" s="117"/>
      <c r="O104" s="117"/>
      <c r="P104" s="117"/>
      <c r="Q104" s="117"/>
      <c r="R104" s="117"/>
      <c r="S104" s="117"/>
      <c r="T104" s="117"/>
    </row>
    <row r="105" spans="3:20" x14ac:dyDescent="0.35">
      <c r="C105" s="26" t="s">
        <v>273</v>
      </c>
      <c r="D105" s="35">
        <f t="shared" ref="D105:L105" si="20">SUM(D98:D104)</f>
        <v>65000</v>
      </c>
      <c r="E105" s="35">
        <f t="shared" si="20"/>
        <v>19957.099999999999</v>
      </c>
      <c r="F105" s="327">
        <f t="shared" si="20"/>
        <v>65000</v>
      </c>
      <c r="G105" s="35">
        <f t="shared" si="20"/>
        <v>45042.9</v>
      </c>
      <c r="H105" s="35">
        <f t="shared" si="20"/>
        <v>36012.968611847922</v>
      </c>
      <c r="I105" s="35">
        <f t="shared" si="20"/>
        <v>5337.1804396631132</v>
      </c>
      <c r="J105" s="327">
        <f t="shared" si="20"/>
        <v>24011.430439663116</v>
      </c>
      <c r="K105" s="35">
        <f t="shared" si="20"/>
        <v>18674.25</v>
      </c>
      <c r="L105" s="35">
        <f t="shared" si="20"/>
        <v>0</v>
      </c>
      <c r="M105" s="29">
        <f t="shared" si="19"/>
        <v>129078.72949117416</v>
      </c>
      <c r="N105" s="117"/>
      <c r="O105" s="117"/>
      <c r="P105" s="117"/>
      <c r="Q105" s="117"/>
      <c r="R105" s="117"/>
      <c r="S105" s="117"/>
      <c r="T105" s="117"/>
    </row>
    <row r="106" spans="3:20" s="25" customFormat="1" x14ac:dyDescent="0.35">
      <c r="C106" s="39"/>
      <c r="D106" s="42"/>
      <c r="E106" s="42"/>
      <c r="F106" s="328"/>
      <c r="G106" s="40"/>
      <c r="H106" s="40"/>
      <c r="I106" s="40"/>
      <c r="J106" s="343"/>
      <c r="K106" s="40"/>
      <c r="L106" s="40"/>
      <c r="M106" s="41"/>
      <c r="N106" s="121"/>
      <c r="O106" s="121"/>
      <c r="P106" s="121"/>
      <c r="Q106" s="121"/>
      <c r="R106" s="121"/>
      <c r="S106" s="121"/>
      <c r="T106" s="121"/>
    </row>
    <row r="107" spans="3:20" ht="15.75" customHeight="1" x14ac:dyDescent="0.35">
      <c r="C107" s="451" t="s">
        <v>280</v>
      </c>
      <c r="D107" s="452"/>
      <c r="E107" s="452"/>
      <c r="F107" s="452"/>
      <c r="G107" s="452"/>
      <c r="H107" s="452"/>
      <c r="I107" s="452"/>
      <c r="J107" s="452"/>
      <c r="K107" s="452"/>
      <c r="L107" s="452"/>
      <c r="M107" s="453"/>
      <c r="N107" s="117"/>
      <c r="O107" s="117"/>
      <c r="P107" s="117"/>
      <c r="Q107" s="117"/>
      <c r="R107" s="117"/>
      <c r="S107" s="117"/>
      <c r="T107" s="117"/>
    </row>
    <row r="108" spans="3:20" ht="21.75" customHeight="1" thickBot="1" x14ac:dyDescent="0.4">
      <c r="C108" s="32" t="s">
        <v>265</v>
      </c>
      <c r="D108" s="241">
        <f>+'1) Budget Table'!D109</f>
        <v>65000</v>
      </c>
      <c r="E108" s="241">
        <f>+'1) Budget Table'!E109</f>
        <v>13823.33</v>
      </c>
      <c r="F108" s="324">
        <f>+'1) Budget Table'!F109</f>
        <v>65000</v>
      </c>
      <c r="G108" s="33">
        <f>'1) Budget Table'!G109</f>
        <v>51176.67</v>
      </c>
      <c r="H108" s="33">
        <f>+'1) Budget Table'!H109</f>
        <v>28320.809018567645</v>
      </c>
      <c r="I108" s="33">
        <f>+'1) Budget Table'!I109</f>
        <v>7441.56087932623</v>
      </c>
      <c r="J108" s="342">
        <f>+'1) Budget Table'!J109</f>
        <v>27441.560879326229</v>
      </c>
      <c r="K108" s="33">
        <f>'1) Budget Table'!K109</f>
        <v>20000</v>
      </c>
      <c r="L108" s="33">
        <f>'1) Budget Table'!L109</f>
        <v>0</v>
      </c>
      <c r="M108" s="34">
        <f t="shared" ref="M108:M116" si="21">SUM(G108:L108)</f>
        <v>134380.6007772201</v>
      </c>
      <c r="N108" s="117"/>
      <c r="O108" s="117"/>
      <c r="P108" s="117"/>
      <c r="Q108" s="117"/>
      <c r="R108" s="117"/>
      <c r="S108" s="117"/>
      <c r="T108" s="117"/>
    </row>
    <row r="109" spans="3:20" x14ac:dyDescent="0.35">
      <c r="C109" s="30" t="s">
        <v>266</v>
      </c>
      <c r="D109" s="118"/>
      <c r="E109" s="118"/>
      <c r="F109" s="325"/>
      <c r="G109" s="118"/>
      <c r="H109" s="118">
        <v>7856.7064544650802</v>
      </c>
      <c r="I109" s="118">
        <v>7441.56</v>
      </c>
      <c r="J109" s="325">
        <f t="shared" ref="J109:J115" si="22">K109+I109</f>
        <v>7441.56</v>
      </c>
      <c r="K109" s="118"/>
      <c r="L109" s="119"/>
      <c r="M109" s="31">
        <f t="shared" si="21"/>
        <v>22739.826454465081</v>
      </c>
      <c r="N109" s="117"/>
      <c r="O109" s="117"/>
      <c r="P109" s="117"/>
      <c r="Q109" s="117"/>
      <c r="R109" s="117"/>
      <c r="S109" s="117"/>
      <c r="T109" s="117"/>
    </row>
    <row r="110" spans="3:20" x14ac:dyDescent="0.35">
      <c r="C110" s="22" t="s">
        <v>267</v>
      </c>
      <c r="D110" s="120">
        <v>5000</v>
      </c>
      <c r="E110" s="120"/>
      <c r="F110" s="326">
        <v>5000</v>
      </c>
      <c r="G110" s="120">
        <v>5000</v>
      </c>
      <c r="H110" s="118">
        <v>3923.0769230769233</v>
      </c>
      <c r="I110" s="118"/>
      <c r="J110" s="325">
        <f t="shared" si="22"/>
        <v>8000</v>
      </c>
      <c r="K110" s="118">
        <v>8000</v>
      </c>
      <c r="L110" s="101"/>
      <c r="M110" s="29">
        <f t="shared" si="21"/>
        <v>24923.076923076922</v>
      </c>
      <c r="N110" s="117"/>
      <c r="O110" s="117"/>
      <c r="P110" s="117"/>
      <c r="Q110" s="117"/>
      <c r="R110" s="117"/>
      <c r="S110" s="117"/>
      <c r="T110" s="117"/>
    </row>
    <row r="111" spans="3:20" ht="31" x14ac:dyDescent="0.35">
      <c r="C111" s="22" t="s">
        <v>268</v>
      </c>
      <c r="D111" s="120">
        <v>1000</v>
      </c>
      <c r="E111" s="120"/>
      <c r="F111" s="326">
        <v>1000</v>
      </c>
      <c r="G111" s="120">
        <v>1000</v>
      </c>
      <c r="H111" s="118">
        <v>0</v>
      </c>
      <c r="I111" s="118"/>
      <c r="J111" s="325">
        <f t="shared" si="22"/>
        <v>0</v>
      </c>
      <c r="K111" s="118"/>
      <c r="L111" s="120"/>
      <c r="M111" s="29">
        <f t="shared" si="21"/>
        <v>1000</v>
      </c>
      <c r="N111" s="117"/>
      <c r="O111" s="117"/>
      <c r="P111" s="117"/>
      <c r="Q111" s="117"/>
      <c r="R111" s="117"/>
      <c r="S111" s="117"/>
      <c r="T111" s="117"/>
    </row>
    <row r="112" spans="3:20" x14ac:dyDescent="0.35">
      <c r="C112" s="23" t="s">
        <v>269</v>
      </c>
      <c r="D112" s="120">
        <v>40000</v>
      </c>
      <c r="E112" s="120">
        <v>13823.33</v>
      </c>
      <c r="F112" s="326">
        <v>40000</v>
      </c>
      <c r="G112" s="120">
        <f>+F112-E112</f>
        <v>26176.67</v>
      </c>
      <c r="H112" s="118">
        <v>0</v>
      </c>
      <c r="I112" s="118"/>
      <c r="J112" s="325">
        <f t="shared" si="22"/>
        <v>0</v>
      </c>
      <c r="K112" s="118"/>
      <c r="L112" s="120"/>
      <c r="M112" s="29">
        <f t="shared" si="21"/>
        <v>26176.67</v>
      </c>
      <c r="N112" s="247"/>
      <c r="O112" s="117"/>
      <c r="P112" s="117"/>
      <c r="Q112" s="117"/>
      <c r="R112" s="117"/>
      <c r="S112" s="117"/>
      <c r="T112" s="117"/>
    </row>
    <row r="113" spans="3:20" x14ac:dyDescent="0.35">
      <c r="C113" s="22" t="s">
        <v>270</v>
      </c>
      <c r="D113" s="120">
        <v>18000</v>
      </c>
      <c r="E113" s="120"/>
      <c r="F113" s="326">
        <v>18000</v>
      </c>
      <c r="G113" s="120">
        <v>18000</v>
      </c>
      <c r="H113" s="118">
        <v>16541.025641025641</v>
      </c>
      <c r="I113" s="118"/>
      <c r="J113" s="325">
        <f t="shared" si="22"/>
        <v>12000</v>
      </c>
      <c r="K113" s="118">
        <v>12000</v>
      </c>
      <c r="L113" s="120"/>
      <c r="M113" s="29">
        <f t="shared" si="21"/>
        <v>58541.025641025641</v>
      </c>
      <c r="N113" s="117"/>
      <c r="O113" s="117"/>
      <c r="P113" s="117"/>
      <c r="Q113" s="117"/>
      <c r="R113" s="117"/>
      <c r="S113" s="117"/>
      <c r="T113" s="117"/>
    </row>
    <row r="114" spans="3:20" x14ac:dyDescent="0.35">
      <c r="C114" s="22" t="s">
        <v>271</v>
      </c>
      <c r="D114" s="120"/>
      <c r="E114" s="120"/>
      <c r="F114" s="326"/>
      <c r="G114" s="120"/>
      <c r="H114" s="118">
        <v>0</v>
      </c>
      <c r="I114" s="118"/>
      <c r="J114" s="325">
        <f t="shared" si="22"/>
        <v>0</v>
      </c>
      <c r="K114" s="118"/>
      <c r="L114" s="120"/>
      <c r="M114" s="29">
        <f t="shared" si="21"/>
        <v>0</v>
      </c>
      <c r="N114" s="117"/>
      <c r="O114" s="117"/>
      <c r="P114" s="117"/>
      <c r="Q114" s="117"/>
      <c r="R114" s="117"/>
      <c r="S114" s="117"/>
      <c r="T114" s="117"/>
    </row>
    <row r="115" spans="3:20" x14ac:dyDescent="0.35">
      <c r="C115" s="22" t="s">
        <v>272</v>
      </c>
      <c r="D115" s="120">
        <v>1000</v>
      </c>
      <c r="E115" s="238"/>
      <c r="F115" s="326">
        <v>1000</v>
      </c>
      <c r="G115" s="120">
        <v>1000</v>
      </c>
      <c r="H115" s="118"/>
      <c r="I115" s="118"/>
      <c r="J115" s="325">
        <f t="shared" si="22"/>
        <v>0</v>
      </c>
      <c r="K115" s="118"/>
      <c r="L115" s="120"/>
      <c r="M115" s="29">
        <f t="shared" si="21"/>
        <v>1000</v>
      </c>
      <c r="N115" s="117"/>
      <c r="O115" s="117"/>
      <c r="P115" s="117"/>
      <c r="Q115" s="117"/>
      <c r="R115" s="117"/>
      <c r="S115" s="117"/>
      <c r="T115" s="117"/>
    </row>
    <row r="116" spans="3:20" x14ac:dyDescent="0.35">
      <c r="C116" s="26" t="s">
        <v>273</v>
      </c>
      <c r="D116" s="35">
        <f t="shared" ref="D116:L116" si="23">SUM(D109:D115)</f>
        <v>65000</v>
      </c>
      <c r="E116" s="35">
        <f t="shared" si="23"/>
        <v>13823.33</v>
      </c>
      <c r="F116" s="327">
        <f t="shared" si="23"/>
        <v>65000</v>
      </c>
      <c r="G116" s="35">
        <f t="shared" si="23"/>
        <v>51176.67</v>
      </c>
      <c r="H116" s="35">
        <f t="shared" si="23"/>
        <v>28320.809018567645</v>
      </c>
      <c r="I116" s="35">
        <f t="shared" si="23"/>
        <v>7441.56</v>
      </c>
      <c r="J116" s="327">
        <f t="shared" si="23"/>
        <v>27441.56</v>
      </c>
      <c r="K116" s="35">
        <f t="shared" si="23"/>
        <v>20000</v>
      </c>
      <c r="L116" s="35">
        <f t="shared" si="23"/>
        <v>0</v>
      </c>
      <c r="M116" s="29">
        <f t="shared" si="21"/>
        <v>134380.59901856765</v>
      </c>
      <c r="N116" s="117"/>
      <c r="O116" s="117"/>
      <c r="P116" s="117"/>
      <c r="Q116" s="117"/>
      <c r="R116" s="117"/>
      <c r="S116" s="117"/>
      <c r="T116" s="117"/>
    </row>
    <row r="117" spans="3:20" s="25" customFormat="1" x14ac:dyDescent="0.35">
      <c r="C117" s="39"/>
      <c r="D117" s="42"/>
      <c r="E117" s="42"/>
      <c r="F117" s="328"/>
      <c r="G117" s="40"/>
      <c r="H117" s="40"/>
      <c r="I117" s="40"/>
      <c r="J117" s="343"/>
      <c r="K117" s="40"/>
      <c r="L117" s="40"/>
      <c r="M117" s="41"/>
      <c r="N117" s="121"/>
      <c r="O117" s="121"/>
      <c r="P117" s="121"/>
      <c r="Q117" s="121"/>
      <c r="R117" s="121"/>
      <c r="S117" s="121"/>
      <c r="T117" s="121"/>
    </row>
    <row r="118" spans="3:20" x14ac:dyDescent="0.35">
      <c r="C118" s="451" t="s">
        <v>172</v>
      </c>
      <c r="D118" s="452"/>
      <c r="E118" s="452"/>
      <c r="F118" s="452"/>
      <c r="G118" s="452"/>
      <c r="H118" s="452"/>
      <c r="I118" s="452"/>
      <c r="J118" s="452"/>
      <c r="K118" s="452"/>
      <c r="L118" s="452"/>
      <c r="M118" s="453"/>
      <c r="N118" s="117"/>
      <c r="O118" s="117"/>
      <c r="P118" s="117"/>
      <c r="Q118" s="117"/>
      <c r="R118" s="117"/>
      <c r="S118" s="117"/>
      <c r="T118" s="117"/>
    </row>
    <row r="119" spans="3:20" ht="21" customHeight="1" thickBot="1" x14ac:dyDescent="0.4">
      <c r="C119" s="32" t="s">
        <v>265</v>
      </c>
      <c r="D119" s="241">
        <f>+'1) Budget Table'!D119</f>
        <v>32000</v>
      </c>
      <c r="E119" s="241">
        <f>+'1) Budget Table'!E119</f>
        <v>13823.33</v>
      </c>
      <c r="F119" s="324">
        <f>+'1) Budget Table'!F119</f>
        <v>32000</v>
      </c>
      <c r="G119" s="33">
        <f>'1) Budget Table'!G119</f>
        <v>23176.67</v>
      </c>
      <c r="H119" s="33">
        <f>+'1) Budget Table'!H119</f>
        <v>24368.334659593282</v>
      </c>
      <c r="I119" s="33">
        <f>+'1) Budget Table'!I119</f>
        <v>7919.9604396631203</v>
      </c>
      <c r="J119" s="342">
        <f>+'1) Budget Table'!J119</f>
        <v>22919.960439663118</v>
      </c>
      <c r="K119" s="33">
        <f>'1) Budget Table'!K119</f>
        <v>15000</v>
      </c>
      <c r="L119" s="33">
        <f>'1) Budget Table'!L119</f>
        <v>0</v>
      </c>
      <c r="M119" s="34">
        <f t="shared" ref="M119:M127" si="24">SUM(G119:L119)</f>
        <v>93384.925538919517</v>
      </c>
      <c r="N119" s="117"/>
      <c r="O119" s="117"/>
      <c r="P119" s="117"/>
      <c r="Q119" s="117"/>
      <c r="R119" s="117"/>
      <c r="S119" s="117"/>
      <c r="T119" s="117"/>
    </row>
    <row r="120" spans="3:20" x14ac:dyDescent="0.35">
      <c r="C120" s="30" t="s">
        <v>266</v>
      </c>
      <c r="D120" s="118"/>
      <c r="E120" s="237"/>
      <c r="F120" s="336"/>
      <c r="G120" s="118"/>
      <c r="H120" s="118">
        <v>7856.7064544650802</v>
      </c>
      <c r="I120" s="118">
        <v>7441.5608793262272</v>
      </c>
      <c r="J120" s="325">
        <f t="shared" ref="J120:J126" si="25">K120+I120</f>
        <v>7441.5608793262272</v>
      </c>
      <c r="K120" s="118"/>
      <c r="L120" s="119"/>
      <c r="M120" s="31">
        <f t="shared" si="24"/>
        <v>22739.828213117537</v>
      </c>
      <c r="N120" s="117"/>
      <c r="O120" s="117"/>
      <c r="P120" s="117"/>
      <c r="Q120" s="117"/>
      <c r="R120" s="117"/>
      <c r="S120" s="117"/>
      <c r="T120" s="117"/>
    </row>
    <row r="121" spans="3:20" x14ac:dyDescent="0.35">
      <c r="C121" s="22" t="s">
        <v>267</v>
      </c>
      <c r="D121" s="120">
        <v>5000</v>
      </c>
      <c r="E121" s="238"/>
      <c r="F121" s="326">
        <v>5000</v>
      </c>
      <c r="G121" s="120">
        <v>5000</v>
      </c>
      <c r="H121" s="118">
        <v>4030.858974358975</v>
      </c>
      <c r="I121" s="118"/>
      <c r="J121" s="325">
        <f t="shared" si="25"/>
        <v>3500</v>
      </c>
      <c r="K121" s="118">
        <v>3500</v>
      </c>
      <c r="L121" s="101"/>
      <c r="M121" s="29">
        <f t="shared" si="24"/>
        <v>16030.858974358975</v>
      </c>
      <c r="N121" s="117"/>
      <c r="O121" s="117"/>
      <c r="P121" s="117"/>
      <c r="Q121" s="117"/>
      <c r="R121" s="117"/>
      <c r="S121" s="117"/>
      <c r="T121" s="117"/>
    </row>
    <row r="122" spans="3:20" ht="31" x14ac:dyDescent="0.35">
      <c r="C122" s="22" t="s">
        <v>268</v>
      </c>
      <c r="D122" s="120"/>
      <c r="E122" s="238"/>
      <c r="F122" s="326"/>
      <c r="G122" s="120"/>
      <c r="H122" s="118">
        <v>0</v>
      </c>
      <c r="I122" s="118">
        <v>0</v>
      </c>
      <c r="J122" s="325">
        <f t="shared" si="25"/>
        <v>0</v>
      </c>
      <c r="K122" s="118"/>
      <c r="L122" s="120"/>
      <c r="M122" s="29">
        <f t="shared" si="24"/>
        <v>0</v>
      </c>
      <c r="N122" s="117"/>
      <c r="O122" s="117"/>
      <c r="P122" s="117"/>
      <c r="Q122" s="117"/>
      <c r="R122" s="117"/>
      <c r="S122" s="117"/>
      <c r="T122" s="117"/>
    </row>
    <row r="123" spans="3:20" x14ac:dyDescent="0.35">
      <c r="C123" s="23" t="s">
        <v>269</v>
      </c>
      <c r="D123" s="120"/>
      <c r="E123" s="120">
        <v>13823.33</v>
      </c>
      <c r="F123" s="326">
        <v>20000</v>
      </c>
      <c r="G123" s="120">
        <f>+F123-E123+5000</f>
        <v>11176.67</v>
      </c>
      <c r="H123" s="118">
        <v>0</v>
      </c>
      <c r="I123" s="118">
        <v>0</v>
      </c>
      <c r="J123" s="325">
        <f t="shared" si="25"/>
        <v>0</v>
      </c>
      <c r="K123" s="118"/>
      <c r="L123" s="120"/>
      <c r="M123" s="29">
        <f t="shared" si="24"/>
        <v>11176.67</v>
      </c>
      <c r="N123" s="117"/>
      <c r="O123" s="117"/>
      <c r="P123" s="117"/>
      <c r="Q123" s="117"/>
      <c r="R123" s="117"/>
      <c r="S123" s="117"/>
      <c r="T123" s="117"/>
    </row>
    <row r="124" spans="3:20" x14ac:dyDescent="0.35">
      <c r="C124" s="22" t="s">
        <v>270</v>
      </c>
      <c r="D124" s="120">
        <v>20000</v>
      </c>
      <c r="E124" s="238"/>
      <c r="F124" s="326">
        <v>5000</v>
      </c>
      <c r="G124" s="120">
        <v>5000</v>
      </c>
      <c r="H124" s="118">
        <v>12480.76923076923</v>
      </c>
      <c r="I124" s="118">
        <v>478.4</v>
      </c>
      <c r="J124" s="325">
        <f t="shared" si="25"/>
        <v>11978.4</v>
      </c>
      <c r="K124" s="118">
        <v>11500</v>
      </c>
      <c r="L124" s="120"/>
      <c r="M124" s="29">
        <f t="shared" si="24"/>
        <v>41437.56923076923</v>
      </c>
      <c r="N124" s="117"/>
      <c r="O124" s="117"/>
      <c r="P124" s="117"/>
      <c r="Q124" s="117"/>
      <c r="R124" s="117"/>
      <c r="S124" s="117"/>
      <c r="T124" s="117"/>
    </row>
    <row r="125" spans="3:20" x14ac:dyDescent="0.35">
      <c r="C125" s="22" t="s">
        <v>271</v>
      </c>
      <c r="D125" s="120">
        <v>5000</v>
      </c>
      <c r="E125" s="238"/>
      <c r="F125" s="326">
        <v>2000</v>
      </c>
      <c r="G125" s="120">
        <v>2000</v>
      </c>
      <c r="H125" s="118">
        <v>0</v>
      </c>
      <c r="I125" s="118"/>
      <c r="J125" s="325">
        <f t="shared" si="25"/>
        <v>0</v>
      </c>
      <c r="K125" s="118"/>
      <c r="L125" s="120"/>
      <c r="M125" s="29">
        <f t="shared" si="24"/>
        <v>2000</v>
      </c>
      <c r="N125" s="117"/>
      <c r="O125" s="117"/>
      <c r="P125" s="117"/>
      <c r="Q125" s="117"/>
      <c r="R125" s="117"/>
      <c r="S125" s="117"/>
      <c r="T125" s="117"/>
    </row>
    <row r="126" spans="3:20" x14ac:dyDescent="0.35">
      <c r="C126" s="22" t="s">
        <v>272</v>
      </c>
      <c r="D126" s="120">
        <v>2000</v>
      </c>
      <c r="E126" s="238"/>
      <c r="F126" s="337"/>
      <c r="G126" s="120"/>
      <c r="H126" s="118"/>
      <c r="I126" s="118">
        <v>0</v>
      </c>
      <c r="J126" s="325">
        <f t="shared" si="25"/>
        <v>0</v>
      </c>
      <c r="K126" s="118"/>
      <c r="L126" s="120"/>
      <c r="M126" s="29">
        <f t="shared" si="24"/>
        <v>0</v>
      </c>
      <c r="N126" s="117"/>
      <c r="O126" s="117"/>
      <c r="P126" s="117"/>
      <c r="Q126" s="117"/>
      <c r="R126" s="117"/>
      <c r="S126" s="117"/>
      <c r="T126" s="117"/>
    </row>
    <row r="127" spans="3:20" x14ac:dyDescent="0.35">
      <c r="C127" s="26" t="s">
        <v>273</v>
      </c>
      <c r="D127" s="35">
        <f t="shared" ref="D127:L127" si="26">SUM(D120:D126)</f>
        <v>32000</v>
      </c>
      <c r="E127" s="35">
        <f t="shared" si="26"/>
        <v>13823.33</v>
      </c>
      <c r="F127" s="35">
        <f>SUM(F120:F126)</f>
        <v>32000</v>
      </c>
      <c r="G127" s="35">
        <f>SUM(G120:G126)</f>
        <v>23176.67</v>
      </c>
      <c r="H127" s="35">
        <f t="shared" si="26"/>
        <v>24368.334659593285</v>
      </c>
      <c r="I127" s="35">
        <f>SUM(I120:I126)</f>
        <v>7919.9608793262269</v>
      </c>
      <c r="J127" s="327">
        <f t="shared" si="26"/>
        <v>22919.960879326227</v>
      </c>
      <c r="K127" s="35">
        <f t="shared" si="26"/>
        <v>15000</v>
      </c>
      <c r="L127" s="35">
        <f t="shared" si="26"/>
        <v>0</v>
      </c>
      <c r="M127" s="29">
        <f t="shared" si="24"/>
        <v>93384.926418245741</v>
      </c>
      <c r="N127" s="117"/>
      <c r="O127" s="117"/>
      <c r="P127" s="117"/>
      <c r="Q127" s="117"/>
      <c r="R127" s="117"/>
      <c r="S127" s="117"/>
      <c r="T127" s="117"/>
    </row>
    <row r="128" spans="3:20" s="25" customFormat="1" x14ac:dyDescent="0.35">
      <c r="C128" s="39"/>
      <c r="D128" s="42"/>
      <c r="E128" s="42"/>
      <c r="F128" s="328"/>
      <c r="G128" s="40"/>
      <c r="H128" s="40"/>
      <c r="I128" s="40"/>
      <c r="J128" s="343"/>
      <c r="K128" s="40"/>
      <c r="L128" s="40"/>
      <c r="M128" s="41"/>
      <c r="N128" s="121"/>
      <c r="O128" s="121"/>
      <c r="P128" s="121"/>
      <c r="Q128" s="121"/>
      <c r="R128" s="121"/>
      <c r="S128" s="121"/>
      <c r="T128" s="121"/>
    </row>
    <row r="129" spans="2:20" hidden="1" x14ac:dyDescent="0.35">
      <c r="B129" s="117"/>
      <c r="C129" s="451" t="s">
        <v>189</v>
      </c>
      <c r="D129" s="452"/>
      <c r="E129" s="452"/>
      <c r="F129" s="452"/>
      <c r="G129" s="452"/>
      <c r="H129" s="452"/>
      <c r="I129" s="452"/>
      <c r="J129" s="452"/>
      <c r="K129" s="452"/>
      <c r="L129" s="452"/>
      <c r="M129" s="453"/>
      <c r="N129" s="117"/>
      <c r="O129" s="117"/>
      <c r="P129" s="117"/>
      <c r="Q129" s="117"/>
      <c r="R129" s="117"/>
      <c r="S129" s="117"/>
      <c r="T129" s="117"/>
    </row>
    <row r="130" spans="2:20" ht="24" hidden="1" customHeight="1" thickBot="1" x14ac:dyDescent="0.4">
      <c r="B130" s="117"/>
      <c r="C130" s="32" t="s">
        <v>265</v>
      </c>
      <c r="D130" s="32"/>
      <c r="E130" s="32"/>
      <c r="F130" s="330"/>
      <c r="G130" s="33">
        <f>'1) Budget Table'!G129</f>
        <v>0</v>
      </c>
      <c r="H130" s="33"/>
      <c r="I130" s="33"/>
      <c r="J130" s="342"/>
      <c r="K130" s="33">
        <f>'1) Budget Table'!K129</f>
        <v>0</v>
      </c>
      <c r="L130" s="33">
        <f>'1) Budget Table'!L129</f>
        <v>0</v>
      </c>
      <c r="M130" s="34">
        <f t="shared" ref="M130:M138" si="27">SUM(G130:L130)</f>
        <v>0</v>
      </c>
      <c r="N130" s="117"/>
      <c r="O130" s="117"/>
      <c r="P130" s="117"/>
      <c r="Q130" s="117"/>
      <c r="R130" s="117"/>
      <c r="S130" s="117"/>
      <c r="T130" s="117"/>
    </row>
    <row r="131" spans="2:20" ht="15.75" hidden="1" customHeight="1" x14ac:dyDescent="0.35">
      <c r="B131" s="117"/>
      <c r="C131" s="30" t="s">
        <v>266</v>
      </c>
      <c r="D131" s="30"/>
      <c r="E131" s="30"/>
      <c r="F131" s="331"/>
      <c r="G131" s="118"/>
      <c r="H131" s="118"/>
      <c r="I131" s="118"/>
      <c r="J131" s="325"/>
      <c r="K131" s="119"/>
      <c r="L131" s="119"/>
      <c r="M131" s="31">
        <f t="shared" si="27"/>
        <v>0</v>
      </c>
      <c r="N131" s="117"/>
      <c r="O131" s="117"/>
      <c r="P131" s="117"/>
      <c r="Q131" s="117"/>
      <c r="R131" s="117"/>
      <c r="S131" s="117"/>
      <c r="T131" s="117"/>
    </row>
    <row r="132" spans="2:20" hidden="1" x14ac:dyDescent="0.35">
      <c r="B132" s="117"/>
      <c r="C132" s="22" t="s">
        <v>267</v>
      </c>
      <c r="D132" s="22"/>
      <c r="E132" s="22"/>
      <c r="F132" s="332"/>
      <c r="G132" s="120"/>
      <c r="H132" s="120"/>
      <c r="I132" s="120"/>
      <c r="J132" s="326"/>
      <c r="K132" s="101"/>
      <c r="L132" s="101"/>
      <c r="M132" s="29">
        <f t="shared" si="27"/>
        <v>0</v>
      </c>
      <c r="N132" s="117"/>
      <c r="O132" s="117"/>
      <c r="P132" s="117"/>
      <c r="Q132" s="117"/>
      <c r="R132" s="117"/>
      <c r="S132" s="117"/>
      <c r="T132" s="117"/>
    </row>
    <row r="133" spans="2:20" ht="15.75" hidden="1" customHeight="1" x14ac:dyDescent="0.35">
      <c r="B133" s="117"/>
      <c r="C133" s="22" t="s">
        <v>268</v>
      </c>
      <c r="D133" s="22"/>
      <c r="E133" s="22"/>
      <c r="F133" s="332"/>
      <c r="G133" s="120"/>
      <c r="H133" s="120"/>
      <c r="I133" s="120"/>
      <c r="J133" s="326"/>
      <c r="K133" s="120"/>
      <c r="L133" s="120"/>
      <c r="M133" s="29">
        <f t="shared" si="27"/>
        <v>0</v>
      </c>
      <c r="N133" s="117"/>
      <c r="O133" s="117"/>
      <c r="P133" s="117"/>
      <c r="Q133" s="117"/>
      <c r="R133" s="117"/>
      <c r="S133" s="117"/>
      <c r="T133" s="117"/>
    </row>
    <row r="134" spans="2:20" hidden="1" x14ac:dyDescent="0.35">
      <c r="B134" s="117"/>
      <c r="C134" s="23" t="s">
        <v>269</v>
      </c>
      <c r="D134" s="23"/>
      <c r="E134" s="23"/>
      <c r="F134" s="333"/>
      <c r="G134" s="120"/>
      <c r="H134" s="120"/>
      <c r="I134" s="120"/>
      <c r="J134" s="326"/>
      <c r="K134" s="120"/>
      <c r="L134" s="120"/>
      <c r="M134" s="29">
        <f t="shared" si="27"/>
        <v>0</v>
      </c>
      <c r="N134" s="117"/>
      <c r="O134" s="117"/>
      <c r="P134" s="117"/>
      <c r="Q134" s="117"/>
      <c r="R134" s="117"/>
      <c r="S134" s="117"/>
      <c r="T134" s="117"/>
    </row>
    <row r="135" spans="2:20" hidden="1" x14ac:dyDescent="0.35">
      <c r="B135" s="117"/>
      <c r="C135" s="22" t="s">
        <v>270</v>
      </c>
      <c r="D135" s="22"/>
      <c r="E135" s="22"/>
      <c r="F135" s="332"/>
      <c r="G135" s="120"/>
      <c r="H135" s="120"/>
      <c r="I135" s="120"/>
      <c r="J135" s="326"/>
      <c r="K135" s="120"/>
      <c r="L135" s="120"/>
      <c r="M135" s="29">
        <f t="shared" si="27"/>
        <v>0</v>
      </c>
      <c r="N135" s="117"/>
      <c r="O135" s="117"/>
      <c r="P135" s="117"/>
      <c r="Q135" s="117"/>
      <c r="R135" s="117"/>
      <c r="S135" s="117"/>
      <c r="T135" s="117"/>
    </row>
    <row r="136" spans="2:20" ht="15.75" hidden="1" customHeight="1" x14ac:dyDescent="0.35">
      <c r="B136" s="117"/>
      <c r="C136" s="22" t="s">
        <v>271</v>
      </c>
      <c r="D136" s="22"/>
      <c r="E136" s="22"/>
      <c r="F136" s="332"/>
      <c r="G136" s="120"/>
      <c r="H136" s="120"/>
      <c r="I136" s="120"/>
      <c r="J136" s="326"/>
      <c r="K136" s="120"/>
      <c r="L136" s="120"/>
      <c r="M136" s="29">
        <f t="shared" si="27"/>
        <v>0</v>
      </c>
      <c r="N136" s="117"/>
      <c r="O136" s="117"/>
      <c r="P136" s="117"/>
      <c r="Q136" s="117"/>
      <c r="R136" s="117"/>
      <c r="S136" s="117"/>
      <c r="T136" s="117"/>
    </row>
    <row r="137" spans="2:20" hidden="1" x14ac:dyDescent="0.35">
      <c r="B137" s="117"/>
      <c r="C137" s="22" t="s">
        <v>272</v>
      </c>
      <c r="D137" s="22"/>
      <c r="E137" s="22"/>
      <c r="F137" s="332"/>
      <c r="G137" s="120"/>
      <c r="H137" s="120"/>
      <c r="I137" s="120"/>
      <c r="J137" s="326"/>
      <c r="K137" s="120"/>
      <c r="L137" s="120"/>
      <c r="M137" s="29">
        <f t="shared" si="27"/>
        <v>0</v>
      </c>
      <c r="N137" s="117"/>
      <c r="O137" s="117"/>
      <c r="P137" s="117"/>
      <c r="Q137" s="117"/>
      <c r="R137" s="117"/>
      <c r="S137" s="117"/>
      <c r="T137" s="117"/>
    </row>
    <row r="138" spans="2:20" hidden="1" x14ac:dyDescent="0.35">
      <c r="B138" s="117"/>
      <c r="C138" s="26" t="s">
        <v>273</v>
      </c>
      <c r="D138" s="26"/>
      <c r="E138" s="26"/>
      <c r="F138" s="334"/>
      <c r="G138" s="35">
        <f>SUM(G131:G137)</f>
        <v>0</v>
      </c>
      <c r="H138" s="35"/>
      <c r="I138" s="35"/>
      <c r="J138" s="327"/>
      <c r="K138" s="35">
        <f>SUM(K131:K137)</f>
        <v>0</v>
      </c>
      <c r="L138" s="35">
        <f>SUM(L131:L137)</f>
        <v>0</v>
      </c>
      <c r="M138" s="29">
        <f t="shared" si="27"/>
        <v>0</v>
      </c>
      <c r="N138" s="117"/>
      <c r="O138" s="117"/>
      <c r="P138" s="117"/>
      <c r="Q138" s="117"/>
      <c r="R138" s="117"/>
      <c r="S138" s="117"/>
      <c r="T138" s="117"/>
    </row>
    <row r="139" spans="2:20" hidden="1" x14ac:dyDescent="0.35">
      <c r="B139" s="117"/>
      <c r="C139" s="117"/>
      <c r="D139" s="117"/>
      <c r="E139" s="117"/>
      <c r="G139" s="121"/>
      <c r="H139" s="121"/>
      <c r="I139" s="121"/>
      <c r="K139" s="121"/>
      <c r="L139" s="121"/>
      <c r="M139" s="117"/>
      <c r="N139" s="117"/>
      <c r="O139" s="117"/>
      <c r="P139" s="117"/>
      <c r="Q139" s="117"/>
      <c r="R139" s="117"/>
      <c r="S139" s="117"/>
      <c r="T139" s="117"/>
    </row>
    <row r="140" spans="2:20" hidden="1" x14ac:dyDescent="0.35">
      <c r="B140" s="451" t="s">
        <v>281</v>
      </c>
      <c r="C140" s="452"/>
      <c r="D140" s="452"/>
      <c r="E140" s="452"/>
      <c r="F140" s="452"/>
      <c r="G140" s="452"/>
      <c r="H140" s="452"/>
      <c r="I140" s="452"/>
      <c r="J140" s="452"/>
      <c r="K140" s="452"/>
      <c r="L140" s="452"/>
      <c r="M140" s="453"/>
      <c r="N140" s="117"/>
      <c r="O140" s="117"/>
      <c r="P140" s="117"/>
      <c r="Q140" s="117"/>
      <c r="R140" s="117"/>
      <c r="S140" s="117"/>
      <c r="T140" s="117"/>
    </row>
    <row r="141" spans="2:20" hidden="1" x14ac:dyDescent="0.35">
      <c r="B141" s="117"/>
      <c r="C141" s="451" t="s">
        <v>199</v>
      </c>
      <c r="D141" s="452"/>
      <c r="E141" s="452"/>
      <c r="F141" s="452"/>
      <c r="G141" s="452"/>
      <c r="H141" s="452"/>
      <c r="I141" s="452"/>
      <c r="J141" s="452"/>
      <c r="K141" s="452"/>
      <c r="L141" s="452"/>
      <c r="M141" s="453"/>
      <c r="N141" s="117"/>
      <c r="O141" s="117"/>
      <c r="P141" s="117"/>
      <c r="Q141" s="117"/>
      <c r="R141" s="117"/>
      <c r="S141" s="117"/>
      <c r="T141" s="117"/>
    </row>
    <row r="142" spans="2:20" ht="24" hidden="1" customHeight="1" thickBot="1" x14ac:dyDescent="0.4">
      <c r="B142" s="117"/>
      <c r="C142" s="32" t="s">
        <v>265</v>
      </c>
      <c r="D142" s="32"/>
      <c r="E142" s="32"/>
      <c r="F142" s="330"/>
      <c r="G142" s="33">
        <f>'1) Budget Table'!G141</f>
        <v>0</v>
      </c>
      <c r="H142" s="33"/>
      <c r="I142" s="33"/>
      <c r="J142" s="342"/>
      <c r="K142" s="33">
        <f>'1) Budget Table'!K141</f>
        <v>0</v>
      </c>
      <c r="L142" s="33">
        <f>'1) Budget Table'!L141</f>
        <v>0</v>
      </c>
      <c r="M142" s="34">
        <f>SUM(G142:L142)</f>
        <v>0</v>
      </c>
      <c r="N142" s="117"/>
      <c r="O142" s="117"/>
      <c r="P142" s="117"/>
      <c r="Q142" s="117"/>
      <c r="R142" s="117"/>
      <c r="S142" s="117"/>
      <c r="T142" s="117"/>
    </row>
    <row r="143" spans="2:20" ht="24.75" hidden="1" customHeight="1" x14ac:dyDescent="0.35">
      <c r="B143" s="117"/>
      <c r="C143" s="30" t="s">
        <v>266</v>
      </c>
      <c r="D143" s="30"/>
      <c r="E143" s="30"/>
      <c r="F143" s="331"/>
      <c r="G143" s="118"/>
      <c r="H143" s="118"/>
      <c r="I143" s="118"/>
      <c r="J143" s="325"/>
      <c r="K143" s="119"/>
      <c r="L143" s="119"/>
      <c r="M143" s="31">
        <f t="shared" ref="M143:M150" si="28">SUM(G143:L143)</f>
        <v>0</v>
      </c>
      <c r="N143" s="117"/>
      <c r="O143" s="117"/>
      <c r="P143" s="117"/>
      <c r="Q143" s="117"/>
      <c r="R143" s="117"/>
      <c r="S143" s="117"/>
      <c r="T143" s="117"/>
    </row>
    <row r="144" spans="2:20" ht="15.75" hidden="1" customHeight="1" x14ac:dyDescent="0.35">
      <c r="B144" s="117"/>
      <c r="C144" s="22" t="s">
        <v>267</v>
      </c>
      <c r="D144" s="22"/>
      <c r="E144" s="22"/>
      <c r="F144" s="332"/>
      <c r="G144" s="120"/>
      <c r="H144" s="120"/>
      <c r="I144" s="120"/>
      <c r="J144" s="326"/>
      <c r="K144" s="101"/>
      <c r="L144" s="101"/>
      <c r="M144" s="29">
        <f t="shared" si="28"/>
        <v>0</v>
      </c>
      <c r="N144" s="117"/>
      <c r="O144" s="117"/>
      <c r="P144" s="117"/>
      <c r="Q144" s="117"/>
      <c r="R144" s="117"/>
      <c r="S144" s="117"/>
      <c r="T144" s="117"/>
    </row>
    <row r="145" spans="2:13" ht="15.75" hidden="1" customHeight="1" x14ac:dyDescent="0.35">
      <c r="B145" s="117"/>
      <c r="C145" s="22" t="s">
        <v>268</v>
      </c>
      <c r="D145" s="22"/>
      <c r="E145" s="22"/>
      <c r="F145" s="332"/>
      <c r="G145" s="120"/>
      <c r="H145" s="120"/>
      <c r="I145" s="120"/>
      <c r="J145" s="326"/>
      <c r="K145" s="120"/>
      <c r="L145" s="120"/>
      <c r="M145" s="29">
        <f t="shared" si="28"/>
        <v>0</v>
      </c>
    </row>
    <row r="146" spans="2:13" ht="15.75" hidden="1" customHeight="1" x14ac:dyDescent="0.35">
      <c r="B146" s="117"/>
      <c r="C146" s="23" t="s">
        <v>269</v>
      </c>
      <c r="D146" s="23"/>
      <c r="E146" s="23"/>
      <c r="F146" s="333"/>
      <c r="G146" s="120"/>
      <c r="H146" s="120"/>
      <c r="I146" s="120"/>
      <c r="J146" s="326"/>
      <c r="K146" s="120"/>
      <c r="L146" s="120"/>
      <c r="M146" s="29">
        <f t="shared" si="28"/>
        <v>0</v>
      </c>
    </row>
    <row r="147" spans="2:13" ht="15.75" hidden="1" customHeight="1" x14ac:dyDescent="0.35">
      <c r="B147" s="117"/>
      <c r="C147" s="22" t="s">
        <v>270</v>
      </c>
      <c r="D147" s="22"/>
      <c r="E147" s="22"/>
      <c r="F147" s="332"/>
      <c r="G147" s="120"/>
      <c r="H147" s="120"/>
      <c r="I147" s="120"/>
      <c r="J147" s="326"/>
      <c r="K147" s="120"/>
      <c r="L147" s="120"/>
      <c r="M147" s="29">
        <f t="shared" si="28"/>
        <v>0</v>
      </c>
    </row>
    <row r="148" spans="2:13" ht="15.75" hidden="1" customHeight="1" x14ac:dyDescent="0.35">
      <c r="B148" s="117"/>
      <c r="C148" s="22" t="s">
        <v>271</v>
      </c>
      <c r="D148" s="22"/>
      <c r="E148" s="22"/>
      <c r="F148" s="332"/>
      <c r="G148" s="120"/>
      <c r="H148" s="120"/>
      <c r="I148" s="120"/>
      <c r="J148" s="326"/>
      <c r="K148" s="120"/>
      <c r="L148" s="120"/>
      <c r="M148" s="29">
        <f t="shared" si="28"/>
        <v>0</v>
      </c>
    </row>
    <row r="149" spans="2:13" ht="15.75" hidden="1" customHeight="1" x14ac:dyDescent="0.35">
      <c r="B149" s="117"/>
      <c r="C149" s="22" t="s">
        <v>272</v>
      </c>
      <c r="D149" s="22"/>
      <c r="E149" s="22"/>
      <c r="F149" s="332"/>
      <c r="G149" s="120"/>
      <c r="H149" s="120"/>
      <c r="I149" s="120"/>
      <c r="J149" s="326"/>
      <c r="K149" s="120"/>
      <c r="L149" s="120"/>
      <c r="M149" s="29">
        <f t="shared" si="28"/>
        <v>0</v>
      </c>
    </row>
    <row r="150" spans="2:13" ht="15.75" hidden="1" customHeight="1" x14ac:dyDescent="0.35">
      <c r="B150" s="117"/>
      <c r="C150" s="26" t="s">
        <v>273</v>
      </c>
      <c r="D150" s="26"/>
      <c r="E150" s="26"/>
      <c r="F150" s="334"/>
      <c r="G150" s="35">
        <f>SUM(G143:G149)</f>
        <v>0</v>
      </c>
      <c r="H150" s="35"/>
      <c r="I150" s="35"/>
      <c r="J150" s="327"/>
      <c r="K150" s="35">
        <f>SUM(K143:K149)</f>
        <v>0</v>
      </c>
      <c r="L150" s="35">
        <f>SUM(L143:L149)</f>
        <v>0</v>
      </c>
      <c r="M150" s="29">
        <f t="shared" si="28"/>
        <v>0</v>
      </c>
    </row>
    <row r="151" spans="2:13" s="25" customFormat="1" ht="15.75" hidden="1" customHeight="1" x14ac:dyDescent="0.35">
      <c r="B151" s="121"/>
      <c r="C151" s="39"/>
      <c r="D151" s="42"/>
      <c r="E151" s="42"/>
      <c r="F151" s="328"/>
      <c r="G151" s="40"/>
      <c r="H151" s="40"/>
      <c r="I151" s="40"/>
      <c r="J151" s="343"/>
      <c r="K151" s="40"/>
      <c r="L151" s="40"/>
      <c r="M151" s="41"/>
    </row>
    <row r="152" spans="2:13" ht="15.75" hidden="1" customHeight="1" x14ac:dyDescent="0.35">
      <c r="B152" s="117"/>
      <c r="C152" s="451" t="s">
        <v>208</v>
      </c>
      <c r="D152" s="452"/>
      <c r="E152" s="452"/>
      <c r="F152" s="452"/>
      <c r="G152" s="452"/>
      <c r="H152" s="452"/>
      <c r="I152" s="452"/>
      <c r="J152" s="452"/>
      <c r="K152" s="452"/>
      <c r="L152" s="452"/>
      <c r="M152" s="453"/>
    </row>
    <row r="153" spans="2:13" ht="21" hidden="1" customHeight="1" thickBot="1" x14ac:dyDescent="0.4">
      <c r="B153" s="117"/>
      <c r="C153" s="32" t="s">
        <v>265</v>
      </c>
      <c r="D153" s="32"/>
      <c r="E153" s="32"/>
      <c r="F153" s="330"/>
      <c r="G153" s="33">
        <f>'1) Budget Table'!G151</f>
        <v>0</v>
      </c>
      <c r="H153" s="33"/>
      <c r="I153" s="33"/>
      <c r="J153" s="342"/>
      <c r="K153" s="33">
        <f>'1) Budget Table'!K151</f>
        <v>0</v>
      </c>
      <c r="L153" s="33">
        <f>'1) Budget Table'!L151</f>
        <v>0</v>
      </c>
      <c r="M153" s="34">
        <f t="shared" ref="M153:M161" si="29">SUM(G153:L153)</f>
        <v>0</v>
      </c>
    </row>
    <row r="154" spans="2:13" ht="15.75" hidden="1" customHeight="1" x14ac:dyDescent="0.35">
      <c r="B154" s="117"/>
      <c r="C154" s="30" t="s">
        <v>266</v>
      </c>
      <c r="D154" s="30"/>
      <c r="E154" s="30"/>
      <c r="F154" s="331"/>
      <c r="G154" s="118"/>
      <c r="H154" s="118"/>
      <c r="I154" s="118"/>
      <c r="J154" s="325"/>
      <c r="K154" s="119"/>
      <c r="L154" s="119"/>
      <c r="M154" s="31">
        <f t="shared" si="29"/>
        <v>0</v>
      </c>
    </row>
    <row r="155" spans="2:13" ht="15.75" hidden="1" customHeight="1" x14ac:dyDescent="0.35">
      <c r="B155" s="117"/>
      <c r="C155" s="22" t="s">
        <v>267</v>
      </c>
      <c r="D155" s="22"/>
      <c r="E155" s="22"/>
      <c r="F155" s="332"/>
      <c r="G155" s="120"/>
      <c r="H155" s="120"/>
      <c r="I155" s="120"/>
      <c r="J155" s="326"/>
      <c r="K155" s="101"/>
      <c r="L155" s="101"/>
      <c r="M155" s="29">
        <f t="shared" si="29"/>
        <v>0</v>
      </c>
    </row>
    <row r="156" spans="2:13" ht="15.75" hidden="1" customHeight="1" x14ac:dyDescent="0.35">
      <c r="B156" s="117"/>
      <c r="C156" s="22" t="s">
        <v>268</v>
      </c>
      <c r="D156" s="22"/>
      <c r="E156" s="22"/>
      <c r="F156" s="332"/>
      <c r="G156" s="120"/>
      <c r="H156" s="120"/>
      <c r="I156" s="120"/>
      <c r="J156" s="326"/>
      <c r="K156" s="120"/>
      <c r="L156" s="120"/>
      <c r="M156" s="29">
        <f t="shared" si="29"/>
        <v>0</v>
      </c>
    </row>
    <row r="157" spans="2:13" ht="15.75" hidden="1" customHeight="1" x14ac:dyDescent="0.35">
      <c r="B157" s="117"/>
      <c r="C157" s="23" t="s">
        <v>269</v>
      </c>
      <c r="D157" s="23"/>
      <c r="E157" s="23"/>
      <c r="F157" s="333"/>
      <c r="G157" s="120"/>
      <c r="H157" s="120"/>
      <c r="I157" s="120"/>
      <c r="J157" s="326"/>
      <c r="K157" s="120"/>
      <c r="L157" s="120"/>
      <c r="M157" s="29">
        <f t="shared" si="29"/>
        <v>0</v>
      </c>
    </row>
    <row r="158" spans="2:13" ht="15.75" hidden="1" customHeight="1" x14ac:dyDescent="0.35">
      <c r="B158" s="117"/>
      <c r="C158" s="22" t="s">
        <v>270</v>
      </c>
      <c r="D158" s="22"/>
      <c r="E158" s="22"/>
      <c r="F158" s="332"/>
      <c r="G158" s="120"/>
      <c r="H158" s="120"/>
      <c r="I158" s="120"/>
      <c r="J158" s="326"/>
      <c r="K158" s="120"/>
      <c r="L158" s="120"/>
      <c r="M158" s="29">
        <f t="shared" si="29"/>
        <v>0</v>
      </c>
    </row>
    <row r="159" spans="2:13" ht="15.75" hidden="1" customHeight="1" x14ac:dyDescent="0.35">
      <c r="B159" s="117"/>
      <c r="C159" s="22" t="s">
        <v>271</v>
      </c>
      <c r="D159" s="22"/>
      <c r="E159" s="22"/>
      <c r="F159" s="332"/>
      <c r="G159" s="120"/>
      <c r="H159" s="120"/>
      <c r="I159" s="120"/>
      <c r="J159" s="326"/>
      <c r="K159" s="120"/>
      <c r="L159" s="120"/>
      <c r="M159" s="29">
        <f t="shared" si="29"/>
        <v>0</v>
      </c>
    </row>
    <row r="160" spans="2:13" ht="15.75" hidden="1" customHeight="1" x14ac:dyDescent="0.35">
      <c r="B160" s="117"/>
      <c r="C160" s="22" t="s">
        <v>272</v>
      </c>
      <c r="D160" s="22"/>
      <c r="E160" s="22"/>
      <c r="F160" s="332"/>
      <c r="G160" s="120"/>
      <c r="H160" s="120"/>
      <c r="I160" s="120"/>
      <c r="J160" s="326"/>
      <c r="K160" s="120"/>
      <c r="L160" s="120"/>
      <c r="M160" s="29">
        <f t="shared" si="29"/>
        <v>0</v>
      </c>
    </row>
    <row r="161" spans="3:13" ht="15.75" hidden="1" customHeight="1" x14ac:dyDescent="0.35">
      <c r="C161" s="26" t="s">
        <v>273</v>
      </c>
      <c r="D161" s="26"/>
      <c r="E161" s="26"/>
      <c r="F161" s="334"/>
      <c r="G161" s="35">
        <f>SUM(G154:G160)</f>
        <v>0</v>
      </c>
      <c r="H161" s="35"/>
      <c r="I161" s="35"/>
      <c r="J161" s="327"/>
      <c r="K161" s="35">
        <f>SUM(K154:K160)</f>
        <v>0</v>
      </c>
      <c r="L161" s="35">
        <f>SUM(L154:L160)</f>
        <v>0</v>
      </c>
      <c r="M161" s="29">
        <f t="shared" si="29"/>
        <v>0</v>
      </c>
    </row>
    <row r="162" spans="3:13" s="25" customFormat="1" ht="15.75" hidden="1" customHeight="1" x14ac:dyDescent="0.35">
      <c r="C162" s="39"/>
      <c r="D162" s="42"/>
      <c r="E162" s="42"/>
      <c r="F162" s="328"/>
      <c r="G162" s="40"/>
      <c r="H162" s="40"/>
      <c r="I162" s="40"/>
      <c r="J162" s="343"/>
      <c r="K162" s="40"/>
      <c r="L162" s="40"/>
      <c r="M162" s="41"/>
    </row>
    <row r="163" spans="3:13" ht="15.75" hidden="1" customHeight="1" x14ac:dyDescent="0.35">
      <c r="C163" s="451" t="s">
        <v>217</v>
      </c>
      <c r="D163" s="452"/>
      <c r="E163" s="452"/>
      <c r="F163" s="452"/>
      <c r="G163" s="452"/>
      <c r="H163" s="452"/>
      <c r="I163" s="452"/>
      <c r="J163" s="452"/>
      <c r="K163" s="452"/>
      <c r="L163" s="452"/>
      <c r="M163" s="453"/>
    </row>
    <row r="164" spans="3:13" ht="19.5" hidden="1" customHeight="1" thickBot="1" x14ac:dyDescent="0.4">
      <c r="C164" s="32" t="s">
        <v>265</v>
      </c>
      <c r="D164" s="32"/>
      <c r="E164" s="32"/>
      <c r="F164" s="330"/>
      <c r="G164" s="33">
        <f>'1) Budget Table'!G161</f>
        <v>0</v>
      </c>
      <c r="H164" s="33"/>
      <c r="I164" s="33"/>
      <c r="J164" s="342"/>
      <c r="K164" s="33">
        <f>'1) Budget Table'!K161</f>
        <v>0</v>
      </c>
      <c r="L164" s="33">
        <f>'1) Budget Table'!L161</f>
        <v>0</v>
      </c>
      <c r="M164" s="34">
        <f t="shared" ref="M164:M172" si="30">SUM(G164:L164)</f>
        <v>0</v>
      </c>
    </row>
    <row r="165" spans="3:13" ht="15.75" hidden="1" customHeight="1" x14ac:dyDescent="0.35">
      <c r="C165" s="30" t="s">
        <v>266</v>
      </c>
      <c r="D165" s="30"/>
      <c r="E165" s="30"/>
      <c r="F165" s="331"/>
      <c r="G165" s="118"/>
      <c r="H165" s="118"/>
      <c r="I165" s="118"/>
      <c r="J165" s="325"/>
      <c r="K165" s="119"/>
      <c r="L165" s="119"/>
      <c r="M165" s="31">
        <f t="shared" si="30"/>
        <v>0</v>
      </c>
    </row>
    <row r="166" spans="3:13" ht="15.75" hidden="1" customHeight="1" x14ac:dyDescent="0.35">
      <c r="C166" s="22" t="s">
        <v>267</v>
      </c>
      <c r="D166" s="22"/>
      <c r="E166" s="22"/>
      <c r="F166" s="332"/>
      <c r="G166" s="120"/>
      <c r="H166" s="120"/>
      <c r="I166" s="120"/>
      <c r="J166" s="326"/>
      <c r="K166" s="101"/>
      <c r="L166" s="101"/>
      <c r="M166" s="29">
        <f t="shared" si="30"/>
        <v>0</v>
      </c>
    </row>
    <row r="167" spans="3:13" ht="15.75" hidden="1" customHeight="1" x14ac:dyDescent="0.35">
      <c r="C167" s="22" t="s">
        <v>268</v>
      </c>
      <c r="D167" s="22"/>
      <c r="E167" s="22"/>
      <c r="F167" s="332"/>
      <c r="G167" s="120"/>
      <c r="H167" s="120"/>
      <c r="I167" s="120"/>
      <c r="J167" s="326"/>
      <c r="K167" s="120"/>
      <c r="L167" s="120"/>
      <c r="M167" s="29">
        <f t="shared" si="30"/>
        <v>0</v>
      </c>
    </row>
    <row r="168" spans="3:13" ht="15.75" hidden="1" customHeight="1" x14ac:dyDescent="0.35">
      <c r="C168" s="23" t="s">
        <v>269</v>
      </c>
      <c r="D168" s="23"/>
      <c r="E168" s="23"/>
      <c r="F168" s="333"/>
      <c r="G168" s="120"/>
      <c r="H168" s="120"/>
      <c r="I168" s="120"/>
      <c r="J168" s="326"/>
      <c r="K168" s="120"/>
      <c r="L168" s="120"/>
      <c r="M168" s="29">
        <f t="shared" si="30"/>
        <v>0</v>
      </c>
    </row>
    <row r="169" spans="3:13" ht="15.75" hidden="1" customHeight="1" x14ac:dyDescent="0.35">
      <c r="C169" s="22" t="s">
        <v>270</v>
      </c>
      <c r="D169" s="22"/>
      <c r="E169" s="22"/>
      <c r="F169" s="332"/>
      <c r="G169" s="120"/>
      <c r="H169" s="120"/>
      <c r="I169" s="120"/>
      <c r="J169" s="326"/>
      <c r="K169" s="120"/>
      <c r="L169" s="120"/>
      <c r="M169" s="29">
        <f t="shared" si="30"/>
        <v>0</v>
      </c>
    </row>
    <row r="170" spans="3:13" ht="15.75" hidden="1" customHeight="1" x14ac:dyDescent="0.35">
      <c r="C170" s="22" t="s">
        <v>271</v>
      </c>
      <c r="D170" s="22"/>
      <c r="E170" s="22"/>
      <c r="F170" s="332"/>
      <c r="G170" s="120"/>
      <c r="H170" s="120"/>
      <c r="I170" s="120"/>
      <c r="J170" s="326"/>
      <c r="K170" s="120"/>
      <c r="L170" s="120"/>
      <c r="M170" s="29">
        <f t="shared" si="30"/>
        <v>0</v>
      </c>
    </row>
    <row r="171" spans="3:13" ht="15.75" hidden="1" customHeight="1" x14ac:dyDescent="0.35">
      <c r="C171" s="22" t="s">
        <v>272</v>
      </c>
      <c r="D171" s="22"/>
      <c r="E171" s="22"/>
      <c r="F171" s="332"/>
      <c r="G171" s="120"/>
      <c r="H171" s="120"/>
      <c r="I171" s="120"/>
      <c r="J171" s="326"/>
      <c r="K171" s="120"/>
      <c r="L171" s="120"/>
      <c r="M171" s="29">
        <f t="shared" si="30"/>
        <v>0</v>
      </c>
    </row>
    <row r="172" spans="3:13" ht="15.75" hidden="1" customHeight="1" x14ac:dyDescent="0.35">
      <c r="C172" s="26" t="s">
        <v>273</v>
      </c>
      <c r="D172" s="26"/>
      <c r="E172" s="26"/>
      <c r="F172" s="334"/>
      <c r="G172" s="35">
        <f>SUM(G165:G171)</f>
        <v>0</v>
      </c>
      <c r="H172" s="35"/>
      <c r="I172" s="35"/>
      <c r="J172" s="327"/>
      <c r="K172" s="35">
        <f>SUM(K165:K171)</f>
        <v>0</v>
      </c>
      <c r="L172" s="35">
        <f>SUM(L165:L171)</f>
        <v>0</v>
      </c>
      <c r="M172" s="29">
        <f t="shared" si="30"/>
        <v>0</v>
      </c>
    </row>
    <row r="173" spans="3:13" s="25" customFormat="1" ht="15.75" hidden="1" customHeight="1" x14ac:dyDescent="0.35">
      <c r="C173" s="39"/>
      <c r="D173" s="42"/>
      <c r="E173" s="42"/>
      <c r="F173" s="328"/>
      <c r="G173" s="40"/>
      <c r="H173" s="40"/>
      <c r="I173" s="40"/>
      <c r="J173" s="343"/>
      <c r="K173" s="40"/>
      <c r="L173" s="40"/>
      <c r="M173" s="41"/>
    </row>
    <row r="174" spans="3:13" ht="15.75" hidden="1" customHeight="1" x14ac:dyDescent="0.35">
      <c r="C174" s="451" t="s">
        <v>226</v>
      </c>
      <c r="D174" s="452"/>
      <c r="E174" s="452"/>
      <c r="F174" s="452"/>
      <c r="G174" s="452"/>
      <c r="H174" s="452"/>
      <c r="I174" s="452"/>
      <c r="J174" s="452"/>
      <c r="K174" s="452"/>
      <c r="L174" s="452"/>
      <c r="M174" s="453"/>
    </row>
    <row r="175" spans="3:13" ht="22.5" hidden="1" customHeight="1" thickBot="1" x14ac:dyDescent="0.4">
      <c r="C175" s="32" t="s">
        <v>265</v>
      </c>
      <c r="D175" s="32"/>
      <c r="E175" s="32"/>
      <c r="F175" s="330"/>
      <c r="G175" s="33">
        <f>'1) Budget Table'!G171</f>
        <v>0</v>
      </c>
      <c r="H175" s="33"/>
      <c r="I175" s="33"/>
      <c r="J175" s="342"/>
      <c r="K175" s="33">
        <f>'1) Budget Table'!K171</f>
        <v>0</v>
      </c>
      <c r="L175" s="33">
        <f>'1) Budget Table'!L171</f>
        <v>0</v>
      </c>
      <c r="M175" s="34">
        <f t="shared" ref="M175:M183" si="31">SUM(G175:L175)</f>
        <v>0</v>
      </c>
    </row>
    <row r="176" spans="3:13" ht="15.75" hidden="1" customHeight="1" x14ac:dyDescent="0.35">
      <c r="C176" s="30" t="s">
        <v>266</v>
      </c>
      <c r="D176" s="30"/>
      <c r="E176" s="30"/>
      <c r="F176" s="331"/>
      <c r="G176" s="118"/>
      <c r="H176" s="118"/>
      <c r="I176" s="118"/>
      <c r="J176" s="325"/>
      <c r="K176" s="119"/>
      <c r="L176" s="119"/>
      <c r="M176" s="31">
        <f t="shared" si="31"/>
        <v>0</v>
      </c>
    </row>
    <row r="177" spans="3:13" ht="15.75" hidden="1" customHeight="1" x14ac:dyDescent="0.35">
      <c r="C177" s="22" t="s">
        <v>267</v>
      </c>
      <c r="D177" s="22"/>
      <c r="E177" s="22"/>
      <c r="F177" s="332"/>
      <c r="G177" s="120"/>
      <c r="H177" s="120"/>
      <c r="I177" s="120"/>
      <c r="J177" s="326"/>
      <c r="K177" s="101"/>
      <c r="L177" s="101"/>
      <c r="M177" s="29">
        <f t="shared" si="31"/>
        <v>0</v>
      </c>
    </row>
    <row r="178" spans="3:13" ht="15.75" hidden="1" customHeight="1" x14ac:dyDescent="0.35">
      <c r="C178" s="22" t="s">
        <v>268</v>
      </c>
      <c r="D178" s="22"/>
      <c r="E178" s="22"/>
      <c r="F178" s="332"/>
      <c r="G178" s="120"/>
      <c r="H178" s="120"/>
      <c r="I178" s="120"/>
      <c r="J178" s="326"/>
      <c r="K178" s="120"/>
      <c r="L178" s="120"/>
      <c r="M178" s="29">
        <f t="shared" si="31"/>
        <v>0</v>
      </c>
    </row>
    <row r="179" spans="3:13" ht="15.75" hidden="1" customHeight="1" x14ac:dyDescent="0.35">
      <c r="C179" s="23" t="s">
        <v>269</v>
      </c>
      <c r="D179" s="23"/>
      <c r="E179" s="23"/>
      <c r="F179" s="333"/>
      <c r="G179" s="120"/>
      <c r="H179" s="120"/>
      <c r="I179" s="120"/>
      <c r="J179" s="326"/>
      <c r="K179" s="120"/>
      <c r="L179" s="120"/>
      <c r="M179" s="29">
        <f t="shared" si="31"/>
        <v>0</v>
      </c>
    </row>
    <row r="180" spans="3:13" ht="15.75" hidden="1" customHeight="1" x14ac:dyDescent="0.35">
      <c r="C180" s="22" t="s">
        <v>270</v>
      </c>
      <c r="D180" s="22"/>
      <c r="E180" s="22"/>
      <c r="F180" s="332"/>
      <c r="G180" s="120"/>
      <c r="H180" s="120"/>
      <c r="I180" s="120"/>
      <c r="J180" s="326"/>
      <c r="K180" s="120"/>
      <c r="L180" s="120"/>
      <c r="M180" s="29">
        <f t="shared" si="31"/>
        <v>0</v>
      </c>
    </row>
    <row r="181" spans="3:13" ht="15.75" hidden="1" customHeight="1" x14ac:dyDescent="0.35">
      <c r="C181" s="22" t="s">
        <v>271</v>
      </c>
      <c r="D181" s="22"/>
      <c r="E181" s="22"/>
      <c r="F181" s="332"/>
      <c r="G181" s="120"/>
      <c r="H181" s="120"/>
      <c r="I181" s="120"/>
      <c r="J181" s="326"/>
      <c r="K181" s="120"/>
      <c r="L181" s="120"/>
      <c r="M181" s="29">
        <f t="shared" si="31"/>
        <v>0</v>
      </c>
    </row>
    <row r="182" spans="3:13" ht="15.75" hidden="1" customHeight="1" x14ac:dyDescent="0.35">
      <c r="C182" s="22" t="s">
        <v>272</v>
      </c>
      <c r="D182" s="22"/>
      <c r="E182" s="22"/>
      <c r="F182" s="332"/>
      <c r="G182" s="120"/>
      <c r="H182" s="120"/>
      <c r="I182" s="120"/>
      <c r="J182" s="326"/>
      <c r="K182" s="120"/>
      <c r="L182" s="120"/>
      <c r="M182" s="29">
        <f t="shared" si="31"/>
        <v>0</v>
      </c>
    </row>
    <row r="183" spans="3:13" ht="15.75" hidden="1" customHeight="1" x14ac:dyDescent="0.35">
      <c r="C183" s="26" t="s">
        <v>273</v>
      </c>
      <c r="D183" s="26"/>
      <c r="E183" s="26"/>
      <c r="F183" s="334"/>
      <c r="G183" s="35">
        <f>SUM(G176:G182)</f>
        <v>0</v>
      </c>
      <c r="H183" s="35"/>
      <c r="I183" s="35"/>
      <c r="J183" s="327"/>
      <c r="K183" s="35">
        <f>SUM(K176:K182)</f>
        <v>0</v>
      </c>
      <c r="L183" s="35">
        <f>SUM(L176:L182)</f>
        <v>0</v>
      </c>
      <c r="M183" s="29">
        <f t="shared" si="31"/>
        <v>0</v>
      </c>
    </row>
    <row r="184" spans="3:13" ht="15.75" customHeight="1" x14ac:dyDescent="0.35">
      <c r="C184" s="117"/>
      <c r="D184" s="117"/>
      <c r="E184" s="117"/>
      <c r="F184" s="346">
        <f>+F119-F127</f>
        <v>0</v>
      </c>
      <c r="G184" s="346"/>
      <c r="H184" s="121"/>
      <c r="I184" s="121"/>
      <c r="K184" s="121"/>
      <c r="L184" s="121"/>
      <c r="M184" s="117"/>
    </row>
    <row r="185" spans="3:13" ht="15.75" customHeight="1" x14ac:dyDescent="0.35">
      <c r="C185" s="451" t="s">
        <v>282</v>
      </c>
      <c r="D185" s="452"/>
      <c r="E185" s="452"/>
      <c r="F185" s="452"/>
      <c r="G185" s="452"/>
      <c r="H185" s="452"/>
      <c r="I185" s="452"/>
      <c r="J185" s="452"/>
      <c r="K185" s="452"/>
      <c r="L185" s="452"/>
      <c r="M185" s="453"/>
    </row>
    <row r="186" spans="3:13" ht="19.5" customHeight="1" thickBot="1" x14ac:dyDescent="0.4">
      <c r="C186" s="32" t="s">
        <v>283</v>
      </c>
      <c r="D186" s="241">
        <f>+'1) Budget Table'!D178</f>
        <v>501000</v>
      </c>
      <c r="E186" s="241">
        <f>+'1) Budget Table'!E178</f>
        <v>240412.66999999998</v>
      </c>
      <c r="F186" s="324">
        <f>+'1) Budget Table'!F178</f>
        <v>501000</v>
      </c>
      <c r="G186" s="33">
        <f>'1) Budget Table'!G178</f>
        <v>260587.33000000002</v>
      </c>
      <c r="H186" s="33">
        <f>+'1) Budget Table'!H178</f>
        <v>67625.656639266352</v>
      </c>
      <c r="I186" s="33">
        <f>+'1) Budget Table'!I178</f>
        <v>40443.97</v>
      </c>
      <c r="J186" s="342">
        <f>+'1) Budget Table'!J178</f>
        <v>76320.934541352151</v>
      </c>
      <c r="K186" s="33">
        <f>'1) Budget Table'!K178</f>
        <v>35876.964541352136</v>
      </c>
      <c r="L186" s="33">
        <f>'1) Budget Table'!L178</f>
        <v>0</v>
      </c>
      <c r="M186" s="34">
        <f t="shared" ref="M186:M194" si="32">SUM(G186:L186)</f>
        <v>480854.85572197061</v>
      </c>
    </row>
    <row r="187" spans="3:13" ht="15.75" customHeight="1" x14ac:dyDescent="0.35">
      <c r="C187" s="30" t="s">
        <v>266</v>
      </c>
      <c r="D187" s="109">
        <v>251000</v>
      </c>
      <c r="E187" s="109">
        <f>+'1) Budget Table'!E174</f>
        <v>125887.29</v>
      </c>
      <c r="F187" s="388">
        <v>251000</v>
      </c>
      <c r="G187" s="160">
        <v>125113</v>
      </c>
      <c r="H187" s="110">
        <v>20656.43</v>
      </c>
      <c r="I187" s="110">
        <v>15776.240000000002</v>
      </c>
      <c r="J187" s="325">
        <f t="shared" ref="J187:J193" si="33">K187+I187</f>
        <v>23636.939742714643</v>
      </c>
      <c r="K187" s="110">
        <f>+'[2]2) By Category'!$E$187</f>
        <v>7860.6997427146416</v>
      </c>
      <c r="L187" s="119"/>
      <c r="M187" s="31">
        <f t="shared" si="32"/>
        <v>193043.30948542926</v>
      </c>
    </row>
    <row r="188" spans="3:13" ht="15.75" customHeight="1" x14ac:dyDescent="0.35">
      <c r="C188" s="22" t="s">
        <v>267</v>
      </c>
      <c r="D188" s="120">
        <v>30000</v>
      </c>
      <c r="E188" s="120">
        <v>10000</v>
      </c>
      <c r="F188" s="326">
        <f>+E188+G188</f>
        <v>30000</v>
      </c>
      <c r="G188" s="120">
        <v>20000</v>
      </c>
      <c r="H188" s="101">
        <v>7076.92</v>
      </c>
      <c r="I188" s="101">
        <v>674.74</v>
      </c>
      <c r="J188" s="325">
        <f t="shared" si="33"/>
        <v>674.74</v>
      </c>
      <c r="K188" s="101"/>
      <c r="L188" s="101"/>
      <c r="M188" s="29">
        <f t="shared" si="32"/>
        <v>28426.400000000001</v>
      </c>
    </row>
    <row r="189" spans="3:13" ht="15.75" customHeight="1" x14ac:dyDescent="0.35">
      <c r="C189" s="22" t="s">
        <v>268</v>
      </c>
      <c r="D189" s="120">
        <v>10000</v>
      </c>
      <c r="E189" s="120">
        <v>0</v>
      </c>
      <c r="F189" s="326">
        <v>9000</v>
      </c>
      <c r="G189" s="120">
        <f>3343+2337.62-0.29</f>
        <v>5680.33</v>
      </c>
      <c r="H189" s="120">
        <v>1538.46</v>
      </c>
      <c r="I189" s="120">
        <v>1106.2100000000005</v>
      </c>
      <c r="J189" s="325">
        <f t="shared" si="33"/>
        <v>1106.2100000000005</v>
      </c>
      <c r="K189" s="120"/>
      <c r="L189" s="120"/>
      <c r="M189" s="29">
        <f t="shared" si="32"/>
        <v>9431.2100000000009</v>
      </c>
    </row>
    <row r="190" spans="3:13" ht="15.75" customHeight="1" x14ac:dyDescent="0.35">
      <c r="C190" s="23" t="s">
        <v>269</v>
      </c>
      <c r="D190" s="120">
        <v>175000</v>
      </c>
      <c r="E190" s="120">
        <v>61525</v>
      </c>
      <c r="F190" s="326">
        <v>171000</v>
      </c>
      <c r="G190" s="120">
        <f>175000-61525+1657-5700+387-25</f>
        <v>109794</v>
      </c>
      <c r="H190" s="110">
        <v>0</v>
      </c>
      <c r="I190" s="110">
        <v>0</v>
      </c>
      <c r="J190" s="325">
        <f t="shared" si="33"/>
        <v>14628.36710632981</v>
      </c>
      <c r="K190" s="110">
        <f>+'[2]2) By Category'!$E$190</f>
        <v>14628.36710632981</v>
      </c>
      <c r="L190" s="120"/>
      <c r="M190" s="29">
        <f t="shared" si="32"/>
        <v>139050.73421265962</v>
      </c>
    </row>
    <row r="191" spans="3:13" ht="15.75" customHeight="1" x14ac:dyDescent="0.35">
      <c r="C191" s="22" t="s">
        <v>270</v>
      </c>
      <c r="D191" s="120">
        <v>35000</v>
      </c>
      <c r="E191" s="120">
        <v>40000</v>
      </c>
      <c r="F191" s="326">
        <v>40000</v>
      </c>
      <c r="G191" s="120"/>
      <c r="H191" s="110">
        <v>11961.54</v>
      </c>
      <c r="I191" s="110">
        <v>9884.85</v>
      </c>
      <c r="J191" s="325">
        <f t="shared" si="33"/>
        <v>9884.85</v>
      </c>
      <c r="K191" s="110"/>
      <c r="L191" s="120"/>
      <c r="M191" s="29">
        <f t="shared" si="32"/>
        <v>31731.239999999998</v>
      </c>
    </row>
    <row r="192" spans="3:13" ht="15.75" customHeight="1" x14ac:dyDescent="0.35">
      <c r="C192" s="22" t="s">
        <v>271</v>
      </c>
      <c r="D192" s="120"/>
      <c r="E192" s="120"/>
      <c r="F192" s="326"/>
      <c r="G192" s="120"/>
      <c r="H192" s="120"/>
      <c r="I192" s="120">
        <v>0</v>
      </c>
      <c r="J192" s="325">
        <f t="shared" si="33"/>
        <v>0</v>
      </c>
      <c r="K192" s="120"/>
      <c r="L192" s="120"/>
      <c r="M192" s="29">
        <f t="shared" si="32"/>
        <v>0</v>
      </c>
    </row>
    <row r="193" spans="3:19" ht="15.75" customHeight="1" x14ac:dyDescent="0.35">
      <c r="C193" s="22" t="s">
        <v>272</v>
      </c>
      <c r="D193" s="120"/>
      <c r="E193" s="238"/>
      <c r="F193" s="337"/>
      <c r="G193" s="120"/>
      <c r="H193" s="120">
        <v>26392.31</v>
      </c>
      <c r="I193" s="120">
        <v>13004.41</v>
      </c>
      <c r="J193" s="325">
        <f t="shared" si="33"/>
        <v>26392.307692307688</v>
      </c>
      <c r="K193" s="120">
        <f>+'[2]2) By Category'!$E$193</f>
        <v>13387.897692307688</v>
      </c>
      <c r="L193" s="120"/>
      <c r="M193" s="29">
        <f t="shared" si="32"/>
        <v>79176.925384615373</v>
      </c>
      <c r="N193" s="117"/>
      <c r="O193" s="117"/>
      <c r="P193" s="117"/>
      <c r="Q193" s="117"/>
      <c r="R193" s="117"/>
      <c r="S193" s="117"/>
    </row>
    <row r="194" spans="3:19" ht="15.75" customHeight="1" x14ac:dyDescent="0.35">
      <c r="C194" s="26" t="s">
        <v>273</v>
      </c>
      <c r="D194" s="35">
        <f t="shared" ref="D194:L194" si="34">SUM(D187:D193)</f>
        <v>501000</v>
      </c>
      <c r="E194" s="35">
        <f>SUM(E187:E193)</f>
        <v>237412.28999999998</v>
      </c>
      <c r="F194" s="327">
        <f>SUM(F187:F193)</f>
        <v>501000</v>
      </c>
      <c r="G194" s="35">
        <f t="shared" si="34"/>
        <v>260587.33</v>
      </c>
      <c r="H194" s="35">
        <f t="shared" si="34"/>
        <v>67625.66</v>
      </c>
      <c r="I194" s="35">
        <f t="shared" si="34"/>
        <v>40446.449999999997</v>
      </c>
      <c r="J194" s="327">
        <f t="shared" si="34"/>
        <v>76323.414541352133</v>
      </c>
      <c r="K194" s="35">
        <f t="shared" si="34"/>
        <v>35876.964541352136</v>
      </c>
      <c r="L194" s="35">
        <f t="shared" si="34"/>
        <v>0</v>
      </c>
      <c r="M194" s="29">
        <f t="shared" si="32"/>
        <v>480859.81908270426</v>
      </c>
      <c r="N194" s="247"/>
      <c r="O194" s="117"/>
      <c r="P194" s="117"/>
      <c r="Q194" s="117"/>
      <c r="R194" s="117"/>
      <c r="S194" s="117"/>
    </row>
    <row r="195" spans="3:19" ht="15.75" customHeight="1" thickBot="1" x14ac:dyDescent="0.4">
      <c r="C195" s="117"/>
      <c r="D195" s="117"/>
      <c r="E195" s="117"/>
      <c r="F195" s="346"/>
      <c r="G195" s="345"/>
      <c r="H195" s="121"/>
      <c r="I195" s="121"/>
      <c r="K195" s="121"/>
      <c r="L195" s="121"/>
      <c r="M195" s="117"/>
      <c r="N195" s="117"/>
      <c r="O195" s="117"/>
      <c r="P195" s="117"/>
      <c r="Q195" s="117"/>
      <c r="R195" s="117"/>
      <c r="S195" s="117"/>
    </row>
    <row r="196" spans="3:19" ht="19.5" customHeight="1" thickBot="1" x14ac:dyDescent="0.4">
      <c r="C196" s="461" t="s">
        <v>244</v>
      </c>
      <c r="D196" s="462"/>
      <c r="E196" s="462"/>
      <c r="F196" s="462"/>
      <c r="G196" s="462"/>
      <c r="H196" s="462"/>
      <c r="I196" s="462"/>
      <c r="J196" s="462"/>
      <c r="K196" s="462"/>
      <c r="L196" s="462"/>
      <c r="M196" s="463"/>
      <c r="N196" s="117"/>
      <c r="O196" s="117"/>
      <c r="P196" s="117"/>
      <c r="Q196" s="117"/>
      <c r="R196" s="117"/>
      <c r="S196" s="117"/>
    </row>
    <row r="197" spans="3:19" ht="19.5" customHeight="1" x14ac:dyDescent="0.35">
      <c r="C197" s="240"/>
      <c r="D197" s="464" t="str">
        <f>+'1) Budget Table'!D4</f>
        <v>UNDP (Original Budget)</v>
      </c>
      <c r="E197" s="464" t="str">
        <f>+'1) Budget Table'!E4</f>
        <v>UNDP (Expenditures March 2022 - 31 Aug 2023)</v>
      </c>
      <c r="F197" s="456" t="str">
        <f>+F4</f>
        <v>UNDP (Revised Budget)</v>
      </c>
      <c r="G197" s="401" t="str">
        <f>'1) Budget Table'!G4</f>
        <v xml:space="preserve"> UNDP (NCE 6 months Budget)</v>
      </c>
      <c r="H197" s="455" t="str">
        <f>+'1) Budget Table'!H4</f>
        <v>WVSI (Original Budget)</v>
      </c>
      <c r="I197" s="455" t="str">
        <f>+'1) Budget Table'!I4</f>
        <v>WVSI(Expenditures March 2022 - 31 Aug 2023)</v>
      </c>
      <c r="J197" s="458" t="str">
        <f>+J4</f>
        <v>WVSI (Revised Budget)</v>
      </c>
      <c r="K197" s="455" t="str">
        <f>'1) Budget Table'!K4</f>
        <v>WVSI (NCE 6 months)</v>
      </c>
      <c r="L197" s="455" t="str">
        <f>'1) Budget Table'!L4</f>
        <v>Recipient Organization 3</v>
      </c>
      <c r="M197" s="460" t="s">
        <v>244</v>
      </c>
      <c r="N197" s="117"/>
      <c r="O197" s="117"/>
      <c r="P197" s="117"/>
      <c r="Q197" s="117"/>
      <c r="R197" s="117"/>
      <c r="S197" s="117"/>
    </row>
    <row r="198" spans="3:19" ht="39.75" customHeight="1" x14ac:dyDescent="0.35">
      <c r="C198" s="239"/>
      <c r="D198" s="465"/>
      <c r="E198" s="465"/>
      <c r="F198" s="457"/>
      <c r="G198" s="454"/>
      <c r="H198" s="401"/>
      <c r="I198" s="401"/>
      <c r="J198" s="409"/>
      <c r="K198" s="401"/>
      <c r="L198" s="401"/>
      <c r="M198" s="403"/>
      <c r="N198" s="117"/>
      <c r="O198" s="117"/>
      <c r="P198" s="117"/>
      <c r="Q198" s="117"/>
      <c r="R198" s="117"/>
      <c r="S198" s="117"/>
    </row>
    <row r="199" spans="3:19" ht="19.5" customHeight="1" x14ac:dyDescent="0.35">
      <c r="C199" s="9" t="s">
        <v>266</v>
      </c>
      <c r="D199" s="124">
        <f t="shared" ref="D199:K199" si="35">SUM(D176,D165,D154,D143,D131,D120,D109,D98,D86,D75,D64,D53,D41,D30,D19,D8,D187)</f>
        <v>251000</v>
      </c>
      <c r="E199" s="124">
        <f t="shared" si="35"/>
        <v>125887.29</v>
      </c>
      <c r="F199" s="338">
        <f>SUM(F176,F165,F154,F143,F131,F120,F109,F98,F86,F75,F64,F53,F41,F30,F19,F8,F187)</f>
        <v>251000</v>
      </c>
      <c r="G199" s="124">
        <f>SUM(G176,G165,G154,G143,G131,G120,G109,G98,G86,G75,G64,G53,G41,G30,G19,G8,G187)</f>
        <v>125113</v>
      </c>
      <c r="H199" s="124">
        <f t="shared" si="35"/>
        <v>77063.205817860318</v>
      </c>
      <c r="I199" s="124">
        <f t="shared" si="35"/>
        <v>69202.499120673761</v>
      </c>
      <c r="J199" s="338">
        <f>SUM(J176,J165,J154,J143,J131,J120,J109,J98,J86,J75,J64,J53,J41,J30,J19,J8,J187)</f>
        <v>77063.198863388403</v>
      </c>
      <c r="K199" s="122">
        <f t="shared" si="35"/>
        <v>7860.6997427146416</v>
      </c>
      <c r="L199" s="122">
        <f t="shared" ref="L199" si="36">SUM(L176,L165,L154,L143,L131,L120,L109,L98,L86,L75,L64,L53,L41,L30,L19,L8,L187)</f>
        <v>0</v>
      </c>
      <c r="M199" s="44">
        <f>+F199+J199</f>
        <v>328063.19886338839</v>
      </c>
      <c r="N199" s="117"/>
      <c r="O199" s="117"/>
      <c r="P199" s="117"/>
      <c r="Q199" s="117"/>
      <c r="R199" s="117"/>
      <c r="S199" s="117"/>
    </row>
    <row r="200" spans="3:19" ht="34.5" customHeight="1" x14ac:dyDescent="0.35">
      <c r="C200" s="9" t="s">
        <v>267</v>
      </c>
      <c r="D200" s="124">
        <f>SUM(D177,D166,D155,D144,D132,D121,D110,D99,D87,D76,D65,D54,D42,D31,D20,D9,D188)</f>
        <v>82000</v>
      </c>
      <c r="E200" s="124">
        <f>SUM(E177,E166,E155,E144,E132,E121,E110,E99,E87,E76,E65,E54,E42,E31,E20,E9,E188)</f>
        <v>42960.19</v>
      </c>
      <c r="F200" s="338">
        <f t="shared" ref="F200" si="37">SUM(F177,F166,F155,F144,F132,F121,F110,F99,F87,F76,F65,F54,F42,F31,F20,F9,F188)</f>
        <v>82960.19</v>
      </c>
      <c r="G200" s="124">
        <f>SUM(G177,G166,G155,G144,G132,G121,G110,G99,G87,G76,G65,G54,G42,G31,G20,G9,G188)</f>
        <v>40000</v>
      </c>
      <c r="H200" s="124">
        <f>SUM(H177,H166,H155,H144,H132,H121,H110,H99,H87,H76,H65,H54,H42,H31,H20,H9,H188)</f>
        <v>104467.28923076924</v>
      </c>
      <c r="I200" s="124">
        <f>SUM(I177,I166,I155,I144,I132,I121,I110,I99,I87,I76,I65,I54,I42,I31,I20,I9,I188)</f>
        <v>36599.370000000003</v>
      </c>
      <c r="J200" s="338">
        <f t="shared" ref="J200:J204" si="38">SUM(J177,J166,J155,J144,J132,J121,J110,J99,J87,J76,J65,J54,J42,J31,J20,J9,J188)</f>
        <v>90599.37000000001</v>
      </c>
      <c r="K200" s="122">
        <f t="shared" ref="K200:L200" si="39">SUM(K177,K166,K155,K144,K132,K121,K110,K99,K87,K76,K65,K54,K42,K31,K20,K9,K188)</f>
        <v>54000</v>
      </c>
      <c r="L200" s="122">
        <f t="shared" si="39"/>
        <v>0</v>
      </c>
      <c r="M200" s="44">
        <f t="shared" ref="M200:M205" si="40">+F200+J200</f>
        <v>173559.56</v>
      </c>
      <c r="N200" s="117"/>
      <c r="O200" s="117"/>
      <c r="P200" s="117"/>
      <c r="Q200" s="117"/>
      <c r="R200" s="117"/>
      <c r="S200" s="117"/>
    </row>
    <row r="201" spans="3:19" ht="48" customHeight="1" x14ac:dyDescent="0.35">
      <c r="C201" s="9" t="s">
        <v>268</v>
      </c>
      <c r="D201" s="124">
        <f t="shared" ref="D201:F201" si="41">SUM(D178,D167,D156,D145,D133,D122,D111,D100,D88,D77,D66,D55,D43,D32,D21,D10,D189)</f>
        <v>17000</v>
      </c>
      <c r="E201" s="124">
        <f t="shared" si="41"/>
        <v>0</v>
      </c>
      <c r="F201" s="338">
        <f t="shared" si="41"/>
        <v>15000</v>
      </c>
      <c r="G201" s="124">
        <f t="shared" ref="G201:L205" si="42">SUM(G178,G167,G156,G145,G133,G122,G111,G100,G88,G77,G66,G55,G43,G32,G21,G10,G189)</f>
        <v>11680.33</v>
      </c>
      <c r="H201" s="124">
        <f t="shared" ref="H201:I201" si="43">SUM(H178,H167,H156,H145,H133,H122,H111,H100,H88,H77,H66,H55,H43,H32,H21,H10,H189)</f>
        <v>6153.8446153846153</v>
      </c>
      <c r="I201" s="124">
        <f t="shared" si="43"/>
        <v>6564.4800000000014</v>
      </c>
      <c r="J201" s="338">
        <f t="shared" si="38"/>
        <v>6564.4800000000014</v>
      </c>
      <c r="K201" s="122">
        <f t="shared" si="42"/>
        <v>0</v>
      </c>
      <c r="L201" s="122">
        <f t="shared" si="42"/>
        <v>0</v>
      </c>
      <c r="M201" s="44">
        <f t="shared" si="40"/>
        <v>21564.480000000003</v>
      </c>
      <c r="N201" s="117"/>
      <c r="O201" s="117"/>
      <c r="P201" s="117"/>
      <c r="Q201" s="117"/>
      <c r="R201" s="117"/>
      <c r="S201" s="117"/>
    </row>
    <row r="202" spans="3:19" ht="33" customHeight="1" x14ac:dyDescent="0.35">
      <c r="C202" s="13" t="s">
        <v>269</v>
      </c>
      <c r="D202" s="124">
        <f t="shared" ref="D202:E202" si="44">SUM(D179,D168,D157,D146,D134,D123,D112,D101,D89,D78,D67,D56,D44,D33,D22,D11,D190)</f>
        <v>398000</v>
      </c>
      <c r="E202" s="124">
        <f t="shared" si="44"/>
        <v>173389.33</v>
      </c>
      <c r="F202" s="338">
        <f>SUM(F179,F168,F157,F146,F134,F123,F112,F101,F89,F78,F67,F56,F44,F33,F22,F11,F190)</f>
        <v>410116.51</v>
      </c>
      <c r="G202" s="124">
        <f t="shared" si="42"/>
        <v>241046.18</v>
      </c>
      <c r="H202" s="124">
        <f t="shared" ref="H202:I202" si="45">SUM(H179,H168,H157,H146,H134,H123,H112,H101,H89,H78,H67,H56,H44,H33,H22,H11,H190)</f>
        <v>0</v>
      </c>
      <c r="I202" s="124">
        <f t="shared" si="45"/>
        <v>0</v>
      </c>
      <c r="J202" s="338">
        <f t="shared" si="38"/>
        <v>14628.36710632981</v>
      </c>
      <c r="K202" s="122">
        <f>SUM(K179,K168,K157,K146,K134,K123,K112,K101,K89,K78,K67,K56,K44,K33,K22,K11,K190)</f>
        <v>14628.36710632981</v>
      </c>
      <c r="L202" s="122">
        <f t="shared" si="42"/>
        <v>0</v>
      </c>
      <c r="M202" s="44">
        <f t="shared" si="40"/>
        <v>424744.87710632983</v>
      </c>
      <c r="N202" s="117"/>
      <c r="O202" s="117"/>
      <c r="P202" s="117"/>
      <c r="Q202" s="117"/>
      <c r="R202" s="117"/>
      <c r="S202" s="117"/>
    </row>
    <row r="203" spans="3:19" ht="21" customHeight="1" x14ac:dyDescent="0.35">
      <c r="C203" s="9" t="s">
        <v>270</v>
      </c>
      <c r="D203" s="124">
        <f t="shared" ref="D203:F203" si="46">SUM(D180,D169,D158,D147,D135,D124,D113,D102,D90,D79,D68,D57,D45,D34,D23,D12,D191)</f>
        <v>167000</v>
      </c>
      <c r="E203" s="124">
        <f t="shared" si="46"/>
        <v>107438.52</v>
      </c>
      <c r="F203" s="338">
        <f t="shared" si="46"/>
        <v>156923.29999999999</v>
      </c>
      <c r="G203" s="124">
        <f t="shared" si="42"/>
        <v>44485.520000000004</v>
      </c>
      <c r="H203" s="124">
        <f t="shared" ref="H203" si="47">SUM(H180,H169,H158,H147,H135,H124,H113,H102,H90,H79,H68,H57,H45,H34,H23,H12,H191)</f>
        <v>159755.12974358976</v>
      </c>
      <c r="I203" s="124">
        <f>SUM(I180,I169,I158,I147,I135,I124,I113,I102,I90,I79,I68,I57,I45,I34,I23,I12,I191)</f>
        <v>72909.8</v>
      </c>
      <c r="J203" s="338">
        <f t="shared" si="38"/>
        <v>158584.05000000002</v>
      </c>
      <c r="K203" s="122">
        <f t="shared" si="42"/>
        <v>85674.25</v>
      </c>
      <c r="L203" s="122">
        <f t="shared" si="42"/>
        <v>0</v>
      </c>
      <c r="M203" s="44">
        <f t="shared" si="40"/>
        <v>315507.34999999998</v>
      </c>
      <c r="N203" s="107"/>
      <c r="O203" s="107"/>
      <c r="P203" s="107"/>
      <c r="Q203" s="107"/>
      <c r="R203" s="107"/>
      <c r="S203" s="123"/>
    </row>
    <row r="204" spans="3:19" ht="39.75" customHeight="1" x14ac:dyDescent="0.35">
      <c r="C204" s="9" t="s">
        <v>271</v>
      </c>
      <c r="D204" s="124">
        <f t="shared" ref="D204:F204" si="48">SUM(D181,D170,D159,D148,D136,D125,D114,D103,D91,D80,D69,D58,D46,D35,D24,D13,D192)</f>
        <v>105000</v>
      </c>
      <c r="E204" s="124">
        <f t="shared" si="48"/>
        <v>100000</v>
      </c>
      <c r="F204" s="338">
        <f t="shared" si="48"/>
        <v>102000</v>
      </c>
      <c r="G204" s="124">
        <f t="shared" si="42"/>
        <v>2000</v>
      </c>
      <c r="H204" s="124">
        <f t="shared" ref="H204" si="49">SUM(H181,H170,H159,H148,H136,H125,H114,H103,H91,H80,H69,H58,H46,H35,H24,H13,H192)</f>
        <v>0</v>
      </c>
      <c r="I204" s="124">
        <f>SUM(I181,I170,I159,I148,I136,I125,I114,I103,I91,I80,I69,I58,I46,I35,I24,I13,I192)</f>
        <v>0</v>
      </c>
      <c r="J204" s="338">
        <f t="shared" si="38"/>
        <v>0</v>
      </c>
      <c r="K204" s="122">
        <f t="shared" si="42"/>
        <v>0</v>
      </c>
      <c r="L204" s="122">
        <f t="shared" si="42"/>
        <v>0</v>
      </c>
      <c r="M204" s="44">
        <f t="shared" si="40"/>
        <v>102000</v>
      </c>
      <c r="N204" s="107"/>
      <c r="O204" s="107"/>
      <c r="P204" s="107"/>
      <c r="Q204" s="107"/>
      <c r="R204" s="107"/>
      <c r="S204" s="123"/>
    </row>
    <row r="205" spans="3:19" ht="23.25" customHeight="1" x14ac:dyDescent="0.35">
      <c r="C205" s="9" t="s">
        <v>272</v>
      </c>
      <c r="D205" s="124">
        <f>SUM(D182,D171,D160,D149,D137,D126,D115,D104,D92,D81,D70,D59,D47,D36,D25,D14,D193)</f>
        <v>8000</v>
      </c>
      <c r="E205" s="124">
        <f t="shared" ref="E205:F205" si="50">SUM(E182,E171,E160,E149,E137,E126,E115,E104,E92,E81,E70,E59,E47,E36,E25,E14,E193)</f>
        <v>7000</v>
      </c>
      <c r="F205" s="338">
        <f t="shared" si="50"/>
        <v>10000</v>
      </c>
      <c r="G205" s="124">
        <f t="shared" si="42"/>
        <v>4000</v>
      </c>
      <c r="H205" s="124">
        <f t="shared" ref="H205:I205" si="51">SUM(H182,H171,H160,H149,H137,H126,H115,H104,H92,H81,H70,H59,H47,H36,H25,H14,H193)</f>
        <v>26392.31</v>
      </c>
      <c r="I205" s="124">
        <f t="shared" si="51"/>
        <v>13004.41</v>
      </c>
      <c r="J205" s="338">
        <f>SUM(J182,J171,J160,J149,J137,J126,J115,J104,J92,J81,J70,J59,J47,J36,J25,J14,J193)</f>
        <v>26392.307692307688</v>
      </c>
      <c r="K205" s="124">
        <f t="shared" si="42"/>
        <v>13387.897692307688</v>
      </c>
      <c r="L205" s="124">
        <f t="shared" si="42"/>
        <v>0</v>
      </c>
      <c r="M205" s="44">
        <f t="shared" si="40"/>
        <v>36392.307692307688</v>
      </c>
      <c r="N205" s="107"/>
      <c r="O205" s="107"/>
      <c r="P205" s="107"/>
      <c r="Q205" s="107"/>
      <c r="R205" s="107"/>
      <c r="S205" s="123"/>
    </row>
    <row r="206" spans="3:19" ht="22.5" customHeight="1" x14ac:dyDescent="0.35">
      <c r="C206" s="125" t="s">
        <v>284</v>
      </c>
      <c r="D206" s="126">
        <f t="shared" ref="D206:L206" si="52">SUM(D199:D205)</f>
        <v>1028000</v>
      </c>
      <c r="E206" s="126">
        <f>SUM(E199:E205)</f>
        <v>556675.32999999996</v>
      </c>
      <c r="F206" s="339">
        <f>SUM(F199:F205)</f>
        <v>1028000</v>
      </c>
      <c r="G206" s="126">
        <f t="shared" si="52"/>
        <v>468325.03</v>
      </c>
      <c r="H206" s="126">
        <f t="shared" si="52"/>
        <v>373831.77940760396</v>
      </c>
      <c r="I206" s="126">
        <f t="shared" si="52"/>
        <v>198280.55912067377</v>
      </c>
      <c r="J206" s="339">
        <f t="shared" si="52"/>
        <v>373831.77366202598</v>
      </c>
      <c r="K206" s="126">
        <f t="shared" si="52"/>
        <v>175551.21454135215</v>
      </c>
      <c r="L206" s="126">
        <f t="shared" si="52"/>
        <v>0</v>
      </c>
      <c r="M206" s="44">
        <f>SUM(M199:M205)</f>
        <v>1401831.7736620258</v>
      </c>
      <c r="N206" s="107"/>
      <c r="O206" s="107"/>
      <c r="P206" s="107"/>
      <c r="Q206" s="107"/>
      <c r="R206" s="107"/>
      <c r="S206" s="123"/>
    </row>
    <row r="207" spans="3:19" ht="26.25" customHeight="1" thickBot="1" x14ac:dyDescent="0.4">
      <c r="C207" s="242" t="s">
        <v>285</v>
      </c>
      <c r="D207" s="243">
        <f t="shared" ref="D207:J207" si="53">D206*0.07</f>
        <v>71960</v>
      </c>
      <c r="E207" s="243">
        <f t="shared" si="53"/>
        <v>38967.273099999999</v>
      </c>
      <c r="F207" s="340">
        <f t="shared" si="53"/>
        <v>71960</v>
      </c>
      <c r="G207" s="243">
        <f t="shared" si="53"/>
        <v>32782.752100000005</v>
      </c>
      <c r="H207" s="243">
        <f t="shared" si="53"/>
        <v>26168.224558532278</v>
      </c>
      <c r="I207" s="243">
        <f t="shared" si="53"/>
        <v>13879.639138447166</v>
      </c>
      <c r="J207" s="340">
        <f t="shared" si="53"/>
        <v>26168.224156341821</v>
      </c>
      <c r="K207" s="243">
        <f t="shared" ref="K207:L207" si="54">K206*0.07</f>
        <v>12288.585017894651</v>
      </c>
      <c r="L207" s="243">
        <f t="shared" si="54"/>
        <v>0</v>
      </c>
      <c r="M207" s="44">
        <f>+M206*0.07</f>
        <v>98128.224156341821</v>
      </c>
      <c r="N207" s="14"/>
      <c r="O207" s="14"/>
      <c r="P207" s="14"/>
      <c r="Q207" s="14"/>
      <c r="R207" s="127"/>
      <c r="S207" s="121"/>
    </row>
    <row r="208" spans="3:19" ht="23.25" customHeight="1" thickBot="1" x14ac:dyDescent="0.4">
      <c r="C208" s="244" t="s">
        <v>286</v>
      </c>
      <c r="D208" s="245">
        <f t="shared" ref="D208:J208" si="55">SUM(D206:D207)</f>
        <v>1099960</v>
      </c>
      <c r="E208" s="245">
        <f t="shared" si="55"/>
        <v>595642.60309999995</v>
      </c>
      <c r="F208" s="341">
        <f t="shared" si="55"/>
        <v>1099960</v>
      </c>
      <c r="G208" s="245">
        <f t="shared" si="55"/>
        <v>501107.78210000001</v>
      </c>
      <c r="H208" s="245">
        <f t="shared" si="55"/>
        <v>400000.00396613625</v>
      </c>
      <c r="I208" s="245">
        <f t="shared" si="55"/>
        <v>212160.19825912095</v>
      </c>
      <c r="J208" s="341">
        <f t="shared" si="55"/>
        <v>399999.99781836779</v>
      </c>
      <c r="K208" s="245">
        <f t="shared" ref="K208:M208" si="56">SUM(K206:K207)</f>
        <v>187839.79955924681</v>
      </c>
      <c r="L208" s="245">
        <f t="shared" si="56"/>
        <v>0</v>
      </c>
      <c r="M208" s="246">
        <f t="shared" si="56"/>
        <v>1499959.9978183676</v>
      </c>
      <c r="N208" s="14"/>
      <c r="O208" s="14"/>
      <c r="P208" s="14"/>
      <c r="Q208" s="14"/>
      <c r="R208" s="127"/>
      <c r="S208" s="121"/>
    </row>
    <row r="209" spans="3:20" ht="15.75" customHeight="1" x14ac:dyDescent="0.35">
      <c r="C209" s="117"/>
      <c r="D209" s="117"/>
      <c r="E209" s="117"/>
      <c r="G209" s="121"/>
      <c r="H209" s="121"/>
      <c r="I209" s="121"/>
      <c r="K209" s="121"/>
      <c r="L209" s="121"/>
      <c r="M209" s="117"/>
      <c r="N209" s="117"/>
      <c r="O209" s="117"/>
      <c r="P209" s="117"/>
      <c r="Q209" s="117"/>
      <c r="R209" s="27"/>
      <c r="S209" s="117"/>
      <c r="T209" s="117"/>
    </row>
    <row r="210" spans="3:20" ht="15.75" customHeight="1" x14ac:dyDescent="0.35">
      <c r="C210" s="117"/>
      <c r="D210" s="117"/>
      <c r="E210" s="117"/>
      <c r="G210" s="345"/>
      <c r="H210" s="121"/>
      <c r="I210" s="121"/>
      <c r="J210" s="389"/>
      <c r="K210" s="121"/>
      <c r="L210" s="121"/>
      <c r="M210" s="117"/>
      <c r="N210" s="17"/>
      <c r="O210" s="17"/>
      <c r="P210" s="117"/>
      <c r="Q210" s="117"/>
      <c r="R210" s="27"/>
      <c r="S210" s="117"/>
      <c r="T210" s="117"/>
    </row>
    <row r="211" spans="3:20" ht="15.75" customHeight="1" x14ac:dyDescent="0.35">
      <c r="C211" s="117"/>
      <c r="D211" s="117"/>
      <c r="E211" s="117"/>
      <c r="F211" s="346"/>
      <c r="G211" s="345"/>
      <c r="H211" s="121"/>
      <c r="I211" s="345"/>
      <c r="K211" s="345"/>
      <c r="L211" s="121"/>
      <c r="M211" s="117"/>
      <c r="N211" s="17"/>
      <c r="O211" s="17"/>
      <c r="P211" s="117"/>
      <c r="Q211" s="117"/>
      <c r="R211" s="117"/>
      <c r="S211" s="117"/>
      <c r="T211" s="117"/>
    </row>
    <row r="212" spans="3:20" ht="40.5" customHeight="1" x14ac:dyDescent="0.35">
      <c r="C212" s="117"/>
      <c r="D212" s="117"/>
      <c r="E212" s="117"/>
      <c r="F212" s="346"/>
      <c r="G212" s="345"/>
      <c r="H212" s="121"/>
      <c r="I212" s="121"/>
      <c r="K212" s="121"/>
      <c r="L212" s="121"/>
      <c r="M212" s="117"/>
      <c r="N212" s="17"/>
      <c r="O212" s="17"/>
      <c r="P212" s="117"/>
      <c r="Q212" s="117"/>
      <c r="R212" s="28"/>
      <c r="S212" s="117"/>
      <c r="T212" s="117"/>
    </row>
    <row r="213" spans="3:20" ht="24.75" customHeight="1" x14ac:dyDescent="0.35">
      <c r="C213" s="117"/>
      <c r="D213" s="117"/>
      <c r="E213" s="117"/>
      <c r="G213" s="348"/>
      <c r="H213" s="121"/>
      <c r="I213" s="121"/>
      <c r="K213" s="121"/>
      <c r="L213" s="121"/>
      <c r="M213" s="117"/>
      <c r="N213" s="17"/>
      <c r="O213" s="17"/>
      <c r="P213" s="117"/>
      <c r="Q213" s="117"/>
      <c r="R213" s="28"/>
      <c r="S213" s="117"/>
      <c r="T213" s="117"/>
    </row>
    <row r="214" spans="3:20" ht="41.25" customHeight="1" x14ac:dyDescent="0.35">
      <c r="C214" s="117"/>
      <c r="D214" s="117"/>
      <c r="E214" s="117"/>
      <c r="G214" s="348"/>
      <c r="H214" s="121"/>
      <c r="I214" s="121"/>
      <c r="K214" s="121"/>
      <c r="L214" s="121"/>
      <c r="M214" s="117"/>
      <c r="N214" s="128"/>
      <c r="O214" s="17"/>
      <c r="P214" s="117"/>
      <c r="Q214" s="117"/>
      <c r="R214" s="28"/>
      <c r="S214" s="117"/>
      <c r="T214" s="117"/>
    </row>
    <row r="215" spans="3:20" ht="51.75" customHeight="1" x14ac:dyDescent="0.35">
      <c r="C215" s="117"/>
      <c r="D215" s="117"/>
      <c r="E215" s="117"/>
      <c r="G215" s="121"/>
      <c r="H215" s="121"/>
      <c r="I215" s="121"/>
      <c r="K215" s="121"/>
      <c r="L215" s="121"/>
      <c r="M215" s="117"/>
      <c r="N215" s="128"/>
      <c r="O215" s="17"/>
      <c r="P215" s="117"/>
      <c r="Q215" s="117"/>
      <c r="R215" s="28"/>
      <c r="S215" s="117"/>
      <c r="T215" s="117"/>
    </row>
    <row r="216" spans="3:20" ht="42" customHeight="1" x14ac:dyDescent="0.35">
      <c r="C216" s="117"/>
      <c r="D216" s="117"/>
      <c r="E216" s="117"/>
      <c r="G216" s="121"/>
      <c r="H216" s="121"/>
      <c r="I216" s="121"/>
      <c r="K216" s="121"/>
      <c r="L216" s="121"/>
      <c r="M216" s="117"/>
      <c r="N216" s="17"/>
      <c r="O216" s="17"/>
      <c r="P216" s="117"/>
      <c r="Q216" s="117"/>
      <c r="R216" s="28"/>
      <c r="S216" s="117"/>
      <c r="T216" s="117"/>
    </row>
    <row r="217" spans="3:20" s="25" customFormat="1" ht="42" customHeight="1" x14ac:dyDescent="0.35">
      <c r="C217" s="117"/>
      <c r="D217" s="117"/>
      <c r="E217" s="117"/>
      <c r="F217" s="335"/>
      <c r="G217" s="121"/>
      <c r="H217" s="121"/>
      <c r="I217" s="121"/>
      <c r="J217" s="344"/>
      <c r="K217" s="121"/>
      <c r="L217" s="121"/>
      <c r="M217" s="117"/>
      <c r="N217" s="117"/>
      <c r="O217" s="17"/>
      <c r="P217" s="117"/>
      <c r="Q217" s="117"/>
      <c r="R217" s="28"/>
      <c r="S217" s="117"/>
      <c r="T217" s="121"/>
    </row>
    <row r="218" spans="3:20" s="25" customFormat="1" ht="42" customHeight="1" x14ac:dyDescent="0.35">
      <c r="C218" s="117"/>
      <c r="D218" s="117"/>
      <c r="E218" s="117"/>
      <c r="F218" s="335"/>
      <c r="G218" s="121"/>
      <c r="H218" s="121"/>
      <c r="I218" s="121"/>
      <c r="J218" s="344"/>
      <c r="K218" s="121"/>
      <c r="L218" s="121"/>
      <c r="M218" s="117"/>
      <c r="N218" s="117"/>
      <c r="O218" s="17"/>
      <c r="P218" s="117"/>
      <c r="Q218" s="117"/>
      <c r="R218" s="117"/>
      <c r="S218" s="117"/>
      <c r="T218" s="121"/>
    </row>
    <row r="219" spans="3:20" s="25" customFormat="1" ht="63.75" customHeight="1" x14ac:dyDescent="0.35">
      <c r="C219" s="117"/>
      <c r="D219" s="117"/>
      <c r="E219" s="117"/>
      <c r="F219" s="335"/>
      <c r="G219" s="121"/>
      <c r="H219" s="121"/>
      <c r="I219" s="121"/>
      <c r="J219" s="344"/>
      <c r="K219" s="121"/>
      <c r="L219" s="121"/>
      <c r="M219" s="117"/>
      <c r="N219" s="117"/>
      <c r="O219" s="27"/>
      <c r="P219" s="117"/>
      <c r="Q219" s="117"/>
      <c r="R219" s="117"/>
      <c r="S219" s="117"/>
      <c r="T219" s="121"/>
    </row>
    <row r="220" spans="3:20" s="25" customFormat="1" ht="42" customHeight="1" x14ac:dyDescent="0.35">
      <c r="C220" s="117"/>
      <c r="D220" s="117"/>
      <c r="E220" s="117"/>
      <c r="F220" s="335"/>
      <c r="G220" s="121"/>
      <c r="H220" s="121"/>
      <c r="I220" s="121"/>
      <c r="J220" s="344"/>
      <c r="K220" s="121"/>
      <c r="L220" s="121"/>
      <c r="M220" s="117"/>
      <c r="N220" s="117"/>
      <c r="O220" s="117"/>
      <c r="P220" s="117"/>
      <c r="Q220" s="117"/>
      <c r="R220" s="117"/>
      <c r="S220" s="27"/>
      <c r="T220" s="121"/>
    </row>
    <row r="221" spans="3:20" ht="23.25" customHeight="1" x14ac:dyDescent="0.35">
      <c r="C221" s="117"/>
      <c r="D221" s="117"/>
      <c r="E221" s="117"/>
      <c r="G221" s="121"/>
      <c r="H221" s="121"/>
      <c r="I221" s="121"/>
      <c r="K221" s="121"/>
      <c r="L221" s="121"/>
      <c r="M221" s="117"/>
      <c r="N221" s="117"/>
      <c r="O221" s="117"/>
      <c r="P221" s="117"/>
      <c r="Q221" s="117"/>
      <c r="R221" s="117"/>
      <c r="S221" s="117"/>
      <c r="T221" s="117"/>
    </row>
    <row r="222" spans="3:20" ht="27.75" customHeight="1" x14ac:dyDescent="0.35">
      <c r="C222" s="117"/>
      <c r="D222" s="117"/>
      <c r="E222" s="117"/>
      <c r="G222" s="121"/>
      <c r="H222" s="121"/>
      <c r="I222" s="121"/>
      <c r="K222" s="121"/>
      <c r="L222" s="121"/>
      <c r="M222" s="117"/>
      <c r="N222" s="117"/>
      <c r="O222" s="117"/>
      <c r="P222" s="117"/>
      <c r="Q222" s="117"/>
      <c r="R222" s="117"/>
      <c r="S222" s="117"/>
      <c r="T222" s="117"/>
    </row>
    <row r="223" spans="3:20" ht="55.5" customHeight="1" x14ac:dyDescent="0.35">
      <c r="C223" s="117"/>
      <c r="D223" s="117"/>
      <c r="E223" s="117"/>
      <c r="G223" s="121"/>
      <c r="H223" s="121"/>
      <c r="I223" s="121"/>
      <c r="K223" s="121"/>
      <c r="L223" s="121"/>
      <c r="M223" s="117"/>
      <c r="N223" s="117"/>
      <c r="O223" s="117"/>
      <c r="P223" s="117"/>
      <c r="Q223" s="117"/>
      <c r="R223" s="117"/>
      <c r="S223" s="117"/>
      <c r="T223" s="117"/>
    </row>
    <row r="224" spans="3:20" ht="57.75" customHeight="1" x14ac:dyDescent="0.35">
      <c r="C224" s="117"/>
      <c r="D224" s="117"/>
      <c r="E224" s="117"/>
      <c r="G224" s="121"/>
      <c r="H224" s="121"/>
      <c r="I224" s="121"/>
      <c r="K224" s="121"/>
      <c r="L224" s="121"/>
      <c r="M224" s="117"/>
      <c r="N224" s="117"/>
      <c r="O224" s="117"/>
      <c r="P224" s="117"/>
      <c r="Q224" s="117"/>
      <c r="R224" s="117"/>
      <c r="S224" s="117"/>
      <c r="T224" s="117"/>
    </row>
    <row r="225" spans="3:20" ht="21.75" customHeight="1" x14ac:dyDescent="0.35">
      <c r="C225" s="117"/>
      <c r="D225" s="117"/>
      <c r="E225" s="117"/>
      <c r="G225" s="121"/>
      <c r="H225" s="121"/>
      <c r="I225" s="121"/>
      <c r="K225" s="121"/>
      <c r="L225" s="121"/>
      <c r="M225" s="117"/>
      <c r="N225" s="117"/>
      <c r="O225" s="117"/>
      <c r="P225" s="117"/>
      <c r="Q225" s="117"/>
      <c r="R225" s="117"/>
      <c r="S225" s="117"/>
      <c r="T225" s="117"/>
    </row>
    <row r="226" spans="3:20" ht="49.5" customHeight="1" x14ac:dyDescent="0.35">
      <c r="C226" s="117"/>
      <c r="D226" s="117"/>
      <c r="E226" s="117"/>
      <c r="G226" s="121"/>
      <c r="H226" s="121"/>
      <c r="I226" s="121"/>
      <c r="K226" s="121"/>
      <c r="L226" s="121"/>
      <c r="M226" s="117"/>
      <c r="N226" s="117"/>
      <c r="O226" s="117"/>
      <c r="P226" s="117"/>
      <c r="Q226" s="117"/>
      <c r="R226" s="117"/>
      <c r="S226" s="117"/>
      <c r="T226" s="117"/>
    </row>
    <row r="227" spans="3:20" ht="28.5" customHeight="1" x14ac:dyDescent="0.35">
      <c r="C227" s="117"/>
      <c r="D227" s="117"/>
      <c r="E227" s="117"/>
      <c r="G227" s="121"/>
      <c r="H227" s="121"/>
      <c r="I227" s="121"/>
      <c r="K227" s="121"/>
      <c r="L227" s="121"/>
      <c r="M227" s="117"/>
      <c r="N227" s="117"/>
      <c r="O227" s="117"/>
      <c r="P227" s="117"/>
      <c r="Q227" s="117"/>
      <c r="R227" s="117"/>
      <c r="S227" s="117"/>
      <c r="T227" s="117"/>
    </row>
    <row r="228" spans="3:20" ht="28.5" customHeight="1" x14ac:dyDescent="0.35">
      <c r="C228" s="117"/>
      <c r="D228" s="117"/>
      <c r="E228" s="117"/>
      <c r="G228" s="121"/>
      <c r="H228" s="121"/>
      <c r="I228" s="121"/>
      <c r="K228" s="121"/>
      <c r="L228" s="121"/>
      <c r="M228" s="117"/>
      <c r="N228" s="117"/>
      <c r="O228" s="117"/>
      <c r="P228" s="117"/>
      <c r="Q228" s="117"/>
      <c r="R228" s="117"/>
      <c r="S228" s="117"/>
      <c r="T228" s="117"/>
    </row>
    <row r="229" spans="3:20" ht="28.5" customHeight="1" x14ac:dyDescent="0.35">
      <c r="C229" s="117"/>
      <c r="D229" s="117"/>
      <c r="E229" s="117"/>
      <c r="G229" s="121"/>
      <c r="H229" s="121"/>
      <c r="I229" s="121"/>
      <c r="K229" s="121"/>
      <c r="L229" s="121"/>
      <c r="M229" s="117"/>
      <c r="N229" s="117"/>
      <c r="O229" s="117"/>
      <c r="P229" s="117"/>
      <c r="Q229" s="117"/>
      <c r="R229" s="117"/>
      <c r="S229" s="117"/>
      <c r="T229" s="117"/>
    </row>
    <row r="230" spans="3:20" ht="23.25" customHeight="1" x14ac:dyDescent="0.35">
      <c r="C230" s="117"/>
      <c r="D230" s="117"/>
      <c r="E230" s="117"/>
      <c r="G230" s="121"/>
      <c r="H230" s="121"/>
      <c r="I230" s="121"/>
      <c r="K230" s="121"/>
      <c r="L230" s="121"/>
      <c r="M230" s="117"/>
      <c r="N230" s="117"/>
      <c r="O230" s="117"/>
      <c r="P230" s="117"/>
      <c r="Q230" s="117"/>
      <c r="R230" s="117"/>
      <c r="S230" s="117"/>
      <c r="T230" s="27"/>
    </row>
    <row r="231" spans="3:20" ht="43.5" customHeight="1" x14ac:dyDescent="0.35">
      <c r="C231" s="117"/>
      <c r="D231" s="117"/>
      <c r="E231" s="117"/>
      <c r="G231" s="121"/>
      <c r="H231" s="121"/>
      <c r="I231" s="121"/>
      <c r="K231" s="121"/>
      <c r="L231" s="121"/>
      <c r="M231" s="117"/>
      <c r="N231" s="117"/>
      <c r="O231" s="117"/>
      <c r="P231" s="117"/>
      <c r="Q231" s="117"/>
      <c r="R231" s="117"/>
      <c r="S231" s="117"/>
      <c r="T231" s="27"/>
    </row>
    <row r="232" spans="3:20" ht="55.5" customHeight="1" x14ac:dyDescent="0.35">
      <c r="C232" s="117"/>
      <c r="D232" s="117"/>
      <c r="E232" s="117"/>
      <c r="G232" s="121"/>
      <c r="H232" s="121"/>
      <c r="I232" s="121"/>
      <c r="K232" s="121"/>
      <c r="L232" s="121"/>
      <c r="M232" s="117"/>
      <c r="N232" s="117"/>
      <c r="O232" s="117"/>
      <c r="P232" s="117"/>
      <c r="Q232" s="117"/>
      <c r="R232" s="117"/>
      <c r="S232" s="117"/>
      <c r="T232" s="117"/>
    </row>
    <row r="233" spans="3:20" ht="42.75" customHeight="1" x14ac:dyDescent="0.35">
      <c r="C233" s="117"/>
      <c r="D233" s="117"/>
      <c r="E233" s="117"/>
      <c r="G233" s="121"/>
      <c r="H233" s="121"/>
      <c r="I233" s="121"/>
      <c r="K233" s="121"/>
      <c r="L233" s="121"/>
      <c r="M233" s="117"/>
      <c r="N233" s="117"/>
      <c r="O233" s="117"/>
      <c r="P233" s="117"/>
      <c r="Q233" s="117"/>
      <c r="R233" s="117"/>
      <c r="S233" s="117"/>
      <c r="T233" s="27"/>
    </row>
    <row r="234" spans="3:20" ht="21.75" customHeight="1" x14ac:dyDescent="0.35">
      <c r="C234" s="117"/>
      <c r="D234" s="117"/>
      <c r="E234" s="117"/>
      <c r="G234" s="121"/>
      <c r="H234" s="121"/>
      <c r="I234" s="121"/>
      <c r="K234" s="121"/>
      <c r="L234" s="121"/>
      <c r="M234" s="117"/>
      <c r="N234" s="117"/>
      <c r="O234" s="117"/>
      <c r="P234" s="117"/>
      <c r="Q234" s="117"/>
      <c r="R234" s="117"/>
      <c r="S234" s="117"/>
      <c r="T234" s="27"/>
    </row>
    <row r="235" spans="3:20" ht="21.75" customHeight="1" x14ac:dyDescent="0.35">
      <c r="C235" s="117"/>
      <c r="D235" s="117"/>
      <c r="E235" s="117"/>
      <c r="G235" s="121"/>
      <c r="H235" s="121"/>
      <c r="I235" s="121"/>
      <c r="K235" s="121"/>
      <c r="L235" s="121"/>
      <c r="M235" s="117"/>
      <c r="N235" s="117"/>
      <c r="O235" s="117"/>
      <c r="P235" s="117"/>
      <c r="Q235" s="117"/>
      <c r="R235" s="117"/>
      <c r="S235" s="117"/>
      <c r="T235" s="27"/>
    </row>
    <row r="236" spans="3:20" ht="23.25" customHeight="1" x14ac:dyDescent="0.35">
      <c r="C236" s="117"/>
      <c r="D236" s="117"/>
      <c r="E236" s="117"/>
      <c r="G236" s="121"/>
      <c r="H236" s="121"/>
      <c r="I236" s="121"/>
      <c r="K236" s="121"/>
      <c r="L236" s="121"/>
      <c r="M236" s="117"/>
      <c r="N236" s="117"/>
      <c r="O236" s="117"/>
      <c r="P236" s="117"/>
      <c r="Q236" s="117"/>
      <c r="R236" s="117"/>
      <c r="S236" s="117"/>
      <c r="T236" s="117"/>
    </row>
    <row r="237" spans="3:20" ht="23.25" customHeight="1" x14ac:dyDescent="0.35">
      <c r="C237" s="117"/>
      <c r="D237" s="117"/>
      <c r="E237" s="117"/>
      <c r="G237" s="121"/>
      <c r="H237" s="121"/>
      <c r="I237" s="121"/>
      <c r="K237" s="121"/>
      <c r="L237" s="121"/>
      <c r="M237" s="117"/>
      <c r="N237" s="117"/>
      <c r="O237" s="117"/>
      <c r="P237" s="117"/>
      <c r="Q237" s="117"/>
      <c r="R237" s="117"/>
      <c r="S237" s="117"/>
      <c r="T237" s="117"/>
    </row>
    <row r="238" spans="3:20" ht="21.75" customHeight="1" x14ac:dyDescent="0.35">
      <c r="C238" s="117"/>
      <c r="D238" s="117"/>
      <c r="E238" s="117"/>
      <c r="G238" s="121"/>
      <c r="H238" s="121"/>
      <c r="I238" s="121"/>
      <c r="K238" s="121"/>
      <c r="L238" s="121"/>
      <c r="M238" s="117"/>
      <c r="N238" s="117"/>
      <c r="O238" s="117"/>
      <c r="P238" s="117"/>
      <c r="Q238" s="117"/>
      <c r="R238" s="117"/>
      <c r="S238" s="117"/>
      <c r="T238" s="117"/>
    </row>
    <row r="239" spans="3:20" ht="16.5" customHeight="1" x14ac:dyDescent="0.35">
      <c r="C239" s="117"/>
      <c r="D239" s="117"/>
      <c r="E239" s="117"/>
      <c r="G239" s="121"/>
      <c r="H239" s="121"/>
      <c r="I239" s="121"/>
      <c r="K239" s="121"/>
      <c r="L239" s="121"/>
      <c r="M239" s="117"/>
      <c r="N239" s="117"/>
      <c r="O239" s="117"/>
      <c r="P239" s="117"/>
      <c r="Q239" s="117"/>
      <c r="R239" s="117"/>
      <c r="S239" s="117"/>
      <c r="T239" s="117"/>
    </row>
    <row r="240" spans="3:20" ht="29.25" customHeight="1" x14ac:dyDescent="0.35">
      <c r="C240" s="117"/>
      <c r="D240" s="117"/>
      <c r="E240" s="117"/>
      <c r="G240" s="121"/>
      <c r="H240" s="121"/>
      <c r="I240" s="121"/>
      <c r="K240" s="121"/>
      <c r="L240" s="121"/>
      <c r="M240" s="117"/>
      <c r="N240" s="117"/>
      <c r="O240" s="117"/>
      <c r="P240" s="117"/>
      <c r="Q240" s="117"/>
      <c r="R240" s="117"/>
      <c r="S240" s="117"/>
      <c r="T240" s="117"/>
    </row>
    <row r="241" ht="24.75" customHeight="1" x14ac:dyDescent="0.35"/>
    <row r="242" ht="33" customHeight="1" x14ac:dyDescent="0.35"/>
    <row r="244" ht="15" customHeight="1" x14ac:dyDescent="0.35"/>
    <row r="245" ht="25.5" customHeight="1" x14ac:dyDescent="0.35"/>
  </sheetData>
  <sheetProtection insertColumns="0" insertRows="0" deleteRows="0"/>
  <mergeCells count="34">
    <mergeCell ref="C84:M84"/>
    <mergeCell ref="B95:M95"/>
    <mergeCell ref="C185:M185"/>
    <mergeCell ref="M197:M198"/>
    <mergeCell ref="C163:M163"/>
    <mergeCell ref="C174:M174"/>
    <mergeCell ref="C152:M152"/>
    <mergeCell ref="C96:M96"/>
    <mergeCell ref="C107:M107"/>
    <mergeCell ref="C118:M118"/>
    <mergeCell ref="C196:M196"/>
    <mergeCell ref="D197:D198"/>
    <mergeCell ref="E197:E198"/>
    <mergeCell ref="H197:H198"/>
    <mergeCell ref="I197:I198"/>
    <mergeCell ref="C129:M129"/>
    <mergeCell ref="C62:M62"/>
    <mergeCell ref="C73:M73"/>
    <mergeCell ref="C1:L1"/>
    <mergeCell ref="B5:M5"/>
    <mergeCell ref="C6:M6"/>
    <mergeCell ref="B50:M50"/>
    <mergeCell ref="C17:M17"/>
    <mergeCell ref="C28:M28"/>
    <mergeCell ref="C38:M38"/>
    <mergeCell ref="C2:K2"/>
    <mergeCell ref="C51:M51"/>
    <mergeCell ref="B140:M140"/>
    <mergeCell ref="C141:M141"/>
    <mergeCell ref="G197:G198"/>
    <mergeCell ref="K197:K198"/>
    <mergeCell ref="L197:L198"/>
    <mergeCell ref="F197:F198"/>
    <mergeCell ref="J197:J198"/>
  </mergeCells>
  <conditionalFormatting sqref="M15">
    <cfRule type="cellIs" dxfId="22" priority="18" operator="notEqual">
      <formula>$M$7</formula>
    </cfRule>
  </conditionalFormatting>
  <conditionalFormatting sqref="M26">
    <cfRule type="cellIs" dxfId="21" priority="17" operator="notEqual">
      <formula>$M$18</formula>
    </cfRule>
  </conditionalFormatting>
  <conditionalFormatting sqref="M37">
    <cfRule type="cellIs" dxfId="20" priority="16" operator="notEqual">
      <formula>$M$29</formula>
    </cfRule>
  </conditionalFormatting>
  <conditionalFormatting sqref="M48">
    <cfRule type="cellIs" dxfId="19" priority="15" operator="notEqual">
      <formula>$M$40</formula>
    </cfRule>
  </conditionalFormatting>
  <conditionalFormatting sqref="M60">
    <cfRule type="cellIs" dxfId="18" priority="14" operator="notEqual">
      <formula>$M$52</formula>
    </cfRule>
  </conditionalFormatting>
  <conditionalFormatting sqref="M71">
    <cfRule type="cellIs" dxfId="17" priority="13" operator="notEqual">
      <formula>$M$63</formula>
    </cfRule>
  </conditionalFormatting>
  <conditionalFormatting sqref="M82">
    <cfRule type="cellIs" dxfId="16" priority="12" operator="notEqual">
      <formula>$M$74</formula>
    </cfRule>
  </conditionalFormatting>
  <conditionalFormatting sqref="M93">
    <cfRule type="cellIs" dxfId="15" priority="11" operator="notEqual">
      <formula>$M$85</formula>
    </cfRule>
  </conditionalFormatting>
  <conditionalFormatting sqref="M105">
    <cfRule type="cellIs" dxfId="14" priority="10" operator="notEqual">
      <formula>$M$97</formula>
    </cfRule>
  </conditionalFormatting>
  <conditionalFormatting sqref="M116">
    <cfRule type="cellIs" dxfId="13" priority="9" operator="notEqual">
      <formula>$M$108</formula>
    </cfRule>
  </conditionalFormatting>
  <conditionalFormatting sqref="M127">
    <cfRule type="cellIs" dxfId="12" priority="8" operator="notEqual">
      <formula>$M$119</formula>
    </cfRule>
  </conditionalFormatting>
  <conditionalFormatting sqref="M138">
    <cfRule type="cellIs" dxfId="11" priority="7" operator="notEqual">
      <formula>$M$130</formula>
    </cfRule>
  </conditionalFormatting>
  <conditionalFormatting sqref="M150">
    <cfRule type="cellIs" dxfId="10" priority="6" operator="notEqual">
      <formula>$M$142</formula>
    </cfRule>
  </conditionalFormatting>
  <conditionalFormatting sqref="M161">
    <cfRule type="cellIs" dxfId="9" priority="5" operator="notEqual">
      <formula>$M$153</formula>
    </cfRule>
  </conditionalFormatting>
  <conditionalFormatting sqref="M172">
    <cfRule type="cellIs" dxfId="8" priority="4" operator="notEqual">
      <formula>$M$153</formula>
    </cfRule>
  </conditionalFormatting>
  <conditionalFormatting sqref="M183">
    <cfRule type="cellIs" dxfId="7" priority="3" operator="notEqual">
      <formula>$M$175</formula>
    </cfRule>
  </conditionalFormatting>
  <conditionalFormatting sqref="M194">
    <cfRule type="cellIs" dxfId="6" priority="2" operator="notEqual">
      <formula>$M$186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E126:F126 C205 C193 C47:F47 C126 C104 C81:F81 C92:F92 C115 C70:D70 E104 C137:F137 C149:F149 C160:F160 C171:F171 C182:F182 E193:F193 C14 C25 C36 C59 E11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E103 C204 C192 C46:F46 C125 C114 C80:F80 C91:F91 C103 C35 C69 C136:F136 C148:F148 C159:F159 C170:F170 C181:F181 C58 C13 C24 E125" xr:uid="{9DD30DAD-252C-43C8-B2D2-D70E24558917}"/>
    <dataValidation allowBlank="1" showInputMessage="1" showErrorMessage="1" prompt="Services contracted by an organization which follow the normal procurement processes." sqref="C33 C202 C190 C44:F44 C123 C112 C78:F78 C89:F89 C101 C67 C56 C134:F134 C146:F146 C157:F157 C168:F168 C179:F179 C22 C11" xr:uid="{D2D4883A-DF6E-4599-89E1-C25704DD6B71}"/>
    <dataValidation allowBlank="1" showInputMessage="1" showErrorMessage="1" prompt="Includes staff and non-staff travel paid for by the organization directly related to a project." sqref="E102 C203 C191 C45:F45 C124 C113 C79:F79 C90:F90 C102 C34 C68 C135:F135 C147:F147 C158:F158 C169:F169 C180:F180 C57 C12 C23 E124"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E100 C201 C189 C43:F43 C122 C111 C77:F77 C88:F88 C100 C32 C66 C133:F133 C145:F145 C156:F156 C167:F167 C178:F178 C55 C10 C21 E122"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E99 C200 C188 C42:F42 C121 C110 C76:F76 C87:F87 C99 C31 C65 C132:F132 C144:F144 C155:F155 C166:F166 C177:F177 C54 C9 C20 E121" xr:uid="{F098AF50-6738-49DD-B927-47F3EEE74261}"/>
    <dataValidation allowBlank="1" showInputMessage="1" showErrorMessage="1" prompt="Includes all related staff and temporary staff costs including base salary, post adjustment and all staff entitlements." sqref="C98 C8:D8 C199 C41:F41 C19:D19 C187 C75:F75 C86:F86 C120 E98:F98 C109 C131:F131 C143:F143 C154:F154 C165:F165 C176:F176 E120:F120 C30 C53 C64" xr:uid="{340B5EBB-3C3E-458C-BC5F-57C720FFB61A}"/>
    <dataValidation allowBlank="1" showInputMessage="1" showErrorMessage="1" prompt="Output totals must match the original total from Table 1, and will show as red if not. " sqref="M15" xr:uid="{CB4E1972-F42E-40FE-9670-1760DDE11E59}"/>
  </dataValidations>
  <pageMargins left="0.7" right="0.7" top="0.75" bottom="0.75" header="0.3" footer="0.3"/>
  <pageSetup scale="41" orientation="landscape" r:id="rId1"/>
  <rowBreaks count="1" manualBreakCount="1">
    <brk id="61" max="16383" man="1"/>
  </rowBreaks>
  <customProperties>
    <customPr name="QAA_DRILLPATH_NODE_ID" r:id="rId2"/>
  </customProperties>
  <ignoredErrors>
    <ignoredError sqref="K4:L4 K197:L198 G197:G198 G4"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Table'!$M$191</xm:f>
            <x14:dxf>
              <font>
                <color rgb="FF9C0006"/>
              </font>
              <fill>
                <patternFill>
                  <bgColor rgb="FFFFC7CE"/>
                </patternFill>
              </fill>
            </x14:dxf>
          </x14:cfRule>
          <xm:sqref>M208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E11" sqref="E11"/>
    </sheetView>
  </sheetViews>
  <sheetFormatPr defaultColWidth="8.7265625" defaultRowHeight="14.5" x14ac:dyDescent="0.35"/>
  <cols>
    <col min="2" max="2" width="73.26953125" customWidth="1"/>
  </cols>
  <sheetData>
    <row r="1" spans="2:2" ht="15" thickBot="1" x14ac:dyDescent="0.4"/>
    <row r="2" spans="2:2" ht="15" thickBot="1" x14ac:dyDescent="0.4">
      <c r="B2" s="79" t="s">
        <v>287</v>
      </c>
    </row>
    <row r="3" spans="2:2" x14ac:dyDescent="0.35">
      <c r="B3" s="80"/>
    </row>
    <row r="4" spans="2:2" ht="30.75" customHeight="1" x14ac:dyDescent="0.35">
      <c r="B4" s="81" t="s">
        <v>288</v>
      </c>
    </row>
    <row r="5" spans="2:2" ht="30.75" customHeight="1" x14ac:dyDescent="0.35">
      <c r="B5" s="81"/>
    </row>
    <row r="6" spans="2:2" ht="58" x14ac:dyDescent="0.35">
      <c r="B6" s="81" t="s">
        <v>289</v>
      </c>
    </row>
    <row r="7" spans="2:2" x14ac:dyDescent="0.35">
      <c r="B7" s="81"/>
    </row>
    <row r="8" spans="2:2" ht="58" x14ac:dyDescent="0.35">
      <c r="B8" s="81" t="s">
        <v>290</v>
      </c>
    </row>
    <row r="9" spans="2:2" x14ac:dyDescent="0.35">
      <c r="B9" s="81"/>
    </row>
    <row r="10" spans="2:2" ht="58" x14ac:dyDescent="0.35">
      <c r="B10" s="81" t="s">
        <v>291</v>
      </c>
    </row>
    <row r="11" spans="2:2" x14ac:dyDescent="0.35">
      <c r="B11" s="81"/>
    </row>
    <row r="12" spans="2:2" ht="29" x14ac:dyDescent="0.35">
      <c r="B12" s="81" t="s">
        <v>292</v>
      </c>
    </row>
    <row r="13" spans="2:2" x14ac:dyDescent="0.35">
      <c r="B13" s="81"/>
    </row>
    <row r="14" spans="2:2" ht="58" x14ac:dyDescent="0.35">
      <c r="B14" s="81" t="s">
        <v>293</v>
      </c>
    </row>
    <row r="15" spans="2:2" x14ac:dyDescent="0.35">
      <c r="B15" s="81"/>
    </row>
    <row r="16" spans="2:2" ht="44" thickBot="1" x14ac:dyDescent="0.4">
      <c r="B16" s="82" t="s">
        <v>294</v>
      </c>
    </row>
  </sheetData>
  <pageMargins left="0.7" right="0.7" top="0.75" bottom="0.75" header="0.3" footer="0.3"/>
  <customProperties>
    <customPr name="QAA_DRILLPATH_NODE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sheetView>
  </sheetViews>
  <sheetFormatPr defaultColWidth="8.7265625" defaultRowHeight="14.5" x14ac:dyDescent="0.35"/>
  <cols>
    <col min="2" max="2" width="61.7265625" customWidth="1"/>
    <col min="4" max="4" width="17.7265625" customWidth="1"/>
  </cols>
  <sheetData>
    <row r="1" spans="2:4" ht="15" thickBot="1" x14ac:dyDescent="0.4"/>
    <row r="2" spans="2:4" x14ac:dyDescent="0.35">
      <c r="B2" s="466" t="s">
        <v>295</v>
      </c>
      <c r="C2" s="467"/>
      <c r="D2" s="468"/>
    </row>
    <row r="3" spans="2:4" ht="15" thickBot="1" x14ac:dyDescent="0.4">
      <c r="B3" s="469"/>
      <c r="C3" s="470"/>
      <c r="D3" s="471"/>
    </row>
    <row r="4" spans="2:4" ht="15" thickBot="1" x14ac:dyDescent="0.4"/>
    <row r="5" spans="2:4" x14ac:dyDescent="0.35">
      <c r="B5" s="477" t="s">
        <v>296</v>
      </c>
      <c r="C5" s="478"/>
      <c r="D5" s="479"/>
    </row>
    <row r="6" spans="2:4" ht="15" thickBot="1" x14ac:dyDescent="0.4">
      <c r="B6" s="474"/>
      <c r="C6" s="475"/>
      <c r="D6" s="476"/>
    </row>
    <row r="7" spans="2:4" x14ac:dyDescent="0.35">
      <c r="B7" s="51" t="s">
        <v>297</v>
      </c>
      <c r="C7" s="472">
        <f>SUM('1) Budget Table'!G15:L15,'1) Budget Table'!G25:L25,'1) Budget Table'!G35:L35,'1) Budget Table'!G45:L45)</f>
        <v>567552.98679143703</v>
      </c>
      <c r="D7" s="473"/>
    </row>
    <row r="8" spans="2:4" x14ac:dyDescent="0.35">
      <c r="B8" s="51" t="s">
        <v>298</v>
      </c>
      <c r="C8" s="480">
        <f>SUM(D10:D14)</f>
        <v>0</v>
      </c>
      <c r="D8" s="481"/>
    </row>
    <row r="9" spans="2:4" x14ac:dyDescent="0.35">
      <c r="B9" s="52" t="s">
        <v>299</v>
      </c>
      <c r="C9" s="53" t="s">
        <v>300</v>
      </c>
      <c r="D9" s="54" t="s">
        <v>301</v>
      </c>
    </row>
    <row r="10" spans="2:4" ht="34.9" customHeight="1" x14ac:dyDescent="0.35">
      <c r="B10" s="71"/>
      <c r="C10" s="56"/>
      <c r="D10" s="57">
        <f>$C$7*C10</f>
        <v>0</v>
      </c>
    </row>
    <row r="11" spans="2:4" ht="34.9" customHeight="1" x14ac:dyDescent="0.35">
      <c r="B11" s="71"/>
      <c r="C11" s="56"/>
      <c r="D11" s="57">
        <f>C7*C11</f>
        <v>0</v>
      </c>
    </row>
    <row r="12" spans="2:4" ht="34.9" customHeight="1" x14ac:dyDescent="0.35">
      <c r="B12" s="72"/>
      <c r="C12" s="56"/>
      <c r="D12" s="57">
        <f>C7*C12</f>
        <v>0</v>
      </c>
    </row>
    <row r="13" spans="2:4" ht="34.9" customHeight="1" x14ac:dyDescent="0.35">
      <c r="B13" s="72"/>
      <c r="C13" s="56"/>
      <c r="D13" s="57">
        <f>C7*C13</f>
        <v>0</v>
      </c>
    </row>
    <row r="14" spans="2:4" ht="34.9" customHeight="1" thickBot="1" x14ac:dyDescent="0.4">
      <c r="B14" s="73"/>
      <c r="C14" s="56"/>
      <c r="D14" s="61">
        <f>C7*C14</f>
        <v>0</v>
      </c>
    </row>
    <row r="15" spans="2:4" ht="15" thickBot="1" x14ac:dyDescent="0.4"/>
    <row r="16" spans="2:4" x14ac:dyDescent="0.35">
      <c r="B16" s="477" t="s">
        <v>302</v>
      </c>
      <c r="C16" s="478"/>
      <c r="D16" s="479"/>
    </row>
    <row r="17" spans="2:4" ht="15" thickBot="1" x14ac:dyDescent="0.4">
      <c r="B17" s="482"/>
      <c r="C17" s="483"/>
      <c r="D17" s="484"/>
    </row>
    <row r="18" spans="2:4" x14ac:dyDescent="0.35">
      <c r="B18" s="51" t="s">
        <v>297</v>
      </c>
      <c r="C18" s="472">
        <f>SUM('1) Budget Table'!G57:L57,'1) Budget Table'!G67:L67,'1) Budget Table'!G77:L77,'1) Budget Table'!G87:L87)</f>
        <v>184563.29398434566</v>
      </c>
      <c r="D18" s="473"/>
    </row>
    <row r="19" spans="2:4" x14ac:dyDescent="0.35">
      <c r="B19" s="51" t="s">
        <v>298</v>
      </c>
      <c r="C19" s="480">
        <f>SUM(D21:D25)</f>
        <v>0</v>
      </c>
      <c r="D19" s="481"/>
    </row>
    <row r="20" spans="2:4" x14ac:dyDescent="0.35">
      <c r="B20" s="52" t="s">
        <v>299</v>
      </c>
      <c r="C20" s="53" t="s">
        <v>300</v>
      </c>
      <c r="D20" s="54" t="s">
        <v>301</v>
      </c>
    </row>
    <row r="21" spans="2:4" ht="34.9" customHeight="1" x14ac:dyDescent="0.35">
      <c r="B21" s="55"/>
      <c r="C21" s="56"/>
      <c r="D21" s="57">
        <f>$C$18*C21</f>
        <v>0</v>
      </c>
    </row>
    <row r="22" spans="2:4" ht="34.9" customHeight="1" x14ac:dyDescent="0.35">
      <c r="B22" s="58"/>
      <c r="C22" s="56"/>
      <c r="D22" s="57">
        <f>$C$18*C22</f>
        <v>0</v>
      </c>
    </row>
    <row r="23" spans="2:4" ht="34.9" customHeight="1" x14ac:dyDescent="0.35">
      <c r="B23" s="59"/>
      <c r="C23" s="56"/>
      <c r="D23" s="57">
        <f>$C$18*C23</f>
        <v>0</v>
      </c>
    </row>
    <row r="24" spans="2:4" ht="34.9" customHeight="1" x14ac:dyDescent="0.35">
      <c r="B24" s="59"/>
      <c r="C24" s="56"/>
      <c r="D24" s="57">
        <f>$C$18*C24</f>
        <v>0</v>
      </c>
    </row>
    <row r="25" spans="2:4" ht="34.9" customHeight="1" thickBot="1" x14ac:dyDescent="0.4">
      <c r="B25" s="60"/>
      <c r="C25" s="56"/>
      <c r="D25" s="57">
        <f>$C$18*C25</f>
        <v>0</v>
      </c>
    </row>
    <row r="26" spans="2:4" ht="15" thickBot="1" x14ac:dyDescent="0.4"/>
    <row r="27" spans="2:4" x14ac:dyDescent="0.35">
      <c r="B27" s="477" t="s">
        <v>303</v>
      </c>
      <c r="C27" s="478"/>
      <c r="D27" s="479"/>
    </row>
    <row r="28" spans="2:4" ht="15" thickBot="1" x14ac:dyDescent="0.4">
      <c r="B28" s="474"/>
      <c r="C28" s="475"/>
      <c r="D28" s="476"/>
    </row>
    <row r="29" spans="2:4" x14ac:dyDescent="0.35">
      <c r="B29" s="51" t="s">
        <v>297</v>
      </c>
      <c r="C29" s="472">
        <f>SUM('1) Budget Table'!G99:L99,'1) Budget Table'!G109:L109,'1) Budget Table'!G119:L119,'1) Budget Table'!G129:L129)</f>
        <v>356844.25580731372</v>
      </c>
      <c r="D29" s="473"/>
    </row>
    <row r="30" spans="2:4" x14ac:dyDescent="0.35">
      <c r="B30" s="51" t="s">
        <v>298</v>
      </c>
      <c r="C30" s="480">
        <f>SUM(D32:D36)</f>
        <v>0</v>
      </c>
      <c r="D30" s="481"/>
    </row>
    <row r="31" spans="2:4" x14ac:dyDescent="0.35">
      <c r="B31" s="52" t="s">
        <v>299</v>
      </c>
      <c r="C31" s="53" t="s">
        <v>300</v>
      </c>
      <c r="D31" s="54" t="s">
        <v>301</v>
      </c>
    </row>
    <row r="32" spans="2:4" ht="34.9" customHeight="1" x14ac:dyDescent="0.35">
      <c r="B32" s="55"/>
      <c r="C32" s="56"/>
      <c r="D32" s="57">
        <f>$C$29*C32</f>
        <v>0</v>
      </c>
    </row>
    <row r="33" spans="2:4" ht="34.9" customHeight="1" x14ac:dyDescent="0.35">
      <c r="B33" s="58"/>
      <c r="C33" s="56"/>
      <c r="D33" s="57">
        <f>$C$29*C33</f>
        <v>0</v>
      </c>
    </row>
    <row r="34" spans="2:4" ht="34.9" customHeight="1" x14ac:dyDescent="0.35">
      <c r="B34" s="59"/>
      <c r="C34" s="56"/>
      <c r="D34" s="57">
        <f>$C$29*C34</f>
        <v>0</v>
      </c>
    </row>
    <row r="35" spans="2:4" ht="34.9" customHeight="1" x14ac:dyDescent="0.35">
      <c r="B35" s="59"/>
      <c r="C35" s="56"/>
      <c r="D35" s="57">
        <f>$C$29*C35</f>
        <v>0</v>
      </c>
    </row>
    <row r="36" spans="2:4" ht="34.9" customHeight="1" thickBot="1" x14ac:dyDescent="0.4">
      <c r="B36" s="60"/>
      <c r="C36" s="56"/>
      <c r="D36" s="57">
        <f>$C$29*C36</f>
        <v>0</v>
      </c>
    </row>
    <row r="37" spans="2:4" ht="15" thickBot="1" x14ac:dyDescent="0.4"/>
    <row r="38" spans="2:4" x14ac:dyDescent="0.35">
      <c r="B38" s="477" t="s">
        <v>304</v>
      </c>
      <c r="C38" s="478"/>
      <c r="D38" s="479"/>
    </row>
    <row r="39" spans="2:4" ht="15" thickBot="1" x14ac:dyDescent="0.4">
      <c r="B39" s="474"/>
      <c r="C39" s="475"/>
      <c r="D39" s="476"/>
    </row>
    <row r="40" spans="2:4" x14ac:dyDescent="0.35">
      <c r="B40" s="51" t="s">
        <v>297</v>
      </c>
      <c r="C40" s="472">
        <f>SUM('1) Budget Table'!G141:L141,'1) Budget Table'!G151:L151,'1) Budget Table'!G161:L161,'1) Budget Table'!G171:L171)</f>
        <v>0</v>
      </c>
      <c r="D40" s="473"/>
    </row>
    <row r="41" spans="2:4" x14ac:dyDescent="0.35">
      <c r="B41" s="51" t="s">
        <v>298</v>
      </c>
      <c r="C41" s="480">
        <f>SUM(D43:D47)</f>
        <v>0</v>
      </c>
      <c r="D41" s="481"/>
    </row>
    <row r="42" spans="2:4" x14ac:dyDescent="0.35">
      <c r="B42" s="52" t="s">
        <v>299</v>
      </c>
      <c r="C42" s="53" t="s">
        <v>300</v>
      </c>
      <c r="D42" s="54" t="s">
        <v>301</v>
      </c>
    </row>
    <row r="43" spans="2:4" ht="34.9" customHeight="1" x14ac:dyDescent="0.35">
      <c r="B43" s="55"/>
      <c r="C43" s="56"/>
      <c r="D43" s="57">
        <f>$C$40*C43</f>
        <v>0</v>
      </c>
    </row>
    <row r="44" spans="2:4" ht="34.9" customHeight="1" x14ac:dyDescent="0.35">
      <c r="B44" s="58"/>
      <c r="C44" s="56"/>
      <c r="D44" s="57">
        <f>$C$40*C44</f>
        <v>0</v>
      </c>
    </row>
    <row r="45" spans="2:4" ht="34.9" customHeight="1" x14ac:dyDescent="0.35">
      <c r="B45" s="59"/>
      <c r="C45" s="56"/>
      <c r="D45" s="57">
        <f>$C$40*C45</f>
        <v>0</v>
      </c>
    </row>
    <row r="46" spans="2:4" ht="34.9" customHeight="1" x14ac:dyDescent="0.35">
      <c r="B46" s="59"/>
      <c r="C46" s="56"/>
      <c r="D46" s="57">
        <f>$C$40*C46</f>
        <v>0</v>
      </c>
    </row>
    <row r="47" spans="2:4" ht="34.9" customHeight="1" thickBot="1" x14ac:dyDescent="0.4">
      <c r="B47" s="60"/>
      <c r="C47" s="56"/>
      <c r="D47" s="61">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QAA_DRILLPATH_NODE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O26"/>
  <sheetViews>
    <sheetView showGridLines="0" topLeftCell="A5" zoomScale="70" zoomScaleNormal="70" workbookViewId="0">
      <selection activeCell="T17" sqref="T17"/>
    </sheetView>
  </sheetViews>
  <sheetFormatPr defaultColWidth="8.7265625" defaultRowHeight="14.5" x14ac:dyDescent="0.35"/>
  <cols>
    <col min="1" max="1" width="12.453125" customWidth="1"/>
    <col min="2" max="5" width="20.453125" style="249" customWidth="1"/>
    <col min="6" max="8" width="25.453125" style="249" hidden="1" customWidth="1"/>
    <col min="9" max="9" width="19.7265625" style="249" hidden="1" customWidth="1"/>
    <col min="10" max="11" width="25.453125" style="249" hidden="1" customWidth="1"/>
    <col min="12" max="12" width="24.453125" style="249" customWidth="1"/>
    <col min="13" max="13" width="18.453125" style="371" hidden="1" customWidth="1"/>
    <col min="14" max="14" width="21.7265625" customWidth="1"/>
    <col min="15" max="16" width="15.7265625" bestFit="1" customWidth="1"/>
    <col min="17" max="17" width="11.1796875" bestFit="1" customWidth="1"/>
  </cols>
  <sheetData>
    <row r="1" spans="2:15" ht="15" thickBot="1" x14ac:dyDescent="0.4"/>
    <row r="2" spans="2:15" s="45" customFormat="1" ht="15.5" x14ac:dyDescent="0.35">
      <c r="B2" s="491" t="s">
        <v>305</v>
      </c>
      <c r="C2" s="492"/>
      <c r="D2" s="492"/>
      <c r="E2" s="492"/>
      <c r="F2" s="492"/>
      <c r="G2" s="492"/>
      <c r="H2" s="492"/>
      <c r="I2" s="492"/>
      <c r="J2" s="492"/>
      <c r="K2" s="492"/>
      <c r="L2" s="493"/>
      <c r="M2" s="372"/>
      <c r="N2" s="396"/>
      <c r="O2" s="396"/>
    </row>
    <row r="3" spans="2:15" s="45" customFormat="1" ht="16" thickBot="1" x14ac:dyDescent="0.4">
      <c r="B3" s="494"/>
      <c r="C3" s="495"/>
      <c r="D3" s="495"/>
      <c r="E3" s="495"/>
      <c r="F3" s="495"/>
      <c r="G3" s="495"/>
      <c r="H3" s="495"/>
      <c r="I3" s="495"/>
      <c r="J3" s="495"/>
      <c r="K3" s="495"/>
      <c r="L3" s="496"/>
      <c r="M3" s="372"/>
      <c r="N3" s="396"/>
      <c r="O3" s="396"/>
    </row>
    <row r="4" spans="2:15" s="45" customFormat="1" ht="16" thickBot="1" x14ac:dyDescent="0.4">
      <c r="B4" s="250"/>
      <c r="C4" s="250"/>
      <c r="D4" s="250"/>
      <c r="E4" s="250"/>
      <c r="F4" s="250"/>
      <c r="G4" s="250"/>
      <c r="H4" s="250"/>
      <c r="I4" s="250"/>
      <c r="J4" s="250"/>
      <c r="K4" s="250"/>
      <c r="L4" s="250"/>
      <c r="M4" s="372"/>
      <c r="N4" s="396"/>
      <c r="O4" s="396"/>
    </row>
    <row r="5" spans="2:15" s="45" customFormat="1" ht="24" thickBot="1" x14ac:dyDescent="0.6">
      <c r="B5" s="500" t="s">
        <v>244</v>
      </c>
      <c r="C5" s="501"/>
      <c r="D5" s="501"/>
      <c r="E5" s="501"/>
      <c r="F5" s="501"/>
      <c r="G5" s="501"/>
      <c r="H5" s="501"/>
      <c r="I5" s="501"/>
      <c r="J5" s="501"/>
      <c r="K5" s="501"/>
      <c r="L5" s="502"/>
      <c r="M5" s="372"/>
      <c r="N5" s="396"/>
      <c r="O5" s="396"/>
    </row>
    <row r="6" spans="2:15" s="45" customFormat="1" ht="15.5" x14ac:dyDescent="0.35">
      <c r="B6" s="251"/>
      <c r="C6" s="504" t="str">
        <f>+'1) Budget Table'!D4</f>
        <v>UNDP (Original Budget)</v>
      </c>
      <c r="D6" s="504" t="str">
        <f>+'1) Budget Table'!E4</f>
        <v>UNDP (Expenditures March 2022 - 31 Aug 2023)</v>
      </c>
      <c r="E6" s="504" t="str">
        <f>+'1) Budget Table'!F4</f>
        <v>UNDP (Revised Budget)</v>
      </c>
      <c r="F6" s="497" t="str">
        <f>'1) Budget Table'!G4</f>
        <v xml:space="preserve"> UNDP (NCE 6 months Budget)</v>
      </c>
      <c r="G6" s="505" t="str">
        <f>+'2) By Category'!H4</f>
        <v>WVSI (Original Budget)</v>
      </c>
      <c r="H6" s="486" t="str">
        <f>+'1) Budget Table'!I4</f>
        <v>WVSI(Expenditures March 2022 - 31 Aug 2023)</v>
      </c>
      <c r="I6" s="505" t="str">
        <f>+'2) By Category'!J4</f>
        <v>WVSI (Revised Budget)</v>
      </c>
      <c r="J6" s="499" t="str">
        <f>'1) Budget Table'!K4</f>
        <v>WVSI (NCE 6 months)</v>
      </c>
      <c r="K6" s="464" t="str">
        <f>'1) Budget Table'!L4</f>
        <v>Recipient Organization 3</v>
      </c>
      <c r="L6" s="460" t="s">
        <v>244</v>
      </c>
      <c r="M6" s="485" t="s">
        <v>306</v>
      </c>
      <c r="N6" s="396"/>
      <c r="O6" s="396"/>
    </row>
    <row r="7" spans="2:15" s="45" customFormat="1" ht="52.5" customHeight="1" x14ac:dyDescent="0.35">
      <c r="B7" s="251"/>
      <c r="C7" s="497"/>
      <c r="D7" s="497"/>
      <c r="E7" s="497"/>
      <c r="F7" s="498"/>
      <c r="G7" s="487"/>
      <c r="H7" s="487"/>
      <c r="I7" s="487"/>
      <c r="J7" s="487"/>
      <c r="K7" s="465"/>
      <c r="L7" s="403"/>
      <c r="M7" s="485"/>
      <c r="N7" s="396"/>
      <c r="O7" s="396"/>
    </row>
    <row r="8" spans="2:15" s="45" customFormat="1" ht="31" x14ac:dyDescent="0.35">
      <c r="B8" s="262" t="s">
        <v>266</v>
      </c>
      <c r="C8" s="356">
        <f>+'2) By Category'!D199</f>
        <v>251000</v>
      </c>
      <c r="D8" s="356">
        <f>+'2) By Category'!E199</f>
        <v>125887.29</v>
      </c>
      <c r="E8" s="356">
        <f>+'2) By Category'!F199</f>
        <v>251000</v>
      </c>
      <c r="F8" s="357">
        <f>'2) By Category'!G199</f>
        <v>125113</v>
      </c>
      <c r="G8" s="350">
        <f>+'2) By Category'!H199</f>
        <v>77063.205817860318</v>
      </c>
      <c r="H8" s="390">
        <f>+'2) By Category'!I199</f>
        <v>69202.499120673761</v>
      </c>
      <c r="I8" s="351">
        <f>+'2) By Category'!J199</f>
        <v>77063.198863388403</v>
      </c>
      <c r="J8" s="351">
        <f>'2) By Category'!K199</f>
        <v>7860.6997427146416</v>
      </c>
      <c r="K8" s="252">
        <f>'2) By Category'!L199</f>
        <v>0</v>
      </c>
      <c r="L8" s="253">
        <f>+E8+I8</f>
        <v>328063.19886338839</v>
      </c>
      <c r="M8" s="372">
        <f>+((I8+E8)-(C8+G8))/(C8+G8)</f>
        <v>-2.1198573343794159E-8</v>
      </c>
      <c r="N8" s="397"/>
      <c r="O8" s="396"/>
    </row>
    <row r="9" spans="2:15" s="45" customFormat="1" ht="46.5" x14ac:dyDescent="0.35">
      <c r="B9" s="263" t="s">
        <v>267</v>
      </c>
      <c r="C9" s="358">
        <f>+'2) By Category'!D200</f>
        <v>82000</v>
      </c>
      <c r="D9" s="358">
        <f>+'2) By Category'!E200</f>
        <v>42960.19</v>
      </c>
      <c r="E9" s="358">
        <f>+'2) By Category'!F200</f>
        <v>82960.19</v>
      </c>
      <c r="F9" s="359">
        <f>'2) By Category'!G200</f>
        <v>40000</v>
      </c>
      <c r="G9" s="351">
        <f>+'2) By Category'!H200</f>
        <v>104467.28923076924</v>
      </c>
      <c r="H9" s="391">
        <f>+'2) By Category'!I200</f>
        <v>36599.370000000003</v>
      </c>
      <c r="I9" s="351">
        <f>+'2) By Category'!J200</f>
        <v>90599.37000000001</v>
      </c>
      <c r="J9" s="351">
        <f>'2) By Category'!K200</f>
        <v>54000</v>
      </c>
      <c r="K9" s="252">
        <f>'2) By Category'!L200</f>
        <v>0</v>
      </c>
      <c r="L9" s="253">
        <f t="shared" ref="L9:L14" si="0">+E9+I9</f>
        <v>173559.56</v>
      </c>
      <c r="M9" s="372">
        <f t="shared" ref="M9:M17" si="1">+((I9+E9)-(C9+G9))/(C9+G9)</f>
        <v>-6.9222485530933103E-2</v>
      </c>
      <c r="N9" s="396"/>
      <c r="O9" s="396"/>
    </row>
    <row r="10" spans="2:15" s="45" customFormat="1" ht="62" x14ac:dyDescent="0.35">
      <c r="B10" s="263" t="s">
        <v>268</v>
      </c>
      <c r="C10" s="358">
        <f>+'2) By Category'!D201</f>
        <v>17000</v>
      </c>
      <c r="D10" s="358">
        <f>+'2) By Category'!E201</f>
        <v>0</v>
      </c>
      <c r="E10" s="358">
        <f>+'2) By Category'!F201</f>
        <v>15000</v>
      </c>
      <c r="F10" s="359">
        <f>'2) By Category'!G201</f>
        <v>11680.33</v>
      </c>
      <c r="G10" s="351">
        <f>+'2) By Category'!H201</f>
        <v>6153.8446153846153</v>
      </c>
      <c r="H10" s="391">
        <f>+'2) By Category'!I201</f>
        <v>6564.4800000000014</v>
      </c>
      <c r="I10" s="351">
        <f>+'2) By Category'!J201</f>
        <v>6564.4800000000014</v>
      </c>
      <c r="J10" s="351">
        <f>'2) By Category'!K201</f>
        <v>0</v>
      </c>
      <c r="K10" s="252">
        <f>'2) By Category'!L201</f>
        <v>0</v>
      </c>
      <c r="L10" s="253">
        <f t="shared" si="0"/>
        <v>21564.480000000003</v>
      </c>
      <c r="M10" s="372">
        <f t="shared" si="1"/>
        <v>-6.8643659046090197E-2</v>
      </c>
      <c r="N10" s="396"/>
      <c r="O10" s="396"/>
    </row>
    <row r="11" spans="2:15" s="45" customFormat="1" ht="31" x14ac:dyDescent="0.35">
      <c r="B11" s="264" t="s">
        <v>269</v>
      </c>
      <c r="C11" s="360">
        <f>+'2) By Category'!D202</f>
        <v>398000</v>
      </c>
      <c r="D11" s="360">
        <f>+'2) By Category'!E202</f>
        <v>173389.33</v>
      </c>
      <c r="E11" s="360">
        <f>+'2) By Category'!F202</f>
        <v>410116.51</v>
      </c>
      <c r="F11" s="359">
        <f>'2) By Category'!G202</f>
        <v>241046.18</v>
      </c>
      <c r="G11" s="351">
        <f>+'2) By Category'!H202</f>
        <v>0</v>
      </c>
      <c r="H11" s="391">
        <f>+'2) By Category'!I202</f>
        <v>0</v>
      </c>
      <c r="I11" s="351">
        <f>+'2) By Category'!J202</f>
        <v>14628.36710632981</v>
      </c>
      <c r="J11" s="351">
        <f>'2) By Category'!K202</f>
        <v>14628.36710632981</v>
      </c>
      <c r="K11" s="252">
        <f>'2) By Category'!L202</f>
        <v>0</v>
      </c>
      <c r="L11" s="253">
        <f t="shared" si="0"/>
        <v>424744.87710632983</v>
      </c>
      <c r="M11" s="372">
        <f t="shared" si="1"/>
        <v>6.7198183684245807E-2</v>
      </c>
      <c r="N11" s="396"/>
      <c r="O11" s="396"/>
    </row>
    <row r="12" spans="2:15" s="45" customFormat="1" ht="15.5" x14ac:dyDescent="0.35">
      <c r="B12" s="263" t="s">
        <v>270</v>
      </c>
      <c r="C12" s="358">
        <f>+'2) By Category'!D203</f>
        <v>167000</v>
      </c>
      <c r="D12" s="358">
        <f>+'2) By Category'!E203</f>
        <v>107438.52</v>
      </c>
      <c r="E12" s="358">
        <f>+'2) By Category'!F203</f>
        <v>156923.29999999999</v>
      </c>
      <c r="F12" s="359">
        <f>'2) By Category'!G203</f>
        <v>44485.520000000004</v>
      </c>
      <c r="G12" s="351">
        <f>+'2) By Category'!H203</f>
        <v>159755.12974358976</v>
      </c>
      <c r="H12" s="391">
        <f>+'2) By Category'!I203</f>
        <v>72909.8</v>
      </c>
      <c r="I12" s="351">
        <f>+'2) By Category'!J203</f>
        <v>158584.05000000002</v>
      </c>
      <c r="J12" s="351">
        <f>'2) By Category'!K203</f>
        <v>85674.25</v>
      </c>
      <c r="K12" s="252">
        <f>'2) By Category'!L203</f>
        <v>0</v>
      </c>
      <c r="L12" s="253">
        <f t="shared" si="0"/>
        <v>315507.34999999998</v>
      </c>
      <c r="M12" s="372">
        <f t="shared" si="1"/>
        <v>-3.4422656967669128E-2</v>
      </c>
      <c r="N12" s="396"/>
      <c r="O12" s="396"/>
    </row>
    <row r="13" spans="2:15" s="45" customFormat="1" ht="46.5" x14ac:dyDescent="0.35">
      <c r="B13" s="263" t="s">
        <v>271</v>
      </c>
      <c r="C13" s="358">
        <f>+'2) By Category'!D204</f>
        <v>105000</v>
      </c>
      <c r="D13" s="358">
        <f>+'2) By Category'!E204</f>
        <v>100000</v>
      </c>
      <c r="E13" s="358">
        <f>+'2) By Category'!F204</f>
        <v>102000</v>
      </c>
      <c r="F13" s="359">
        <f>'2) By Category'!G204</f>
        <v>2000</v>
      </c>
      <c r="G13" s="351">
        <f>+'2) By Category'!H204</f>
        <v>0</v>
      </c>
      <c r="H13" s="391">
        <f>+'2) By Category'!I204</f>
        <v>0</v>
      </c>
      <c r="I13" s="351">
        <f>+'2) By Category'!J204</f>
        <v>0</v>
      </c>
      <c r="J13" s="351">
        <f>'2) By Category'!K204</f>
        <v>0</v>
      </c>
      <c r="K13" s="252">
        <f>'2) By Category'!L204</f>
        <v>0</v>
      </c>
      <c r="L13" s="253">
        <f t="shared" si="0"/>
        <v>102000</v>
      </c>
      <c r="M13" s="372">
        <f t="shared" si="1"/>
        <v>-2.8571428571428571E-2</v>
      </c>
      <c r="N13" s="396"/>
      <c r="O13" s="396"/>
    </row>
    <row r="14" spans="2:15" s="45" customFormat="1" ht="31.5" thickBot="1" x14ac:dyDescent="0.4">
      <c r="B14" s="265" t="s">
        <v>272</v>
      </c>
      <c r="C14" s="361">
        <f>+'2) By Category'!D205</f>
        <v>8000</v>
      </c>
      <c r="D14" s="361">
        <f>+'2) By Category'!E205</f>
        <v>7000</v>
      </c>
      <c r="E14" s="361">
        <f>+'2) By Category'!F205</f>
        <v>10000</v>
      </c>
      <c r="F14" s="362">
        <f>'2) By Category'!G205</f>
        <v>4000</v>
      </c>
      <c r="G14" s="352">
        <f>+'2) By Category'!H205</f>
        <v>26392.31</v>
      </c>
      <c r="H14" s="392">
        <f>+'2) By Category'!I205</f>
        <v>13004.41</v>
      </c>
      <c r="I14" s="352">
        <f>+'2) By Category'!J205</f>
        <v>26392.307692307688</v>
      </c>
      <c r="J14" s="352">
        <f>'2) By Category'!K205</f>
        <v>13387.897692307688</v>
      </c>
      <c r="K14" s="254">
        <f>'2) By Category'!L205</f>
        <v>0</v>
      </c>
      <c r="L14" s="253">
        <f t="shared" si="0"/>
        <v>36392.307692307688</v>
      </c>
      <c r="M14" s="372">
        <f t="shared" si="1"/>
        <v>5.8152467580912429E-2</v>
      </c>
      <c r="N14" s="398"/>
      <c r="O14" s="397"/>
    </row>
    <row r="15" spans="2:15" s="45" customFormat="1" ht="30" customHeight="1" x14ac:dyDescent="0.35">
      <c r="B15" s="255" t="s">
        <v>307</v>
      </c>
      <c r="C15" s="363">
        <f>SUM(C8:C14)</f>
        <v>1028000</v>
      </c>
      <c r="D15" s="363">
        <f>SUM(D8:D14)</f>
        <v>556675.32999999996</v>
      </c>
      <c r="E15" s="363">
        <f>SUM(E8:E14)</f>
        <v>1028000</v>
      </c>
      <c r="F15" s="364">
        <f>SUM(F8:F14)</f>
        <v>468325.03</v>
      </c>
      <c r="G15" s="353">
        <f t="shared" ref="G15" si="2">SUM(G8:G14)</f>
        <v>373831.77940760396</v>
      </c>
      <c r="H15" s="393">
        <f>SUM(H8:H14)</f>
        <v>198280.55912067377</v>
      </c>
      <c r="I15" s="353">
        <f>SUM(I8:I14)</f>
        <v>373831.77366202598</v>
      </c>
      <c r="J15" s="353">
        <f>SUM(J8:J14)</f>
        <v>175551.21454135215</v>
      </c>
      <c r="K15" s="256">
        <f>SUM(K8:K14)</f>
        <v>0</v>
      </c>
      <c r="L15" s="257">
        <f>SUM(L8:L14)</f>
        <v>1401831.7736620258</v>
      </c>
      <c r="M15" s="372">
        <f t="shared" si="1"/>
        <v>-4.0986214916521298E-9</v>
      </c>
      <c r="N15" s="396"/>
      <c r="O15" s="397"/>
    </row>
    <row r="16" spans="2:15" s="45" customFormat="1" ht="19.5" customHeight="1" x14ac:dyDescent="0.35">
      <c r="B16" s="258" t="s">
        <v>285</v>
      </c>
      <c r="C16" s="365">
        <f>+C15*0.07</f>
        <v>71960</v>
      </c>
      <c r="D16" s="365">
        <f>+D15*0.07</f>
        <v>38967.273099999999</v>
      </c>
      <c r="E16" s="365">
        <f>+E15*0.07</f>
        <v>71960</v>
      </c>
      <c r="F16" s="366">
        <f>F15*0.07</f>
        <v>32782.752100000005</v>
      </c>
      <c r="G16" s="354">
        <f t="shared" ref="G16:I16" si="3">G15*0.07</f>
        <v>26168.224558532278</v>
      </c>
      <c r="H16" s="394">
        <f t="shared" si="3"/>
        <v>13879.639138447166</v>
      </c>
      <c r="I16" s="354">
        <f t="shared" si="3"/>
        <v>26168.224156341821</v>
      </c>
      <c r="J16" s="354">
        <f t="shared" ref="J16:K16" si="4">J15*0.07</f>
        <v>12288.585017894651</v>
      </c>
      <c r="K16" s="259">
        <f t="shared" si="4"/>
        <v>0</v>
      </c>
      <c r="L16" s="369">
        <f>L15*0.07</f>
        <v>98128.224156341821</v>
      </c>
      <c r="M16" s="372">
        <f t="shared" si="1"/>
        <v>-4.0986215984244577E-9</v>
      </c>
      <c r="N16" s="396"/>
      <c r="O16" s="398"/>
    </row>
    <row r="17" spans="2:13" s="45" customFormat="1" ht="25.5" customHeight="1" thickBot="1" x14ac:dyDescent="0.4">
      <c r="B17" s="260" t="s">
        <v>14</v>
      </c>
      <c r="C17" s="367">
        <f>+C16+C15</f>
        <v>1099960</v>
      </c>
      <c r="D17" s="367">
        <f>+D15+D16</f>
        <v>595642.60309999995</v>
      </c>
      <c r="E17" s="367">
        <f>+E15+E16</f>
        <v>1099960</v>
      </c>
      <c r="F17" s="368">
        <f>F15+F16</f>
        <v>501107.78210000001</v>
      </c>
      <c r="G17" s="355">
        <f t="shared" ref="G17:I17" si="5">G15+G16</f>
        <v>400000.00396613625</v>
      </c>
      <c r="H17" s="395">
        <f t="shared" si="5"/>
        <v>212160.19825912095</v>
      </c>
      <c r="I17" s="355">
        <f t="shared" si="5"/>
        <v>399999.99781836779</v>
      </c>
      <c r="J17" s="355">
        <f t="shared" ref="J17:K17" si="6">J15+J16</f>
        <v>187839.79955924681</v>
      </c>
      <c r="K17" s="261">
        <f t="shared" si="6"/>
        <v>0</v>
      </c>
      <c r="L17" s="370">
        <f>L15+L16</f>
        <v>1499959.9978183676</v>
      </c>
      <c r="M17" s="372">
        <f t="shared" si="1"/>
        <v>-4.0986216732648743E-9</v>
      </c>
    </row>
    <row r="18" spans="2:13" s="45" customFormat="1" ht="15.5" x14ac:dyDescent="0.35">
      <c r="B18" s="250"/>
      <c r="C18" s="250"/>
      <c r="D18" s="250"/>
      <c r="E18" s="250"/>
      <c r="F18" s="250"/>
      <c r="G18" s="250"/>
      <c r="H18" s="250"/>
      <c r="I18" s="250"/>
      <c r="J18" s="250"/>
      <c r="K18" s="250"/>
      <c r="L18" s="250"/>
      <c r="M18" s="372"/>
    </row>
    <row r="19" spans="2:13" s="45" customFormat="1" ht="15.75" customHeight="1" thickBot="1" x14ac:dyDescent="0.4">
      <c r="B19" s="396"/>
      <c r="C19" s="270"/>
      <c r="D19" s="270"/>
      <c r="E19" s="270"/>
      <c r="F19" s="27"/>
      <c r="G19" s="270"/>
      <c r="H19" s="27"/>
      <c r="I19" s="270"/>
      <c r="J19" s="270"/>
      <c r="K19" s="270"/>
      <c r="L19" s="270"/>
      <c r="M19" s="372"/>
    </row>
    <row r="20" spans="2:13" ht="15.75" customHeight="1" x14ac:dyDescent="0.35">
      <c r="B20" s="503"/>
      <c r="C20" s="268"/>
      <c r="D20" s="488" t="s">
        <v>247</v>
      </c>
      <c r="E20" s="489"/>
      <c r="F20" s="489"/>
      <c r="G20" s="489"/>
      <c r="H20" s="489"/>
      <c r="I20" s="489"/>
      <c r="J20" s="489"/>
      <c r="K20" s="489"/>
      <c r="L20" s="490"/>
    </row>
    <row r="21" spans="2:13" ht="15.75" customHeight="1" x14ac:dyDescent="0.35">
      <c r="B21" s="503"/>
      <c r="C21" s="268"/>
      <c r="D21" s="373"/>
      <c r="E21" s="374" t="s">
        <v>248</v>
      </c>
      <c r="F21" s="62" t="s">
        <v>308</v>
      </c>
      <c r="G21" s="64" t="s">
        <v>249</v>
      </c>
      <c r="H21" s="64" t="s">
        <v>286</v>
      </c>
      <c r="I21" s="64" t="s">
        <v>250</v>
      </c>
      <c r="J21" s="64"/>
      <c r="K21" s="62"/>
      <c r="L21" s="375"/>
    </row>
    <row r="22" spans="2:13" ht="23.25" customHeight="1" x14ac:dyDescent="0.35">
      <c r="C22" s="268"/>
      <c r="D22" s="266" t="s">
        <v>309</v>
      </c>
      <c r="E22" s="376">
        <f>+'1) Budget Table'!D197</f>
        <v>769972</v>
      </c>
      <c r="F22" s="248">
        <v>0</v>
      </c>
      <c r="G22" s="248">
        <v>280000</v>
      </c>
      <c r="H22" s="377">
        <f>+E22+G22</f>
        <v>1049972</v>
      </c>
      <c r="I22" s="384">
        <v>0.7</v>
      </c>
      <c r="J22" s="377"/>
      <c r="K22" s="62"/>
      <c r="L22" s="378"/>
    </row>
    <row r="23" spans="2:13" ht="24.75" customHeight="1" x14ac:dyDescent="0.35">
      <c r="C23" s="268"/>
      <c r="D23" s="266" t="s">
        <v>310</v>
      </c>
      <c r="E23" s="376">
        <v>329988</v>
      </c>
      <c r="F23" s="376">
        <v>0</v>
      </c>
      <c r="G23" s="376">
        <v>120000</v>
      </c>
      <c r="H23" s="377">
        <f>+E23+G23</f>
        <v>449988</v>
      </c>
      <c r="I23" s="385">
        <v>0.3</v>
      </c>
      <c r="J23" s="379"/>
      <c r="K23" s="271"/>
      <c r="L23" s="378"/>
    </row>
    <row r="24" spans="2:13" ht="24.75" customHeight="1" x14ac:dyDescent="0.35">
      <c r="C24" s="268"/>
      <c r="D24" s="266" t="s">
        <v>253</v>
      </c>
      <c r="E24" s="376"/>
      <c r="F24" s="376"/>
      <c r="G24" s="376"/>
      <c r="H24" s="379"/>
      <c r="I24" s="386">
        <v>0</v>
      </c>
      <c r="J24" s="379"/>
      <c r="K24" s="271"/>
      <c r="L24" s="380"/>
    </row>
    <row r="25" spans="2:13" ht="16" thickBot="1" x14ac:dyDescent="0.4">
      <c r="C25" s="268"/>
      <c r="D25" s="267" t="s">
        <v>286</v>
      </c>
      <c r="E25" s="381">
        <f>SUM(E22:E24)</f>
        <v>1099960</v>
      </c>
      <c r="F25" s="382">
        <f>SUM(F22:F24)</f>
        <v>0</v>
      </c>
      <c r="G25" s="382">
        <f>SUM(G22:G24)</f>
        <v>400000</v>
      </c>
      <c r="H25" s="382">
        <f>SUM(H22:H24)</f>
        <v>1499960</v>
      </c>
      <c r="I25" s="387">
        <v>1</v>
      </c>
      <c r="J25" s="382"/>
      <c r="K25" s="272"/>
      <c r="L25" s="383"/>
    </row>
    <row r="26" spans="2:13" x14ac:dyDescent="0.35">
      <c r="G26" s="269"/>
      <c r="H26" s="269"/>
      <c r="I26" s="269"/>
      <c r="J26" s="269"/>
      <c r="K26"/>
    </row>
  </sheetData>
  <sheetProtection formatCells="0" formatColumns="0" formatRows="0"/>
  <mergeCells count="15">
    <mergeCell ref="M6:M7"/>
    <mergeCell ref="H6:H7"/>
    <mergeCell ref="D20:L20"/>
    <mergeCell ref="B2:L3"/>
    <mergeCell ref="F6:F7"/>
    <mergeCell ref="J6:J7"/>
    <mergeCell ref="K6:K7"/>
    <mergeCell ref="B5:L5"/>
    <mergeCell ref="L6:L7"/>
    <mergeCell ref="B20:B21"/>
    <mergeCell ref="C6:C7"/>
    <mergeCell ref="D6:D7"/>
    <mergeCell ref="G6:G7"/>
    <mergeCell ref="E6:E7"/>
    <mergeCell ref="I6:I7"/>
  </mergeCells>
  <dataValidations count="7">
    <dataValidation allowBlank="1" showInputMessage="1" showErrorMessage="1" prompt="Includes all related staff and temporary staff costs including base salary, post adjustment and all staff entitlements." sqref="B8:E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E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E10" xr:uid="{77711502-57BE-4DB4-AF61-EF9806395508}"/>
    <dataValidation allowBlank="1" showInputMessage="1" showErrorMessage="1" prompt="Includes staff and non-staff travel paid for by the organization directly related to a project." sqref="B12:E12" xr:uid="{7599ADEE-72AD-45B4-93A0-EDFAEB4D5077}"/>
    <dataValidation allowBlank="1" showInputMessage="1" showErrorMessage="1" prompt="Services contracted by an organization which follow the normal procurement processes." sqref="B11:E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E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E14" xr:uid="{D281C19F-1EF8-4A9D-BA14-51718AA1EA2B}"/>
  </dataValidations>
  <pageMargins left="0.7" right="0.7" top="0.75" bottom="0.75" header="0.3" footer="0.3"/>
  <pageSetup scale="61" orientation="landscape" r:id="rId1"/>
  <customProperties>
    <customPr name="QAA_DRILLPATH_NODE_ID" r:id="rId2"/>
  </customProperties>
  <ignoredErrors>
    <ignoredError sqref="J6:K7 F6:F7"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Table'!$M$191</xm:f>
            <x14:dxf>
              <font>
                <color rgb="FF9C0006"/>
              </font>
              <fill>
                <patternFill>
                  <bgColor rgb="FFFFC7CE"/>
                </patternFill>
              </fill>
            </x14:dxf>
          </x14:cfRule>
          <xm:sqref>L17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265625" defaultRowHeight="14.5" x14ac:dyDescent="0.35"/>
  <sheetData>
    <row r="1" spans="1:1" x14ac:dyDescent="0.35">
      <c r="A1" s="78">
        <v>0</v>
      </c>
    </row>
    <row r="2" spans="1:1" x14ac:dyDescent="0.35">
      <c r="A2" s="78">
        <v>0.2</v>
      </c>
    </row>
    <row r="3" spans="1:1" x14ac:dyDescent="0.35">
      <c r="A3" s="78">
        <v>0.4</v>
      </c>
    </row>
    <row r="4" spans="1:1" x14ac:dyDescent="0.35">
      <c r="A4" s="78">
        <v>0.6</v>
      </c>
    </row>
    <row r="5" spans="1:1" x14ac:dyDescent="0.35">
      <c r="A5" s="78">
        <v>0.8</v>
      </c>
    </row>
    <row r="6" spans="1:1" x14ac:dyDescent="0.35">
      <c r="A6" s="78">
        <v>1</v>
      </c>
    </row>
  </sheetData>
  <pageMargins left="0.7" right="0.7" top="0.75" bottom="0.75" header="0.3" footer="0.3"/>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265625" defaultRowHeight="14.5" x14ac:dyDescent="0.35"/>
  <sheetData>
    <row r="1" spans="1:2" x14ac:dyDescent="0.35">
      <c r="A1" s="46" t="s">
        <v>311</v>
      </c>
      <c r="B1" s="47" t="s">
        <v>312</v>
      </c>
    </row>
    <row r="2" spans="1:2" x14ac:dyDescent="0.35">
      <c r="A2" s="48" t="s">
        <v>313</v>
      </c>
      <c r="B2" s="49" t="s">
        <v>314</v>
      </c>
    </row>
    <row r="3" spans="1:2" x14ac:dyDescent="0.35">
      <c r="A3" s="48" t="s">
        <v>315</v>
      </c>
      <c r="B3" s="49" t="s">
        <v>316</v>
      </c>
    </row>
    <row r="4" spans="1:2" x14ac:dyDescent="0.35">
      <c r="A4" s="48" t="s">
        <v>317</v>
      </c>
      <c r="B4" s="49" t="s">
        <v>318</v>
      </c>
    </row>
    <row r="5" spans="1:2" x14ac:dyDescent="0.35">
      <c r="A5" s="48" t="s">
        <v>319</v>
      </c>
      <c r="B5" s="49" t="s">
        <v>320</v>
      </c>
    </row>
    <row r="6" spans="1:2" x14ac:dyDescent="0.35">
      <c r="A6" s="48" t="s">
        <v>321</v>
      </c>
      <c r="B6" s="49" t="s">
        <v>322</v>
      </c>
    </row>
    <row r="7" spans="1:2" x14ac:dyDescent="0.35">
      <c r="A7" s="48" t="s">
        <v>323</v>
      </c>
      <c r="B7" s="49" t="s">
        <v>324</v>
      </c>
    </row>
    <row r="8" spans="1:2" x14ac:dyDescent="0.35">
      <c r="A8" s="48" t="s">
        <v>325</v>
      </c>
      <c r="B8" s="49" t="s">
        <v>326</v>
      </c>
    </row>
    <row r="9" spans="1:2" x14ac:dyDescent="0.35">
      <c r="A9" s="48" t="s">
        <v>327</v>
      </c>
      <c r="B9" s="49" t="s">
        <v>328</v>
      </c>
    </row>
    <row r="10" spans="1:2" x14ac:dyDescent="0.35">
      <c r="A10" s="48" t="s">
        <v>329</v>
      </c>
      <c r="B10" s="49" t="s">
        <v>330</v>
      </c>
    </row>
    <row r="11" spans="1:2" x14ac:dyDescent="0.35">
      <c r="A11" s="48" t="s">
        <v>331</v>
      </c>
      <c r="B11" s="49" t="s">
        <v>332</v>
      </c>
    </row>
    <row r="12" spans="1:2" x14ac:dyDescent="0.35">
      <c r="A12" s="48" t="s">
        <v>333</v>
      </c>
      <c r="B12" s="49" t="s">
        <v>334</v>
      </c>
    </row>
    <row r="13" spans="1:2" x14ac:dyDescent="0.35">
      <c r="A13" s="48" t="s">
        <v>335</v>
      </c>
      <c r="B13" s="49" t="s">
        <v>336</v>
      </c>
    </row>
    <row r="14" spans="1:2" x14ac:dyDescent="0.35">
      <c r="A14" s="48" t="s">
        <v>337</v>
      </c>
      <c r="B14" s="49" t="s">
        <v>338</v>
      </c>
    </row>
    <row r="15" spans="1:2" x14ac:dyDescent="0.35">
      <c r="A15" s="48" t="s">
        <v>339</v>
      </c>
      <c r="B15" s="49" t="s">
        <v>340</v>
      </c>
    </row>
    <row r="16" spans="1:2" x14ac:dyDescent="0.35">
      <c r="A16" s="48" t="s">
        <v>341</v>
      </c>
      <c r="B16" s="49" t="s">
        <v>342</v>
      </c>
    </row>
    <row r="17" spans="1:2" x14ac:dyDescent="0.35">
      <c r="A17" s="48" t="s">
        <v>343</v>
      </c>
      <c r="B17" s="49" t="s">
        <v>344</v>
      </c>
    </row>
    <row r="18" spans="1:2" x14ac:dyDescent="0.35">
      <c r="A18" s="48" t="s">
        <v>345</v>
      </c>
      <c r="B18" s="49" t="s">
        <v>346</v>
      </c>
    </row>
    <row r="19" spans="1:2" x14ac:dyDescent="0.35">
      <c r="A19" s="48" t="s">
        <v>347</v>
      </c>
      <c r="B19" s="49" t="s">
        <v>348</v>
      </c>
    </row>
    <row r="20" spans="1:2" x14ac:dyDescent="0.35">
      <c r="A20" s="48" t="s">
        <v>349</v>
      </c>
      <c r="B20" s="49" t="s">
        <v>350</v>
      </c>
    </row>
    <row r="21" spans="1:2" x14ac:dyDescent="0.35">
      <c r="A21" s="48" t="s">
        <v>351</v>
      </c>
      <c r="B21" s="49" t="s">
        <v>352</v>
      </c>
    </row>
    <row r="22" spans="1:2" x14ac:dyDescent="0.35">
      <c r="A22" s="48" t="s">
        <v>353</v>
      </c>
      <c r="B22" s="49" t="s">
        <v>354</v>
      </c>
    </row>
    <row r="23" spans="1:2" x14ac:dyDescent="0.35">
      <c r="A23" s="48" t="s">
        <v>355</v>
      </c>
      <c r="B23" s="49" t="s">
        <v>356</v>
      </c>
    </row>
    <row r="24" spans="1:2" x14ac:dyDescent="0.35">
      <c r="A24" s="48" t="s">
        <v>357</v>
      </c>
      <c r="B24" s="49" t="s">
        <v>358</v>
      </c>
    </row>
    <row r="25" spans="1:2" x14ac:dyDescent="0.35">
      <c r="A25" s="48" t="s">
        <v>359</v>
      </c>
      <c r="B25" s="49" t="s">
        <v>360</v>
      </c>
    </row>
    <row r="26" spans="1:2" x14ac:dyDescent="0.35">
      <c r="A26" s="48" t="s">
        <v>361</v>
      </c>
      <c r="B26" s="49" t="s">
        <v>362</v>
      </c>
    </row>
    <row r="27" spans="1:2" x14ac:dyDescent="0.35">
      <c r="A27" s="48" t="s">
        <v>363</v>
      </c>
      <c r="B27" s="49" t="s">
        <v>364</v>
      </c>
    </row>
    <row r="28" spans="1:2" x14ac:dyDescent="0.35">
      <c r="A28" s="48" t="s">
        <v>365</v>
      </c>
      <c r="B28" s="49" t="s">
        <v>366</v>
      </c>
    </row>
    <row r="29" spans="1:2" x14ac:dyDescent="0.35">
      <c r="A29" s="48" t="s">
        <v>367</v>
      </c>
      <c r="B29" s="49" t="s">
        <v>368</v>
      </c>
    </row>
    <row r="30" spans="1:2" x14ac:dyDescent="0.35">
      <c r="A30" s="48" t="s">
        <v>369</v>
      </c>
      <c r="B30" s="49" t="s">
        <v>370</v>
      </c>
    </row>
    <row r="31" spans="1:2" x14ac:dyDescent="0.35">
      <c r="A31" s="48" t="s">
        <v>371</v>
      </c>
      <c r="B31" s="49" t="s">
        <v>372</v>
      </c>
    </row>
    <row r="32" spans="1:2" x14ac:dyDescent="0.35">
      <c r="A32" s="48" t="s">
        <v>373</v>
      </c>
      <c r="B32" s="49" t="s">
        <v>374</v>
      </c>
    </row>
    <row r="33" spans="1:2" x14ac:dyDescent="0.35">
      <c r="A33" s="48" t="s">
        <v>375</v>
      </c>
      <c r="B33" s="49" t="s">
        <v>376</v>
      </c>
    </row>
    <row r="34" spans="1:2" x14ac:dyDescent="0.35">
      <c r="A34" s="48" t="s">
        <v>377</v>
      </c>
      <c r="B34" s="49" t="s">
        <v>378</v>
      </c>
    </row>
    <row r="35" spans="1:2" x14ac:dyDescent="0.35">
      <c r="A35" s="48" t="s">
        <v>379</v>
      </c>
      <c r="B35" s="49" t="s">
        <v>380</v>
      </c>
    </row>
    <row r="36" spans="1:2" x14ac:dyDescent="0.35">
      <c r="A36" s="48" t="s">
        <v>381</v>
      </c>
      <c r="B36" s="49" t="s">
        <v>382</v>
      </c>
    </row>
    <row r="37" spans="1:2" x14ac:dyDescent="0.35">
      <c r="A37" s="48" t="s">
        <v>383</v>
      </c>
      <c r="B37" s="49" t="s">
        <v>384</v>
      </c>
    </row>
    <row r="38" spans="1:2" x14ac:dyDescent="0.35">
      <c r="A38" s="48" t="s">
        <v>385</v>
      </c>
      <c r="B38" s="49" t="s">
        <v>386</v>
      </c>
    </row>
    <row r="39" spans="1:2" x14ac:dyDescent="0.35">
      <c r="A39" s="48" t="s">
        <v>387</v>
      </c>
      <c r="B39" s="49" t="s">
        <v>388</v>
      </c>
    </row>
    <row r="40" spans="1:2" x14ac:dyDescent="0.35">
      <c r="A40" s="48" t="s">
        <v>389</v>
      </c>
      <c r="B40" s="49" t="s">
        <v>390</v>
      </c>
    </row>
    <row r="41" spans="1:2" x14ac:dyDescent="0.35">
      <c r="A41" s="48" t="s">
        <v>391</v>
      </c>
      <c r="B41" s="49" t="s">
        <v>392</v>
      </c>
    </row>
    <row r="42" spans="1:2" x14ac:dyDescent="0.35">
      <c r="A42" s="48" t="s">
        <v>393</v>
      </c>
      <c r="B42" s="49" t="s">
        <v>394</v>
      </c>
    </row>
    <row r="43" spans="1:2" x14ac:dyDescent="0.35">
      <c r="A43" s="48" t="s">
        <v>395</v>
      </c>
      <c r="B43" s="49" t="s">
        <v>396</v>
      </c>
    </row>
    <row r="44" spans="1:2" x14ac:dyDescent="0.35">
      <c r="A44" s="48" t="s">
        <v>397</v>
      </c>
      <c r="B44" s="49" t="s">
        <v>398</v>
      </c>
    </row>
    <row r="45" spans="1:2" x14ac:dyDescent="0.35">
      <c r="A45" s="48" t="s">
        <v>399</v>
      </c>
      <c r="B45" s="49" t="s">
        <v>400</v>
      </c>
    </row>
    <row r="46" spans="1:2" x14ac:dyDescent="0.35">
      <c r="A46" s="48" t="s">
        <v>401</v>
      </c>
      <c r="B46" s="49" t="s">
        <v>402</v>
      </c>
    </row>
    <row r="47" spans="1:2" x14ac:dyDescent="0.35">
      <c r="A47" s="48" t="s">
        <v>403</v>
      </c>
      <c r="B47" s="49" t="s">
        <v>404</v>
      </c>
    </row>
    <row r="48" spans="1:2" x14ac:dyDescent="0.35">
      <c r="A48" s="48" t="s">
        <v>405</v>
      </c>
      <c r="B48" s="49" t="s">
        <v>406</v>
      </c>
    </row>
    <row r="49" spans="1:2" x14ac:dyDescent="0.35">
      <c r="A49" s="48" t="s">
        <v>407</v>
      </c>
      <c r="B49" s="49" t="s">
        <v>408</v>
      </c>
    </row>
    <row r="50" spans="1:2" x14ac:dyDescent="0.35">
      <c r="A50" s="48" t="s">
        <v>409</v>
      </c>
      <c r="B50" s="49" t="s">
        <v>410</v>
      </c>
    </row>
    <row r="51" spans="1:2" x14ac:dyDescent="0.35">
      <c r="A51" s="48" t="s">
        <v>411</v>
      </c>
      <c r="B51" s="49" t="s">
        <v>412</v>
      </c>
    </row>
    <row r="52" spans="1:2" x14ac:dyDescent="0.35">
      <c r="A52" s="48" t="s">
        <v>413</v>
      </c>
      <c r="B52" s="49" t="s">
        <v>414</v>
      </c>
    </row>
    <row r="53" spans="1:2" x14ac:dyDescent="0.35">
      <c r="A53" s="48" t="s">
        <v>415</v>
      </c>
      <c r="B53" s="49" t="s">
        <v>416</v>
      </c>
    </row>
    <row r="54" spans="1:2" x14ac:dyDescent="0.35">
      <c r="A54" s="48" t="s">
        <v>417</v>
      </c>
      <c r="B54" s="49" t="s">
        <v>418</v>
      </c>
    </row>
    <row r="55" spans="1:2" x14ac:dyDescent="0.35">
      <c r="A55" s="48" t="s">
        <v>419</v>
      </c>
      <c r="B55" s="49" t="s">
        <v>420</v>
      </c>
    </row>
    <row r="56" spans="1:2" x14ac:dyDescent="0.35">
      <c r="A56" s="48" t="s">
        <v>421</v>
      </c>
      <c r="B56" s="49" t="s">
        <v>422</v>
      </c>
    </row>
    <row r="57" spans="1:2" x14ac:dyDescent="0.35">
      <c r="A57" s="48" t="s">
        <v>423</v>
      </c>
      <c r="B57" s="49" t="s">
        <v>424</v>
      </c>
    </row>
    <row r="58" spans="1:2" x14ac:dyDescent="0.35">
      <c r="A58" s="48" t="s">
        <v>425</v>
      </c>
      <c r="B58" s="49" t="s">
        <v>426</v>
      </c>
    </row>
    <row r="59" spans="1:2" x14ac:dyDescent="0.35">
      <c r="A59" s="48" t="s">
        <v>427</v>
      </c>
      <c r="B59" s="49" t="s">
        <v>428</v>
      </c>
    </row>
    <row r="60" spans="1:2" x14ac:dyDescent="0.35">
      <c r="A60" s="48" t="s">
        <v>429</v>
      </c>
      <c r="B60" s="49" t="s">
        <v>430</v>
      </c>
    </row>
    <row r="61" spans="1:2" x14ac:dyDescent="0.35">
      <c r="A61" s="48" t="s">
        <v>431</v>
      </c>
      <c r="B61" s="49" t="s">
        <v>432</v>
      </c>
    </row>
    <row r="62" spans="1:2" x14ac:dyDescent="0.35">
      <c r="A62" s="48" t="s">
        <v>433</v>
      </c>
      <c r="B62" s="49" t="s">
        <v>434</v>
      </c>
    </row>
    <row r="63" spans="1:2" x14ac:dyDescent="0.35">
      <c r="A63" s="48" t="s">
        <v>435</v>
      </c>
      <c r="B63" s="49" t="s">
        <v>436</v>
      </c>
    </row>
    <row r="64" spans="1:2" x14ac:dyDescent="0.35">
      <c r="A64" s="48" t="s">
        <v>437</v>
      </c>
      <c r="B64" s="49" t="s">
        <v>438</v>
      </c>
    </row>
    <row r="65" spans="1:2" x14ac:dyDescent="0.35">
      <c r="A65" s="48" t="s">
        <v>439</v>
      </c>
      <c r="B65" s="49" t="s">
        <v>440</v>
      </c>
    </row>
    <row r="66" spans="1:2" x14ac:dyDescent="0.35">
      <c r="A66" s="48" t="s">
        <v>441</v>
      </c>
      <c r="B66" s="49" t="s">
        <v>442</v>
      </c>
    </row>
    <row r="67" spans="1:2" x14ac:dyDescent="0.35">
      <c r="A67" s="48" t="s">
        <v>443</v>
      </c>
      <c r="B67" s="49" t="s">
        <v>444</v>
      </c>
    </row>
    <row r="68" spans="1:2" x14ac:dyDescent="0.35">
      <c r="A68" s="48" t="s">
        <v>445</v>
      </c>
      <c r="B68" s="49" t="s">
        <v>446</v>
      </c>
    </row>
    <row r="69" spans="1:2" x14ac:dyDescent="0.35">
      <c r="A69" s="48" t="s">
        <v>447</v>
      </c>
      <c r="B69" s="49" t="s">
        <v>448</v>
      </c>
    </row>
    <row r="70" spans="1:2" x14ac:dyDescent="0.35">
      <c r="A70" s="48" t="s">
        <v>449</v>
      </c>
      <c r="B70" s="49" t="s">
        <v>450</v>
      </c>
    </row>
    <row r="71" spans="1:2" x14ac:dyDescent="0.35">
      <c r="A71" s="48" t="s">
        <v>451</v>
      </c>
      <c r="B71" s="49" t="s">
        <v>452</v>
      </c>
    </row>
    <row r="72" spans="1:2" x14ac:dyDescent="0.35">
      <c r="A72" s="48" t="s">
        <v>453</v>
      </c>
      <c r="B72" s="49" t="s">
        <v>454</v>
      </c>
    </row>
    <row r="73" spans="1:2" x14ac:dyDescent="0.35">
      <c r="A73" s="48" t="s">
        <v>455</v>
      </c>
      <c r="B73" s="49" t="s">
        <v>456</v>
      </c>
    </row>
    <row r="74" spans="1:2" x14ac:dyDescent="0.35">
      <c r="A74" s="48" t="s">
        <v>457</v>
      </c>
      <c r="B74" s="49" t="s">
        <v>458</v>
      </c>
    </row>
    <row r="75" spans="1:2" x14ac:dyDescent="0.35">
      <c r="A75" s="48" t="s">
        <v>459</v>
      </c>
      <c r="B75" s="50" t="s">
        <v>460</v>
      </c>
    </row>
    <row r="76" spans="1:2" x14ac:dyDescent="0.35">
      <c r="A76" s="48" t="s">
        <v>461</v>
      </c>
      <c r="B76" s="50" t="s">
        <v>462</v>
      </c>
    </row>
    <row r="77" spans="1:2" x14ac:dyDescent="0.35">
      <c r="A77" s="48" t="s">
        <v>463</v>
      </c>
      <c r="B77" s="50" t="s">
        <v>464</v>
      </c>
    </row>
    <row r="78" spans="1:2" x14ac:dyDescent="0.35">
      <c r="A78" s="48" t="s">
        <v>465</v>
      </c>
      <c r="B78" s="50" t="s">
        <v>466</v>
      </c>
    </row>
    <row r="79" spans="1:2" x14ac:dyDescent="0.35">
      <c r="A79" s="48" t="s">
        <v>467</v>
      </c>
      <c r="B79" s="50" t="s">
        <v>468</v>
      </c>
    </row>
    <row r="80" spans="1:2" x14ac:dyDescent="0.35">
      <c r="A80" s="48" t="s">
        <v>469</v>
      </c>
      <c r="B80" s="50" t="s">
        <v>470</v>
      </c>
    </row>
    <row r="81" spans="1:2" x14ac:dyDescent="0.35">
      <c r="A81" s="48" t="s">
        <v>471</v>
      </c>
      <c r="B81" s="50" t="s">
        <v>472</v>
      </c>
    </row>
    <row r="82" spans="1:2" x14ac:dyDescent="0.35">
      <c r="A82" s="48" t="s">
        <v>473</v>
      </c>
      <c r="B82" s="50" t="s">
        <v>474</v>
      </c>
    </row>
    <row r="83" spans="1:2" x14ac:dyDescent="0.35">
      <c r="A83" s="48" t="s">
        <v>475</v>
      </c>
      <c r="B83" s="50" t="s">
        <v>476</v>
      </c>
    </row>
    <row r="84" spans="1:2" x14ac:dyDescent="0.35">
      <c r="A84" s="48" t="s">
        <v>477</v>
      </c>
      <c r="B84" s="50" t="s">
        <v>478</v>
      </c>
    </row>
    <row r="85" spans="1:2" x14ac:dyDescent="0.35">
      <c r="A85" s="48" t="s">
        <v>479</v>
      </c>
      <c r="B85" s="50" t="s">
        <v>480</v>
      </c>
    </row>
    <row r="86" spans="1:2" x14ac:dyDescent="0.35">
      <c r="A86" s="48" t="s">
        <v>481</v>
      </c>
      <c r="B86" s="50" t="s">
        <v>482</v>
      </c>
    </row>
    <row r="87" spans="1:2" x14ac:dyDescent="0.35">
      <c r="A87" s="48" t="s">
        <v>483</v>
      </c>
      <c r="B87" s="50" t="s">
        <v>484</v>
      </c>
    </row>
    <row r="88" spans="1:2" x14ac:dyDescent="0.35">
      <c r="A88" s="48" t="s">
        <v>485</v>
      </c>
      <c r="B88" s="50" t="s">
        <v>486</v>
      </c>
    </row>
    <row r="89" spans="1:2" x14ac:dyDescent="0.35">
      <c r="A89" s="48" t="s">
        <v>487</v>
      </c>
      <c r="B89" s="50" t="s">
        <v>488</v>
      </c>
    </row>
    <row r="90" spans="1:2" x14ac:dyDescent="0.35">
      <c r="A90" s="48" t="s">
        <v>489</v>
      </c>
      <c r="B90" s="50" t="s">
        <v>490</v>
      </c>
    </row>
    <row r="91" spans="1:2" x14ac:dyDescent="0.35">
      <c r="A91" s="48" t="s">
        <v>491</v>
      </c>
      <c r="B91" s="50" t="s">
        <v>492</v>
      </c>
    </row>
    <row r="92" spans="1:2" x14ac:dyDescent="0.35">
      <c r="A92" s="48" t="s">
        <v>493</v>
      </c>
      <c r="B92" s="50" t="s">
        <v>494</v>
      </c>
    </row>
    <row r="93" spans="1:2" x14ac:dyDescent="0.35">
      <c r="A93" s="48" t="s">
        <v>495</v>
      </c>
      <c r="B93" s="50" t="s">
        <v>496</v>
      </c>
    </row>
    <row r="94" spans="1:2" x14ac:dyDescent="0.35">
      <c r="A94" s="48" t="s">
        <v>497</v>
      </c>
      <c r="B94" s="50" t="s">
        <v>498</v>
      </c>
    </row>
    <row r="95" spans="1:2" x14ac:dyDescent="0.35">
      <c r="A95" s="48" t="s">
        <v>499</v>
      </c>
      <c r="B95" s="50" t="s">
        <v>500</v>
      </c>
    </row>
    <row r="96" spans="1:2" x14ac:dyDescent="0.35">
      <c r="A96" s="48" t="s">
        <v>501</v>
      </c>
      <c r="B96" s="50" t="s">
        <v>502</v>
      </c>
    </row>
    <row r="97" spans="1:2" x14ac:dyDescent="0.35">
      <c r="A97" s="48" t="s">
        <v>503</v>
      </c>
      <c r="B97" s="50" t="s">
        <v>504</v>
      </c>
    </row>
    <row r="98" spans="1:2" x14ac:dyDescent="0.35">
      <c r="A98" s="48" t="s">
        <v>505</v>
      </c>
      <c r="B98" s="50" t="s">
        <v>506</v>
      </c>
    </row>
    <row r="99" spans="1:2" x14ac:dyDescent="0.35">
      <c r="A99" s="48" t="s">
        <v>507</v>
      </c>
      <c r="B99" s="50" t="s">
        <v>508</v>
      </c>
    </row>
    <row r="100" spans="1:2" x14ac:dyDescent="0.35">
      <c r="A100" s="48" t="s">
        <v>509</v>
      </c>
      <c r="B100" s="50" t="s">
        <v>510</v>
      </c>
    </row>
    <row r="101" spans="1:2" x14ac:dyDescent="0.35">
      <c r="A101" s="48" t="s">
        <v>511</v>
      </c>
      <c r="B101" s="50" t="s">
        <v>512</v>
      </c>
    </row>
    <row r="102" spans="1:2" x14ac:dyDescent="0.35">
      <c r="A102" s="48" t="s">
        <v>513</v>
      </c>
      <c r="B102" s="50" t="s">
        <v>514</v>
      </c>
    </row>
    <row r="103" spans="1:2" x14ac:dyDescent="0.35">
      <c r="A103" s="48" t="s">
        <v>515</v>
      </c>
      <c r="B103" s="50" t="s">
        <v>516</v>
      </c>
    </row>
    <row r="104" spans="1:2" x14ac:dyDescent="0.35">
      <c r="A104" s="48" t="s">
        <v>517</v>
      </c>
      <c r="B104" s="50" t="s">
        <v>518</v>
      </c>
    </row>
    <row r="105" spans="1:2" x14ac:dyDescent="0.35">
      <c r="A105" s="48" t="s">
        <v>519</v>
      </c>
      <c r="B105" s="50" t="s">
        <v>520</v>
      </c>
    </row>
    <row r="106" spans="1:2" x14ac:dyDescent="0.35">
      <c r="A106" s="48" t="s">
        <v>521</v>
      </c>
      <c r="B106" s="50" t="s">
        <v>522</v>
      </c>
    </row>
    <row r="107" spans="1:2" x14ac:dyDescent="0.35">
      <c r="A107" s="48" t="s">
        <v>523</v>
      </c>
      <c r="B107" s="50" t="s">
        <v>524</v>
      </c>
    </row>
    <row r="108" spans="1:2" x14ac:dyDescent="0.35">
      <c r="A108" s="48" t="s">
        <v>525</v>
      </c>
      <c r="B108" s="50" t="s">
        <v>526</v>
      </c>
    </row>
    <row r="109" spans="1:2" x14ac:dyDescent="0.35">
      <c r="A109" s="48" t="s">
        <v>527</v>
      </c>
      <c r="B109" s="50" t="s">
        <v>528</v>
      </c>
    </row>
    <row r="110" spans="1:2" x14ac:dyDescent="0.35">
      <c r="A110" s="48" t="s">
        <v>529</v>
      </c>
      <c r="B110" s="50" t="s">
        <v>530</v>
      </c>
    </row>
    <row r="111" spans="1:2" x14ac:dyDescent="0.35">
      <c r="A111" s="48" t="s">
        <v>531</v>
      </c>
      <c r="B111" s="50" t="s">
        <v>532</v>
      </c>
    </row>
    <row r="112" spans="1:2" x14ac:dyDescent="0.35">
      <c r="A112" s="48" t="s">
        <v>533</v>
      </c>
      <c r="B112" s="50" t="s">
        <v>534</v>
      </c>
    </row>
    <row r="113" spans="1:2" x14ac:dyDescent="0.35">
      <c r="A113" s="48" t="s">
        <v>535</v>
      </c>
      <c r="B113" s="50" t="s">
        <v>536</v>
      </c>
    </row>
    <row r="114" spans="1:2" x14ac:dyDescent="0.35">
      <c r="A114" s="48" t="s">
        <v>537</v>
      </c>
      <c r="B114" s="50" t="s">
        <v>538</v>
      </c>
    </row>
    <row r="115" spans="1:2" x14ac:dyDescent="0.35">
      <c r="A115" s="48" t="s">
        <v>539</v>
      </c>
      <c r="B115" s="50" t="s">
        <v>540</v>
      </c>
    </row>
    <row r="116" spans="1:2" x14ac:dyDescent="0.35">
      <c r="A116" s="48" t="s">
        <v>541</v>
      </c>
      <c r="B116" s="50" t="s">
        <v>542</v>
      </c>
    </row>
    <row r="117" spans="1:2" x14ac:dyDescent="0.35">
      <c r="A117" s="48" t="s">
        <v>543</v>
      </c>
      <c r="B117" s="50" t="s">
        <v>544</v>
      </c>
    </row>
    <row r="118" spans="1:2" x14ac:dyDescent="0.35">
      <c r="A118" s="48" t="s">
        <v>545</v>
      </c>
      <c r="B118" s="50" t="s">
        <v>546</v>
      </c>
    </row>
    <row r="119" spans="1:2" x14ac:dyDescent="0.35">
      <c r="A119" s="48" t="s">
        <v>547</v>
      </c>
      <c r="B119" s="50" t="s">
        <v>548</v>
      </c>
    </row>
    <row r="120" spans="1:2" x14ac:dyDescent="0.35">
      <c r="A120" s="48" t="s">
        <v>549</v>
      </c>
      <c r="B120" s="50" t="s">
        <v>550</v>
      </c>
    </row>
    <row r="121" spans="1:2" x14ac:dyDescent="0.35">
      <c r="A121" s="48" t="s">
        <v>551</v>
      </c>
      <c r="B121" s="50" t="s">
        <v>552</v>
      </c>
    </row>
    <row r="122" spans="1:2" x14ac:dyDescent="0.35">
      <c r="A122" s="48" t="s">
        <v>553</v>
      </c>
      <c r="B122" s="50" t="s">
        <v>554</v>
      </c>
    </row>
    <row r="123" spans="1:2" x14ac:dyDescent="0.35">
      <c r="A123" s="48" t="s">
        <v>555</v>
      </c>
      <c r="B123" s="50" t="s">
        <v>556</v>
      </c>
    </row>
    <row r="124" spans="1:2" x14ac:dyDescent="0.35">
      <c r="A124" s="48" t="s">
        <v>557</v>
      </c>
      <c r="B124" s="50" t="s">
        <v>558</v>
      </c>
    </row>
    <row r="125" spans="1:2" x14ac:dyDescent="0.35">
      <c r="A125" s="48" t="s">
        <v>559</v>
      </c>
      <c r="B125" s="50" t="s">
        <v>560</v>
      </c>
    </row>
    <row r="126" spans="1:2" x14ac:dyDescent="0.35">
      <c r="A126" s="48" t="s">
        <v>561</v>
      </c>
      <c r="B126" s="50" t="s">
        <v>562</v>
      </c>
    </row>
    <row r="127" spans="1:2" x14ac:dyDescent="0.35">
      <c r="A127" s="48" t="s">
        <v>563</v>
      </c>
      <c r="B127" s="50" t="s">
        <v>564</v>
      </c>
    </row>
    <row r="128" spans="1:2" x14ac:dyDescent="0.35">
      <c r="A128" s="48" t="s">
        <v>565</v>
      </c>
      <c r="B128" s="50" t="s">
        <v>566</v>
      </c>
    </row>
    <row r="129" spans="1:2" x14ac:dyDescent="0.35">
      <c r="A129" s="48" t="s">
        <v>567</v>
      </c>
      <c r="B129" s="50" t="s">
        <v>568</v>
      </c>
    </row>
    <row r="130" spans="1:2" x14ac:dyDescent="0.35">
      <c r="A130" s="48" t="s">
        <v>569</v>
      </c>
      <c r="B130" s="50" t="s">
        <v>570</v>
      </c>
    </row>
    <row r="131" spans="1:2" x14ac:dyDescent="0.35">
      <c r="A131" s="48" t="s">
        <v>571</v>
      </c>
      <c r="B131" s="50" t="s">
        <v>572</v>
      </c>
    </row>
    <row r="132" spans="1:2" x14ac:dyDescent="0.35">
      <c r="A132" s="48" t="s">
        <v>573</v>
      </c>
      <c r="B132" s="50" t="s">
        <v>574</v>
      </c>
    </row>
    <row r="133" spans="1:2" x14ac:dyDescent="0.35">
      <c r="A133" s="48" t="s">
        <v>575</v>
      </c>
      <c r="B133" s="50" t="s">
        <v>576</v>
      </c>
    </row>
    <row r="134" spans="1:2" x14ac:dyDescent="0.35">
      <c r="A134" s="48" t="s">
        <v>577</v>
      </c>
      <c r="B134" s="50" t="s">
        <v>578</v>
      </c>
    </row>
    <row r="135" spans="1:2" x14ac:dyDescent="0.35">
      <c r="A135" s="48" t="s">
        <v>579</v>
      </c>
      <c r="B135" s="50" t="s">
        <v>580</v>
      </c>
    </row>
    <row r="136" spans="1:2" x14ac:dyDescent="0.35">
      <c r="A136" s="48" t="s">
        <v>581</v>
      </c>
      <c r="B136" s="50" t="s">
        <v>582</v>
      </c>
    </row>
    <row r="137" spans="1:2" x14ac:dyDescent="0.35">
      <c r="A137" s="48" t="s">
        <v>583</v>
      </c>
      <c r="B137" s="50" t="s">
        <v>584</v>
      </c>
    </row>
    <row r="138" spans="1:2" x14ac:dyDescent="0.35">
      <c r="A138" s="48" t="s">
        <v>585</v>
      </c>
      <c r="B138" s="50" t="s">
        <v>586</v>
      </c>
    </row>
    <row r="139" spans="1:2" x14ac:dyDescent="0.35">
      <c r="A139" s="48" t="s">
        <v>587</v>
      </c>
      <c r="B139" s="50" t="s">
        <v>588</v>
      </c>
    </row>
    <row r="140" spans="1:2" x14ac:dyDescent="0.35">
      <c r="A140" s="48" t="s">
        <v>589</v>
      </c>
      <c r="B140" s="50" t="s">
        <v>590</v>
      </c>
    </row>
    <row r="141" spans="1:2" x14ac:dyDescent="0.35">
      <c r="A141" s="48" t="s">
        <v>591</v>
      </c>
      <c r="B141" s="50" t="s">
        <v>592</v>
      </c>
    </row>
    <row r="142" spans="1:2" x14ac:dyDescent="0.35">
      <c r="A142" s="48" t="s">
        <v>593</v>
      </c>
      <c r="B142" s="50" t="s">
        <v>594</v>
      </c>
    </row>
    <row r="143" spans="1:2" x14ac:dyDescent="0.35">
      <c r="A143" s="48" t="s">
        <v>595</v>
      </c>
      <c r="B143" s="50" t="s">
        <v>596</v>
      </c>
    </row>
    <row r="144" spans="1:2" x14ac:dyDescent="0.35">
      <c r="A144" s="48" t="s">
        <v>597</v>
      </c>
      <c r="B144" s="50" t="s">
        <v>598</v>
      </c>
    </row>
    <row r="145" spans="1:2" x14ac:dyDescent="0.35">
      <c r="A145" s="48" t="s">
        <v>599</v>
      </c>
      <c r="B145" s="50" t="s">
        <v>600</v>
      </c>
    </row>
    <row r="146" spans="1:2" x14ac:dyDescent="0.35">
      <c r="A146" s="48" t="s">
        <v>601</v>
      </c>
      <c r="B146" s="50" t="s">
        <v>602</v>
      </c>
    </row>
    <row r="147" spans="1:2" x14ac:dyDescent="0.35">
      <c r="A147" s="48" t="s">
        <v>603</v>
      </c>
      <c r="B147" s="50" t="s">
        <v>604</v>
      </c>
    </row>
    <row r="148" spans="1:2" x14ac:dyDescent="0.35">
      <c r="A148" s="48" t="s">
        <v>605</v>
      </c>
      <c r="B148" s="50" t="s">
        <v>606</v>
      </c>
    </row>
    <row r="149" spans="1:2" x14ac:dyDescent="0.35">
      <c r="A149" s="48" t="s">
        <v>607</v>
      </c>
      <c r="B149" s="50" t="s">
        <v>608</v>
      </c>
    </row>
    <row r="150" spans="1:2" x14ac:dyDescent="0.35">
      <c r="A150" s="48" t="s">
        <v>609</v>
      </c>
      <c r="B150" s="50" t="s">
        <v>610</v>
      </c>
    </row>
    <row r="151" spans="1:2" x14ac:dyDescent="0.35">
      <c r="A151" s="48" t="s">
        <v>611</v>
      </c>
      <c r="B151" s="50" t="s">
        <v>612</v>
      </c>
    </row>
    <row r="152" spans="1:2" x14ac:dyDescent="0.35">
      <c r="A152" s="48" t="s">
        <v>613</v>
      </c>
      <c r="B152" s="50" t="s">
        <v>614</v>
      </c>
    </row>
    <row r="153" spans="1:2" x14ac:dyDescent="0.35">
      <c r="A153" s="48" t="s">
        <v>615</v>
      </c>
      <c r="B153" s="50" t="s">
        <v>616</v>
      </c>
    </row>
    <row r="154" spans="1:2" x14ac:dyDescent="0.35">
      <c r="A154" s="48" t="s">
        <v>617</v>
      </c>
      <c r="B154" s="50" t="s">
        <v>618</v>
      </c>
    </row>
    <row r="155" spans="1:2" x14ac:dyDescent="0.35">
      <c r="A155" s="48" t="s">
        <v>619</v>
      </c>
      <c r="B155" s="50" t="s">
        <v>620</v>
      </c>
    </row>
    <row r="156" spans="1:2" x14ac:dyDescent="0.35">
      <c r="A156" s="48" t="s">
        <v>621</v>
      </c>
      <c r="B156" s="50" t="s">
        <v>622</v>
      </c>
    </row>
    <row r="157" spans="1:2" x14ac:dyDescent="0.35">
      <c r="A157" s="48" t="s">
        <v>623</v>
      </c>
      <c r="B157" s="50" t="s">
        <v>624</v>
      </c>
    </row>
    <row r="158" spans="1:2" x14ac:dyDescent="0.35">
      <c r="A158" s="48" t="s">
        <v>625</v>
      </c>
      <c r="B158" s="50" t="s">
        <v>626</v>
      </c>
    </row>
    <row r="159" spans="1:2" x14ac:dyDescent="0.35">
      <c r="A159" s="48" t="s">
        <v>627</v>
      </c>
      <c r="B159" s="50" t="s">
        <v>628</v>
      </c>
    </row>
    <row r="160" spans="1:2" x14ac:dyDescent="0.35">
      <c r="A160" s="48" t="s">
        <v>629</v>
      </c>
      <c r="B160" s="50" t="s">
        <v>630</v>
      </c>
    </row>
    <row r="161" spans="1:2" x14ac:dyDescent="0.35">
      <c r="A161" s="48" t="s">
        <v>631</v>
      </c>
      <c r="B161" s="50" t="s">
        <v>632</v>
      </c>
    </row>
    <row r="162" spans="1:2" x14ac:dyDescent="0.35">
      <c r="A162" s="48" t="s">
        <v>633</v>
      </c>
      <c r="B162" s="50" t="s">
        <v>634</v>
      </c>
    </row>
    <row r="163" spans="1:2" x14ac:dyDescent="0.35">
      <c r="A163" s="48" t="s">
        <v>635</v>
      </c>
      <c r="B163" s="50" t="s">
        <v>636</v>
      </c>
    </row>
    <row r="164" spans="1:2" x14ac:dyDescent="0.35">
      <c r="A164" s="48" t="s">
        <v>637</v>
      </c>
      <c r="B164" s="50" t="s">
        <v>638</v>
      </c>
    </row>
    <row r="165" spans="1:2" x14ac:dyDescent="0.35">
      <c r="A165" s="48" t="s">
        <v>639</v>
      </c>
      <c r="B165" s="50" t="s">
        <v>640</v>
      </c>
    </row>
    <row r="166" spans="1:2" x14ac:dyDescent="0.35">
      <c r="A166" s="48" t="s">
        <v>641</v>
      </c>
      <c r="B166" s="50" t="s">
        <v>642</v>
      </c>
    </row>
    <row r="167" spans="1:2" x14ac:dyDescent="0.35">
      <c r="A167" s="48" t="s">
        <v>643</v>
      </c>
      <c r="B167" s="50" t="s">
        <v>644</v>
      </c>
    </row>
    <row r="168" spans="1:2" x14ac:dyDescent="0.35">
      <c r="A168" s="48" t="s">
        <v>645</v>
      </c>
      <c r="B168" s="50" t="s">
        <v>646</v>
      </c>
    </row>
    <row r="169" spans="1:2" x14ac:dyDescent="0.35">
      <c r="A169" s="48" t="s">
        <v>647</v>
      </c>
      <c r="B169" s="50" t="s">
        <v>648</v>
      </c>
    </row>
    <row r="170" spans="1:2" x14ac:dyDescent="0.35">
      <c r="A170" s="48" t="s">
        <v>649</v>
      </c>
      <c r="B170" s="50" t="s">
        <v>650</v>
      </c>
    </row>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MPTF_00006_00908</ProjectId>
    <FundCode xmlns="f9695bc1-6109-4dcd-a27a-f8a0370b00e2">MPTF_00006</FundCode>
    <Comments xmlns="f9695bc1-6109-4dcd-a27a-f8a0370b00e2">Financial Report- Annual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72c4c8d3-481e-4727-9bcd-53e8d0eedfae"/>
    <ds:schemaRef ds:uri="6771fe94-107e-4e8c-b75b-6ea8c52c3eec"/>
  </ds:schemaRefs>
</ds:datastoreItem>
</file>

<file path=customXml/itemProps2.xml><?xml version="1.0" encoding="utf-8"?>
<ds:datastoreItem xmlns:ds="http://schemas.openxmlformats.org/officeDocument/2006/customXml" ds:itemID="{DD31B435-2190-47BA-8063-65DC6A9DCFF6}"/>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1) Budget Table</vt:lpstr>
      <vt:lpstr>2) By Category</vt:lpstr>
      <vt:lpstr>3) Explanatory Notes</vt:lpstr>
      <vt:lpstr>4) -For PBSO Use-</vt:lpstr>
      <vt:lpstr>5) -For MPTF Use-</vt:lpstr>
      <vt:lpstr>Dropdowns</vt:lpstr>
      <vt:lpstr>Sheet2</vt:lpstr>
      <vt:lpstr>'1) Budget Table'!Print_Area</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D Combined Expenditure Jan-Nov 2023 months Forecast FINAL.xlsx</dc:title>
  <dc:subject/>
  <dc:creator>Jelena Zelenovic</dc:creator>
  <cp:keywords/>
  <dc:description/>
  <cp:lastModifiedBy>Angelina Halumae</cp:lastModifiedBy>
  <cp:revision/>
  <dcterms:created xsi:type="dcterms:W3CDTF">2017-11-15T21:17:43Z</dcterms:created>
  <dcterms:modified xsi:type="dcterms:W3CDTF">2023-11-23T05:48:59Z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