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hreadedComments/threadedComment1.xml" ContentType="application/vnd.ms-excel.threaded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529"/>
  <workbookPr hidePivotFieldList="1" defaultThemeVersion="166925"/>
  <bookViews>
    <workbookView xWindow="65416" yWindow="65416" windowWidth="20730" windowHeight="11160" tabRatio="798" firstSheet="2" activeTab="2"/>
  </bookViews>
  <sheets>
    <sheet name="Instructions" sheetId="9" r:id="rId1"/>
    <sheet name="IOM Format" sheetId="19" state="hidden" r:id="rId2"/>
    <sheet name="1) Budget Table" sheetId="1" r:id="rId3"/>
    <sheet name="2) By Category" sheetId="5" r:id="rId4"/>
    <sheet name="3) Explanatory Notes" sheetId="3" r:id="rId5"/>
    <sheet name="4) -For PBSO Use-" sheetId="6" r:id="rId6"/>
    <sheet name="5) -For MPTF Use-" sheetId="4" r:id="rId7"/>
    <sheet name="ZPMR&amp;ZDSR" sheetId="16" state="hidden" r:id="rId8"/>
  </sheets>
  <definedNames>
    <definedName name="_xlnm._FilterDatabase" localSheetId="1" hidden="1">'IOM Format'!$A$16:$IL$90</definedName>
    <definedName name="TESTHKEY">#REF!</definedName>
    <definedName name="TESTVKEY">#REF!</definedName>
  </definedNames>
  <calcPr calcId="191028"/>
  <extLst>
    <ext xmlns:x15="http://schemas.microsoft.com/office/spreadsheetml/2010/11/main" xmlns="http://schemas.openxmlformats.org/spreadsheetml/2006/main" uri="{140A7094-0E35-4892-8432-C4D2E57EDEB5}">
      <x15:workbookPr chartTrackingRefBase="1"/>
    </ext>
  </extLst>
</workbook>
</file>

<file path=xl/comments4.xml><?xml version="1.0" encoding="utf-8"?>
<comments xmlns="http://schemas.openxmlformats.org/spreadsheetml/2006/main">
  <authors>
    <author>tc={21ABBBA5-7A98-4315-BCF7-BC98CD0B43B8}</author>
    <author>tc={105C661F-DD05-4750-9CC1-8E1F5FFC6C59}</author>
  </authors>
  <commentList>
    <comment ref="E207" authorId="0">
      <text>
        <r>
          <t>[Comentario encadenado]
Su versión de Excel le permite leer este comentario encadenado; sin embargo, las ediciones que se apliquen se quitarán si el archivo se abre en una versión más reciente de Excel. Más información: https://go.microsoft.com/fwlink/?linkid=870924
Comentario:
    PMA: E190*6.713426% = 21240.01
Respuesta:
    el monto correcto es   $                              21,240.01  por que tenemos como PMA un ISC diferente al 7%</t>
        </r>
      </text>
    </comment>
    <comment ref="E208" authorId="1">
      <text>
        <r>
          <t>[Comentario encadenado]
Su versión de Excel le permite leer este comentario encadenado; sin embargo, las ediciones que se apliquen se quitarán si el archivo se abre en una versión más reciente de Excel. Más información: https://go.microsoft.com/fwlink/?linkid=870924
Comentario:
    PMA: $337,621.09
Respuesta:
    el monto real recibido y ejecuado por PMA es de   $                            337,621.09 </t>
        </r>
      </text>
    </comment>
  </commentList>
</comments>
</file>

<file path=xl/sharedStrings.xml><?xml version="1.0" encoding="utf-8"?>
<sst xmlns="http://schemas.openxmlformats.org/spreadsheetml/2006/main" count="1608" uniqueCount="659">
  <si>
    <t>Annex D - PBF Project Budget</t>
  </si>
  <si>
    <r>
      <rPr>
        <b/>
        <u val="single"/>
        <sz val="18"/>
        <color theme="1"/>
        <rFont val="Calibri"/>
        <family val="2"/>
        <scheme val="minor"/>
      </rPr>
      <t>Instructions</t>
    </r>
    <r>
      <rPr>
        <b/>
        <sz val="28"/>
        <color theme="1"/>
        <rFont val="Calibri"/>
        <family val="2"/>
        <scheme val="minor"/>
      </rPr>
      <t xml:space="preserve">
</t>
    </r>
    <r>
      <rPr>
        <b/>
        <sz val="12"/>
        <color theme="1"/>
        <rFont val="Calibri"/>
        <family val="2"/>
        <scheme val="minor"/>
      </rPr>
      <t xml:space="preserve">1. Only fill in white cells. Grey cells are locked and/or contain spreadsheet formulas.
2. Complete both Sheet 1 and Sheet 2. 
   </t>
    </r>
    <r>
      <rPr>
        <sz val="12"/>
        <color theme="1"/>
        <rFont val="Calibri"/>
        <family val="2"/>
        <scheme val="minor"/>
      </rPr>
      <t xml:space="preserve">  a)</t>
    </r>
    <r>
      <rPr>
        <b/>
        <sz val="12"/>
        <color theme="1"/>
        <rFont val="Calibri"/>
        <family val="2"/>
        <scheme val="minor"/>
      </rPr>
      <t xml:space="preserve"> </t>
    </r>
    <r>
      <rPr>
        <sz val="12"/>
        <color theme="1"/>
        <rFont val="Calibri"/>
        <family val="2"/>
        <scheme val="minor"/>
      </rPr>
      <t xml:space="preserve">First, prepare a budget </t>
    </r>
    <r>
      <rPr>
        <b/>
        <sz val="12"/>
        <color theme="1"/>
        <rFont val="Calibri"/>
        <family val="2"/>
        <scheme val="minor"/>
      </rPr>
      <t>organized by activity/output/outcome in Sheet 1</t>
    </r>
    <r>
      <rPr>
        <sz val="12"/>
        <color theme="1"/>
        <rFont val="Calibri"/>
        <family val="2"/>
        <scheme val="minor"/>
      </rPr>
      <t xml:space="preserve">. (Activity amounts can be indicative estimates.)  </t>
    </r>
    <r>
      <rPr>
        <b/>
        <sz val="12"/>
        <color theme="1"/>
        <rFont val="Calibri"/>
        <family val="2"/>
        <scheme val="minor"/>
      </rPr>
      <t xml:space="preserve">
     </t>
    </r>
    <r>
      <rPr>
        <sz val="12"/>
        <color theme="1"/>
        <rFont val="Calibri"/>
        <family val="2"/>
        <scheme val="minor"/>
      </rPr>
      <t xml:space="preserve">b) Then, divide each output budget </t>
    </r>
    <r>
      <rPr>
        <b/>
        <sz val="12"/>
        <color theme="1"/>
        <rFont val="Calibri"/>
        <family val="2"/>
        <scheme val="minor"/>
      </rPr>
      <t>along UN Budget Categories in Sheet 2.</t>
    </r>
    <r>
      <rPr>
        <sz val="12"/>
        <color theme="1"/>
        <rFont val="Calibri"/>
        <family val="2"/>
        <scheme val="minor"/>
      </rPr>
      <t xml:space="preserve">
3.</t>
    </r>
    <r>
      <rPr>
        <b/>
        <sz val="12"/>
        <color theme="1"/>
        <rFont val="Calibri"/>
        <family val="2"/>
        <scheme val="minor"/>
      </rPr>
      <t xml:space="preserve"> Do not use Sheet 4 or 5</t>
    </r>
    <r>
      <rPr>
        <sz val="12"/>
        <color theme="1"/>
        <rFont val="Calibri"/>
        <family val="2"/>
        <scheme val="minor"/>
      </rPr>
      <t xml:space="preserve">, which are for MPTF and PBF use. 
4. Leave blank or hide any Organizations/Outcomes/Outputs/Activities that aren't needed. </t>
    </r>
    <r>
      <rPr>
        <b/>
        <sz val="12"/>
        <color theme="1"/>
        <rFont val="Calibri"/>
        <family val="2"/>
        <scheme val="minor"/>
      </rPr>
      <t>DO NOT delete cells.</t>
    </r>
    <r>
      <rPr>
        <sz val="12"/>
        <color theme="1"/>
        <rFont val="Calibri"/>
        <family val="2"/>
        <scheme val="minor"/>
      </rPr>
      <t xml:space="preserve">
</t>
    </r>
    <r>
      <rPr>
        <sz val="14"/>
        <color theme="1"/>
        <rFont val="Calibri"/>
        <family val="2"/>
        <scheme val="minor"/>
      </rPr>
      <t xml:space="preserve">
</t>
    </r>
    <r>
      <rPr>
        <i/>
        <sz val="14"/>
        <color theme="1"/>
        <rFont val="Calibri"/>
        <family val="2"/>
        <scheme val="minor"/>
      </rPr>
      <t>For Table 1</t>
    </r>
    <r>
      <rPr>
        <b/>
        <sz val="14"/>
        <color theme="1"/>
        <rFont val="Calibri"/>
        <family val="2"/>
        <scheme val="minor"/>
      </rPr>
      <t xml:space="preserve">
</t>
    </r>
    <r>
      <rPr>
        <sz val="12"/>
        <color theme="1"/>
        <rFont val="Calibri"/>
        <family val="2"/>
        <scheme val="minor"/>
      </rPr>
      <t>1. Be sure to</t>
    </r>
    <r>
      <rPr>
        <b/>
        <sz val="12"/>
        <color theme="1"/>
        <rFont val="Calibri"/>
        <family val="2"/>
        <scheme val="minor"/>
      </rPr>
      <t xml:space="preserve"> include % towards Gender Equality and Women's Empowerment, as well as a justification. 
2. Do not adjust tranche amounts </t>
    </r>
    <r>
      <rPr>
        <sz val="12"/>
        <color theme="1"/>
        <rFont val="Calibri"/>
        <family val="2"/>
        <scheme val="minor"/>
      </rPr>
      <t xml:space="preserve">without consulting PBSO.
</t>
    </r>
    <r>
      <rPr>
        <sz val="14"/>
        <color theme="1"/>
        <rFont val="Calibri"/>
        <family val="2"/>
        <scheme val="minor"/>
      </rPr>
      <t xml:space="preserve">
</t>
    </r>
    <r>
      <rPr>
        <i/>
        <sz val="14"/>
        <color theme="1"/>
        <rFont val="Calibri"/>
        <family val="2"/>
        <scheme val="minor"/>
      </rPr>
      <t>For Table 2</t>
    </r>
    <r>
      <rPr>
        <b/>
        <sz val="14"/>
        <color theme="1"/>
        <rFont val="Calibri"/>
        <family val="2"/>
        <scheme val="minor"/>
      </rPr>
      <t xml:space="preserve">
</t>
    </r>
    <r>
      <rPr>
        <b/>
        <sz val="12"/>
        <color theme="1"/>
        <rFont val="Calibri"/>
        <family val="2"/>
        <scheme val="minor"/>
      </rPr>
      <t xml:space="preserve">1. Divide each output budget total along the relevant UN budget categories.
2. </t>
    </r>
    <r>
      <rPr>
        <sz val="12"/>
        <color theme="1"/>
        <rFont val="Calibri"/>
        <family val="2"/>
        <scheme val="minor"/>
      </rPr>
      <t xml:space="preserve">For reference, output totals from the outcome/output/activity breakdown have been transferred from Table 1. </t>
    </r>
    <r>
      <rPr>
        <b/>
        <sz val="12"/>
        <color theme="1"/>
        <rFont val="Calibri"/>
        <family val="2"/>
        <scheme val="minor"/>
      </rPr>
      <t xml:space="preserve">The output totals should match, and will show as </t>
    </r>
    <r>
      <rPr>
        <b/>
        <sz val="12"/>
        <color rgb="FFFF0000"/>
        <rFont val="Calibri"/>
        <family val="2"/>
        <scheme val="minor"/>
      </rPr>
      <t>red</t>
    </r>
    <r>
      <rPr>
        <b/>
        <sz val="12"/>
        <color theme="1"/>
        <rFont val="Calibri"/>
        <family val="2"/>
        <scheme val="minor"/>
      </rPr>
      <t xml:space="preserve"> if not.</t>
    </r>
  </si>
  <si>
    <t>USO INTERNO IOM</t>
  </si>
  <si>
    <t xml:space="preserve">Título del proyecto: </t>
  </si>
  <si>
    <t>Retorno y reintegración: acciones de reintegración  esenciales para la construcción de la paz en El Salvador</t>
  </si>
  <si>
    <t xml:space="preserve">Tipo de Proyecto: </t>
  </si>
  <si>
    <t>Por definir</t>
  </si>
  <si>
    <t xml:space="preserve">Importe Presupuestario solicitado en Dolares:  </t>
  </si>
  <si>
    <t xml:space="preserve">Donante: </t>
  </si>
  <si>
    <t>Peace Building Found (PBF)</t>
  </si>
  <si>
    <t xml:space="preserve">Duración del proyecto: </t>
  </si>
  <si>
    <t>18 meses</t>
  </si>
  <si>
    <t>WBS</t>
  </si>
  <si>
    <t>Item</t>
  </si>
  <si>
    <t>Unit</t>
  </si>
  <si>
    <t>Number of Units</t>
  </si>
  <si>
    <t>Unit Cost</t>
  </si>
  <si>
    <t>Sub-total</t>
  </si>
  <si>
    <t xml:space="preserve">A. Staff Costs </t>
  </si>
  <si>
    <t>Actividades</t>
  </si>
  <si>
    <t>Output</t>
  </si>
  <si>
    <t>PB.0065.SV10.11.02.001</t>
  </si>
  <si>
    <t xml:space="preserve">Cordinador del proyecto (1) (G6-5) (75%) </t>
  </si>
  <si>
    <t>Month</t>
  </si>
  <si>
    <t>Victor Garcia (se calcula en base a G6-5, actualmente está en G6-4) a un 75% ya que el 25% será cubierto en propuesta trinacional</t>
  </si>
  <si>
    <t>MPTF_01</t>
  </si>
  <si>
    <t>STAFF AND OTHER PERSONNEL COST</t>
  </si>
  <si>
    <t>Additional personnel costs</t>
  </si>
  <si>
    <t>PB.0065.SV10.11.02.002</t>
  </si>
  <si>
    <t>Asistente de Proyecto (1) (G5-2) (75%)</t>
  </si>
  <si>
    <t>Daniela Osorio (se calcula en base a G5-2, actualmente está en G5-1) a un 75% ya que el 25% será cubierto en propuesta trinacional, bajo los mismos términos del contrato actual (sin fondo de pensión)</t>
  </si>
  <si>
    <t>PB.0065.SV10.11.04.001</t>
  </si>
  <si>
    <t>Administrative Financial Assistant (1) (UG) (15%)</t>
  </si>
  <si>
    <t>15% en base a costo actual de Dora Hernández</t>
  </si>
  <si>
    <t>PB.0065.SV10.11.04.002</t>
  </si>
  <si>
    <t>Administrative Procurement Assistant (1) (UG) (15%)</t>
  </si>
  <si>
    <t>15% en base a costo actual de Doris Macías</t>
  </si>
  <si>
    <t>PB.0065.SV10.11.04.003</t>
  </si>
  <si>
    <t>Administrave Assistant: RRHH, Inventario, Recepción (1) (UG) (15%)</t>
  </si>
  <si>
    <t>15% en base a costo actual de Carlos Merino y Hugo Escrich</t>
  </si>
  <si>
    <t>PB.0065.SV10.11.04.004</t>
  </si>
  <si>
    <t>Conductor (1) (UG) - 15%</t>
  </si>
  <si>
    <t>15% en base a costo actual de Humberto Ramos</t>
  </si>
  <si>
    <t xml:space="preserve">B. Office Costs </t>
  </si>
  <si>
    <t>PB.0065.SV10.12.01.001</t>
  </si>
  <si>
    <t>Arrendamientos y servicios publicos de oficinas</t>
  </si>
  <si>
    <t>MPTF_02</t>
  </si>
  <si>
    <t>SUPPLIES, COMMODITIES,MATERIAL</t>
  </si>
  <si>
    <t>Additional operational costs</t>
  </si>
  <si>
    <t>PB.0065.SV10.12.08.001</t>
  </si>
  <si>
    <t>Papeleria y suministros (incluye toner para impresoras)</t>
  </si>
  <si>
    <t>PB.0065.SV10.12.05.001</t>
  </si>
  <si>
    <t>Mantenimiento Equipos de IT</t>
  </si>
  <si>
    <t>PB.0065.SV10.12.03.001</t>
  </si>
  <si>
    <t>Comunicaciones (línes teléfonos fijos y móvil, internet)</t>
  </si>
  <si>
    <t>6 planes de $50 c/u + $50 otros costos de comunicación: internet, mantenimiento</t>
  </si>
  <si>
    <t>Total Staff &amp; Office Costs (A+B):</t>
  </si>
  <si>
    <t xml:space="preserve">C. Operational Costs </t>
  </si>
  <si>
    <t>Resultado 1: Consolidados los mecanismos de reintegración económica para población migrante retornada por medio de la dinamización del desarrollo económico y productivo con énfasis en mujeres y jóvenes</t>
  </si>
  <si>
    <t>Producto 1.1: Creados nuevos procesos de certificación de competencias laborales para personas retornadas en áreas económicas priorizadas por el Gobierno con viabilidad económica.</t>
  </si>
  <si>
    <t>PB.0065.SV10.N1.06.001</t>
  </si>
  <si>
    <t>Consultoría para el estudio con sectores, elaboración de Normas Técnicas por Competencias laborales (NTCL) y malla curricular.</t>
  </si>
  <si>
    <t>Each</t>
  </si>
  <si>
    <t>MPTF_04</t>
  </si>
  <si>
    <t>CONTRACTUAL COSTS</t>
  </si>
  <si>
    <t>Activity 1.1.1:</t>
  </si>
  <si>
    <t>Output 1.1:</t>
  </si>
  <si>
    <t>PB.0065.SV10.N1.05.001</t>
  </si>
  <si>
    <t>Intercambio de experiencias entre el Gobierno de El Salvador con instituciones certificadoras de competencias laborales internacionales</t>
  </si>
  <si>
    <t>MPTF_07</t>
  </si>
  <si>
    <t>GENERAL OPERATING AND OTHER DI</t>
  </si>
  <si>
    <t>Activity 1.1.2:</t>
  </si>
  <si>
    <t>PB.0065.SV10.N1.03.001</t>
  </si>
  <si>
    <t>Apoyo en procesos de formación técnica (insumos, transporte, datos ,unifromes, PEP, entre otros)</t>
  </si>
  <si>
    <t>Lump Sum</t>
  </si>
  <si>
    <t>Activity 1.1.3:</t>
  </si>
  <si>
    <t>PB.0065.SV10.D4.02.001</t>
  </si>
  <si>
    <t>Implementación de nuevos programas pilotos de certificación de competencias laborales</t>
  </si>
  <si>
    <t>Activity 1.1.4</t>
  </si>
  <si>
    <t>PB.0065.SV10.N1.03.002</t>
  </si>
  <si>
    <t xml:space="preserve"> Sensibilización, intercambio y alianzas de cooperación con empresa privada, feria de oportunidades laborales.</t>
  </si>
  <si>
    <t>Activity 1.1.5</t>
  </si>
  <si>
    <t>PB.0065.SV10.D4.02.002</t>
  </si>
  <si>
    <t>Orientación y vinculación laboral</t>
  </si>
  <si>
    <t>Activity 1.1.6</t>
  </si>
  <si>
    <t>PB.0065.SV10.Q1.03.001</t>
  </si>
  <si>
    <t>Monitoreo y seguimiento de participantes de programas pilotos</t>
  </si>
  <si>
    <t>MPTF_05</t>
  </si>
  <si>
    <t>TRAVEL</t>
  </si>
  <si>
    <t>Activity 1.1.7</t>
  </si>
  <si>
    <t>PB.0065.SV10.N1.09.001</t>
  </si>
  <si>
    <t>Adecuacion y equipamiento de nuevo centro de formacion de competencias en La Union.</t>
  </si>
  <si>
    <t>MPTF_03</t>
  </si>
  <si>
    <t>Equip,Vehicle&amp;Furniture includ</t>
  </si>
  <si>
    <t>Activity 1.1.9</t>
  </si>
  <si>
    <t>Producto: 1.2: Desarrollado e implementado un programa piloto de fortalecimiento de iniciativas económicas (emprendimientos) de personas migrantes retornadas en áreas priorizadas por el Gobierno de El Salvador con viabilidad económica.</t>
  </si>
  <si>
    <t>PB.0065.SV10.Q1.01.001</t>
  </si>
  <si>
    <t>Mapeo de necesidades y plan de fortalecimiento</t>
  </si>
  <si>
    <t>Activity 1.2.1</t>
  </si>
  <si>
    <t>Output 1.2:</t>
  </si>
  <si>
    <t>PB.0065.SV10.Q3.03.001</t>
  </si>
  <si>
    <t>Combustible y alquiler de vehículos</t>
  </si>
  <si>
    <t>Activity 1.2.2</t>
  </si>
  <si>
    <t>PB.0065.SV10.N1.07.001</t>
  </si>
  <si>
    <t>Asistencia ténica para fortalecimiento de ideas productivas</t>
  </si>
  <si>
    <t>Activity 1.2.3</t>
  </si>
  <si>
    <t>PB.0065.SV10.D3.12.001</t>
  </si>
  <si>
    <t>Apoyo económico para crecimiento de inciativas de negocio (2,460 USD para cada iniciativa)</t>
  </si>
  <si>
    <t>Activity 1.2.4</t>
  </si>
  <si>
    <t>PB.0065.SV10.D3.12.002</t>
  </si>
  <si>
    <t>Mejora y creación de productos, servicios, empaques, registros, patentes, etc.</t>
  </si>
  <si>
    <t>Activity 1.2.5</t>
  </si>
  <si>
    <t>PB.0065.SV10.N1.02.002</t>
  </si>
  <si>
    <t>Actividades comerciales y de fortalecimiento (Talleres, ferias, ruedas de negocios y portales comerciales)</t>
  </si>
  <si>
    <t>centavos</t>
  </si>
  <si>
    <t>Activity 1.2.6</t>
  </si>
  <si>
    <t>PB.0065.SV10.N1.02.001</t>
  </si>
  <si>
    <t>Apoyo en procesos de formación técnica (insumos, transporte, datos,  PEP, entre otros)</t>
  </si>
  <si>
    <t>Activity 1.2.7</t>
  </si>
  <si>
    <t>PB.0065.SV10.Q1.03.002</t>
  </si>
  <si>
    <t>Activity 1.2.8</t>
  </si>
  <si>
    <t xml:space="preserve">Resultado 2: Los niños, niñas y adolescentes, grupos familiares y las personas retornadas o desplazadas tienen acceso a atención psicosocial diferenciada y a modalidades flexibles y aceleradas de educación para fortalecer el arraigo, la resiliencia y la reintegración.  </t>
  </si>
  <si>
    <t xml:space="preserve">Producto 2.1: Fortalecidos los mecanismos interinstitucionales de atención psicosocial y desarrollo personal para las personas retornadas y sus familias, de acuerdo con sus perfiles, incluidas personas retornadas con necesidad de protección. </t>
  </si>
  <si>
    <t>PB.0065.SV10.N1.07.002</t>
  </si>
  <si>
    <t xml:space="preserve">Implementación de los lineamientos estratégicos para la implementación de acciones de atención en salud mental dirigidos a personas migrantes retornadas y su familia </t>
  </si>
  <si>
    <t>Activity 2.1.1</t>
  </si>
  <si>
    <t>Outcome 2.1</t>
  </si>
  <si>
    <t>PB.0065.SV10.N1.07.003</t>
  </si>
  <si>
    <t>Pilotaje de la ruta de atención psicosocial para derivación de casos de atención psicosocial en los programas de reintegración</t>
  </si>
  <si>
    <t>Activity 2.1.2</t>
  </si>
  <si>
    <t>PB.0065.SV10.N1.03.003</t>
  </si>
  <si>
    <t>Talleres de formación virtual o presencial del personal de salud o de instituciones que brindan atención psicosocial (incluido primeros auxilios psicológicos).</t>
  </si>
  <si>
    <t>Activity 2.1.3</t>
  </si>
  <si>
    <t>PB.0065.SV10.N1.08.001</t>
  </si>
  <si>
    <t>Elaboración y virtualización de procesos de atención psicosocial para atención remota.</t>
  </si>
  <si>
    <t>Activity 2.1.4</t>
  </si>
  <si>
    <t>PB.0065.SV10.N1.09.002</t>
  </si>
  <si>
    <t>Adecuacion y equipamiento de la unidad de asistencia en salud mental del Minsal</t>
  </si>
  <si>
    <t>Activity 2.1.5</t>
  </si>
  <si>
    <t>Producto 2.2: Implementado módulo de prevención de la migración irregular como parte de la curricular del sistema educativo a nivel nacional.</t>
  </si>
  <si>
    <t>PB.0065.SV10.Q2.02.001</t>
  </si>
  <si>
    <t>Impresión de módulos y Manual complementario para profesores en centros escolares ubicados en municipios con alto grado de migración irregular.</t>
  </si>
  <si>
    <t>Activity 2.2.1</t>
  </si>
  <si>
    <t>Output 2.2</t>
  </si>
  <si>
    <t>PB.0065.SV10.Q2.02.002</t>
  </si>
  <si>
    <t>Elaboración de material audio visual que complemente los manuales y el material de enseñanza escolar (Grabar historias de vida de jóvenes retornados).</t>
  </si>
  <si>
    <t>Activity 2.2.2</t>
  </si>
  <si>
    <t>PB.0065.SV10.N1.08.002</t>
  </si>
  <si>
    <t>Elaboración de app interactiva para desarrollo de ejercicios y abordaje de los riesgos de la migración irregular.</t>
  </si>
  <si>
    <t>Activity 2.2.3</t>
  </si>
  <si>
    <t>PB.0065.SV10.N1.03.004</t>
  </si>
  <si>
    <t>Talleres de capacitación virtual o presencial con profesores de centros escolares en municipios con alto riesgo de deserción por migración irregular.</t>
  </si>
  <si>
    <t>Activity 2.2.4</t>
  </si>
  <si>
    <t>Resultado 3: Las personas desplazadas, niñez y adolescencia retornada cuentan con mecanismos de atención con capacidades para ofrecer atención especializada integral a perfiles con necesidades de protección, de acuerdo con sus necesidades específicas</t>
  </si>
  <si>
    <t>Producto 3.1: Desarrollado mecanismo de fortalecimiento y coordinación interinstitucional para la identificación, protección y búsqueda de soluciones duraderas para personas retornadas con necesidad de protección.</t>
  </si>
  <si>
    <t>PB.0065.SV10.N1.05.002</t>
  </si>
  <si>
    <t>Reuniones con Dirección Nacional de Atención a Victimas y Migración forzada. Levantamiento de perfiles socioeconómico de personas retornadas con necesidades de protección.</t>
  </si>
  <si>
    <t>Activity 3.1.1</t>
  </si>
  <si>
    <t>Output 3.1</t>
  </si>
  <si>
    <t>PB.0065.SV10.N1.07.004</t>
  </si>
  <si>
    <t>Consultoria: Mapeo de servicios disponibles a nivel nacional para atender los perfiles socioeconómicos identificados de retornadas con necesidades de protección. 3 meses</t>
  </si>
  <si>
    <t>Activity 3.1.2</t>
  </si>
  <si>
    <t>PB.0065.SV10.Q2.02.003</t>
  </si>
  <si>
    <t xml:space="preserve">Consultoría: Arte, diseño y estilo  de mapeo de Mapeo de servicios disponibles a nivel nacional para atender los perfiles socioeconómicos identificados de retornadas con necesidades de protección. </t>
  </si>
  <si>
    <t>Activity 3.1.3</t>
  </si>
  <si>
    <t>PB.0065.SV10.Q2.02.004</t>
  </si>
  <si>
    <t xml:space="preserve">Impresión de mapeo de Mapeo de servicios disponibles a nivel nacional para atender los perfiles socioeconómicos identificados de retornadas con necesidades de protección. </t>
  </si>
  <si>
    <t>Activity 3.1.4</t>
  </si>
  <si>
    <t>PB.0065.SV10.N1.05.003</t>
  </si>
  <si>
    <t>Reuniones: Apoyar con levantamiento de información para la construcción de mecanismo y ruta de coordinación interinstitucional para la referenciación de personas retornadas con necesidad de protección y su incorporación en proyectos de formación, integración laboral y atención psicosocial.</t>
  </si>
  <si>
    <t>Activity 3.1.5</t>
  </si>
  <si>
    <t>PB.0065.SV10.N1.07.005</t>
  </si>
  <si>
    <t xml:space="preserve">Consultoría: Construcción del mecanismo y ruta de coordinación interinstitucional. Validación del documento por parte de DNAVMF. </t>
  </si>
  <si>
    <t>Activity 3.1.6</t>
  </si>
  <si>
    <t>PB.0065.SV10.Q2.02.005</t>
  </si>
  <si>
    <t>Consultoría: Diagramación, diseño y estilo de documento de mecanismo y ruta de coordinación interinstitucional</t>
  </si>
  <si>
    <t>Activity 3.1.7</t>
  </si>
  <si>
    <t>PB.0065.SV10.Q2.02.006</t>
  </si>
  <si>
    <t xml:space="preserve">Impresión de documento de mecanismo y ruta de coordinación interinstitucional. </t>
  </si>
  <si>
    <t>Activity 3.1.8</t>
  </si>
  <si>
    <t>Monitoring and Evaluation</t>
  </si>
  <si>
    <t>PB.0065.SV10.Q1.05.001</t>
  </si>
  <si>
    <t>Evaluacion de medio termino y final</t>
  </si>
  <si>
    <t>Budget for independent final evaluation</t>
  </si>
  <si>
    <t>PB.0065.SV10.Q1.03.003</t>
  </si>
  <si>
    <t>Unidad de coordinación</t>
  </si>
  <si>
    <t>Monitoring budget</t>
  </si>
  <si>
    <t>Total Operational Costs (C):</t>
  </si>
  <si>
    <t>Total (A) + (B) + (C) + (D) + E</t>
  </si>
  <si>
    <t>Overhead Costs:</t>
  </si>
  <si>
    <t>GRAND TOTAL</t>
  </si>
  <si>
    <t>Cálculo costos de Unidad de Coordinación</t>
  </si>
  <si>
    <t>Concepto</t>
  </si>
  <si>
    <t>Unidad</t>
  </si>
  <si>
    <t>Nº de unidades</t>
  </si>
  <si>
    <t>Costo de la unidad</t>
  </si>
  <si>
    <t>Total</t>
  </si>
  <si>
    <r>
      <t>Coordinador Unidad de Coordinación (1) (NOA-2) (75%)</t>
    </r>
    <r>
      <rPr>
        <b/>
        <sz val="11"/>
        <color rgb="FF0070C0"/>
        <rFont val="Arial Narrow"/>
        <family val="2"/>
      </rPr>
      <t xml:space="preserve"> </t>
    </r>
  </si>
  <si>
    <t>Alia Mata (se calcula en base a NOA-2, actualmente está en NOA-1) a un 75%, según límite de presupuesto total para este rubro</t>
  </si>
  <si>
    <r>
      <rPr>
        <sz val="11"/>
        <color theme="1"/>
        <rFont val="Arial Narrow"/>
        <family val="2"/>
      </rPr>
      <t>Asistente Unidad de Coordinación (1) (G4-2) (75%)</t>
    </r>
    <r>
      <rPr>
        <sz val="11"/>
        <color rgb="FF0070C0"/>
        <rFont val="Arial Narrow"/>
        <family val="2"/>
      </rPr>
      <t xml:space="preserve"> </t>
    </r>
  </si>
  <si>
    <t>Abigail Amaya (se calcula en base a G4-2, actualmente está en G4-1) a un 75%, según límite de presupuesto total para este rubro, y bajo los mismos términos del contrato actual (sin fondo de pensión)</t>
  </si>
  <si>
    <t>Table 1 - PBF project budget by outcome, output and activity</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</si>
  <si>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</si>
  <si>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</si>
  <si>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t>OIM</t>
  </si>
  <si>
    <t>PMA</t>
  </si>
  <si>
    <t>UNICEF</t>
  </si>
  <si>
    <r>
      <rPr>
        <b/>
        <sz val="12"/>
        <color theme="1"/>
        <rFont val="Calibri"/>
        <family val="2"/>
        <scheme val="minor"/>
      </rPr>
      <t>% of budget</t>
    </r>
    <r>
      <rPr>
        <sz val="12"/>
        <color theme="1"/>
        <rFont val="Calibri"/>
        <family val="2"/>
        <scheme val="minor"/>
      </rPr>
      <t xml:space="preserve"> per activity  allocated to </t>
    </r>
    <r>
      <rPr>
        <b/>
        <sz val="12"/>
        <color theme="1"/>
        <rFont val="Calibri"/>
        <family val="2"/>
        <scheme val="minor"/>
      </rPr>
      <t>Gender Equality and Women's Empowerment (GEWE)</t>
    </r>
    <r>
      <rPr>
        <sz val="12"/>
        <color theme="1"/>
        <rFont val="Calibri"/>
        <family val="2"/>
        <scheme val="minor"/>
      </rPr>
      <t xml:space="preserve"> (if any):</t>
    </r>
  </si>
  <si>
    <r>
      <t xml:space="preserve">Current level of </t>
    </r>
    <r>
      <rPr>
        <b/>
        <sz val="12"/>
        <color theme="1"/>
        <rFont val="Calibri"/>
        <family val="2"/>
        <scheme val="minor"/>
      </rPr>
      <t xml:space="preserve">expenditure/ commitment </t>
    </r>
    <r>
      <rPr>
        <sz val="12"/>
        <color theme="1"/>
        <rFont val="Calibri"/>
        <family val="2"/>
        <scheme val="minor"/>
      </rPr>
      <t>(To be completed at time of project progress reporting)</t>
    </r>
    <r>
      <rPr>
        <b/>
        <sz val="12"/>
        <color theme="1"/>
        <rFont val="Calibri"/>
        <family val="2"/>
        <scheme val="minor"/>
      </rPr>
      <t xml:space="preserve"> </t>
    </r>
  </si>
  <si>
    <r>
      <rPr>
        <b/>
        <sz val="12"/>
        <color theme="1"/>
        <rFont val="Calibri"/>
        <family val="2"/>
        <scheme val="minor"/>
      </rPr>
      <t xml:space="preserve">GEWE justification </t>
    </r>
    <r>
      <rPr>
        <sz val="12"/>
        <color theme="1"/>
        <rFont val="Calibri"/>
        <family val="2"/>
        <scheme val="minor"/>
      </rPr>
      <t>(e.g. training includes session on gender equality, specific efforts made to ensure equal representation of women and men etc.)</t>
    </r>
  </si>
  <si>
    <r>
      <t xml:space="preserve">Any other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</si>
  <si>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t xml:space="preserve">OUTCOME 1: </t>
  </si>
  <si>
    <t>Consolidados los mecanismos de reintegración económica para población migrante retornada por medio de la dinamización del desarrollo económico y productivo con énfasis en mujeres y jóvenes</t>
  </si>
  <si>
    <t>Creados nuevos procesos de certificación de competencias laborales para personas retornadas en áreas económicas priorizadas por el Gobierno con viabilidad económica.</t>
  </si>
  <si>
    <t>Nuevos programas de certificación tendran un ennfoque de priorización a las mujeres</t>
  </si>
  <si>
    <t>Activity 1.1.8</t>
  </si>
  <si>
    <t>Talleres de capacitación (habilidades blandas, resolución de conflictos, formación porfesional entre otros)</t>
  </si>
  <si>
    <t>x</t>
  </si>
  <si>
    <t>Formación para mujeres migrantes retornadas</t>
  </si>
  <si>
    <t>Output Total</t>
  </si>
  <si>
    <t>Desarrollado e implementado un programa piloto de fortalecimiento de iniciativas económicas (emprendimientos) de personas migrantes retornadas en áreas priorizadas por el Gobierno de El Salvador con viabilidad económica.</t>
  </si>
  <si>
    <t>se priorizaran las ideas de negocio de mujeres retornadas emprendedoras</t>
  </si>
  <si>
    <t>Apoyo económico para crecimiento de inciativas de negocio (2,500 USD para cada iniciativa)</t>
  </si>
  <si>
    <t>Output 1.3:</t>
  </si>
  <si>
    <t>Activity 1.3.1</t>
  </si>
  <si>
    <t>Activity 1.3.2</t>
  </si>
  <si>
    <t>Activity 1.3.3</t>
  </si>
  <si>
    <t>Activity 1.3.4</t>
  </si>
  <si>
    <t>Activity 1.3.5</t>
  </si>
  <si>
    <t>Activity 1.3.6</t>
  </si>
  <si>
    <t>Activity 1.3.7</t>
  </si>
  <si>
    <t>Activity 1.3.8</t>
  </si>
  <si>
    <t>Output 1.4:</t>
  </si>
  <si>
    <t>Activity 1.4.1</t>
  </si>
  <si>
    <t>Activity 1.4.2</t>
  </si>
  <si>
    <t>Activity 1.4.3</t>
  </si>
  <si>
    <t>Activity 1.4.4</t>
  </si>
  <si>
    <t>Activity 1.4.5</t>
  </si>
  <si>
    <t>Activity 1.4.6</t>
  </si>
  <si>
    <t>Activity 1.4.7</t>
  </si>
  <si>
    <t>Activity 1.4.8</t>
  </si>
  <si>
    <t xml:space="preserve">OUTCOME 2: </t>
  </si>
  <si>
    <t xml:space="preserve">Los niños, niñas y adolescentes, grupos familiares y las personas retornadas o desplazadas tienen acceso a atención psicosocial diferenciada y a modalidades flexibles y aceleradas de educación para fortalecer el arraigo, la resiliencia y la reintegración.  </t>
  </si>
  <si>
    <t xml:space="preserve">Fortalecidos los mecanismos interinstitucionales de atención psicosocial y desarrollo personal para las personas retornadas y sus familias, de acuerdo con sus perfiles, incluidas personas retornadas con necesidad de protección. </t>
  </si>
  <si>
    <t>Se priorizará la referencia  y atencion de muejers retornadas y desplazadas</t>
  </si>
  <si>
    <t xml:space="preserve">formación de staff de gobierno femenino </t>
  </si>
  <si>
    <t>Atención psicosocial diferenciada para mujeres</t>
  </si>
  <si>
    <t>Activity 2.1.6</t>
  </si>
  <si>
    <t>Activity 2.1.7</t>
  </si>
  <si>
    <t>Activity 2.1.8</t>
  </si>
  <si>
    <t>Implementado módulo de prevención de la migración irregular como parte de la curricular del sistema educativo a nivel nacional.</t>
  </si>
  <si>
    <t>Niñas y adolescentes en centros escolares</t>
  </si>
  <si>
    <t>Se priorizará la capacitación de maestras</t>
  </si>
  <si>
    <t>Activity 2.2.5</t>
  </si>
  <si>
    <t>Activity 2.2.6</t>
  </si>
  <si>
    <t>Activity 2.2.7</t>
  </si>
  <si>
    <t>Activity 2.2.8</t>
  </si>
  <si>
    <t>Output 2.3</t>
  </si>
  <si>
    <t>Los niños y niñas  acceden a servicios de consejería escolar del Ministerio de Educación, tanto a distancia como presencial, con capacidad para fortalecer sus habilidades para la vida, el desarrollo de liderazgos, la promoción del auto cuido y la inteligencia emocional, y para la detección, atención, derivación y seguimiento de situaciones de crisis emocional.</t>
  </si>
  <si>
    <t>Activity 2.3.1</t>
  </si>
  <si>
    <t>Transferencia a ONG por determinar para entrenar personal servicios de consejería escolar del MINED con enfoque de derechos y de género, asistir en la virtualización del servicio, y elaboración de guías y protocolos para asegurar servicio de calidad.</t>
  </si>
  <si>
    <t xml:space="preserve">La mitad de los que accedan a estos servicios serán niñas. Algunos temas de la consejería tendrán que ver con prevención y atención a violencia de género, prevención y orientación ante embarazos adolescentes, o promoción de nuevas masculinidades. </t>
  </si>
  <si>
    <t>Activity 2.3.2</t>
  </si>
  <si>
    <t>Activity 2.3.3</t>
  </si>
  <si>
    <t>Activity 2.3.4</t>
  </si>
  <si>
    <t>Activity 2.3.5</t>
  </si>
  <si>
    <t>Activity 2.3.6</t>
  </si>
  <si>
    <t>Activity 2.3.7</t>
  </si>
  <si>
    <t>Activity 2.3.8</t>
  </si>
  <si>
    <t>Output 2.4</t>
  </si>
  <si>
    <t xml:space="preserve">Los niños y niñas retornados de San Salvador y sus familias tienen acceso a los servicios de atención psicosocial y socio emocional del Centro de Atención a Niñas, Niños y Adolescentes Retornados (ISNA) de San Salvador para fortalecer su resiliencia y desarrollo de planes de vida a través de metodologías creativas como la escritura creativa.  </t>
  </si>
  <si>
    <t>Activity 2.4.1</t>
  </si>
  <si>
    <t xml:space="preserve">Transferencia a ONG Contextos para la implementación de la metodología para fortalecer la resiliencia y desarrollo de planes de vida en el CANAF de San Salvador. </t>
  </si>
  <si>
    <t xml:space="preserve">Participación de niños y niñas metodología Soy Autor con fuerte enfoque de género, ya que elimina estereotipos de género y </t>
  </si>
  <si>
    <t>Activity 2.4.2</t>
  </si>
  <si>
    <t xml:space="preserve">Transferencia a ONG ACISAM para la implementación de la metodología para fortalecer la resiliencia y desarrollo de planes de vida en el CANAF de San Salvador. </t>
  </si>
  <si>
    <t>Apoyo psicosocial con enfoque de género para niñas y niños</t>
  </si>
  <si>
    <t>Activity 2.4.3</t>
  </si>
  <si>
    <t>Activity 2.4.4</t>
  </si>
  <si>
    <t>Activity 2.4.5</t>
  </si>
  <si>
    <t>Activity 2.4.6</t>
  </si>
  <si>
    <t>Activity 2.4.7</t>
  </si>
  <si>
    <t>Activity 2.4.8</t>
  </si>
  <si>
    <t xml:space="preserve">OUTCOME 3: </t>
  </si>
  <si>
    <t>Las personas desplazadas, niñez y adolescencia retornada cuentan con mecanismos de atención con capacidades para ofrecer atención especializada integral a perfiles con necesidades de protección, de acuerdo con sus necesidades específicas</t>
  </si>
  <si>
    <t>Desarrollado mecanismo de fortalecimiento y coordinación interinstitucional para la identificación, protección y búsqueda de soluciones duraderas para personas retornadas con necesidad de protección.</t>
  </si>
  <si>
    <t>Reuniones con Dirección Nacional de Atención a Victimas y Migración forzada. Levantamiento de perfiles socioeconómico de personas retornadas con necesidades de protección. 5 reuniones media jornada completas. Aproximadamente 10 personas.</t>
  </si>
  <si>
    <t>Atención a mujeres retornadas con necesidades de protección.</t>
  </si>
  <si>
    <t>Output 3.2:</t>
  </si>
  <si>
    <t xml:space="preserve">Los niños y niñas retornados con necesidad de protección y sus familias de San Salvador y San Miguel fortalecen sus habilidades para la vida, y elaboran planes de vida a través de la metodología super pilas implementada en los Centros de Atención de Niños y Familias Retornadas (CANAF) de San Salvador y San Miguel. </t>
  </si>
  <si>
    <t>Activity 3.2.1</t>
  </si>
  <si>
    <t xml:space="preserve">Transferencia a ONG Visión Mundial para desarrollo de talleres de 4 modulos del Programas Super Pilas en CANAF en San Miguel y San Salvador .  (100 personas cada uno), financiamiento para al menos 30 emprendimientos (1500 aproximadamente cada caso), contratación de psicologos y trabajadores sociales, y contratación de un coordinador técnico. 
</t>
  </si>
  <si>
    <t xml:space="preserve">Adolescentes niñas se benefician del programa. Los modulos tienen un fuerte enfoque de género y promueven la inclusión y las nuevas masculinidades. </t>
  </si>
  <si>
    <t>Activity 3.2.2</t>
  </si>
  <si>
    <t>Transferencia a ONG Concavis Trans para hacer actividades de prevención de la discriminación y actividades de inclusión para personas LGTBI</t>
  </si>
  <si>
    <t xml:space="preserve">Prevención de la discriminación de género y personas LGTBI y actividades de inclusión. </t>
  </si>
  <si>
    <t>Activity 3.2.3</t>
  </si>
  <si>
    <t>Activity 3.2.4</t>
  </si>
  <si>
    <t>Activity 3.2.5</t>
  </si>
  <si>
    <t>Activity 3.2.6</t>
  </si>
  <si>
    <t>Activity 3.2.7</t>
  </si>
  <si>
    <t>Activity 3.2.8</t>
  </si>
  <si>
    <t>Output 3.3</t>
  </si>
  <si>
    <t>Activity 3.3.1</t>
  </si>
  <si>
    <t>Activity 3.3.2</t>
  </si>
  <si>
    <t>Activity 3.3.3</t>
  </si>
  <si>
    <t>Activity 3.3.4</t>
  </si>
  <si>
    <t>Activity 3.3.5</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</si>
  <si>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</si>
  <si>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</si>
  <si>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</si>
  <si>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</si>
  <si>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</si>
  <si>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</si>
  <si>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</si>
  <si>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</si>
  <si>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</si>
  <si>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</si>
  <si>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</si>
  <si>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</si>
  <si>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</si>
  <si>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</si>
  <si>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</si>
  <si>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</si>
  <si>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</si>
  <si>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</si>
  <si>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</si>
  <si>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</si>
  <si>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</si>
  <si>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</si>
  <si>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</si>
  <si>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</si>
  <si>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</si>
  <si>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</si>
  <si>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</si>
  <si>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</si>
  <si>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</si>
  <si>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</si>
  <si>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</si>
  <si>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</si>
  <si>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</si>
  <si>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</si>
  <si>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</si>
  <si>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</si>
  <si>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</si>
  <si>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</si>
  <si>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</si>
  <si>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</si>
  <si>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</si>
  <si>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</si>
  <si>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</si>
  <si>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</si>
  <si>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</si>
  <si>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</si>
  <si>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</si>
  <si>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</si>
  <si>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</si>
  <si>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Project Coordinator
Project Assistant</t>
  </si>
  <si>
    <t>Total Additional Costs</t>
  </si>
  <si>
    <t>Totals</t>
  </si>
  <si>
    <t>Sub-Total Project Budget</t>
  </si>
  <si>
    <t>Indirect support costs (7%):</t>
  </si>
  <si>
    <t>Performance-Based Tranche Breakdown</t>
  </si>
  <si>
    <t>Tranche %</t>
  </si>
  <si>
    <t>First Tranche:</t>
  </si>
  <si>
    <t>Second Tranche:</t>
  </si>
  <si>
    <t>Third Tranche</t>
  </si>
  <si>
    <t>Total:</t>
  </si>
  <si>
    <r>
      <t xml:space="preserve">$ Towards GEWE </t>
    </r>
    <r>
      <rPr>
        <sz val="11"/>
        <color theme="1"/>
        <rFont val="Calibri"/>
        <family val="2"/>
        <scheme val="minor"/>
      </rPr>
      <t>(includes indirect costs)</t>
    </r>
  </si>
  <si>
    <t>Total Expenditure</t>
  </si>
  <si>
    <t>% Towards GEWE</t>
  </si>
  <si>
    <t>Delivery Rate:</t>
  </si>
  <si>
    <r>
      <t xml:space="preserve">$ Towards M&amp;E </t>
    </r>
    <r>
      <rPr>
        <sz val="11"/>
        <color theme="1"/>
        <rFont val="Calibri"/>
        <family val="2"/>
        <scheme val="minor"/>
      </rPr>
      <t>(includes indirect costs)</t>
    </r>
  </si>
  <si>
    <t>% Towards M&amp;E</t>
  </si>
  <si>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</si>
  <si>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t>Table 2 - Output breakdown by UN budget categories</t>
  </si>
  <si>
    <t>OUTCOME 1</t>
  </si>
  <si>
    <t>Output 1.1</t>
  </si>
  <si>
    <t>Output Total from Table 1</t>
  </si>
  <si>
    <t>1. Staff and other personnel</t>
  </si>
  <si>
    <t>2. Supplies, Commodities, Materials</t>
  </si>
  <si>
    <t>3. Equipment, Vehicles, and Furniture (including Depreciation)</t>
  </si>
  <si>
    <t>4. Contractual services</t>
  </si>
  <si>
    <t>5. Travel</t>
  </si>
  <si>
    <t>6. Transfers and Grants to Counterparts</t>
  </si>
  <si>
    <t>7. General Operating and other Costs</t>
  </si>
  <si>
    <t xml:space="preserve">Total </t>
  </si>
  <si>
    <t>Output 1.2</t>
  </si>
  <si>
    <t>Output 1.3</t>
  </si>
  <si>
    <t>Output 1.4</t>
  </si>
  <si>
    <t>OUTCOME 2</t>
  </si>
  <si>
    <t>Output 2.1</t>
  </si>
  <si>
    <t>OUTCOME 3</t>
  </si>
  <si>
    <t>Output 3.2</t>
  </si>
  <si>
    <t>OUTCOME 4</t>
  </si>
  <si>
    <t>Additional Costs</t>
  </si>
  <si>
    <t>Additional Cost Totals from Table 1</t>
  </si>
  <si>
    <t xml:space="preserve">Subtotal </t>
  </si>
  <si>
    <t>7% Indirect Costs</t>
  </si>
  <si>
    <t>TOTAL</t>
  </si>
  <si>
    <t>Annex 1: MPTFO Guidance on UN Cost Categories</t>
  </si>
  <si>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</si>
  <si>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</si>
  <si>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</si>
  <si>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</si>
  <si>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</si>
  <si>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</si>
  <si>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</si>
  <si>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For PBSO Use</t>
  </si>
  <si>
    <t>Outcome 1</t>
  </si>
  <si>
    <t>Outcome Budget</t>
  </si>
  <si>
    <t>Total Outcome Budget Towards SDGs</t>
  </si>
  <si>
    <t>SDG</t>
  </si>
  <si>
    <t>SDG %</t>
  </si>
  <si>
    <t>Total Towards SDG</t>
  </si>
  <si>
    <t>Outcome 2</t>
  </si>
  <si>
    <t>Outcome 3</t>
  </si>
  <si>
    <t>Outcome 4</t>
  </si>
  <si>
    <t>For MPTFO Use</t>
  </si>
  <si>
    <t xml:space="preserve">Sub-Total </t>
  </si>
  <si>
    <t>Third Tranche:</t>
  </si>
  <si>
    <t>BA to whom Project Budget Line belongs</t>
  </si>
  <si>
    <t xml:space="preserve">                WBS</t>
  </si>
  <si>
    <t>Hierarchical Level of the WBS (1 to 5)</t>
  </si>
  <si>
    <t>Text Description of the WBS</t>
  </si>
  <si>
    <t>Accumulated Budget for selected period</t>
  </si>
  <si>
    <t>Revenue recorded on the project</t>
  </si>
  <si>
    <t>Total Expenses pertaining to the WBS</t>
  </si>
  <si>
    <t>Total Commitments pertaining to the WBS</t>
  </si>
  <si>
    <t>Total Expenses + Commitments</t>
  </si>
  <si>
    <t>Balance of BUD-EXP-COM</t>
  </si>
  <si>
    <t>Total Pre-Commitments pertaining to the</t>
  </si>
  <si>
    <t>Balance of BUD-EXP-COM-Pre COM</t>
  </si>
  <si>
    <t>% of EXP over BUD</t>
  </si>
  <si>
    <t>( Expenses + Commitments ) / Budget</t>
  </si>
  <si>
    <t>% of EXP+COM+Pre-COM over BUD</t>
  </si>
  <si>
    <t>SV10</t>
  </si>
  <si>
    <t>PB.0065</t>
  </si>
  <si>
    <t>1</t>
  </si>
  <si>
    <t>Return and reintegration in El Salvador</t>
  </si>
  <si>
    <t>N/A</t>
  </si>
  <si>
    <t>PB.0065.SV10</t>
  </si>
  <si>
    <t>2</t>
  </si>
  <si>
    <t>San Salvador, CO, EL SALVAD</t>
  </si>
  <si>
    <t>PB.0065.SV10.03</t>
  </si>
  <si>
    <t>3</t>
  </si>
  <si>
    <t>Voluntary non-core (Earmarked) Contribut</t>
  </si>
  <si>
    <t>PB.0065.SV10.03.01</t>
  </si>
  <si>
    <t>4</t>
  </si>
  <si>
    <t>UN Inter-agency pooled funds</t>
  </si>
  <si>
    <t>PB.0065.SV10.03.01.001</t>
  </si>
  <si>
    <t>5</t>
  </si>
  <si>
    <t>VNCContr - MPTF PBF</t>
  </si>
  <si>
    <t>Sub-total -UN Inter-agency pooled funds</t>
  </si>
  <si>
    <t>PB.0065.SV10.11</t>
  </si>
  <si>
    <t>Staff Costs Local</t>
  </si>
  <si>
    <t>PB.0065.SV10.11.02</t>
  </si>
  <si>
    <t>Operations L</t>
  </si>
  <si>
    <t>Project Coordinator L</t>
  </si>
  <si>
    <t>73.90 %</t>
  </si>
  <si>
    <t>Project Assistant L</t>
  </si>
  <si>
    <t>124.95 %</t>
  </si>
  <si>
    <t>Sub-total -Operations L</t>
  </si>
  <si>
    <t>96.54 %</t>
  </si>
  <si>
    <t>PB.0065.SV10.11.04</t>
  </si>
  <si>
    <t>Resource Management L</t>
  </si>
  <si>
    <t>Administrative Finacial Assistant L</t>
  </si>
  <si>
    <t>124.88 %</t>
  </si>
  <si>
    <t>Administrative Procurement Assistant</t>
  </si>
  <si>
    <t>114.91 %</t>
  </si>
  <si>
    <t>Adm.Assist., RRHH, Assets, Reception</t>
  </si>
  <si>
    <t>114.50 %</t>
  </si>
  <si>
    <t>Driver</t>
  </si>
  <si>
    <t>128.57 %</t>
  </si>
  <si>
    <t>Sub-total -Resource Management L</t>
  </si>
  <si>
    <t>118.74 %</t>
  </si>
  <si>
    <t>PB.0065.SV10.12</t>
  </si>
  <si>
    <t>Office Costs</t>
  </si>
  <si>
    <t>PB.0065.SV10.12.01</t>
  </si>
  <si>
    <t>Building Office Pre O</t>
  </si>
  <si>
    <t>Building's Rental &amp; Utilities O</t>
  </si>
  <si>
    <t>126.53 %</t>
  </si>
  <si>
    <t>Sub-total -Building Office Pre O</t>
  </si>
  <si>
    <t>PB.0065.SV10.12.03</t>
  </si>
  <si>
    <t>Communications O</t>
  </si>
  <si>
    <t>Communication Costs O</t>
  </si>
  <si>
    <t>45.15 %</t>
  </si>
  <si>
    <t>Sub-total -Communications O</t>
  </si>
  <si>
    <t>PB.0065.SV10.12.05</t>
  </si>
  <si>
    <t>It Equipment O</t>
  </si>
  <si>
    <t>It Equipment Maintenaince O</t>
  </si>
  <si>
    <t>165.39 %</t>
  </si>
  <si>
    <t>Sub-total -It Equipment O</t>
  </si>
  <si>
    <t>PB.0065.SV10.12.08</t>
  </si>
  <si>
    <t>Supplies Materials O</t>
  </si>
  <si>
    <t>Office Supplies &amp; Materials O</t>
  </si>
  <si>
    <t>97.49 %</t>
  </si>
  <si>
    <t>Sub-total -Supplies Materials O</t>
  </si>
  <si>
    <t>PB.0065.SV10.D3</t>
  </si>
  <si>
    <t>In-kind assistance</t>
  </si>
  <si>
    <t>PB.0065.SV10.D3.12</t>
  </si>
  <si>
    <t>Livelihood/Inc generation</t>
  </si>
  <si>
    <t>Economic support for business ideas</t>
  </si>
  <si>
    <t>97.97 %</t>
  </si>
  <si>
    <t>Creat. &amp; Improv of Products, Serv, etc.</t>
  </si>
  <si>
    <t>86.42 %</t>
  </si>
  <si>
    <t>Sub-total -Livelihood/Inc generation</t>
  </si>
  <si>
    <t>97.28 %</t>
  </si>
  <si>
    <t>PB.0065.SV10.D4</t>
  </si>
  <si>
    <t>Capacity building – migrants</t>
  </si>
  <si>
    <t>PB.0065.SV10.D4.02</t>
  </si>
  <si>
    <t>Training- migrants &amp; comm</t>
  </si>
  <si>
    <t>Pilot Programs x Certific.Labor Comp.</t>
  </si>
  <si>
    <t>112.46 %</t>
  </si>
  <si>
    <t>Orientation &amp; Employment Relationship</t>
  </si>
  <si>
    <t>80.59 %</t>
  </si>
  <si>
    <t>Sub-total -Training- migrants &amp; comm</t>
  </si>
  <si>
    <t>97.24 %</t>
  </si>
  <si>
    <t>PB.0065.SV10.N1</t>
  </si>
  <si>
    <t>Institutional strengthening / capacity b</t>
  </si>
  <si>
    <t>PB.0065.SV10.N1.02</t>
  </si>
  <si>
    <t>Partnership Coord - priv</t>
  </si>
  <si>
    <t>Commercial &amp; Strengthening Activities</t>
  </si>
  <si>
    <t>98.45 %</t>
  </si>
  <si>
    <t>Sub-total -Partnership Coord - priv</t>
  </si>
  <si>
    <t>PB.0065.SV10.N1.03</t>
  </si>
  <si>
    <t>Training of partners</t>
  </si>
  <si>
    <t>Support in technical training processes</t>
  </si>
  <si>
    <t>193.24 %</t>
  </si>
  <si>
    <t>Technical Support for Training</t>
  </si>
  <si>
    <t>110.69 %</t>
  </si>
  <si>
    <t>Workshops Health &amp; Mental Care Workers</t>
  </si>
  <si>
    <t>81.55 %</t>
  </si>
  <si>
    <t>Organización de talleres de capacitación</t>
  </si>
  <si>
    <t>55.14 %</t>
  </si>
  <si>
    <t>Sub-total -Training of partners</t>
  </si>
  <si>
    <t>109.04 %</t>
  </si>
  <si>
    <t>PB.0065.SV10.N1.05</t>
  </si>
  <si>
    <t>Stakeholder Meetings</t>
  </si>
  <si>
    <t>Exch.Exp.GoES-Certifying Inst.Int.Labor</t>
  </si>
  <si>
    <t>99.50 %</t>
  </si>
  <si>
    <t>Meetings DNAVM &amp; Dev.Socioeconomic Prof.</t>
  </si>
  <si>
    <t>26.83 %</t>
  </si>
  <si>
    <t>Support Data Collect. &amp; Coord. Roadmap</t>
  </si>
  <si>
    <t>0.00 %</t>
  </si>
  <si>
    <t>Sub-total -Stakeholder Meetings</t>
  </si>
  <si>
    <t>89.80 %</t>
  </si>
  <si>
    <t>PB.0065.SV10.N1.06</t>
  </si>
  <si>
    <t>Reg, pol. &amp; legis. matls</t>
  </si>
  <si>
    <t>Techn.Norms Labor Compet. &amp; Curric.plan</t>
  </si>
  <si>
    <t>96.01 %</t>
  </si>
  <si>
    <t>Sub-total -Reg, pol. &amp; legis. matls</t>
  </si>
  <si>
    <t>PB.0065.SV10.N1.07</t>
  </si>
  <si>
    <t>Technical assistance</t>
  </si>
  <si>
    <t>Techn.Assist. Strenght. x Creative Ideas</t>
  </si>
  <si>
    <t>99.74 %</t>
  </si>
  <si>
    <t>Impl. Strategic Guidelines Mental Health</t>
  </si>
  <si>
    <t>100.00 %</t>
  </si>
  <si>
    <t>Mapping Serv.Migrants with Protect.Needs</t>
  </si>
  <si>
    <t>Design Interagency Coord.Mech. &amp; Roadmap</t>
  </si>
  <si>
    <t>8.03 %</t>
  </si>
  <si>
    <t>Sub-total -Technical assistance</t>
  </si>
  <si>
    <t>78.38 %</t>
  </si>
  <si>
    <t>PB.0065.SV10.N1.08</t>
  </si>
  <si>
    <t>Dev &amp; maint of info syst</t>
  </si>
  <si>
    <t>Design-Virtualization Psychosoc.Process</t>
  </si>
  <si>
    <t>100.13 %</t>
  </si>
  <si>
    <t>Interactive App Irreg. Migration Risks</t>
  </si>
  <si>
    <t>36.68 %</t>
  </si>
  <si>
    <t>Sub-total -Dev &amp; maint of info syst</t>
  </si>
  <si>
    <t>65.52 %</t>
  </si>
  <si>
    <t>PB.0065.SV10.N1.09</t>
  </si>
  <si>
    <t>Furniture and Equipment</t>
  </si>
  <si>
    <t>Adap/equip of mental health assist unit</t>
  </si>
  <si>
    <t>27.83 %</t>
  </si>
  <si>
    <t>Adap/equip in training center La Union</t>
  </si>
  <si>
    <t>97.89 %</t>
  </si>
  <si>
    <t>Sub-total -Furniture and Equipment</t>
  </si>
  <si>
    <t>49.54 %</t>
  </si>
  <si>
    <t>PB.0065.SV10.Q1</t>
  </si>
  <si>
    <t>Planning, monitoring and evaluation</t>
  </si>
  <si>
    <t>PB.0065.SV10.Q1.01</t>
  </si>
  <si>
    <t>Assessments</t>
  </si>
  <si>
    <t>Mapping of Needs &amp; Strengthening Plan</t>
  </si>
  <si>
    <t>98.91 %</t>
  </si>
  <si>
    <t>Sub-total -Assessments</t>
  </si>
  <si>
    <t>PB.0065.SV10.Q1.03</t>
  </si>
  <si>
    <t>Project Monitoring</t>
  </si>
  <si>
    <t>Monit.&amp; Follow-up x Certification Prgrm</t>
  </si>
  <si>
    <t>115.33 %</t>
  </si>
  <si>
    <t>115.77 %</t>
  </si>
  <si>
    <t>Monit.&amp; Follow-up x Strenghtening Prgrm</t>
  </si>
  <si>
    <t>100.61 %</t>
  </si>
  <si>
    <t>101.90 %</t>
  </si>
  <si>
    <t>Coordination Unit</t>
  </si>
  <si>
    <t>75.48 %</t>
  </si>
  <si>
    <t>Sub-total -Project Monitoring</t>
  </si>
  <si>
    <t>79.48 %</t>
  </si>
  <si>
    <t>79.59 %</t>
  </si>
  <si>
    <t>PB.0065.SV10.Q1.05</t>
  </si>
  <si>
    <t>Evaluation</t>
  </si>
  <si>
    <t>62.98 %</t>
  </si>
  <si>
    <t>94.70 %</t>
  </si>
  <si>
    <t>Sub-total -Evaluation</t>
  </si>
  <si>
    <t>PB.0065.SV10.Q2</t>
  </si>
  <si>
    <t>Research, dissemination and outreach</t>
  </si>
  <si>
    <t>PB.0065.SV10.Q2.02</t>
  </si>
  <si>
    <t>Publication</t>
  </si>
  <si>
    <t>Printing Modules &amp; Manual for Teachers</t>
  </si>
  <si>
    <t>63.17 %</t>
  </si>
  <si>
    <t>Audiovisual Materials for Students</t>
  </si>
  <si>
    <t>99.45 %</t>
  </si>
  <si>
    <t>Layout Doc.Available Serv. x Migrants</t>
  </si>
  <si>
    <t>Printing Doc.Available Serv. x migrants</t>
  </si>
  <si>
    <t>Layout Doc. Coord. Mechanism &amp; Roadmap</t>
  </si>
  <si>
    <t>86.89 %</t>
  </si>
  <si>
    <t>Printing Doc. Coord. Mechanism &amp; Roadmap</t>
  </si>
  <si>
    <t>60.98 %</t>
  </si>
  <si>
    <t>Sub-total -Publication</t>
  </si>
  <si>
    <t>77.89 %</t>
  </si>
  <si>
    <t>PB.0065.SV10.Q3</t>
  </si>
  <si>
    <t>Logistics</t>
  </si>
  <si>
    <t>PB.0065.SV10.Q3.03</t>
  </si>
  <si>
    <t>Rent/proc operatnl equip</t>
  </si>
  <si>
    <t>Fuel and vehicle rental</t>
  </si>
  <si>
    <t>Sub-total -Rent/proc operatnl equip</t>
  </si>
  <si>
    <t>OVERHEAD</t>
  </si>
  <si>
    <t>85.80 %</t>
  </si>
  <si>
    <t>MISSION TOTAL</t>
  </si>
  <si>
    <t>88.17 %</t>
  </si>
  <si>
    <t>OVERHEAD ALL MISSIONS</t>
  </si>
  <si>
    <t>zdsr</t>
  </si>
  <si>
    <t>Account Type</t>
  </si>
  <si>
    <t>Donor Budget Line</t>
  </si>
  <si>
    <t>DBL Description</t>
  </si>
  <si>
    <t>Proj. Start Date</t>
  </si>
  <si>
    <t>Proj. End Date</t>
  </si>
  <si>
    <t>Budget</t>
  </si>
  <si>
    <t>Revenue</t>
  </si>
  <si>
    <t>Expense</t>
  </si>
  <si>
    <t>Commitment</t>
  </si>
  <si>
    <t>Budget Consumption</t>
  </si>
  <si>
    <t>Balance  of BUD-EXP-COM</t>
  </si>
  <si>
    <t>Currency</t>
  </si>
  <si>
    <t>% of EXP+COM over BUD</t>
  </si>
  <si>
    <t>000002</t>
  </si>
  <si>
    <t>Voluntary Contribution</t>
  </si>
  <si>
    <t>USD</t>
  </si>
  <si>
    <t>89 %</t>
  </si>
  <si>
    <t>115 %</t>
  </si>
  <si>
    <t>52 %</t>
  </si>
  <si>
    <t>85 %</t>
  </si>
  <si>
    <t>109 %</t>
  </si>
  <si>
    <t>98 %</t>
  </si>
  <si>
    <t>OH0001</t>
  </si>
  <si>
    <t>Overhead</t>
  </si>
  <si>
    <t>88 %</t>
  </si>
  <si>
    <t>Total Budget Consumption</t>
  </si>
  <si>
    <t>Total gastos a reportar al donante (sin OH)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</si>
</sst>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quot;$&quot;* #,##0.00_-;_-&quot;$&quot;* &quot;-&quot;??_-;_-@_-"/>
    <numFmt numFmtId="43" formatCode="_-* #,##0.00_-;\-* #,##0.00_-;_-* &quot;-&quot;??_-;_-@_-"/>
    <numFmt numFmtId="164" formatCode="_(&quot;$&quot;* #,##0.00_);_(&quot;$&quot;* \(#,##0.00\);_(&quot;$&quot;* &quot;-&quot;??_);_(@_)"/>
    <numFmt numFmtId="165" formatCode="_(* #,##0.00_);_(* \(#,##0.00\);_(* &quot;-&quot;??_);_(@_)"/>
    <numFmt numFmtId="166" formatCode="_-* #,##0_-;\-* #,##0_-;_-* &quot;-&quot;??_-;_-@_-"/>
    <numFmt numFmtId="167" formatCode="[$USD]\ #,##0.00;\-[$USD]\ #,##0.00"/>
    <numFmt numFmtId="168" formatCode="_(&quot;$&quot;* #,##0.0000_);_(&quot;$&quot;* \(#,##0.0000\);_(&quot;$&quot;* &quot;-&quot;??_);_(@_)"/>
  </numFmts>
  <fonts count="54">
    <font>
      <sz val="11"/>
      <color theme="1"/>
      <name val="Calibri"/>
      <family val="2"/>
      <scheme val="minor"/>
    </font>
    <font>
      <sz val="10"/>
      <name val="Arial"/>
      <family val="2"/>
    </font>
    <font>
      <sz val="12"/>
      <color theme="1"/>
      <name val="Calibri"/>
      <family val="2"/>
      <scheme val="minor"/>
    </font>
    <font>
      <b/>
      <sz val="12"/>
      <color theme="1"/>
      <name val="Calibri"/>
      <family val="2"/>
      <scheme val="minor"/>
    </font>
    <font>
      <b/>
      <sz val="11"/>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11"/>
      <name val="Calibri"/>
      <family val="2"/>
      <scheme val="minor"/>
    </font>
    <font>
      <b/>
      <sz val="12"/>
      <color rgb="FF000000"/>
      <name val="Calibri"/>
      <family val="2"/>
      <scheme val="minor"/>
    </font>
    <font>
      <b/>
      <sz val="14"/>
      <color theme="1"/>
      <name val="Calibri"/>
      <family val="2"/>
      <scheme val="minor"/>
    </font>
    <font>
      <sz val="14"/>
      <color theme="1"/>
      <name val="Calibri"/>
      <family val="2"/>
      <scheme val="minor"/>
    </font>
    <font>
      <b/>
      <sz val="24"/>
      <color rgb="FF00B0F0"/>
      <name val="Calibri"/>
      <family val="2"/>
      <scheme val="minor"/>
    </font>
    <font>
      <b/>
      <u val="single"/>
      <sz val="18"/>
      <color theme="1"/>
      <name val="Calibri"/>
      <family val="2"/>
      <scheme val="minor"/>
    </font>
    <font>
      <i/>
      <sz val="14"/>
      <color theme="1"/>
      <name val="Calibri"/>
      <family val="2"/>
      <scheme val="minor"/>
    </font>
    <font>
      <sz val="12"/>
      <name val="Calibri"/>
      <family val="2"/>
      <scheme val="minor"/>
    </font>
    <font>
      <b/>
      <sz val="11"/>
      <name val="Calibri"/>
      <family val="2"/>
    </font>
    <font>
      <b/>
      <sz val="11"/>
      <color theme="0"/>
      <name val="Calibri"/>
      <family val="2"/>
      <scheme val="minor"/>
    </font>
    <font>
      <sz val="22"/>
      <color rgb="FFFF0000"/>
      <name val="Goudy Stout"/>
      <family val="1"/>
    </font>
    <font>
      <sz val="11"/>
      <color theme="1"/>
      <name val="Arial"/>
      <family val="2"/>
    </font>
    <font>
      <sz val="11"/>
      <name val="Arial"/>
      <family val="2"/>
    </font>
    <font>
      <sz val="11"/>
      <name val="Arial Narrow"/>
      <family val="2"/>
    </font>
    <font>
      <b/>
      <sz val="12"/>
      <name val="Arial"/>
      <family val="2"/>
    </font>
    <font>
      <b/>
      <sz val="11"/>
      <name val="Calibri"/>
      <family val="2"/>
      <scheme val="minor"/>
    </font>
    <font>
      <b/>
      <sz val="14"/>
      <color rgb="FFFF0000"/>
      <name val="Calibri"/>
      <family val="2"/>
      <scheme val="minor"/>
    </font>
    <font>
      <b/>
      <sz val="14"/>
      <name val="Calibri"/>
      <family val="2"/>
      <scheme val="minor"/>
    </font>
    <font>
      <b/>
      <sz val="16"/>
      <name val="Calibri"/>
      <family val="2"/>
      <scheme val="minor"/>
    </font>
    <font>
      <b/>
      <sz val="11"/>
      <name val="Arial"/>
      <family val="2"/>
    </font>
    <font>
      <b/>
      <sz val="9"/>
      <name val="Arial"/>
      <family val="2"/>
    </font>
    <font>
      <b/>
      <i/>
      <sz val="11"/>
      <name val="Calibri"/>
      <family val="2"/>
      <scheme val="minor"/>
    </font>
    <font>
      <b/>
      <sz val="11"/>
      <color rgb="FF7030A0"/>
      <name val="Arial"/>
      <family val="2"/>
    </font>
    <font>
      <b/>
      <sz val="11"/>
      <color theme="3"/>
      <name val="Arial"/>
      <family val="2"/>
    </font>
    <font>
      <b/>
      <sz val="11"/>
      <color rgb="FFFF0000"/>
      <name val="Arial"/>
      <family val="2"/>
    </font>
    <font>
      <b/>
      <sz val="11"/>
      <color theme="6" tint="-0.4999699890613556"/>
      <name val="Arial"/>
      <family val="2"/>
    </font>
    <font>
      <b/>
      <sz val="12"/>
      <name val="Calibri"/>
      <family val="2"/>
      <scheme val="minor"/>
    </font>
    <font>
      <b/>
      <sz val="11"/>
      <color theme="9" tint="-0.4999699890613556"/>
      <name val="Arial"/>
      <family val="2"/>
    </font>
    <font>
      <b/>
      <sz val="11"/>
      <name val="Arial Narrow"/>
      <family val="2"/>
    </font>
    <font>
      <b/>
      <sz val="11"/>
      <color theme="0"/>
      <name val="Arial"/>
      <family val="2"/>
    </font>
    <font>
      <b/>
      <sz val="11"/>
      <color theme="0"/>
      <name val="Arial Narrow"/>
      <family val="2"/>
    </font>
    <font>
      <b/>
      <sz val="11"/>
      <color rgb="FF0070C0"/>
      <name val="Arial Narrow"/>
      <family val="2"/>
    </font>
    <font>
      <sz val="11"/>
      <color rgb="FF0070C0"/>
      <name val="Arial Narrow"/>
      <family val="2"/>
    </font>
    <font>
      <sz val="11"/>
      <color theme="1"/>
      <name val="Arial Narrow"/>
      <family val="2"/>
    </font>
    <font>
      <sz val="11"/>
      <color theme="0" tint="-0.1499900072813034"/>
      <name val="Arial"/>
      <family val="2"/>
    </font>
    <font>
      <b/>
      <i/>
      <sz val="8"/>
      <name val="Arial Narrow"/>
      <family val="2"/>
    </font>
    <font>
      <sz val="11"/>
      <name val="Calibri"/>
      <family val="2"/>
    </font>
    <font>
      <b/>
      <sz val="10"/>
      <name val="Arial"/>
      <family val="2"/>
    </font>
    <font>
      <b/>
      <sz val="11"/>
      <color rgb="FFFF0000"/>
      <name val="Calibri"/>
      <family val="2"/>
      <scheme val="minor"/>
    </font>
    <font>
      <b/>
      <sz val="8"/>
      <name val="Calibri"/>
      <family val="2"/>
    </font>
  </fonts>
  <fills count="19">
    <fill>
      <patternFill/>
    </fill>
    <fill>
      <patternFill patternType="gray125"/>
    </fill>
    <fill>
      <patternFill patternType="solid">
        <fgColor theme="0"/>
        <bgColor indexed="64"/>
      </patternFill>
    </fill>
    <fill>
      <patternFill patternType="solid">
        <fgColor theme="0" tint="-0.1499900072813034"/>
        <bgColor indexed="64"/>
      </patternFill>
    </fill>
    <fill>
      <patternFill patternType="solid">
        <fgColor theme="2" tint="-0.09996999800205231"/>
        <bgColor indexed="64"/>
      </patternFill>
    </fill>
    <fill>
      <patternFill patternType="solid">
        <fgColor theme="0" tint="-0.24997000396251678"/>
        <bgColor indexed="64"/>
      </patternFill>
    </fill>
    <fill>
      <patternFill patternType="solid">
        <fgColor rgb="FFD9D9D9"/>
        <bgColor indexed="64"/>
      </patternFill>
    </fill>
    <fill>
      <patternFill patternType="solid">
        <fgColor theme="0"/>
        <bgColor indexed="64"/>
      </patternFill>
    </fill>
    <fill>
      <patternFill patternType="solid">
        <fgColor theme="8" tint="0.7999799847602844"/>
        <bgColor indexed="64"/>
      </patternFill>
    </fill>
    <fill>
      <patternFill patternType="solid">
        <fgColor theme="4" tint="-0.24997000396251678"/>
        <bgColor indexed="64"/>
      </patternFill>
    </fill>
    <fill>
      <patternFill patternType="solid">
        <fgColor indexed="11"/>
        <bgColor indexed="64"/>
      </patternFill>
    </fill>
    <fill>
      <patternFill patternType="solid">
        <fgColor theme="3" tint="0.5999900102615356"/>
        <bgColor indexed="64"/>
      </patternFill>
    </fill>
    <fill>
      <patternFill patternType="solid">
        <fgColor rgb="FFFFFF00"/>
        <bgColor indexed="64"/>
      </patternFill>
    </fill>
    <fill>
      <patternFill patternType="solid">
        <fgColor theme="6" tint="0.7999799847602844"/>
        <bgColor indexed="64"/>
      </patternFill>
    </fill>
    <fill>
      <patternFill patternType="solid">
        <fgColor theme="9"/>
        <bgColor indexed="64"/>
      </patternFill>
    </fill>
    <fill>
      <patternFill patternType="solid">
        <fgColor indexed="31"/>
        <bgColor indexed="64"/>
      </patternFill>
    </fill>
    <fill>
      <patternFill patternType="solid">
        <fgColor rgb="FFDDDDDD"/>
        <bgColor indexed="64"/>
      </patternFill>
    </fill>
    <fill>
      <patternFill patternType="solid">
        <fgColor theme="0" tint="-0.04997999966144562"/>
        <bgColor indexed="64"/>
      </patternFill>
    </fill>
    <fill>
      <patternFill patternType="solid">
        <fgColor theme="7" tint="0.39998000860214233"/>
        <bgColor indexed="64"/>
      </patternFill>
    </fill>
  </fills>
  <borders count="62">
    <border>
      <left/>
      <right/>
      <top/>
      <bottom/>
      <diagonal/>
    </border>
    <border>
      <left style="thin"/>
      <right style="medium"/>
      <top style="thin"/>
      <bottom style="thin"/>
    </border>
    <border>
      <left style="medium"/>
      <right style="thin"/>
      <top style="thin"/>
      <bottom style="medium"/>
    </border>
    <border>
      <left style="thin"/>
      <right style="thin"/>
      <top style="thin"/>
      <bottom style="thin"/>
    </border>
    <border>
      <left style="medium"/>
      <right style="thin"/>
      <top style="thin"/>
      <bottom style="thin"/>
    </border>
    <border>
      <left style="thin"/>
      <right style="thin"/>
      <top style="thin"/>
      <bottom/>
    </border>
    <border>
      <left style="thin"/>
      <right style="thin"/>
      <top/>
      <bottom style="thin"/>
    </border>
    <border>
      <left style="thin"/>
      <right style="thin"/>
      <top style="thin"/>
      <bottom style="medium"/>
    </border>
    <border>
      <left style="thin"/>
      <right/>
      <top style="thin"/>
      <bottom/>
    </border>
    <border>
      <left/>
      <right/>
      <top style="thin"/>
      <bottom/>
    </border>
    <border>
      <left/>
      <right style="thin"/>
      <top style="thin"/>
      <bottom/>
    </border>
    <border>
      <left style="thin"/>
      <right/>
      <top style="thin"/>
      <bottom style="thin"/>
    </border>
    <border>
      <left/>
      <right/>
      <top style="thin"/>
      <bottom style="thin"/>
    </border>
    <border>
      <left/>
      <right style="thin"/>
      <top style="thin"/>
      <bottom style="thin"/>
    </border>
    <border>
      <left style="thin"/>
      <right style="medium"/>
      <top/>
      <bottom style="thin"/>
    </border>
    <border>
      <left style="medium"/>
      <right/>
      <top/>
      <bottom/>
    </border>
    <border>
      <left style="thin"/>
      <right style="medium"/>
      <top/>
      <bottom style="medium"/>
    </border>
    <border>
      <left style="medium"/>
      <right style="thin"/>
      <top/>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medium"/>
      <right style="thin"/>
      <top style="thin"/>
      <bottom/>
    </border>
    <border>
      <left style="medium"/>
      <right style="thin"/>
      <top/>
      <bottom style="medium"/>
    </border>
    <border>
      <left style="thin"/>
      <right style="thin"/>
      <top/>
      <bottom style="medium"/>
    </border>
    <border>
      <left style="thin"/>
      <right style="medium"/>
      <top style="thin"/>
      <bottom/>
    </border>
    <border>
      <left style="medium"/>
      <right style="medium"/>
      <top style="medium"/>
      <bottom style="medium"/>
    </border>
    <border>
      <left style="medium"/>
      <right style="medium"/>
      <top style="medium"/>
      <bottom/>
    </border>
    <border>
      <left style="medium"/>
      <right style="medium"/>
      <top/>
      <bottom/>
    </border>
    <border>
      <left style="medium"/>
      <right style="medium"/>
      <top/>
      <bottom style="medium"/>
    </border>
    <border>
      <left style="thin"/>
      <right style="thin"/>
      <top/>
      <bottom/>
    </border>
    <border>
      <left style="thin"/>
      <right style="medium"/>
      <top/>
      <bottom/>
    </border>
    <border>
      <left style="thin"/>
      <right/>
      <top style="thin"/>
      <bottom style="medium"/>
    </border>
    <border>
      <left style="medium"/>
      <right/>
      <top style="medium"/>
      <bottom style="medium"/>
    </border>
    <border>
      <left/>
      <right/>
      <top style="medium"/>
      <bottom style="medium"/>
    </border>
    <border>
      <left/>
      <right style="medium"/>
      <top style="medium"/>
      <bottom style="medium"/>
    </border>
    <border>
      <left style="thin"/>
      <right/>
      <top style="medium"/>
      <bottom style="thin"/>
    </border>
    <border>
      <left style="thin"/>
      <right/>
      <top/>
      <bottom style="thin"/>
    </border>
    <border>
      <left/>
      <right style="thin"/>
      <top/>
      <bottom style="thin"/>
    </border>
    <border>
      <left style="thin"/>
      <right style="thin"/>
      <top style="medium"/>
      <bottom style="medium"/>
    </border>
    <border>
      <left style="thin"/>
      <right style="thin"/>
      <top style="medium"/>
      <bottom style="thin"/>
    </border>
    <border>
      <left style="medium"/>
      <right style="thin"/>
      <top/>
      <bottom/>
    </border>
    <border>
      <left/>
      <right/>
      <top/>
      <bottom style="thin"/>
    </border>
    <border>
      <left style="thin"/>
      <right/>
      <top style="medium"/>
      <bottom style="medium"/>
    </border>
    <border>
      <left/>
      <right style="thin"/>
      <top style="medium"/>
      <bottom style="medium"/>
    </border>
    <border>
      <left/>
      <right/>
      <top style="medium"/>
      <bottom style="thin"/>
    </border>
    <border>
      <left/>
      <right style="thin"/>
      <top style="medium"/>
      <bottom style="thin"/>
    </border>
    <border>
      <left style="thin"/>
      <right/>
      <top/>
      <bottom style="medium"/>
    </border>
    <border>
      <left style="medium"/>
      <right/>
      <top style="medium"/>
      <bottom style="thin"/>
    </border>
    <border>
      <left/>
      <right style="medium"/>
      <top style="medium"/>
      <bottom style="thin"/>
    </border>
    <border>
      <left style="medium"/>
      <right/>
      <top style="thin"/>
      <bottom style="thin"/>
    </border>
    <border>
      <left/>
      <right style="medium"/>
      <top style="thin"/>
      <bottom style="thin"/>
    </border>
    <border>
      <left style="thin"/>
      <right style="thin"/>
      <top style="medium"/>
      <bottom/>
    </border>
    <border>
      <left/>
      <right style="medium"/>
      <top/>
      <bottom style="thin"/>
    </border>
    <border>
      <left style="medium"/>
      <right/>
      <top style="thin"/>
      <bottom style="medium"/>
    </border>
    <border>
      <left/>
      <right/>
      <top style="thin"/>
      <bottom style="medium"/>
    </border>
    <border>
      <left/>
      <right style="medium"/>
      <top style="thin"/>
      <bottom style="mediu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s>
  <cellStyleXfs count="3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0" fillId="0" borderId="0" applyFont="0" applyFill="0" applyBorder="0" applyAlignment="0" applyProtection="0"/>
    <xf numFmtId="9" fontId="0" fillId="0" borderId="0" applyFont="0" applyFill="0" applyBorder="0" applyAlignment="0" applyProtection="0"/>
    <xf numFmtId="0" fontId="1" fillId="0" borderId="0">
      <alignment/>
      <protection/>
    </xf>
    <xf numFmtId="44" fontId="0" fillId="0" borderId="0" applyFont="0" applyFill="0" applyBorder="0" applyAlignment="0" applyProtection="0"/>
    <xf numFmtId="0" fontId="0" fillId="0" borderId="0">
      <alignment/>
      <protection/>
    </xf>
    <xf numFmtId="165" fontId="0" fillId="0" borderId="0" applyFont="0" applyFill="0" applyBorder="0" applyAlignment="0" applyProtection="0"/>
    <xf numFmtId="43" fontId="0" fillId="0" borderId="0" applyFont="0" applyFill="0" applyBorder="0" applyAlignment="0" applyProtection="0"/>
    <xf numFmtId="0" fontId="50" fillId="0" borderId="0">
      <alignment/>
      <protection/>
    </xf>
    <xf numFmtId="165" fontId="1" fillId="0" borderId="0" applyFont="0" applyFill="0" applyBorder="0" applyAlignment="0" applyProtection="0"/>
    <xf numFmtId="44" fontId="0" fillId="0" borderId="0" applyFont="0" applyFill="0" applyBorder="0" applyAlignment="0" applyProtection="0"/>
  </cellStyleXfs>
  <cellXfs count="521">
    <xf numFmtId="0" fontId="0" fillId="0" borderId="0" xfId="0"/>
    <xf numFmtId="0" fontId="3" fillId="0" borderId="0" xfId="0" applyFont="1" applyAlignment="1">
      <alignment vertical="center" wrapText="1"/>
    </xf>
    <xf numFmtId="0" fontId="3" fillId="0" borderId="0" xfId="0" applyFont="1" applyAlignment="1" applyProtection="1">
      <alignment vertical="center" wrapText="1"/>
      <protection locked="0"/>
    </xf>
    <xf numFmtId="0" fontId="5" fillId="0" borderId="0" xfId="0" applyFont="1" applyAlignment="1">
      <alignment vertical="center" wrapText="1"/>
    </xf>
    <xf numFmtId="0" fontId="3" fillId="2" borderId="0" xfId="0" applyFont="1" applyFill="1" applyAlignment="1">
      <alignment vertical="center" wrapText="1"/>
    </xf>
    <xf numFmtId="164" fontId="3" fillId="0" borderId="0" xfId="0" applyNumberFormat="1" applyFont="1" applyAlignment="1">
      <alignment vertical="center" wrapText="1"/>
    </xf>
    <xf numFmtId="9" fontId="3" fillId="3" borderId="1" xfId="21" applyFont="1" applyFill="1" applyBorder="1" applyAlignment="1">
      <alignment vertical="center" wrapText="1"/>
    </xf>
    <xf numFmtId="0" fontId="3" fillId="3" borderId="2" xfId="0" applyFont="1" applyFill="1" applyBorder="1" applyAlignment="1">
      <alignment vertical="center" wrapText="1"/>
    </xf>
    <xf numFmtId="0" fontId="3" fillId="2" borderId="0" xfId="0" applyFont="1" applyFill="1" applyAlignment="1" applyProtection="1">
      <alignment vertical="center" wrapText="1"/>
      <protection locked="0"/>
    </xf>
    <xf numFmtId="164" fontId="9" fillId="0" borderId="0" xfId="20" applyFont="1" applyFill="1" applyBorder="1" applyAlignment="1" applyProtection="1">
      <alignment vertical="center" wrapText="1"/>
      <protection/>
    </xf>
    <xf numFmtId="164" fontId="3" fillId="3" borderId="3" xfId="20" applyFont="1" applyFill="1" applyBorder="1" applyAlignment="1" applyProtection="1">
      <alignment horizontal="center" vertical="center" wrapText="1"/>
      <protection/>
    </xf>
    <xf numFmtId="0" fontId="6" fillId="3" borderId="4" xfId="0" applyFont="1" applyFill="1" applyBorder="1" applyAlignment="1">
      <alignment vertical="center" wrapText="1"/>
    </xf>
    <xf numFmtId="164" fontId="6" fillId="2" borderId="0" xfId="20" applyFont="1" applyFill="1" applyBorder="1" applyAlignment="1" applyProtection="1">
      <alignment vertical="center" wrapText="1"/>
      <protection/>
    </xf>
    <xf numFmtId="164" fontId="3" fillId="3" borderId="5" xfId="20" applyFont="1" applyFill="1" applyBorder="1" applyAlignment="1" applyProtection="1">
      <alignment horizontal="center" vertical="center" wrapText="1"/>
      <protection/>
    </xf>
    <xf numFmtId="0" fontId="3" fillId="3" borderId="4" xfId="0" applyFont="1" applyFill="1" applyBorder="1" applyAlignment="1">
      <alignment vertical="center" wrapText="1"/>
    </xf>
    <xf numFmtId="0" fontId="6" fillId="3" borderId="4" xfId="0" applyFont="1" applyFill="1" applyBorder="1" applyAlignment="1" applyProtection="1">
      <alignment vertical="center" wrapText="1"/>
      <protection locked="0"/>
    </xf>
    <xf numFmtId="164" fontId="3" fillId="2" borderId="0" xfId="0" applyNumberFormat="1" applyFont="1" applyFill="1" applyAlignment="1">
      <alignment vertical="center" wrapText="1"/>
    </xf>
    <xf numFmtId="0" fontId="0" fillId="2" borderId="0" xfId="0" applyFill="1" applyAlignment="1">
      <alignment horizontal="center" vertical="center" wrapText="1"/>
    </xf>
    <xf numFmtId="0" fontId="12" fillId="0" borderId="0" xfId="0" applyFont="1" applyAlignment="1">
      <alignment wrapText="1"/>
    </xf>
    <xf numFmtId="0" fontId="13" fillId="0" borderId="0" xfId="0" applyFont="1" applyAlignment="1">
      <alignment wrapText="1"/>
    </xf>
    <xf numFmtId="0" fontId="0" fillId="0" borderId="0" xfId="0" applyAlignment="1">
      <alignment wrapText="1"/>
    </xf>
    <xf numFmtId="0" fontId="0" fillId="2" borderId="0" xfId="0" applyFill="1" applyAlignment="1">
      <alignment wrapText="1"/>
    </xf>
    <xf numFmtId="0" fontId="3" fillId="0" borderId="0" xfId="0" applyFont="1" applyAlignment="1">
      <alignment horizontal="center" vertical="center" wrapText="1"/>
    </xf>
    <xf numFmtId="9" fontId="3" fillId="2" borderId="0" xfId="21" applyFont="1" applyFill="1" applyBorder="1" applyAlignment="1">
      <alignment wrapText="1"/>
    </xf>
    <xf numFmtId="0" fontId="4" fillId="2" borderId="0" xfId="0" applyFont="1" applyFill="1" applyAlignment="1">
      <alignment horizontal="center" vertical="center" wrapText="1"/>
    </xf>
    <xf numFmtId="164" fontId="3" fillId="2" borderId="0" xfId="21" applyNumberFormat="1" applyFont="1" applyFill="1" applyBorder="1" applyAlignment="1">
      <alignment wrapText="1"/>
    </xf>
    <xf numFmtId="0" fontId="8" fillId="0" borderId="0" xfId="0" applyFont="1" applyAlignment="1">
      <alignment horizontal="center" vertical="center" wrapText="1"/>
    </xf>
    <xf numFmtId="0" fontId="3" fillId="2" borderId="0" xfId="0" applyFont="1" applyFill="1" applyAlignment="1">
      <alignment horizontal="left" wrapText="1"/>
    </xf>
    <xf numFmtId="164" fontId="3" fillId="0" borderId="0" xfId="20" applyFont="1" applyFill="1" applyBorder="1" applyAlignment="1" applyProtection="1">
      <alignment vertical="center" wrapText="1"/>
      <protection/>
    </xf>
    <xf numFmtId="164" fontId="3" fillId="0" borderId="0" xfId="20" applyFont="1" applyFill="1" applyBorder="1" applyAlignment="1" applyProtection="1">
      <alignment horizontal="center" vertical="center" wrapText="1"/>
      <protection/>
    </xf>
    <xf numFmtId="0" fontId="5" fillId="3" borderId="3" xfId="0" applyFont="1" applyFill="1" applyBorder="1" applyAlignment="1">
      <alignment vertical="center" wrapText="1"/>
    </xf>
    <xf numFmtId="0" fontId="5" fillId="3" borderId="3" xfId="0" applyFont="1" applyFill="1" applyBorder="1" applyAlignment="1" applyProtection="1">
      <alignment vertical="center" wrapText="1"/>
      <protection locked="0"/>
    </xf>
    <xf numFmtId="0" fontId="2" fillId="0" borderId="0" xfId="0" applyFont="1" applyAlignment="1">
      <alignment wrapText="1"/>
    </xf>
    <xf numFmtId="0" fontId="2" fillId="2" borderId="0" xfId="0" applyFont="1" applyFill="1" applyAlignment="1">
      <alignment wrapText="1"/>
    </xf>
    <xf numFmtId="164" fontId="3" fillId="4" borderId="3" xfId="20" applyFont="1" applyFill="1" applyBorder="1" applyAlignment="1" applyProtection="1">
      <alignment wrapText="1"/>
      <protection/>
    </xf>
    <xf numFmtId="164" fontId="3" fillId="0" borderId="0" xfId="0" applyNumberFormat="1" applyFont="1" applyAlignment="1">
      <alignment wrapText="1"/>
    </xf>
    <xf numFmtId="164" fontId="5" fillId="0" borderId="0" xfId="20" applyFont="1" applyFill="1" applyBorder="1" applyAlignment="1">
      <alignment horizontal="right" vertical="center" wrapText="1"/>
    </xf>
    <xf numFmtId="164" fontId="3" fillId="3" borderId="3" xfId="0" applyNumberFormat="1" applyFont="1" applyFill="1" applyBorder="1" applyAlignment="1">
      <alignment wrapText="1"/>
    </xf>
    <xf numFmtId="0" fontId="5" fillId="3" borderId="6" xfId="0" applyFont="1" applyFill="1" applyBorder="1" applyAlignment="1">
      <alignment vertical="center" wrapText="1"/>
    </xf>
    <xf numFmtId="164" fontId="3" fillId="3" borderId="6" xfId="0" applyNumberFormat="1" applyFont="1" applyFill="1" applyBorder="1" applyAlignment="1">
      <alignment wrapText="1"/>
    </xf>
    <xf numFmtId="0" fontId="3" fillId="3" borderId="7" xfId="0" applyFont="1" applyFill="1" applyBorder="1" applyAlignment="1">
      <alignment horizontal="left" wrapText="1"/>
    </xf>
    <xf numFmtId="164" fontId="3" fillId="3" borderId="7" xfId="0" applyNumberFormat="1" applyFont="1" applyFill="1" applyBorder="1" applyAlignment="1">
      <alignment horizontal="center" wrapText="1"/>
    </xf>
    <xf numFmtId="164" fontId="3" fillId="3" borderId="7" xfId="0" applyNumberFormat="1" applyFont="1" applyFill="1" applyBorder="1" applyAlignment="1">
      <alignment wrapText="1"/>
    </xf>
    <xf numFmtId="164" fontId="3" fillId="4" borderId="3" xfId="20" applyFont="1" applyFill="1" applyBorder="1" applyAlignment="1">
      <alignment wrapText="1"/>
    </xf>
    <xf numFmtId="0" fontId="3" fillId="2" borderId="8" xfId="0" applyFont="1" applyFill="1" applyBorder="1" applyAlignment="1">
      <alignment horizontal="left" wrapText="1"/>
    </xf>
    <xf numFmtId="0" fontId="3" fillId="2" borderId="9" xfId="0" applyFont="1" applyFill="1" applyBorder="1" applyAlignment="1">
      <alignment horizontal="left" wrapText="1"/>
    </xf>
    <xf numFmtId="0" fontId="3" fillId="2" borderId="10" xfId="0" applyFont="1" applyFill="1" applyBorder="1" applyAlignment="1">
      <alignment horizontal="left" wrapText="1"/>
    </xf>
    <xf numFmtId="164" fontId="3" fillId="2" borderId="11" xfId="20" applyFont="1" applyFill="1" applyBorder="1" applyAlignment="1" applyProtection="1">
      <alignment wrapText="1"/>
      <protection/>
    </xf>
    <xf numFmtId="164" fontId="3" fillId="2" borderId="12" xfId="20" applyFont="1" applyFill="1" applyBorder="1" applyAlignment="1">
      <alignment wrapText="1"/>
    </xf>
    <xf numFmtId="164" fontId="3" fillId="2" borderId="13" xfId="0" applyNumberFormat="1" applyFont="1" applyFill="1" applyBorder="1" applyAlignment="1">
      <alignment wrapText="1"/>
    </xf>
    <xf numFmtId="164" fontId="3" fillId="2" borderId="12" xfId="20" applyFont="1" applyFill="1" applyBorder="1" applyAlignment="1" applyProtection="1">
      <alignment wrapText="1"/>
      <protection/>
    </xf>
    <xf numFmtId="0" fontId="3" fillId="2" borderId="3" xfId="0" applyFont="1" applyFill="1" applyBorder="1" applyAlignment="1" applyProtection="1">
      <alignment horizontal="center" vertical="center" wrapText="1"/>
      <protection locked="0"/>
    </xf>
    <xf numFmtId="164" fontId="3" fillId="3" borderId="14" xfId="0" applyNumberFormat="1" applyFont="1" applyFill="1" applyBorder="1" applyAlignment="1">
      <alignment wrapText="1"/>
    </xf>
    <xf numFmtId="164" fontId="3" fillId="3" borderId="1" xfId="0" applyNumberFormat="1" applyFont="1" applyFill="1" applyBorder="1" applyAlignment="1">
      <alignment wrapText="1"/>
    </xf>
    <xf numFmtId="0" fontId="3" fillId="3" borderId="15" xfId="0" applyFont="1" applyFill="1" applyBorder="1" applyAlignment="1">
      <alignment horizontal="center" wrapText="1"/>
    </xf>
    <xf numFmtId="164" fontId="3" fillId="3" borderId="16" xfId="0" applyNumberFormat="1" applyFont="1" applyFill="1" applyBorder="1" applyAlignment="1">
      <alignment wrapText="1"/>
    </xf>
    <xf numFmtId="0" fontId="2" fillId="0" borderId="0" xfId="0" applyFont="1"/>
    <xf numFmtId="0" fontId="4" fillId="3" borderId="17" xfId="0" applyFont="1" applyFill="1" applyBorder="1"/>
    <xf numFmtId="0" fontId="4" fillId="3" borderId="4" xfId="0" applyFont="1" applyFill="1" applyBorder="1"/>
    <xf numFmtId="0" fontId="4" fillId="3" borderId="3" xfId="0" applyFont="1" applyFill="1" applyBorder="1"/>
    <xf numFmtId="0" fontId="4" fillId="3" borderId="1" xfId="0" applyFont="1" applyFill="1" applyBorder="1"/>
    <xf numFmtId="0" fontId="0" fillId="3" borderId="4" xfId="0" applyFill="1" applyBorder="1" applyAlignment="1">
      <alignment vertical="center" wrapText="1"/>
    </xf>
    <xf numFmtId="9" fontId="0" fillId="3" borderId="3" xfId="21" applyFont="1" applyFill="1" applyBorder="1" applyAlignment="1">
      <alignment vertical="center"/>
    </xf>
    <xf numFmtId="164" fontId="0" fillId="3" borderId="1" xfId="0" applyNumberFormat="1" applyFill="1" applyBorder="1" applyAlignment="1">
      <alignment vertical="center"/>
    </xf>
    <xf numFmtId="0" fontId="0" fillId="3" borderId="4" xfId="0" applyFill="1" applyBorder="1" applyAlignment="1">
      <alignment wrapText="1"/>
    </xf>
    <xf numFmtId="0" fontId="0" fillId="3" borderId="4" xfId="0" applyFill="1" applyBorder="1"/>
    <xf numFmtId="0" fontId="0" fillId="3" borderId="2" xfId="0" applyFill="1" applyBorder="1"/>
    <xf numFmtId="164" fontId="0" fillId="3" borderId="18" xfId="0" applyNumberFormat="1" applyFill="1" applyBorder="1" applyAlignment="1">
      <alignment vertical="center"/>
    </xf>
    <xf numFmtId="0" fontId="3" fillId="3" borderId="3" xfId="0" applyFont="1" applyFill="1" applyBorder="1" applyAlignment="1">
      <alignment vertical="center" wrapText="1"/>
    </xf>
    <xf numFmtId="0" fontId="3" fillId="3" borderId="4" xfId="0" applyFont="1" applyFill="1" applyBorder="1" applyAlignment="1">
      <alignment horizontal="center" vertical="center" wrapText="1"/>
    </xf>
    <xf numFmtId="0" fontId="3" fillId="3" borderId="3" xfId="0" applyFont="1" applyFill="1" applyBorder="1" applyAlignment="1">
      <alignment horizontal="center" vertical="center" wrapText="1"/>
    </xf>
    <xf numFmtId="164" fontId="3" fillId="3" borderId="3" xfId="20" applyFont="1" applyFill="1" applyBorder="1" applyAlignment="1" applyProtection="1">
      <alignment vertical="center" wrapText="1"/>
      <protection/>
    </xf>
    <xf numFmtId="164" fontId="3" fillId="3" borderId="11" xfId="20" applyFont="1" applyFill="1" applyBorder="1" applyAlignment="1" applyProtection="1">
      <alignment vertical="center" wrapText="1"/>
      <protection/>
    </xf>
    <xf numFmtId="164" fontId="3" fillId="3" borderId="7" xfId="20" applyFont="1" applyFill="1" applyBorder="1" applyAlignment="1" applyProtection="1">
      <alignment vertical="center" wrapText="1"/>
      <protection/>
    </xf>
    <xf numFmtId="9" fontId="3" fillId="3" borderId="18" xfId="21" applyFont="1" applyFill="1" applyBorder="1" applyAlignment="1" applyProtection="1">
      <alignment vertical="center" wrapText="1"/>
      <protection/>
    </xf>
    <xf numFmtId="0" fontId="4" fillId="3" borderId="19" xfId="0" applyFont="1" applyFill="1" applyBorder="1" applyAlignment="1">
      <alignment horizontal="left" vertical="center" wrapText="1"/>
    </xf>
    <xf numFmtId="164" fontId="3" fillId="3" borderId="20" xfId="0" applyNumberFormat="1" applyFont="1" applyFill="1" applyBorder="1" applyAlignment="1">
      <alignment vertical="center" wrapText="1"/>
    </xf>
    <xf numFmtId="0" fontId="4" fillId="3" borderId="4" xfId="0" applyFont="1" applyFill="1" applyBorder="1" applyAlignment="1">
      <alignment horizontal="left" vertical="center" wrapText="1"/>
    </xf>
    <xf numFmtId="164" fontId="3" fillId="3" borderId="1" xfId="21" applyNumberFormat="1" applyFont="1" applyFill="1" applyBorder="1" applyAlignment="1" applyProtection="1">
      <alignment wrapText="1"/>
      <protection/>
    </xf>
    <xf numFmtId="0" fontId="0" fillId="3" borderId="4" xfId="0" applyFill="1" applyBorder="1" applyAlignment="1">
      <alignment vertical="top" wrapText="1"/>
    </xf>
    <xf numFmtId="0" fontId="0" fillId="3" borderId="4" xfId="0" applyFill="1" applyBorder="1" applyAlignment="1">
      <alignment vertical="top"/>
    </xf>
    <xf numFmtId="0" fontId="0" fillId="3" borderId="2" xfId="0" applyFill="1" applyBorder="1" applyAlignment="1">
      <alignment vertical="top"/>
    </xf>
    <xf numFmtId="164" fontId="3" fillId="3" borderId="18" xfId="20" applyFont="1" applyFill="1" applyBorder="1" applyAlignment="1" applyProtection="1">
      <alignment vertical="center" wrapText="1"/>
      <protection/>
    </xf>
    <xf numFmtId="0" fontId="3" fillId="3" borderId="6" xfId="0" applyFont="1" applyFill="1" applyBorder="1" applyAlignment="1">
      <alignment vertical="center" wrapText="1"/>
    </xf>
    <xf numFmtId="0" fontId="3" fillId="4" borderId="3" xfId="0" applyFont="1" applyFill="1" applyBorder="1" applyAlignment="1" applyProtection="1">
      <alignment vertical="center" wrapText="1"/>
      <protection locked="0"/>
    </xf>
    <xf numFmtId="0" fontId="3" fillId="3" borderId="21" xfId="0" applyFont="1" applyFill="1" applyBorder="1" applyAlignment="1">
      <alignment vertical="center" wrapText="1"/>
    </xf>
    <xf numFmtId="164" fontId="3" fillId="3" borderId="8" xfId="20" applyFont="1" applyFill="1" applyBorder="1" applyAlignment="1" applyProtection="1">
      <alignment vertical="center" wrapText="1"/>
      <protection/>
    </xf>
    <xf numFmtId="164" fontId="3" fillId="4" borderId="3" xfId="20" applyFont="1" applyFill="1" applyBorder="1" applyAlignment="1" applyProtection="1">
      <alignment vertical="center" wrapText="1"/>
      <protection/>
    </xf>
    <xf numFmtId="164" fontId="3" fillId="3" borderId="11" xfId="0" applyNumberFormat="1" applyFont="1" applyFill="1" applyBorder="1" applyAlignment="1">
      <alignment wrapText="1"/>
    </xf>
    <xf numFmtId="164" fontId="3" fillId="2" borderId="12" xfId="0" applyNumberFormat="1" applyFont="1" applyFill="1" applyBorder="1" applyAlignment="1">
      <alignment wrapText="1"/>
    </xf>
    <xf numFmtId="0" fontId="3" fillId="3" borderId="22" xfId="0" applyFont="1" applyFill="1" applyBorder="1" applyAlignment="1">
      <alignment wrapText="1"/>
    </xf>
    <xf numFmtId="164" fontId="3" fillId="3" borderId="23" xfId="0" applyNumberFormat="1" applyFont="1" applyFill="1" applyBorder="1" applyAlignment="1">
      <alignment wrapText="1"/>
    </xf>
    <xf numFmtId="9" fontId="3" fillId="2" borderId="1" xfId="21" applyFont="1" applyFill="1" applyBorder="1" applyAlignment="1" applyProtection="1">
      <alignment vertical="center" wrapText="1"/>
      <protection locked="0"/>
    </xf>
    <xf numFmtId="9" fontId="3" fillId="2" borderId="24" xfId="21" applyFont="1" applyFill="1" applyBorder="1" applyAlignment="1" applyProtection="1">
      <alignment vertical="center" wrapText="1"/>
      <protection locked="0"/>
    </xf>
    <xf numFmtId="9" fontId="3" fillId="2" borderId="24" xfId="21" applyFont="1" applyFill="1" applyBorder="1" applyAlignment="1" applyProtection="1">
      <alignment horizontal="right" vertical="center" wrapText="1"/>
      <protection locked="0"/>
    </xf>
    <xf numFmtId="0" fontId="4" fillId="5" borderId="25" xfId="0" applyFont="1" applyFill="1" applyBorder="1"/>
    <xf numFmtId="0" fontId="0" fillId="5" borderId="26" xfId="0" applyFill="1" applyBorder="1"/>
    <xf numFmtId="0" fontId="0" fillId="5" borderId="27" xfId="0" applyFill="1" applyBorder="1" applyAlignment="1">
      <alignment wrapText="1"/>
    </xf>
    <xf numFmtId="0" fontId="0" fillId="5" borderId="28" xfId="0" applyFill="1" applyBorder="1" applyAlignment="1">
      <alignment wrapText="1"/>
    </xf>
    <xf numFmtId="0" fontId="6" fillId="3" borderId="2" xfId="0" applyFont="1" applyFill="1" applyBorder="1" applyAlignment="1">
      <alignment vertical="center" wrapText="1"/>
    </xf>
    <xf numFmtId="164" fontId="3" fillId="3" borderId="18" xfId="0" applyNumberFormat="1" applyFont="1" applyFill="1" applyBorder="1" applyAlignment="1">
      <alignment wrapText="1"/>
    </xf>
    <xf numFmtId="164" fontId="3" fillId="3" borderId="29" xfId="20" applyFont="1" applyFill="1" applyBorder="1" applyAlignment="1">
      <alignment wrapText="1"/>
    </xf>
    <xf numFmtId="164" fontId="3" fillId="3" borderId="30" xfId="0" applyNumberFormat="1" applyFont="1" applyFill="1" applyBorder="1" applyAlignment="1">
      <alignment wrapText="1"/>
    </xf>
    <xf numFmtId="164" fontId="3" fillId="3" borderId="3" xfId="20" applyFont="1" applyFill="1" applyBorder="1" applyAlignment="1">
      <alignment wrapText="1"/>
    </xf>
    <xf numFmtId="164" fontId="3" fillId="3" borderId="2" xfId="20" applyFont="1" applyFill="1" applyBorder="1" applyAlignment="1" applyProtection="1">
      <alignment wrapText="1"/>
      <protection/>
    </xf>
    <xf numFmtId="164" fontId="3" fillId="3" borderId="7" xfId="20" applyFont="1" applyFill="1" applyBorder="1" applyAlignment="1">
      <alignment wrapText="1"/>
    </xf>
    <xf numFmtId="10" fontId="3" fillId="3" borderId="1" xfId="21" applyNumberFormat="1" applyFont="1" applyFill="1" applyBorder="1" applyAlignment="1" applyProtection="1">
      <alignment wrapText="1"/>
      <protection/>
    </xf>
    <xf numFmtId="164" fontId="13" fillId="0" borderId="0" xfId="20" applyFont="1" applyBorder="1" applyAlignment="1">
      <alignment wrapText="1"/>
    </xf>
    <xf numFmtId="164" fontId="0" fillId="0" borderId="0" xfId="20" applyFont="1" applyBorder="1" applyAlignment="1">
      <alignment wrapText="1"/>
    </xf>
    <xf numFmtId="164" fontId="0" fillId="0" borderId="0" xfId="20" applyFont="1" applyFill="1" applyBorder="1" applyAlignment="1">
      <alignment wrapText="1"/>
    </xf>
    <xf numFmtId="164" fontId="3" fillId="2" borderId="0" xfId="20" applyFont="1" applyFill="1" applyBorder="1" applyAlignment="1" applyProtection="1">
      <alignment vertical="center" wrapText="1"/>
      <protection locked="0"/>
    </xf>
    <xf numFmtId="164" fontId="3" fillId="2" borderId="0" xfId="20" applyFont="1" applyFill="1" applyBorder="1" applyAlignment="1">
      <alignment vertical="center" wrapText="1"/>
    </xf>
    <xf numFmtId="164" fontId="3" fillId="2" borderId="0" xfId="20" applyFont="1" applyFill="1" applyBorder="1" applyAlignment="1" applyProtection="1">
      <alignment horizontal="right" vertical="center" wrapText="1"/>
      <protection locked="0"/>
    </xf>
    <xf numFmtId="164" fontId="3" fillId="0" borderId="0" xfId="20" applyFont="1" applyFill="1" applyBorder="1" applyAlignment="1">
      <alignment vertical="center" wrapText="1"/>
    </xf>
    <xf numFmtId="164" fontId="15" fillId="6" borderId="3" xfId="0" applyNumberFormat="1" applyFont="1" applyFill="1" applyBorder="1" applyAlignment="1">
      <alignment horizontal="center" vertical="center" wrapText="1"/>
    </xf>
    <xf numFmtId="164" fontId="3" fillId="2" borderId="0" xfId="20" applyFont="1" applyFill="1" applyBorder="1" applyAlignment="1" applyProtection="1">
      <alignment horizontal="center" vertical="center" wrapText="1"/>
      <protection/>
    </xf>
    <xf numFmtId="164" fontId="3" fillId="2" borderId="0" xfId="20" applyFont="1" applyFill="1" applyBorder="1" applyAlignment="1" applyProtection="1">
      <alignment vertical="center" wrapText="1"/>
      <protection/>
    </xf>
    <xf numFmtId="164" fontId="11" fillId="2" borderId="0" xfId="20" applyFont="1" applyFill="1" applyBorder="1" applyAlignment="1">
      <alignment horizontal="left" wrapText="1"/>
    </xf>
    <xf numFmtId="164" fontId="3" fillId="3" borderId="19" xfId="0" applyNumberFormat="1" applyFont="1" applyFill="1" applyBorder="1" applyAlignment="1">
      <alignment vertical="center" wrapText="1"/>
    </xf>
    <xf numFmtId="164" fontId="0" fillId="3" borderId="20" xfId="20" applyFont="1" applyFill="1" applyBorder="1" applyAlignment="1">
      <alignment vertical="center" wrapText="1"/>
    </xf>
    <xf numFmtId="0" fontId="0" fillId="3" borderId="2" xfId="0" applyFill="1" applyBorder="1" applyAlignment="1">
      <alignment wrapText="1"/>
    </xf>
    <xf numFmtId="9" fontId="0" fillId="3" borderId="18" xfId="21" applyFont="1" applyFill="1" applyBorder="1" applyAlignment="1">
      <alignment wrapText="1"/>
    </xf>
    <xf numFmtId="164" fontId="4" fillId="3" borderId="7" xfId="0" applyNumberFormat="1" applyFont="1" applyFill="1" applyBorder="1"/>
    <xf numFmtId="164" fontId="3" fillId="3" borderId="11" xfId="21" applyNumberFormat="1" applyFont="1" applyFill="1" applyBorder="1" applyAlignment="1">
      <alignment vertical="center" wrapText="1"/>
    </xf>
    <xf numFmtId="164" fontId="4" fillId="3" borderId="31" xfId="0" applyNumberFormat="1" applyFont="1" applyFill="1" applyBorder="1"/>
    <xf numFmtId="0" fontId="0" fillId="3" borderId="18" xfId="0" applyFill="1" applyBorder="1"/>
    <xf numFmtId="0" fontId="3" fillId="3" borderId="5" xfId="0" applyFont="1" applyFill="1" applyBorder="1" applyAlignment="1">
      <alignment horizontal="center" vertical="center" wrapText="1"/>
    </xf>
    <xf numFmtId="164" fontId="13" fillId="2" borderId="0" xfId="20" applyFont="1" applyFill="1" applyBorder="1" applyAlignment="1">
      <alignment wrapText="1"/>
    </xf>
    <xf numFmtId="164" fontId="0" fillId="2" borderId="0" xfId="20" applyFont="1" applyFill="1" applyBorder="1" applyAlignment="1">
      <alignment wrapText="1"/>
    </xf>
    <xf numFmtId="164" fontId="3" fillId="2" borderId="3" xfId="20" applyFont="1" applyFill="1" applyBorder="1" applyAlignment="1" applyProtection="1">
      <alignment horizontal="center" vertical="center" wrapText="1"/>
      <protection/>
    </xf>
    <xf numFmtId="164" fontId="15" fillId="7" borderId="3" xfId="0" applyNumberFormat="1" applyFont="1" applyFill="1" applyBorder="1" applyAlignment="1">
      <alignment horizontal="center" vertical="center" wrapText="1"/>
    </xf>
    <xf numFmtId="164" fontId="0" fillId="2" borderId="0" xfId="20" applyFont="1" applyFill="1" applyBorder="1" applyAlignment="1">
      <alignment vertical="center" wrapText="1"/>
    </xf>
    <xf numFmtId="9" fontId="0" fillId="2" borderId="0" xfId="21" applyFont="1" applyFill="1" applyBorder="1" applyAlignment="1">
      <alignment wrapText="1"/>
    </xf>
    <xf numFmtId="0" fontId="2" fillId="3" borderId="3" xfId="0" applyFont="1" applyFill="1" applyBorder="1" applyAlignment="1">
      <alignment horizontal="center" vertical="center" wrapText="1"/>
    </xf>
    <xf numFmtId="164" fontId="3" fillId="3" borderId="5" xfId="20" applyFont="1" applyFill="1" applyBorder="1" applyAlignment="1" applyProtection="1">
      <alignment horizontal="center" vertical="center" wrapText="1"/>
      <protection locked="0"/>
    </xf>
    <xf numFmtId="0" fontId="10" fillId="8" borderId="25" xfId="0" applyFont="1" applyFill="1" applyBorder="1" applyAlignment="1">
      <alignment vertical="top" wrapText="1"/>
    </xf>
    <xf numFmtId="0" fontId="3" fillId="0" borderId="0" xfId="0" applyFont="1" applyAlignment="1">
      <alignment wrapText="1"/>
    </xf>
    <xf numFmtId="0" fontId="16" fillId="0" borderId="0" xfId="0" applyFont="1" applyAlignment="1">
      <alignment wrapText="1"/>
    </xf>
    <xf numFmtId="0" fontId="2" fillId="0" borderId="3" xfId="0" applyFont="1" applyBorder="1" applyAlignment="1" applyProtection="1">
      <alignment horizontal="left" vertical="top" wrapText="1"/>
      <protection locked="0"/>
    </xf>
    <xf numFmtId="164" fontId="2" fillId="0" borderId="3" xfId="20" applyFont="1" applyBorder="1" applyAlignment="1" applyProtection="1">
      <alignment horizontal="center" vertical="center" wrapText="1"/>
      <protection locked="0"/>
    </xf>
    <xf numFmtId="0" fontId="2" fillId="2" borderId="3" xfId="0" applyFont="1" applyFill="1" applyBorder="1" applyAlignment="1" applyProtection="1">
      <alignment horizontal="left" vertical="top" wrapText="1"/>
      <protection locked="0"/>
    </xf>
    <xf numFmtId="164" fontId="2" fillId="2" borderId="3" xfId="20" applyFont="1" applyFill="1" applyBorder="1" applyAlignment="1" applyProtection="1">
      <alignment horizontal="center" vertical="center" wrapText="1"/>
      <protection locked="0"/>
    </xf>
    <xf numFmtId="164" fontId="2" fillId="0" borderId="3" xfId="20" applyFont="1" applyFill="1" applyBorder="1" applyAlignment="1" applyProtection="1">
      <alignment horizontal="center" vertical="center" wrapText="1"/>
      <protection locked="0"/>
    </xf>
    <xf numFmtId="9" fontId="2" fillId="0" borderId="3" xfId="21" applyFont="1" applyFill="1" applyBorder="1" applyAlignment="1" applyProtection="1">
      <alignment horizontal="center" vertical="center" wrapText="1"/>
      <protection locked="0"/>
    </xf>
    <xf numFmtId="0" fontId="21" fillId="0" borderId="3" xfId="0" applyFont="1" applyBorder="1" applyAlignment="1" applyProtection="1">
      <alignment horizontal="left" vertical="top" wrapText="1"/>
      <protection locked="0"/>
    </xf>
    <xf numFmtId="164" fontId="3" fillId="4" borderId="7" xfId="20" applyFont="1" applyFill="1" applyBorder="1" applyAlignment="1">
      <alignment wrapText="1"/>
    </xf>
    <xf numFmtId="0" fontId="0" fillId="0" borderId="0" xfId="0" applyAlignment="1">
      <alignment horizontal="left"/>
    </xf>
    <xf numFmtId="0" fontId="2" fillId="2" borderId="3" xfId="0" applyFont="1" applyFill="1" applyBorder="1" applyAlignment="1" applyProtection="1">
      <alignment vertical="center" wrapText="1"/>
      <protection locked="0"/>
    </xf>
    <xf numFmtId="0" fontId="25" fillId="0" borderId="0" xfId="22" applyFont="1" applyAlignment="1">
      <alignment vertical="center"/>
      <protection/>
    </xf>
    <xf numFmtId="43" fontId="26" fillId="0" borderId="0" xfId="22" applyNumberFormat="1" applyFont="1" applyAlignment="1">
      <alignment vertical="center"/>
      <protection/>
    </xf>
    <xf numFmtId="0" fontId="27" fillId="0" borderId="0" xfId="22" applyFont="1" applyAlignment="1">
      <alignment vertical="center"/>
      <protection/>
    </xf>
    <xf numFmtId="0" fontId="26" fillId="0" borderId="0" xfId="22" applyFont="1" applyAlignment="1">
      <alignment horizontal="center" vertical="center" wrapText="1"/>
      <protection/>
    </xf>
    <xf numFmtId="166" fontId="26" fillId="0" borderId="0" xfId="26" applyNumberFormat="1" applyFont="1" applyAlignment="1">
      <alignment horizontal="center" vertical="center"/>
    </xf>
    <xf numFmtId="164" fontId="26" fillId="0" borderId="0" xfId="20" applyFont="1" applyAlignment="1">
      <alignment vertical="center"/>
    </xf>
    <xf numFmtId="0" fontId="26" fillId="0" borderId="0" xfId="22" applyFont="1" applyAlignment="1">
      <alignment vertical="center"/>
      <protection/>
    </xf>
    <xf numFmtId="0" fontId="29" fillId="0" borderId="0" xfId="22" applyFont="1" applyAlignment="1">
      <alignment vertical="center"/>
      <protection/>
    </xf>
    <xf numFmtId="0" fontId="16" fillId="0" borderId="0" xfId="22" applyFont="1" applyAlignment="1">
      <alignment vertical="center"/>
      <protection/>
    </xf>
    <xf numFmtId="0" fontId="14" fillId="0" borderId="0" xfId="22" applyFont="1" applyAlignment="1">
      <alignment horizontal="center" vertical="center" wrapText="1"/>
      <protection/>
    </xf>
    <xf numFmtId="166" fontId="14" fillId="0" borderId="0" xfId="26" applyNumberFormat="1" applyFont="1" applyAlignment="1">
      <alignment horizontal="center" vertical="center"/>
    </xf>
    <xf numFmtId="164" fontId="14" fillId="0" borderId="0" xfId="20" applyFont="1" applyAlignment="1">
      <alignment vertical="center"/>
    </xf>
    <xf numFmtId="0" fontId="30" fillId="0" borderId="0" xfId="22" applyFont="1" applyAlignment="1">
      <alignment vertical="center"/>
      <protection/>
    </xf>
    <xf numFmtId="0" fontId="29" fillId="0" borderId="0" xfId="22" applyFont="1" applyAlignment="1">
      <alignment horizontal="left" vertical="center" wrapText="1"/>
      <protection/>
    </xf>
    <xf numFmtId="167" fontId="31" fillId="0" borderId="0" xfId="22" applyNumberFormat="1" applyFont="1" applyAlignment="1">
      <alignment horizontal="left" vertical="center"/>
      <protection/>
    </xf>
    <xf numFmtId="0" fontId="31" fillId="0" borderId="0" xfId="22" applyFont="1" applyAlignment="1">
      <alignment vertical="center"/>
      <protection/>
    </xf>
    <xf numFmtId="43" fontId="14" fillId="0" borderId="0" xfId="26" applyFont="1" applyAlignment="1">
      <alignment vertical="center"/>
    </xf>
    <xf numFmtId="0" fontId="29" fillId="0" borderId="0" xfId="22" applyFont="1" applyAlignment="1">
      <alignment horizontal="left" vertical="center"/>
      <protection/>
    </xf>
    <xf numFmtId="0" fontId="32" fillId="0" borderId="0" xfId="22" applyFont="1" applyAlignment="1">
      <alignment horizontal="left" vertical="center"/>
      <protection/>
    </xf>
    <xf numFmtId="0" fontId="33" fillId="0" borderId="0" xfId="22" applyFont="1" applyAlignment="1">
      <alignment vertical="center"/>
      <protection/>
    </xf>
    <xf numFmtId="164" fontId="23" fillId="9" borderId="0" xfId="20" applyFont="1" applyFill="1" applyAlignment="1">
      <alignment horizontal="center" vertical="center" wrapText="1"/>
    </xf>
    <xf numFmtId="0" fontId="34" fillId="0" borderId="0" xfId="22" applyFont="1" applyAlignment="1">
      <alignment vertical="center"/>
      <protection/>
    </xf>
    <xf numFmtId="3" fontId="29" fillId="10" borderId="32" xfId="22" applyNumberFormat="1" applyFont="1" applyFill="1" applyBorder="1" applyAlignment="1" applyProtection="1">
      <alignment horizontal="left" vertical="center"/>
      <protection locked="0"/>
    </xf>
    <xf numFmtId="0" fontId="14" fillId="10" borderId="33" xfId="22" applyFont="1" applyFill="1" applyBorder="1" applyAlignment="1">
      <alignment vertical="center"/>
      <protection/>
    </xf>
    <xf numFmtId="0" fontId="14" fillId="10" borderId="33" xfId="22" applyFont="1" applyFill="1" applyBorder="1" applyAlignment="1">
      <alignment horizontal="center" vertical="center" wrapText="1"/>
      <protection/>
    </xf>
    <xf numFmtId="166" fontId="14" fillId="10" borderId="33" xfId="26" applyNumberFormat="1" applyFont="1" applyFill="1" applyBorder="1" applyAlignment="1">
      <alignment horizontal="center" vertical="center"/>
    </xf>
    <xf numFmtId="164" fontId="14" fillId="10" borderId="33" xfId="20" applyFont="1" applyFill="1" applyBorder="1" applyAlignment="1">
      <alignment vertical="center"/>
    </xf>
    <xf numFmtId="164" fontId="35" fillId="10" borderId="34" xfId="20" applyFont="1" applyFill="1" applyBorder="1" applyAlignment="1">
      <alignment vertical="center"/>
    </xf>
    <xf numFmtId="9" fontId="35" fillId="10" borderId="0" xfId="21" applyFont="1" applyFill="1" applyAlignment="1">
      <alignment vertical="center"/>
    </xf>
    <xf numFmtId="164" fontId="25" fillId="0" borderId="0" xfId="22" applyNumberFormat="1" applyFont="1" applyAlignment="1">
      <alignment vertical="center"/>
      <protection/>
    </xf>
    <xf numFmtId="0" fontId="36" fillId="0" borderId="0" xfId="22" applyFont="1" applyAlignment="1">
      <alignment vertical="center"/>
      <protection/>
    </xf>
    <xf numFmtId="0" fontId="27" fillId="2" borderId="9" xfId="22" applyFont="1" applyFill="1" applyBorder="1" applyAlignment="1">
      <alignment vertical="center"/>
      <protection/>
    </xf>
    <xf numFmtId="0" fontId="27" fillId="0" borderId="6" xfId="22" applyFont="1" applyBorder="1" applyAlignment="1">
      <alignment vertical="center"/>
      <protection/>
    </xf>
    <xf numFmtId="0" fontId="27" fillId="2" borderId="6" xfId="22" applyFont="1" applyFill="1" applyBorder="1" applyAlignment="1">
      <alignment vertical="center"/>
      <protection/>
    </xf>
    <xf numFmtId="43" fontId="27" fillId="2" borderId="6" xfId="22" applyNumberFormat="1" applyFont="1" applyFill="1" applyBorder="1" applyAlignment="1">
      <alignment vertical="center"/>
      <protection/>
    </xf>
    <xf numFmtId="164" fontId="27" fillId="2" borderId="6" xfId="20" applyFont="1" applyFill="1" applyBorder="1" applyAlignment="1">
      <alignment vertical="center"/>
    </xf>
    <xf numFmtId="164" fontId="14" fillId="2" borderId="0" xfId="20" applyFont="1" applyFill="1" applyAlignment="1">
      <alignment vertical="center"/>
    </xf>
    <xf numFmtId="3" fontId="1" fillId="2" borderId="0" xfId="22" applyNumberFormat="1" applyFill="1" applyAlignment="1">
      <alignment vertical="center"/>
      <protection/>
    </xf>
    <xf numFmtId="0" fontId="14" fillId="0" borderId="6" xfId="22" applyFont="1" applyBorder="1" applyAlignment="1">
      <alignment horizontal="center" vertical="center"/>
      <protection/>
    </xf>
    <xf numFmtId="164" fontId="27" fillId="0" borderId="6" xfId="20" applyFont="1" applyBorder="1" applyAlignment="1">
      <alignment vertical="center"/>
    </xf>
    <xf numFmtId="0" fontId="14" fillId="0" borderId="23" xfId="22" applyFont="1" applyBorder="1" applyAlignment="1">
      <alignment horizontal="center" vertical="center"/>
      <protection/>
    </xf>
    <xf numFmtId="0" fontId="37" fillId="0" borderId="0" xfId="22" applyFont="1" applyAlignment="1">
      <alignment vertical="center"/>
      <protection/>
    </xf>
    <xf numFmtId="0" fontId="38" fillId="0" borderId="0" xfId="22" applyFont="1" applyAlignment="1">
      <alignment vertical="center"/>
      <protection/>
    </xf>
    <xf numFmtId="0" fontId="14" fillId="0" borderId="35" xfId="22" applyFont="1" applyBorder="1" applyAlignment="1">
      <alignment horizontal="center" vertical="center"/>
      <protection/>
    </xf>
    <xf numFmtId="0" fontId="27" fillId="0" borderId="6" xfId="22" applyFont="1" applyBorder="1" applyAlignment="1">
      <alignment vertical="center" wrapText="1"/>
      <protection/>
    </xf>
    <xf numFmtId="164" fontId="14" fillId="2" borderId="0" xfId="21" applyNumberFormat="1" applyFont="1" applyFill="1" applyAlignment="1">
      <alignment vertical="center"/>
    </xf>
    <xf numFmtId="0" fontId="14" fillId="0" borderId="36" xfId="22" applyFont="1" applyBorder="1" applyAlignment="1">
      <alignment horizontal="center" vertical="center"/>
      <protection/>
    </xf>
    <xf numFmtId="12" fontId="14" fillId="2" borderId="0" xfId="20" applyNumberFormat="1" applyFont="1" applyFill="1" applyAlignment="1">
      <alignment vertical="center"/>
    </xf>
    <xf numFmtId="164" fontId="29" fillId="11" borderId="7" xfId="20" applyFont="1" applyFill="1" applyBorder="1" applyAlignment="1">
      <alignment horizontal="right" vertical="center"/>
    </xf>
    <xf numFmtId="9" fontId="29" fillId="11" borderId="0" xfId="21" applyFont="1" applyFill="1" applyAlignment="1">
      <alignment horizontal="right" vertical="center"/>
    </xf>
    <xf numFmtId="9" fontId="26" fillId="2" borderId="0" xfId="21" applyFont="1" applyFill="1" applyAlignment="1">
      <alignment vertical="center"/>
    </xf>
    <xf numFmtId="164" fontId="35" fillId="10" borderId="0" xfId="20" applyFont="1" applyFill="1" applyAlignment="1">
      <alignment vertical="center"/>
    </xf>
    <xf numFmtId="0" fontId="39" fillId="0" borderId="0" xfId="22" applyFont="1" applyAlignment="1">
      <alignment vertical="center"/>
      <protection/>
    </xf>
    <xf numFmtId="3" fontId="14" fillId="2" borderId="0" xfId="22" applyNumberFormat="1" applyFont="1" applyFill="1" applyAlignment="1">
      <alignment vertical="center"/>
      <protection/>
    </xf>
    <xf numFmtId="0" fontId="35" fillId="12" borderId="11" xfId="22" applyFont="1" applyFill="1" applyBorder="1" applyAlignment="1">
      <alignment horizontal="center" vertical="center" wrapText="1"/>
      <protection/>
    </xf>
    <xf numFmtId="166" fontId="35" fillId="12" borderId="12" xfId="26" applyNumberFormat="1" applyFont="1" applyFill="1" applyBorder="1" applyAlignment="1">
      <alignment horizontal="center" vertical="center" wrapText="1"/>
    </xf>
    <xf numFmtId="164" fontId="35" fillId="12" borderId="12" xfId="20" applyFont="1" applyFill="1" applyBorder="1" applyAlignment="1">
      <alignment vertical="center" wrapText="1"/>
    </xf>
    <xf numFmtId="164" fontId="35" fillId="12" borderId="13" xfId="20" applyFont="1" applyFill="1" applyBorder="1" applyAlignment="1">
      <alignment vertical="center" wrapText="1"/>
    </xf>
    <xf numFmtId="0" fontId="0" fillId="0" borderId="3" xfId="0" applyBorder="1" applyAlignment="1" applyProtection="1">
      <alignment horizontal="left" vertical="top" wrapText="1"/>
      <protection locked="0"/>
    </xf>
    <xf numFmtId="0" fontId="14" fillId="2" borderId="6" xfId="22" applyFont="1" applyFill="1" applyBorder="1" applyAlignment="1">
      <alignment horizontal="center" vertical="center" wrapText="1"/>
      <protection/>
    </xf>
    <xf numFmtId="166" fontId="14" fillId="2" borderId="6" xfId="26" applyNumberFormat="1" applyFont="1" applyFill="1" applyBorder="1" applyAlignment="1">
      <alignment horizontal="center" vertical="center"/>
    </xf>
    <xf numFmtId="164" fontId="14" fillId="2" borderId="6" xfId="20" applyFont="1" applyFill="1" applyBorder="1" applyAlignment="1">
      <alignment vertical="center"/>
    </xf>
    <xf numFmtId="0" fontId="14" fillId="0" borderId="3" xfId="0" applyFont="1" applyBorder="1" applyAlignment="1" applyProtection="1">
      <alignment horizontal="left" vertical="top" wrapText="1"/>
      <protection locked="0"/>
    </xf>
    <xf numFmtId="0" fontId="41" fillId="0" borderId="0" xfId="22" applyFont="1" applyAlignment="1">
      <alignment vertical="center"/>
      <protection/>
    </xf>
    <xf numFmtId="0" fontId="0" fillId="2" borderId="3" xfId="22" applyFont="1" applyFill="1" applyBorder="1" applyAlignment="1">
      <alignment vertical="center" wrapText="1"/>
      <protection/>
    </xf>
    <xf numFmtId="3" fontId="29" fillId="2" borderId="0" xfId="22" applyNumberFormat="1" applyFont="1" applyFill="1" applyAlignment="1">
      <alignment horizontal="left" vertical="center" wrapText="1"/>
      <protection/>
    </xf>
    <xf numFmtId="9" fontId="14" fillId="2" borderId="0" xfId="21" applyFont="1" applyFill="1" applyAlignment="1">
      <alignment vertical="center"/>
    </xf>
    <xf numFmtId="9" fontId="29" fillId="2" borderId="0" xfId="22" applyNumberFormat="1" applyFont="1" applyFill="1" applyAlignment="1">
      <alignment horizontal="right" vertical="center"/>
      <protection/>
    </xf>
    <xf numFmtId="0" fontId="0" fillId="2" borderId="3" xfId="0" applyFill="1" applyBorder="1" applyAlignment="1" applyProtection="1">
      <alignment horizontal="left" vertical="top" wrapText="1"/>
      <protection locked="0"/>
    </xf>
    <xf numFmtId="164" fontId="35" fillId="12" borderId="37" xfId="20" applyFont="1" applyFill="1" applyBorder="1" applyAlignment="1">
      <alignment vertical="center" wrapText="1"/>
    </xf>
    <xf numFmtId="9" fontId="14" fillId="0" borderId="0" xfId="21" applyFont="1" applyAlignment="1">
      <alignment vertical="center"/>
    </xf>
    <xf numFmtId="164" fontId="29" fillId="11" borderId="38" xfId="20" applyFont="1" applyFill="1" applyBorder="1" applyAlignment="1">
      <alignment horizontal="right" vertical="center"/>
    </xf>
    <xf numFmtId="164" fontId="29" fillId="13" borderId="38" xfId="20" applyFont="1" applyFill="1" applyBorder="1" applyAlignment="1">
      <alignment horizontal="right" vertical="center"/>
    </xf>
    <xf numFmtId="9" fontId="29" fillId="13" borderId="0" xfId="21" applyFont="1" applyFill="1" applyAlignment="1">
      <alignment horizontal="right" vertical="center"/>
    </xf>
    <xf numFmtId="164" fontId="29" fillId="14" borderId="38" xfId="20" applyFont="1" applyFill="1" applyBorder="1" applyAlignment="1">
      <alignment horizontal="right" vertical="center"/>
    </xf>
    <xf numFmtId="9" fontId="29" fillId="14" borderId="0" xfId="21" applyFont="1" applyFill="1" applyAlignment="1">
      <alignment horizontal="right" vertical="center"/>
    </xf>
    <xf numFmtId="9" fontId="26" fillId="0" borderId="0" xfId="21" applyFont="1" applyAlignment="1">
      <alignment vertical="center"/>
    </xf>
    <xf numFmtId="164" fontId="29" fillId="15" borderId="39" xfId="20" applyFont="1" applyFill="1" applyBorder="1" applyAlignment="1">
      <alignment horizontal="right" vertical="center"/>
    </xf>
    <xf numFmtId="9" fontId="29" fillId="15" borderId="0" xfId="21" applyFont="1" applyFill="1" applyAlignment="1">
      <alignment horizontal="right" vertical="center"/>
    </xf>
    <xf numFmtId="0" fontId="42" fillId="0" borderId="0" xfId="22" applyFont="1" applyAlignment="1">
      <alignment horizontal="left" vertical="center"/>
      <protection/>
    </xf>
    <xf numFmtId="164" fontId="26" fillId="0" borderId="0" xfId="20" applyFont="1" applyAlignment="1">
      <alignment horizontal="center" vertical="center" wrapText="1"/>
    </xf>
    <xf numFmtId="164" fontId="43" fillId="0" borderId="0" xfId="20" applyFont="1" applyAlignment="1">
      <alignment horizontal="center" vertical="center" wrapText="1"/>
    </xf>
    <xf numFmtId="0" fontId="42" fillId="2" borderId="3" xfId="22" applyFont="1" applyFill="1" applyBorder="1" applyAlignment="1">
      <alignment vertical="center"/>
      <protection/>
    </xf>
    <xf numFmtId="44" fontId="0" fillId="0" borderId="0" xfId="23" applyFont="1" applyAlignment="1">
      <alignment vertical="center"/>
    </xf>
    <xf numFmtId="0" fontId="0" fillId="0" borderId="0" xfId="0" applyAlignment="1">
      <alignment vertical="center"/>
    </xf>
    <xf numFmtId="0" fontId="27" fillId="2" borderId="3" xfId="22" applyFont="1" applyFill="1" applyBorder="1" applyAlignment="1">
      <alignment vertical="center"/>
      <protection/>
    </xf>
    <xf numFmtId="0" fontId="26" fillId="0" borderId="3" xfId="22" applyFont="1" applyBorder="1" applyAlignment="1">
      <alignment vertical="center"/>
      <protection/>
    </xf>
    <xf numFmtId="0" fontId="25" fillId="2" borderId="6" xfId="22" applyFont="1" applyFill="1" applyBorder="1" applyAlignment="1">
      <alignment vertical="center"/>
      <protection/>
    </xf>
    <xf numFmtId="43" fontId="26" fillId="2" borderId="6" xfId="22" applyNumberFormat="1" applyFont="1" applyFill="1" applyBorder="1" applyAlignment="1">
      <alignment vertical="center"/>
      <protection/>
    </xf>
    <xf numFmtId="0" fontId="46" fillId="2" borderId="3" xfId="22" applyFont="1" applyFill="1" applyBorder="1" applyAlignment="1">
      <alignment vertical="center"/>
      <protection/>
    </xf>
    <xf numFmtId="0" fontId="26" fillId="0" borderId="6" xfId="22" applyFont="1" applyBorder="1" applyAlignment="1">
      <alignment vertical="center"/>
      <protection/>
    </xf>
    <xf numFmtId="43" fontId="48" fillId="0" borderId="0" xfId="22" applyNumberFormat="1" applyFont="1" applyAlignment="1">
      <alignment vertical="center"/>
      <protection/>
    </xf>
    <xf numFmtId="43" fontId="33" fillId="2" borderId="6" xfId="22" applyNumberFormat="1" applyFont="1" applyFill="1" applyBorder="1" applyAlignment="1">
      <alignment vertical="center"/>
      <protection/>
    </xf>
    <xf numFmtId="168" fontId="26" fillId="0" borderId="0" xfId="20" applyNumberFormat="1" applyFont="1" applyAlignment="1">
      <alignment vertical="center"/>
    </xf>
    <xf numFmtId="0" fontId="50" fillId="0" borderId="0" xfId="27">
      <alignment/>
      <protection/>
    </xf>
    <xf numFmtId="0" fontId="50" fillId="0" borderId="0" xfId="27" applyAlignment="1">
      <alignment horizontal="left"/>
      <protection/>
    </xf>
    <xf numFmtId="0" fontId="24" fillId="2" borderId="0" xfId="22" applyFont="1" applyFill="1" applyAlignment="1">
      <alignment horizontal="center" vertical="center"/>
      <protection/>
    </xf>
    <xf numFmtId="164" fontId="26" fillId="2" borderId="0" xfId="20" applyFont="1" applyFill="1" applyAlignment="1">
      <alignment vertical="center"/>
    </xf>
    <xf numFmtId="43" fontId="14" fillId="2" borderId="0" xfId="26" applyFont="1" applyFill="1" applyAlignment="1">
      <alignment vertical="center"/>
    </xf>
    <xf numFmtId="164" fontId="23" fillId="2" borderId="0" xfId="20" applyFont="1" applyFill="1" applyAlignment="1">
      <alignment horizontal="center" vertical="center" wrapText="1"/>
    </xf>
    <xf numFmtId="9" fontId="35" fillId="2" borderId="0" xfId="21" applyFont="1" applyFill="1" applyAlignment="1">
      <alignment vertical="center"/>
    </xf>
    <xf numFmtId="9" fontId="29" fillId="2" borderId="0" xfId="21" applyFont="1" applyFill="1" applyAlignment="1">
      <alignment horizontal="right" vertical="center"/>
    </xf>
    <xf numFmtId="164" fontId="35" fillId="2" borderId="0" xfId="20" applyFont="1" applyFill="1" applyAlignment="1">
      <alignment vertical="center"/>
    </xf>
    <xf numFmtId="164" fontId="26" fillId="2" borderId="0" xfId="20" applyFont="1" applyFill="1" applyAlignment="1">
      <alignment horizontal="center" vertical="center" wrapText="1"/>
    </xf>
    <xf numFmtId="164" fontId="43" fillId="2" borderId="0" xfId="20" applyFont="1" applyFill="1" applyAlignment="1">
      <alignment horizontal="center" vertical="center" wrapText="1"/>
    </xf>
    <xf numFmtId="0" fontId="0" fillId="2" borderId="0" xfId="0" applyFill="1" applyAlignment="1">
      <alignment vertical="center"/>
    </xf>
    <xf numFmtId="0" fontId="26" fillId="2" borderId="0" xfId="22" applyFont="1" applyFill="1" applyAlignment="1">
      <alignment vertical="center"/>
      <protection/>
    </xf>
    <xf numFmtId="0" fontId="24" fillId="0" borderId="0" xfId="22" applyFont="1" applyAlignment="1">
      <alignment horizontal="center" vertical="center"/>
      <protection/>
    </xf>
    <xf numFmtId="0" fontId="50" fillId="0" borderId="0" xfId="27" applyAlignment="1">
      <alignment horizontal="center"/>
      <protection/>
    </xf>
    <xf numFmtId="166" fontId="7" fillId="2" borderId="6" xfId="26" applyNumberFormat="1" applyFont="1" applyFill="1" applyBorder="1" applyAlignment="1">
      <alignment horizontal="center" vertical="center"/>
    </xf>
    <xf numFmtId="164" fontId="7" fillId="0" borderId="3" xfId="20" applyFont="1" applyBorder="1" applyAlignment="1" applyProtection="1">
      <alignment horizontal="center" vertical="center" wrapText="1"/>
      <protection locked="0"/>
    </xf>
    <xf numFmtId="164" fontId="7" fillId="2" borderId="6" xfId="20" applyFont="1" applyFill="1" applyBorder="1" applyAlignment="1">
      <alignment vertical="center"/>
    </xf>
    <xf numFmtId="166" fontId="7" fillId="0" borderId="6" xfId="26" applyNumberFormat="1" applyFont="1" applyFill="1" applyBorder="1" applyAlignment="1">
      <alignment horizontal="center" vertical="center"/>
    </xf>
    <xf numFmtId="164" fontId="7" fillId="0" borderId="3" xfId="20" applyFont="1" applyFill="1" applyBorder="1" applyAlignment="1" applyProtection="1">
      <alignment horizontal="center" vertical="center" wrapText="1"/>
      <protection locked="0"/>
    </xf>
    <xf numFmtId="164" fontId="7" fillId="0" borderId="6" xfId="20" applyFont="1" applyFill="1" applyBorder="1" applyAlignment="1">
      <alignment vertical="center"/>
    </xf>
    <xf numFmtId="166" fontId="7" fillId="0" borderId="6" xfId="26" applyNumberFormat="1" applyFont="1" applyBorder="1" applyAlignment="1">
      <alignment horizontal="center" vertical="center"/>
    </xf>
    <xf numFmtId="164" fontId="7" fillId="2" borderId="3" xfId="20" applyFont="1" applyFill="1" applyBorder="1" applyAlignment="1" applyProtection="1">
      <alignment horizontal="center" vertical="center" wrapText="1"/>
      <protection locked="0"/>
    </xf>
    <xf numFmtId="164" fontId="9" fillId="0" borderId="3" xfId="20" applyFont="1" applyBorder="1" applyAlignment="1" applyProtection="1">
      <alignment horizontal="center" vertical="center" wrapText="1"/>
      <protection locked="0"/>
    </xf>
    <xf numFmtId="166" fontId="7" fillId="2" borderId="3" xfId="26" applyNumberFormat="1" applyFont="1" applyFill="1" applyBorder="1" applyAlignment="1">
      <alignment horizontal="center" vertical="center"/>
    </xf>
    <xf numFmtId="164" fontId="26" fillId="0" borderId="0" xfId="20" applyFont="1" applyFill="1" applyAlignment="1">
      <alignment vertical="center"/>
    </xf>
    <xf numFmtId="164" fontId="14" fillId="0" borderId="0" xfId="20" applyFont="1" applyFill="1" applyAlignment="1">
      <alignment vertical="center"/>
    </xf>
    <xf numFmtId="43" fontId="14" fillId="0" borderId="0" xfId="26" applyFont="1" applyFill="1" applyAlignment="1">
      <alignment vertical="center"/>
    </xf>
    <xf numFmtId="164" fontId="23" fillId="0" borderId="0" xfId="20" applyFont="1" applyFill="1" applyAlignment="1">
      <alignment horizontal="center" vertical="center" wrapText="1"/>
    </xf>
    <xf numFmtId="9" fontId="35" fillId="0" borderId="0" xfId="21" applyFont="1" applyFill="1" applyAlignment="1">
      <alignment vertical="center"/>
    </xf>
    <xf numFmtId="9" fontId="29" fillId="0" borderId="0" xfId="21" applyFont="1" applyFill="1" applyAlignment="1">
      <alignment horizontal="right" vertical="center"/>
    </xf>
    <xf numFmtId="164" fontId="35" fillId="0" borderId="0" xfId="20" applyFont="1" applyFill="1" applyAlignment="1">
      <alignment vertical="center"/>
    </xf>
    <xf numFmtId="3" fontId="14" fillId="0" borderId="0" xfId="22" applyNumberFormat="1" applyFont="1" applyAlignment="1">
      <alignment vertical="center"/>
      <protection/>
    </xf>
    <xf numFmtId="9" fontId="26" fillId="0" borderId="0" xfId="21" applyFont="1" applyFill="1" applyAlignment="1">
      <alignment vertical="center"/>
    </xf>
    <xf numFmtId="164" fontId="26" fillId="0" borderId="0" xfId="20" applyFont="1" applyFill="1" applyAlignment="1">
      <alignment horizontal="center" vertical="center" wrapText="1"/>
    </xf>
    <xf numFmtId="164" fontId="43" fillId="0" borderId="0" xfId="20" applyFont="1" applyFill="1" applyAlignment="1">
      <alignment horizontal="center" vertical="center" wrapText="1"/>
    </xf>
    <xf numFmtId="164" fontId="26" fillId="0" borderId="0" xfId="20" applyFont="1" applyFill="1" applyBorder="1" applyAlignment="1">
      <alignment vertical="center"/>
    </xf>
    <xf numFmtId="164" fontId="14" fillId="0" borderId="0" xfId="20" applyFont="1" applyFill="1" applyBorder="1" applyAlignment="1">
      <alignment vertical="center"/>
    </xf>
    <xf numFmtId="43" fontId="14" fillId="0" borderId="0" xfId="26" applyFont="1" applyFill="1" applyBorder="1" applyAlignment="1">
      <alignment vertical="center"/>
    </xf>
    <xf numFmtId="164" fontId="23" fillId="0" borderId="0" xfId="20" applyFont="1" applyFill="1" applyBorder="1" applyAlignment="1">
      <alignment horizontal="center" vertical="center" wrapText="1"/>
    </xf>
    <xf numFmtId="9" fontId="35" fillId="0" borderId="0" xfId="21" applyFont="1" applyFill="1" applyBorder="1" applyAlignment="1">
      <alignment vertical="center"/>
    </xf>
    <xf numFmtId="9" fontId="29" fillId="0" borderId="0" xfId="21" applyFont="1" applyFill="1" applyBorder="1" applyAlignment="1">
      <alignment horizontal="right" vertical="center"/>
    </xf>
    <xf numFmtId="164" fontId="35" fillId="0" borderId="0" xfId="20" applyFont="1" applyFill="1" applyBorder="1" applyAlignment="1">
      <alignment vertical="center"/>
    </xf>
    <xf numFmtId="3" fontId="29" fillId="0" borderId="0" xfId="22" applyNumberFormat="1" applyFont="1" applyAlignment="1">
      <alignment horizontal="left" vertical="center" wrapText="1"/>
      <protection/>
    </xf>
    <xf numFmtId="9" fontId="29" fillId="0" borderId="0" xfId="22" applyNumberFormat="1" applyFont="1" applyAlignment="1">
      <alignment horizontal="right" vertical="center"/>
      <protection/>
    </xf>
    <xf numFmtId="9" fontId="14" fillId="0" borderId="0" xfId="21" applyFont="1" applyFill="1" applyBorder="1" applyAlignment="1">
      <alignment vertical="center"/>
    </xf>
    <xf numFmtId="9" fontId="26" fillId="0" borderId="0" xfId="21" applyFont="1" applyFill="1" applyBorder="1" applyAlignment="1">
      <alignment vertical="center"/>
    </xf>
    <xf numFmtId="164" fontId="26" fillId="0" borderId="0" xfId="20" applyFont="1" applyFill="1" applyBorder="1" applyAlignment="1">
      <alignment horizontal="center" vertical="center" wrapText="1"/>
    </xf>
    <xf numFmtId="164" fontId="43" fillId="0" borderId="0" xfId="20" applyFont="1" applyFill="1" applyBorder="1" applyAlignment="1">
      <alignment horizontal="center" vertical="center" wrapText="1"/>
    </xf>
    <xf numFmtId="0" fontId="2" fillId="0" borderId="0" xfId="0" applyFont="1" applyAlignment="1">
      <alignment vertical="center" wrapText="1"/>
    </xf>
    <xf numFmtId="164" fontId="14" fillId="0" borderId="0" xfId="21" applyNumberFormat="1" applyFont="1" applyFill="1" applyAlignment="1">
      <alignment vertical="center"/>
    </xf>
    <xf numFmtId="12" fontId="14" fillId="0" borderId="0" xfId="20" applyNumberFormat="1" applyFont="1" applyFill="1" applyAlignment="1">
      <alignment vertical="center"/>
    </xf>
    <xf numFmtId="0" fontId="33" fillId="3" borderId="0" xfId="22" applyFont="1" applyFill="1">
      <alignment/>
      <protection/>
    </xf>
    <xf numFmtId="0" fontId="22" fillId="0" borderId="0" xfId="27" applyFont="1">
      <alignment/>
      <protection/>
    </xf>
    <xf numFmtId="0" fontId="2" fillId="3" borderId="3" xfId="0" applyFont="1" applyFill="1" applyBorder="1" applyAlignment="1">
      <alignment vertical="center" wrapText="1"/>
    </xf>
    <xf numFmtId="0" fontId="0" fillId="3" borderId="3" xfId="0" applyFill="1" applyBorder="1"/>
    <xf numFmtId="43" fontId="0" fillId="0" borderId="0" xfId="26" applyFont="1" applyAlignment="1">
      <alignment horizontal="right"/>
    </xf>
    <xf numFmtId="43" fontId="0" fillId="3" borderId="0" xfId="26" applyFont="1" applyFill="1" applyAlignment="1">
      <alignment horizontal="right"/>
    </xf>
    <xf numFmtId="43" fontId="0" fillId="0" borderId="0" xfId="26" applyFont="1" applyAlignment="1">
      <alignment horizontal="left"/>
    </xf>
    <xf numFmtId="0" fontId="51" fillId="3" borderId="0" xfId="0" applyFont="1" applyFill="1" applyAlignment="1">
      <alignment horizontal="left"/>
    </xf>
    <xf numFmtId="43" fontId="51" fillId="3" borderId="0" xfId="26" applyFont="1" applyFill="1" applyAlignment="1">
      <alignment horizontal="right"/>
    </xf>
    <xf numFmtId="43" fontId="51" fillId="3" borderId="0" xfId="26" applyFont="1" applyFill="1" applyAlignment="1">
      <alignment horizontal="left"/>
    </xf>
    <xf numFmtId="43" fontId="0" fillId="0" borderId="0" xfId="0" applyNumberFormat="1" applyAlignment="1">
      <alignment horizontal="left"/>
    </xf>
    <xf numFmtId="0" fontId="1" fillId="0" borderId="0" xfId="0" applyFont="1" applyAlignment="1">
      <alignment horizontal="left"/>
    </xf>
    <xf numFmtId="0" fontId="1" fillId="16" borderId="3" xfId="0" applyFont="1" applyFill="1" applyBorder="1"/>
    <xf numFmtId="0" fontId="1" fillId="0" borderId="0" xfId="0" applyFont="1"/>
    <xf numFmtId="14" fontId="1" fillId="0" borderId="0" xfId="0" applyNumberFormat="1" applyFont="1" applyAlignment="1">
      <alignment horizontal="right"/>
    </xf>
    <xf numFmtId="4" fontId="1" fillId="0" borderId="0" xfId="0" applyNumberFormat="1" applyFont="1" applyAlignment="1">
      <alignment horizontal="right"/>
    </xf>
    <xf numFmtId="0" fontId="51" fillId="16" borderId="3" xfId="0" applyFont="1" applyFill="1" applyBorder="1"/>
    <xf numFmtId="43" fontId="1" fillId="16" borderId="3" xfId="26" applyFont="1" applyFill="1" applyBorder="1"/>
    <xf numFmtId="43" fontId="51" fillId="16" borderId="3" xfId="26" applyFont="1" applyFill="1" applyBorder="1"/>
    <xf numFmtId="43" fontId="4" fillId="0" borderId="0" xfId="0" applyNumberFormat="1" applyFont="1" applyAlignment="1">
      <alignment horizontal="left"/>
    </xf>
    <xf numFmtId="164" fontId="2" fillId="0" borderId="0" xfId="20" applyFont="1" applyFill="1" applyBorder="1" applyAlignment="1" applyProtection="1">
      <alignment horizontal="center" vertical="center" wrapText="1"/>
      <protection/>
    </xf>
    <xf numFmtId="0" fontId="29" fillId="0" borderId="36" xfId="22" applyFont="1" applyBorder="1" applyAlignment="1">
      <alignment horizontal="center" vertical="center"/>
      <protection/>
    </xf>
    <xf numFmtId="0" fontId="4" fillId="2" borderId="6" xfId="22" applyFont="1" applyFill="1" applyBorder="1" applyAlignment="1">
      <alignment vertical="center" wrapText="1"/>
      <protection/>
    </xf>
    <xf numFmtId="0" fontId="29" fillId="2" borderId="6" xfId="22" applyFont="1" applyFill="1" applyBorder="1" applyAlignment="1">
      <alignment horizontal="center" vertical="center" wrapText="1"/>
      <protection/>
    </xf>
    <xf numFmtId="164" fontId="29" fillId="2" borderId="6" xfId="20" applyFont="1" applyFill="1" applyBorder="1" applyAlignment="1">
      <alignment vertical="center"/>
    </xf>
    <xf numFmtId="3" fontId="29" fillId="2" borderId="0" xfId="22" applyNumberFormat="1" applyFont="1" applyFill="1" applyAlignment="1">
      <alignment vertical="center"/>
      <protection/>
    </xf>
    <xf numFmtId="3" fontId="29" fillId="0" borderId="0" xfId="22" applyNumberFormat="1" applyFont="1" applyAlignment="1">
      <alignment vertical="center"/>
      <protection/>
    </xf>
    <xf numFmtId="0" fontId="22" fillId="0" borderId="0" xfId="27" applyFont="1" applyAlignment="1">
      <alignment horizontal="left"/>
      <protection/>
    </xf>
    <xf numFmtId="0" fontId="22" fillId="0" borderId="0" xfId="27" applyFont="1" applyAlignment="1">
      <alignment horizontal="center"/>
      <protection/>
    </xf>
    <xf numFmtId="164" fontId="33" fillId="0" borderId="0" xfId="20" applyFont="1" applyAlignment="1">
      <alignment vertical="center"/>
    </xf>
    <xf numFmtId="164" fontId="33" fillId="0" borderId="0" xfId="20" applyFont="1" applyFill="1" applyAlignment="1">
      <alignment vertical="center"/>
    </xf>
    <xf numFmtId="164" fontId="52" fillId="2" borderId="6" xfId="20" applyFont="1" applyFill="1" applyBorder="1" applyAlignment="1">
      <alignment vertical="center"/>
    </xf>
    <xf numFmtId="164" fontId="52" fillId="2" borderId="3" xfId="20" applyFont="1" applyFill="1" applyBorder="1" applyAlignment="1" applyProtection="1">
      <alignment horizontal="center" vertical="center" wrapText="1"/>
      <protection locked="0"/>
    </xf>
    <xf numFmtId="0" fontId="4" fillId="0" borderId="0" xfId="0" applyFont="1" applyAlignment="1">
      <alignment wrapText="1"/>
    </xf>
    <xf numFmtId="0" fontId="3" fillId="2" borderId="3" xfId="0" applyFont="1" applyFill="1" applyBorder="1" applyAlignment="1">
      <alignment horizontal="left" vertical="top" wrapText="1"/>
    </xf>
    <xf numFmtId="164" fontId="3" fillId="0" borderId="3" xfId="20" applyFont="1" applyBorder="1" applyAlignment="1" applyProtection="1">
      <alignment horizontal="center" vertical="center" wrapText="1"/>
      <protection locked="0"/>
    </xf>
    <xf numFmtId="9" fontId="3" fillId="0" borderId="3" xfId="21" applyFont="1" applyBorder="1" applyAlignment="1" applyProtection="1">
      <alignment horizontal="center" vertical="center" wrapText="1"/>
      <protection locked="0"/>
    </xf>
    <xf numFmtId="164" fontId="3" fillId="2" borderId="3" xfId="20" applyFont="1" applyFill="1" applyBorder="1" applyAlignment="1" applyProtection="1">
      <alignment horizontal="center" vertical="center" wrapText="1"/>
      <protection locked="0"/>
    </xf>
    <xf numFmtId="49" fontId="3" fillId="0" borderId="3" xfId="20" applyNumberFormat="1" applyFont="1" applyBorder="1" applyAlignment="1" applyProtection="1">
      <alignment horizontal="left" wrapText="1"/>
      <protection locked="0"/>
    </xf>
    <xf numFmtId="0" fontId="4" fillId="0" borderId="3" xfId="0" applyFont="1" applyBorder="1" applyAlignment="1" applyProtection="1">
      <alignment horizontal="left" vertical="top" wrapText="1"/>
      <protection locked="0"/>
    </xf>
    <xf numFmtId="166" fontId="52" fillId="0" borderId="6" xfId="26" applyNumberFormat="1" applyFont="1" applyBorder="1" applyAlignment="1">
      <alignment horizontal="center" vertical="center"/>
    </xf>
    <xf numFmtId="166" fontId="52" fillId="2" borderId="3" xfId="26" applyNumberFormat="1" applyFont="1" applyFill="1" applyBorder="1" applyAlignment="1">
      <alignment horizontal="center" vertical="center"/>
    </xf>
    <xf numFmtId="0" fontId="29" fillId="0" borderId="3" xfId="0" applyFont="1" applyBorder="1" applyAlignment="1" applyProtection="1">
      <alignment horizontal="left" vertical="top" wrapText="1"/>
      <protection locked="0"/>
    </xf>
    <xf numFmtId="166" fontId="52" fillId="2" borderId="6" xfId="26" applyNumberFormat="1" applyFont="1" applyFill="1" applyBorder="1" applyAlignment="1">
      <alignment horizontal="center" vertical="center"/>
    </xf>
    <xf numFmtId="164" fontId="52" fillId="0" borderId="3" xfId="20" applyFont="1" applyBorder="1" applyAlignment="1" applyProtection="1">
      <alignment horizontal="center" vertical="center" wrapText="1"/>
      <protection locked="0"/>
    </xf>
    <xf numFmtId="164" fontId="1" fillId="0" borderId="0" xfId="20" applyFont="1" applyAlignment="1">
      <alignment vertical="center"/>
    </xf>
    <xf numFmtId="44" fontId="0" fillId="0" borderId="0" xfId="0" applyNumberFormat="1" applyAlignment="1">
      <alignment wrapText="1"/>
    </xf>
    <xf numFmtId="164" fontId="2" fillId="3" borderId="3" xfId="20" applyFont="1" applyFill="1" applyBorder="1" applyAlignment="1" applyProtection="1">
      <alignment horizontal="center" vertical="center" wrapText="1"/>
      <protection/>
    </xf>
    <xf numFmtId="9" fontId="2" fillId="0" borderId="3" xfId="21" applyFont="1" applyBorder="1" applyAlignment="1" applyProtection="1">
      <alignment horizontal="center" vertical="center" wrapText="1"/>
      <protection locked="0"/>
    </xf>
    <xf numFmtId="44" fontId="26" fillId="0" borderId="0" xfId="22" applyNumberFormat="1" applyFont="1" applyAlignment="1">
      <alignment vertical="center"/>
      <protection/>
    </xf>
    <xf numFmtId="4" fontId="2" fillId="0" borderId="3" xfId="20" applyNumberFormat="1" applyFont="1" applyBorder="1" applyAlignment="1" applyProtection="1">
      <alignment horizontal="center" vertical="center" wrapText="1"/>
      <protection locked="0"/>
    </xf>
    <xf numFmtId="164" fontId="2" fillId="3" borderId="3" xfId="0" applyNumberFormat="1" applyFont="1" applyFill="1" applyBorder="1" applyAlignment="1">
      <alignment vertical="center" wrapText="1"/>
    </xf>
    <xf numFmtId="44" fontId="2" fillId="0" borderId="3" xfId="23" applyFont="1" applyBorder="1" applyAlignment="1" applyProtection="1">
      <alignment horizontal="center" vertical="center" wrapText="1"/>
      <protection locked="0"/>
    </xf>
    <xf numFmtId="44" fontId="2" fillId="0" borderId="3" xfId="29" applyFont="1" applyBorder="1" applyAlignment="1" applyProtection="1">
      <alignment horizontal="center" vertical="center" wrapText="1"/>
      <protection locked="0"/>
    </xf>
    <xf numFmtId="44" fontId="2" fillId="2" borderId="3" xfId="29" applyFont="1" applyFill="1" applyBorder="1" applyAlignment="1" applyProtection="1">
      <alignment horizontal="center" vertical="center" wrapText="1"/>
      <protection locked="0"/>
    </xf>
    <xf numFmtId="44" fontId="2" fillId="2" borderId="3" xfId="23" applyFont="1" applyFill="1" applyBorder="1" applyAlignment="1" applyProtection="1">
      <alignment horizontal="center" vertical="center" wrapText="1"/>
      <protection locked="0"/>
    </xf>
    <xf numFmtId="44" fontId="2" fillId="0" borderId="3" xfId="23" applyFont="1" applyFill="1" applyBorder="1" applyAlignment="1" applyProtection="1">
      <alignment horizontal="center" vertical="center" wrapText="1"/>
      <protection locked="0"/>
    </xf>
    <xf numFmtId="9" fontId="2" fillId="2" borderId="3" xfId="21" applyFont="1" applyFill="1" applyBorder="1" applyAlignment="1" applyProtection="1">
      <alignment horizontal="center" vertical="center" wrapText="1"/>
      <protection locked="0"/>
    </xf>
    <xf numFmtId="49" fontId="2" fillId="2" borderId="3" xfId="20" applyNumberFormat="1" applyFont="1" applyFill="1" applyBorder="1" applyAlignment="1" applyProtection="1">
      <alignment horizontal="left" wrapText="1"/>
      <protection locked="0"/>
    </xf>
    <xf numFmtId="49" fontId="2" fillId="0" borderId="3" xfId="20" applyNumberFormat="1" applyFont="1" applyBorder="1" applyAlignment="1" applyProtection="1">
      <alignment horizontal="left" wrapText="1"/>
      <protection locked="0"/>
    </xf>
    <xf numFmtId="4" fontId="2" fillId="2" borderId="3" xfId="20" applyNumberFormat="1" applyFont="1" applyFill="1" applyBorder="1" applyAlignment="1" applyProtection="1">
      <alignment horizontal="center" vertical="center" wrapText="1"/>
      <protection locked="0"/>
    </xf>
    <xf numFmtId="0" fontId="2" fillId="2" borderId="0" xfId="0" applyFont="1" applyFill="1" applyAlignment="1" applyProtection="1">
      <alignment vertical="center" wrapText="1"/>
      <protection locked="0"/>
    </xf>
    <xf numFmtId="0" fontId="2" fillId="2" borderId="0" xfId="0" applyFont="1" applyFill="1" applyAlignment="1" applyProtection="1">
      <alignment horizontal="left" vertical="top" wrapText="1"/>
      <protection locked="0"/>
    </xf>
    <xf numFmtId="164" fontId="2" fillId="2" borderId="0" xfId="20" applyFont="1" applyFill="1" applyBorder="1" applyAlignment="1" applyProtection="1">
      <alignment horizontal="center" vertical="center" wrapText="1"/>
      <protection locked="0"/>
    </xf>
    <xf numFmtId="0" fontId="2" fillId="2" borderId="3" xfId="0" applyFont="1" applyFill="1" applyBorder="1" applyAlignment="1">
      <alignment horizontal="left" vertical="top" wrapText="1"/>
    </xf>
    <xf numFmtId="164" fontId="2" fillId="2" borderId="0" xfId="20" applyFont="1" applyFill="1" applyBorder="1" applyAlignment="1" applyProtection="1">
      <alignment vertical="center" wrapText="1"/>
      <protection locked="0"/>
    </xf>
    <xf numFmtId="0" fontId="2" fillId="2" borderId="12" xfId="0" applyFont="1" applyFill="1" applyBorder="1" applyAlignment="1" applyProtection="1">
      <alignment vertical="center" wrapText="1"/>
      <protection locked="0"/>
    </xf>
    <xf numFmtId="164" fontId="2" fillId="0" borderId="3" xfId="0" applyNumberFormat="1" applyFont="1" applyBorder="1" applyAlignment="1" applyProtection="1">
      <alignment vertical="center" wrapText="1"/>
      <protection locked="0"/>
    </xf>
    <xf numFmtId="164" fontId="2" fillId="0" borderId="3" xfId="20" applyFont="1" applyBorder="1" applyAlignment="1" applyProtection="1">
      <alignment vertical="center" wrapText="1"/>
      <protection locked="0"/>
    </xf>
    <xf numFmtId="164" fontId="2" fillId="3" borderId="3" xfId="20" applyFont="1" applyFill="1" applyBorder="1" applyAlignment="1" applyProtection="1">
      <alignment vertical="center" wrapText="1"/>
      <protection/>
    </xf>
    <xf numFmtId="9" fontId="2" fillId="0" borderId="3" xfId="21" applyFont="1" applyBorder="1" applyAlignment="1" applyProtection="1">
      <alignment vertical="center" wrapText="1"/>
      <protection locked="0"/>
    </xf>
    <xf numFmtId="164" fontId="2" fillId="2" borderId="3" xfId="20" applyFont="1" applyFill="1" applyBorder="1" applyAlignment="1" applyProtection="1">
      <alignment vertical="center" wrapText="1"/>
      <protection locked="0"/>
    </xf>
    <xf numFmtId="49" fontId="2" fillId="0" borderId="3" xfId="0" applyNumberFormat="1" applyFont="1" applyBorder="1" applyAlignment="1" applyProtection="1">
      <alignment horizontal="left" wrapText="1"/>
      <protection locked="0"/>
    </xf>
    <xf numFmtId="0" fontId="2" fillId="2" borderId="13" xfId="0" applyFont="1" applyFill="1" applyBorder="1" applyAlignment="1" applyProtection="1">
      <alignment vertical="center" wrapText="1"/>
      <protection locked="0"/>
    </xf>
    <xf numFmtId="0" fontId="2" fillId="2" borderId="0" xfId="0" applyFont="1" applyFill="1" applyAlignment="1">
      <alignment vertical="center" wrapText="1"/>
    </xf>
    <xf numFmtId="0" fontId="2" fillId="3" borderId="4" xfId="0" applyFont="1" applyFill="1" applyBorder="1" applyAlignment="1">
      <alignment vertical="center" wrapText="1"/>
    </xf>
    <xf numFmtId="164" fontId="2" fillId="3" borderId="1" xfId="0" applyNumberFormat="1" applyFont="1" applyFill="1" applyBorder="1" applyAlignment="1">
      <alignment vertical="center" wrapText="1"/>
    </xf>
    <xf numFmtId="164" fontId="2" fillId="0" borderId="0" xfId="20" applyFont="1" applyFill="1" applyBorder="1" applyAlignment="1" applyProtection="1">
      <alignment vertical="center" wrapText="1"/>
      <protection locked="0"/>
    </xf>
    <xf numFmtId="0" fontId="2" fillId="0" borderId="0" xfId="0" applyFont="1" applyAlignment="1" applyProtection="1">
      <alignment vertical="center" wrapText="1"/>
      <protection locked="0"/>
    </xf>
    <xf numFmtId="44" fontId="2" fillId="0" borderId="0" xfId="0" applyNumberFormat="1" applyFont="1" applyAlignment="1" applyProtection="1">
      <alignment vertical="center" wrapText="1"/>
      <protection locked="0"/>
    </xf>
    <xf numFmtId="0" fontId="2" fillId="0" borderId="0" xfId="0" applyFont="1" applyAlignment="1">
      <alignment wrapText="1"/>
    </xf>
    <xf numFmtId="164" fontId="2" fillId="0" borderId="6" xfId="0" applyNumberFormat="1" applyFont="1" applyBorder="1" applyAlignment="1" applyProtection="1">
      <alignment wrapText="1"/>
      <protection locked="0"/>
    </xf>
    <xf numFmtId="164" fontId="2" fillId="2" borderId="6" xfId="20" applyFont="1" applyFill="1" applyBorder="1" applyAlignment="1" applyProtection="1">
      <alignment horizontal="center" vertical="center" wrapText="1"/>
      <protection locked="0"/>
    </xf>
    <xf numFmtId="164" fontId="2" fillId="0" borderId="3" xfId="0" applyNumberFormat="1" applyFont="1" applyBorder="1" applyAlignment="1" applyProtection="1">
      <alignment wrapText="1"/>
      <protection locked="0"/>
    </xf>
    <xf numFmtId="0" fontId="2" fillId="2" borderId="0" xfId="0" applyFont="1" applyFill="1" applyAlignment="1">
      <alignment wrapText="1"/>
    </xf>
    <xf numFmtId="164" fontId="2" fillId="3" borderId="6" xfId="0" applyNumberFormat="1" applyFont="1" applyFill="1" applyBorder="1" applyAlignment="1">
      <alignment wrapText="1"/>
    </xf>
    <xf numFmtId="164" fontId="2" fillId="2" borderId="0" xfId="20" applyFont="1" applyFill="1" applyBorder="1" applyAlignment="1" applyProtection="1">
      <alignment vertical="center" wrapText="1"/>
      <protection/>
    </xf>
    <xf numFmtId="164" fontId="2" fillId="3" borderId="3" xfId="0" applyNumberFormat="1" applyFont="1" applyFill="1" applyBorder="1" applyAlignment="1">
      <alignment wrapText="1"/>
    </xf>
    <xf numFmtId="164" fontId="2" fillId="3" borderId="4" xfId="20" applyFont="1" applyFill="1" applyBorder="1" applyAlignment="1" applyProtection="1">
      <alignment wrapText="1"/>
      <protection/>
    </xf>
    <xf numFmtId="164" fontId="2" fillId="3" borderId="3" xfId="20" applyFont="1" applyFill="1" applyBorder="1" applyAlignment="1">
      <alignment wrapText="1"/>
    </xf>
    <xf numFmtId="164" fontId="2" fillId="3" borderId="1" xfId="0" applyNumberFormat="1" applyFont="1" applyFill="1" applyBorder="1" applyAlignment="1">
      <alignment wrapText="1"/>
    </xf>
    <xf numFmtId="0" fontId="2" fillId="3" borderId="2" xfId="0" applyFont="1" applyFill="1" applyBorder="1" applyAlignment="1">
      <alignment wrapText="1"/>
    </xf>
    <xf numFmtId="164" fontId="2" fillId="3" borderId="7" xfId="0" applyNumberFormat="1" applyFont="1" applyFill="1" applyBorder="1" applyAlignment="1">
      <alignment wrapText="1"/>
    </xf>
    <xf numFmtId="164" fontId="2" fillId="3" borderId="18" xfId="0" applyNumberFormat="1" applyFont="1" applyFill="1" applyBorder="1" applyAlignment="1">
      <alignment wrapText="1"/>
    </xf>
    <xf numFmtId="164" fontId="2" fillId="2" borderId="0" xfId="0" applyNumberFormat="1" applyFont="1" applyFill="1" applyAlignment="1">
      <alignment vertical="center" wrapText="1"/>
    </xf>
    <xf numFmtId="0" fontId="2" fillId="2" borderId="0" xfId="0" applyFont="1" applyFill="1" applyAlignment="1">
      <alignment horizontal="center" vertical="center" wrapText="1"/>
    </xf>
    <xf numFmtId="0" fontId="2" fillId="0" borderId="0" xfId="0" applyFont="1"/>
    <xf numFmtId="164" fontId="2" fillId="3" borderId="40" xfId="20" applyFont="1" applyFill="1" applyBorder="1" applyAlignment="1" applyProtection="1">
      <alignment wrapText="1"/>
      <protection/>
    </xf>
    <xf numFmtId="0" fontId="2" fillId="3" borderId="20" xfId="0" applyFont="1" applyFill="1" applyBorder="1"/>
    <xf numFmtId="164" fontId="2" fillId="3" borderId="3" xfId="20" applyFont="1" applyFill="1" applyBorder="1" applyAlignment="1">
      <alignment vertical="center" wrapText="1"/>
    </xf>
    <xf numFmtId="0" fontId="18" fillId="0" borderId="0" xfId="0" applyFont="1" applyAlignment="1">
      <alignment horizontal="left" vertical="top" wrapText="1"/>
    </xf>
    <xf numFmtId="43" fontId="43" fillId="9" borderId="5" xfId="22" applyNumberFormat="1" applyFont="1" applyFill="1" applyBorder="1" applyAlignment="1">
      <alignment horizontal="center" vertical="center" wrapText="1"/>
      <protection/>
    </xf>
    <xf numFmtId="43" fontId="43" fillId="9" borderId="23" xfId="22" applyNumberFormat="1" applyFont="1" applyFill="1" applyBorder="1" applyAlignment="1">
      <alignment horizontal="center" vertical="center" wrapText="1"/>
      <protection/>
    </xf>
    <xf numFmtId="0" fontId="33" fillId="2" borderId="36" xfId="22" applyFont="1" applyFill="1" applyBorder="1" applyAlignment="1">
      <alignment horizontal="left" vertical="center"/>
      <protection/>
    </xf>
    <xf numFmtId="0" fontId="33" fillId="2" borderId="41" xfId="22" applyFont="1" applyFill="1" applyBorder="1" applyAlignment="1">
      <alignment horizontal="left" vertical="center"/>
      <protection/>
    </xf>
    <xf numFmtId="0" fontId="33" fillId="2" borderId="37" xfId="22" applyFont="1" applyFill="1" applyBorder="1" applyAlignment="1">
      <alignment horizontal="left" vertical="center"/>
      <protection/>
    </xf>
    <xf numFmtId="0" fontId="49" fillId="0" borderId="9" xfId="22" applyFont="1" applyBorder="1" applyAlignment="1">
      <alignment horizontal="left" vertical="center"/>
      <protection/>
    </xf>
    <xf numFmtId="0" fontId="29" fillId="14" borderId="42" xfId="22" applyFont="1" applyFill="1" applyBorder="1" applyAlignment="1">
      <alignment horizontal="right" vertical="center"/>
      <protection/>
    </xf>
    <xf numFmtId="0" fontId="29" fillId="14" borderId="33" xfId="22" applyFont="1" applyFill="1" applyBorder="1" applyAlignment="1">
      <alignment horizontal="right" vertical="center"/>
      <protection/>
    </xf>
    <xf numFmtId="0" fontId="29" fillId="14" borderId="43" xfId="22" applyFont="1" applyFill="1" applyBorder="1" applyAlignment="1">
      <alignment horizontal="right" vertical="center"/>
      <protection/>
    </xf>
    <xf numFmtId="0" fontId="29" fillId="15" borderId="35" xfId="22" applyFont="1" applyFill="1" applyBorder="1" applyAlignment="1">
      <alignment horizontal="right" vertical="center"/>
      <protection/>
    </xf>
    <xf numFmtId="0" fontId="29" fillId="15" borderId="44" xfId="22" applyFont="1" applyFill="1" applyBorder="1" applyAlignment="1">
      <alignment horizontal="right" vertical="center"/>
      <protection/>
    </xf>
    <xf numFmtId="0" fontId="29" fillId="15" borderId="45" xfId="22" applyFont="1" applyFill="1" applyBorder="1" applyAlignment="1">
      <alignment horizontal="right" vertical="center"/>
      <protection/>
    </xf>
    <xf numFmtId="0" fontId="44" fillId="9" borderId="5" xfId="22" applyFont="1" applyFill="1" applyBorder="1" applyAlignment="1">
      <alignment horizontal="center" vertical="center" wrapText="1"/>
      <protection/>
    </xf>
    <xf numFmtId="0" fontId="44" fillId="9" borderId="29" xfId="22" applyFont="1" applyFill="1" applyBorder="1" applyAlignment="1">
      <alignment horizontal="center" vertical="center" wrapText="1"/>
      <protection/>
    </xf>
    <xf numFmtId="0" fontId="43" fillId="9" borderId="5" xfId="22" applyFont="1" applyFill="1" applyBorder="1" applyAlignment="1">
      <alignment horizontal="center" vertical="center" wrapText="1"/>
      <protection/>
    </xf>
    <xf numFmtId="0" fontId="43" fillId="9" borderId="29" xfId="22" applyFont="1" applyFill="1" applyBorder="1" applyAlignment="1">
      <alignment horizontal="center" vertical="center" wrapText="1"/>
      <protection/>
    </xf>
    <xf numFmtId="0" fontId="43" fillId="9" borderId="23" xfId="22" applyFont="1" applyFill="1" applyBorder="1" applyAlignment="1">
      <alignment horizontal="center" vertical="center" wrapText="1"/>
      <protection/>
    </xf>
    <xf numFmtId="0" fontId="29" fillId="13" borderId="42" xfId="22" applyFont="1" applyFill="1" applyBorder="1" applyAlignment="1">
      <alignment horizontal="right" vertical="center"/>
      <protection/>
    </xf>
    <xf numFmtId="0" fontId="29" fillId="13" borderId="33" xfId="22" applyFont="1" applyFill="1" applyBorder="1" applyAlignment="1">
      <alignment horizontal="right" vertical="center"/>
      <protection/>
    </xf>
    <xf numFmtId="0" fontId="29" fillId="13" borderId="43" xfId="22" applyFont="1" applyFill="1" applyBorder="1" applyAlignment="1">
      <alignment horizontal="right" vertical="center"/>
      <protection/>
    </xf>
    <xf numFmtId="0" fontId="29" fillId="11" borderId="42" xfId="22" applyFont="1" applyFill="1" applyBorder="1" applyAlignment="1">
      <alignment horizontal="right" vertical="center"/>
      <protection/>
    </xf>
    <xf numFmtId="0" fontId="29" fillId="11" borderId="33" xfId="22" applyFont="1" applyFill="1" applyBorder="1" applyAlignment="1">
      <alignment horizontal="right" vertical="center"/>
      <protection/>
    </xf>
    <xf numFmtId="0" fontId="29" fillId="11" borderId="43" xfId="22" applyFont="1" applyFill="1" applyBorder="1" applyAlignment="1">
      <alignment horizontal="right" vertical="center"/>
      <protection/>
    </xf>
    <xf numFmtId="0" fontId="40" fillId="17" borderId="11" xfId="22" applyFont="1" applyFill="1" applyBorder="1" applyAlignment="1">
      <alignment horizontal="left" vertical="center" wrapText="1"/>
      <protection/>
    </xf>
    <xf numFmtId="0" fontId="21" fillId="17" borderId="12" xfId="22" applyFont="1" applyFill="1" applyBorder="1" applyAlignment="1">
      <alignment horizontal="left" vertical="center" wrapText="1"/>
      <protection/>
    </xf>
    <xf numFmtId="0" fontId="0" fillId="17" borderId="12" xfId="0" applyFont="1" applyFill="1" applyBorder="1" applyAlignment="1">
      <alignment vertical="center" wrapText="1"/>
    </xf>
    <xf numFmtId="0" fontId="0" fillId="17" borderId="13" xfId="0" applyFont="1" applyFill="1" applyBorder="1" applyAlignment="1">
      <alignment vertical="center" wrapText="1"/>
    </xf>
    <xf numFmtId="0" fontId="29" fillId="12" borderId="11" xfId="22" applyFont="1" applyFill="1" applyBorder="1" applyAlignment="1">
      <alignment horizontal="left" vertical="center" wrapText="1"/>
      <protection/>
    </xf>
    <xf numFmtId="0" fontId="29" fillId="12" borderId="13" xfId="22" applyFont="1" applyFill="1" applyBorder="1" applyAlignment="1">
      <alignment horizontal="left" vertical="center" wrapText="1"/>
      <protection/>
    </xf>
    <xf numFmtId="0" fontId="14" fillId="12" borderId="13" xfId="22" applyFont="1" applyFill="1" applyBorder="1" applyAlignment="1">
      <alignment horizontal="left" vertical="center" wrapText="1"/>
      <protection/>
    </xf>
    <xf numFmtId="0" fontId="29" fillId="12" borderId="12" xfId="22" applyFont="1" applyFill="1" applyBorder="1" applyAlignment="1">
      <alignment horizontal="left" vertical="center" wrapText="1"/>
      <protection/>
    </xf>
    <xf numFmtId="0" fontId="0" fillId="0" borderId="12" xfId="0" applyBorder="1" applyAlignment="1">
      <alignment vertical="center" wrapText="1"/>
    </xf>
    <xf numFmtId="0" fontId="14" fillId="12" borderId="12" xfId="22" applyFont="1" applyFill="1" applyBorder="1" applyAlignment="1">
      <alignment horizontal="left" vertical="center" wrapText="1"/>
      <protection/>
    </xf>
    <xf numFmtId="0" fontId="24" fillId="0" borderId="0" xfId="22" applyFont="1" applyAlignment="1">
      <alignment horizontal="center" vertical="center"/>
      <protection/>
    </xf>
    <xf numFmtId="3" fontId="28" fillId="0" borderId="0" xfId="22" applyNumberFormat="1" applyFont="1" applyAlignment="1">
      <alignment horizontal="center" vertical="center"/>
      <protection/>
    </xf>
    <xf numFmtId="0" fontId="23" fillId="9" borderId="8" xfId="22" applyFont="1" applyFill="1" applyBorder="1" applyAlignment="1">
      <alignment horizontal="center" vertical="center" wrapText="1"/>
      <protection/>
    </xf>
    <xf numFmtId="0" fontId="23" fillId="9" borderId="46" xfId="22" applyFont="1" applyFill="1" applyBorder="1" applyAlignment="1">
      <alignment horizontal="center" vertical="center" wrapText="1"/>
      <protection/>
    </xf>
    <xf numFmtId="0" fontId="23" fillId="9" borderId="5" xfId="22" applyFont="1" applyFill="1" applyBorder="1" applyAlignment="1">
      <alignment horizontal="center" vertical="center" wrapText="1"/>
      <protection/>
    </xf>
    <xf numFmtId="0" fontId="23" fillId="9" borderId="23" xfId="22" applyFont="1" applyFill="1" applyBorder="1" applyAlignment="1">
      <alignment horizontal="center" vertical="center" wrapText="1"/>
      <protection/>
    </xf>
    <xf numFmtId="166" fontId="23" fillId="9" borderId="5" xfId="26" applyNumberFormat="1" applyFont="1" applyFill="1" applyBorder="1" applyAlignment="1">
      <alignment horizontal="center" vertical="center" wrapText="1"/>
    </xf>
    <xf numFmtId="166" fontId="23" fillId="9" borderId="23" xfId="26" applyNumberFormat="1" applyFont="1" applyFill="1" applyBorder="1" applyAlignment="1">
      <alignment horizontal="center" vertical="center" wrapText="1"/>
    </xf>
    <xf numFmtId="164" fontId="23" fillId="9" borderId="5" xfId="20" applyFont="1" applyFill="1" applyBorder="1" applyAlignment="1">
      <alignment horizontal="center" vertical="center" wrapText="1"/>
    </xf>
    <xf numFmtId="164" fontId="23" fillId="9" borderId="23" xfId="20" applyFont="1" applyFill="1" applyBorder="1" applyAlignment="1">
      <alignment horizontal="center" vertical="center" wrapText="1"/>
    </xf>
    <xf numFmtId="0" fontId="3" fillId="3" borderId="5" xfId="0" applyFont="1" applyFill="1" applyBorder="1" applyAlignment="1" applyProtection="1">
      <alignment horizontal="center" vertical="center" wrapText="1"/>
      <protection locked="0"/>
    </xf>
    <xf numFmtId="0" fontId="3" fillId="3" borderId="6" xfId="0" applyFont="1" applyFill="1" applyBorder="1" applyAlignment="1" applyProtection="1">
      <alignment horizontal="center" vertical="center" wrapText="1"/>
      <protection locked="0"/>
    </xf>
    <xf numFmtId="0" fontId="16" fillId="0" borderId="41" xfId="0" applyFont="1" applyBorder="1" applyAlignment="1">
      <alignment horizontal="left" wrapText="1"/>
    </xf>
    <xf numFmtId="0" fontId="2" fillId="0" borderId="11" xfId="0" applyFont="1" applyBorder="1" applyAlignment="1" applyProtection="1">
      <alignment horizontal="left" vertical="top" wrapText="1"/>
      <protection locked="0"/>
    </xf>
    <xf numFmtId="0" fontId="2" fillId="0" borderId="12" xfId="0" applyFont="1" applyBorder="1" applyAlignment="1" applyProtection="1">
      <alignment horizontal="left" vertical="top" wrapText="1"/>
      <protection locked="0"/>
    </xf>
    <xf numFmtId="0" fontId="2" fillId="0" borderId="13" xfId="0" applyFont="1" applyBorder="1" applyAlignment="1" applyProtection="1">
      <alignment horizontal="left" vertical="top" wrapText="1"/>
      <protection locked="0"/>
    </xf>
    <xf numFmtId="0" fontId="2" fillId="2" borderId="11" xfId="0" applyFont="1" applyFill="1" applyBorder="1" applyAlignment="1" applyProtection="1">
      <alignment horizontal="left" vertical="top" wrapText="1"/>
      <protection locked="0"/>
    </xf>
    <xf numFmtId="0" fontId="2" fillId="2" borderId="12" xfId="0" applyFont="1" applyFill="1" applyBorder="1" applyAlignment="1" applyProtection="1">
      <alignment horizontal="left" vertical="top" wrapText="1"/>
      <protection locked="0"/>
    </xf>
    <xf numFmtId="0" fontId="2" fillId="2" borderId="13" xfId="0" applyFont="1" applyFill="1" applyBorder="1" applyAlignment="1" applyProtection="1">
      <alignment horizontal="left" vertical="top" wrapText="1"/>
      <protection locked="0"/>
    </xf>
    <xf numFmtId="0" fontId="3" fillId="2" borderId="11" xfId="0" applyFont="1" applyFill="1" applyBorder="1" applyAlignment="1" applyProtection="1">
      <alignment horizontal="left" vertical="top" wrapText="1"/>
      <protection locked="0"/>
    </xf>
    <xf numFmtId="0" fontId="3" fillId="2" borderId="12" xfId="0" applyFont="1" applyFill="1" applyBorder="1" applyAlignment="1" applyProtection="1">
      <alignment horizontal="left" vertical="top" wrapText="1"/>
      <protection locked="0"/>
    </xf>
    <xf numFmtId="0" fontId="3" fillId="2" borderId="13" xfId="0" applyFont="1" applyFill="1" applyBorder="1" applyAlignment="1" applyProtection="1">
      <alignment horizontal="left" vertical="top" wrapText="1"/>
      <protection locked="0"/>
    </xf>
    <xf numFmtId="0" fontId="3" fillId="2" borderId="11" xfId="0" applyFont="1" applyFill="1" applyBorder="1" applyAlignment="1" applyProtection="1">
      <alignment horizontal="left" vertical="center" wrapText="1"/>
      <protection locked="0"/>
    </xf>
    <xf numFmtId="0" fontId="3" fillId="2" borderId="12" xfId="0" applyFont="1" applyFill="1" applyBorder="1" applyAlignment="1" applyProtection="1">
      <alignment horizontal="left" vertical="center" wrapText="1"/>
      <protection locked="0"/>
    </xf>
    <xf numFmtId="0" fontId="3" fillId="2" borderId="13" xfId="0" applyFont="1" applyFill="1" applyBorder="1" applyAlignment="1" applyProtection="1">
      <alignment horizontal="left" vertical="center" wrapText="1"/>
      <protection locked="0"/>
    </xf>
    <xf numFmtId="49" fontId="3" fillId="2" borderId="11" xfId="0" applyNumberFormat="1" applyFont="1" applyFill="1" applyBorder="1" applyAlignment="1" applyProtection="1">
      <alignment horizontal="left" vertical="top" wrapText="1"/>
      <protection locked="0"/>
    </xf>
    <xf numFmtId="49" fontId="3" fillId="2" borderId="12" xfId="0" applyNumberFormat="1" applyFont="1" applyFill="1" applyBorder="1" applyAlignment="1" applyProtection="1">
      <alignment horizontal="left" vertical="top" wrapText="1"/>
      <protection locked="0"/>
    </xf>
    <xf numFmtId="49" fontId="3" fillId="2" borderId="13" xfId="0" applyNumberFormat="1" applyFont="1" applyFill="1" applyBorder="1" applyAlignment="1" applyProtection="1">
      <alignment horizontal="left" vertical="top" wrapText="1"/>
      <protection locked="0"/>
    </xf>
    <xf numFmtId="49" fontId="2" fillId="2" borderId="11" xfId="0" applyNumberFormat="1" applyFont="1" applyFill="1" applyBorder="1" applyAlignment="1" applyProtection="1">
      <alignment horizontal="left" vertical="top" wrapText="1"/>
      <protection locked="0"/>
    </xf>
    <xf numFmtId="49" fontId="2" fillId="2" borderId="12" xfId="0" applyNumberFormat="1" applyFont="1" applyFill="1" applyBorder="1" applyAlignment="1" applyProtection="1">
      <alignment horizontal="left" vertical="top" wrapText="1"/>
      <protection locked="0"/>
    </xf>
    <xf numFmtId="49" fontId="2" fillId="2" borderId="13" xfId="0" applyNumberFormat="1" applyFont="1" applyFill="1" applyBorder="1" applyAlignment="1" applyProtection="1">
      <alignment horizontal="left" vertical="top" wrapText="1"/>
      <protection locked="0"/>
    </xf>
    <xf numFmtId="0" fontId="3" fillId="0" borderId="0" xfId="0" applyFont="1" applyAlignment="1">
      <alignment horizontal="center" vertical="center" wrapText="1"/>
    </xf>
    <xf numFmtId="0" fontId="3" fillId="3" borderId="47" xfId="0" applyFont="1" applyFill="1" applyBorder="1" applyAlignment="1">
      <alignment horizontal="center" vertical="center" wrapText="1"/>
    </xf>
    <xf numFmtId="0" fontId="3" fillId="3" borderId="44" xfId="0" applyFont="1" applyFill="1" applyBorder="1" applyAlignment="1">
      <alignment horizontal="center" vertical="center" wrapText="1"/>
    </xf>
    <xf numFmtId="0" fontId="3" fillId="3" borderId="48" xfId="0" applyFont="1" applyFill="1" applyBorder="1" applyAlignment="1">
      <alignment horizontal="center" vertical="center" wrapText="1"/>
    </xf>
    <xf numFmtId="0" fontId="0" fillId="18" borderId="2" xfId="0" applyFill="1" applyBorder="1" applyAlignment="1">
      <alignment horizontal="center" vertical="center" wrapText="1"/>
    </xf>
    <xf numFmtId="0" fontId="0" fillId="18" borderId="18" xfId="0" applyFill="1" applyBorder="1" applyAlignment="1">
      <alignment horizontal="center" vertical="center" wrapText="1"/>
    </xf>
    <xf numFmtId="0" fontId="2" fillId="3" borderId="21" xfId="0" applyFont="1" applyFill="1" applyBorder="1" applyAlignment="1">
      <alignment horizontal="center" vertical="center" wrapText="1"/>
    </xf>
    <xf numFmtId="0" fontId="2" fillId="3" borderId="17" xfId="0" applyFont="1" applyFill="1" applyBorder="1" applyAlignment="1">
      <alignment horizontal="center" vertical="center" wrapText="1"/>
    </xf>
    <xf numFmtId="164" fontId="3" fillId="3" borderId="24" xfId="20" applyFont="1" applyFill="1" applyBorder="1" applyAlignment="1" applyProtection="1">
      <alignment horizontal="center" vertical="center" wrapText="1"/>
      <protection/>
    </xf>
    <xf numFmtId="164" fontId="3" fillId="3" borderId="14" xfId="20" applyFont="1" applyFill="1" applyBorder="1" applyAlignment="1" applyProtection="1">
      <alignment horizontal="center" vertical="center" wrapText="1"/>
      <protection/>
    </xf>
    <xf numFmtId="0" fontId="3" fillId="3" borderId="5"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24"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4" fillId="3" borderId="49" xfId="0" applyFont="1" applyFill="1" applyBorder="1" applyAlignment="1">
      <alignment horizontal="center" vertical="center" wrapText="1"/>
    </xf>
    <xf numFmtId="0" fontId="4" fillId="3" borderId="50" xfId="0" applyFont="1" applyFill="1" applyBorder="1" applyAlignment="1">
      <alignment horizontal="center" vertical="center" wrapText="1"/>
    </xf>
    <xf numFmtId="0" fontId="3" fillId="4" borderId="47" xfId="0" applyFont="1" applyFill="1" applyBorder="1" applyAlignment="1">
      <alignment horizontal="center" vertical="center" wrapText="1"/>
    </xf>
    <xf numFmtId="0" fontId="3" fillId="4" borderId="44" xfId="0" applyFont="1" applyFill="1" applyBorder="1" applyAlignment="1">
      <alignment horizontal="center" vertical="center" wrapText="1"/>
    </xf>
    <xf numFmtId="0" fontId="3" fillId="4" borderId="48" xfId="0" applyFont="1" applyFill="1" applyBorder="1" applyAlignment="1">
      <alignment horizontal="center" vertical="center" wrapText="1"/>
    </xf>
    <xf numFmtId="164" fontId="3" fillId="3" borderId="5" xfId="20" applyFont="1" applyFill="1" applyBorder="1" applyAlignment="1" applyProtection="1">
      <alignment horizontal="center" vertical="center" wrapText="1"/>
      <protection locked="0"/>
    </xf>
    <xf numFmtId="164" fontId="3" fillId="3" borderId="6" xfId="20" applyFont="1" applyFill="1" applyBorder="1" applyAlignment="1" applyProtection="1">
      <alignment horizontal="center" vertical="center" wrapText="1"/>
      <protection locked="0"/>
    </xf>
    <xf numFmtId="0" fontId="3" fillId="3" borderId="51" xfId="0" applyFont="1" applyFill="1" applyBorder="1" applyAlignment="1" applyProtection="1">
      <alignment horizontal="center" wrapText="1"/>
      <protection locked="0"/>
    </xf>
    <xf numFmtId="0" fontId="3" fillId="3" borderId="6" xfId="0" applyFont="1" applyFill="1" applyBorder="1" applyAlignment="1" applyProtection="1">
      <alignment horizontal="center" wrapText="1"/>
      <protection locked="0"/>
    </xf>
    <xf numFmtId="0" fontId="3" fillId="3" borderId="11" xfId="0" applyFont="1" applyFill="1" applyBorder="1" applyAlignment="1">
      <alignment horizontal="left" wrapText="1"/>
    </xf>
    <xf numFmtId="0" fontId="3" fillId="3" borderId="12" xfId="0" applyFont="1" applyFill="1" applyBorder="1" applyAlignment="1">
      <alignment horizontal="left" wrapText="1"/>
    </xf>
    <xf numFmtId="0" fontId="3" fillId="3" borderId="13" xfId="0" applyFont="1" applyFill="1" applyBorder="1" applyAlignment="1">
      <alignment horizontal="left" wrapText="1"/>
    </xf>
    <xf numFmtId="0" fontId="3" fillId="3" borderId="30" xfId="0" applyFont="1" applyFill="1" applyBorder="1" applyAlignment="1">
      <alignment horizontal="center" vertical="center" wrapText="1"/>
    </xf>
    <xf numFmtId="0" fontId="3" fillId="3" borderId="32" xfId="0" applyFont="1" applyFill="1" applyBorder="1" applyAlignment="1">
      <alignment horizontal="center" wrapText="1"/>
    </xf>
    <xf numFmtId="0" fontId="3" fillId="3" borderId="33" xfId="0" applyFont="1" applyFill="1" applyBorder="1" applyAlignment="1">
      <alignment horizontal="center" wrapText="1"/>
    </xf>
    <xf numFmtId="0" fontId="3" fillId="3" borderId="34" xfId="0" applyFont="1" applyFill="1" applyBorder="1" applyAlignment="1">
      <alignment horizontal="center" wrapText="1"/>
    </xf>
    <xf numFmtId="164" fontId="4" fillId="3" borderId="11" xfId="0" applyNumberFormat="1" applyFont="1" applyFill="1" applyBorder="1" applyAlignment="1">
      <alignment horizontal="center"/>
    </xf>
    <xf numFmtId="164" fontId="4" fillId="3" borderId="50" xfId="0" applyNumberFormat="1" applyFont="1" applyFill="1" applyBorder="1" applyAlignment="1">
      <alignment horizontal="center"/>
    </xf>
    <xf numFmtId="164" fontId="4" fillId="3" borderId="36" xfId="0" applyNumberFormat="1" applyFont="1" applyFill="1" applyBorder="1" applyAlignment="1">
      <alignment horizontal="center"/>
    </xf>
    <xf numFmtId="164" fontId="4" fillId="3" borderId="52" xfId="0" applyNumberFormat="1" applyFont="1" applyFill="1" applyBorder="1" applyAlignment="1">
      <alignment horizontal="center"/>
    </xf>
    <xf numFmtId="0" fontId="4" fillId="3" borderId="47" xfId="0" applyFont="1" applyFill="1" applyBorder="1" applyAlignment="1">
      <alignment horizontal="left"/>
    </xf>
    <xf numFmtId="0" fontId="4" fillId="3" borderId="44" xfId="0" applyFont="1" applyFill="1" applyBorder="1" applyAlignment="1">
      <alignment horizontal="left"/>
    </xf>
    <xf numFmtId="0" fontId="4" fillId="3" borderId="48" xfId="0" applyFont="1" applyFill="1" applyBorder="1" applyAlignment="1">
      <alignment horizontal="left"/>
    </xf>
    <xf numFmtId="49" fontId="0" fillId="3" borderId="53" xfId="0" applyNumberFormat="1" applyFill="1" applyBorder="1" applyAlignment="1">
      <alignment horizontal="center" wrapText="1"/>
    </xf>
    <xf numFmtId="49" fontId="0" fillId="3" borderId="54" xfId="0" applyNumberFormat="1" applyFill="1" applyBorder="1" applyAlignment="1">
      <alignment horizontal="center" wrapText="1"/>
    </xf>
    <xf numFmtId="49" fontId="0" fillId="3" borderId="55" xfId="0" applyNumberFormat="1" applyFill="1" applyBorder="1" applyAlignment="1">
      <alignment horizontal="center" wrapText="1"/>
    </xf>
    <xf numFmtId="0" fontId="0" fillId="3" borderId="53" xfId="0" applyFill="1" applyBorder="1" applyAlignment="1">
      <alignment horizontal="center" wrapText="1"/>
    </xf>
    <xf numFmtId="0" fontId="0" fillId="3" borderId="54" xfId="0" applyFill="1" applyBorder="1" applyAlignment="1">
      <alignment horizontal="center" wrapText="1"/>
    </xf>
    <xf numFmtId="0" fontId="0" fillId="3" borderId="55" xfId="0" applyFill="1" applyBorder="1" applyAlignment="1">
      <alignment horizontal="center" wrapText="1"/>
    </xf>
    <xf numFmtId="0" fontId="4" fillId="8" borderId="56" xfId="0" applyFont="1" applyFill="1" applyBorder="1" applyAlignment="1">
      <alignment horizontal="center" vertical="center"/>
    </xf>
    <xf numFmtId="0" fontId="4" fillId="8" borderId="57" xfId="0" applyFont="1" applyFill="1" applyBorder="1" applyAlignment="1">
      <alignment horizontal="center" vertical="center"/>
    </xf>
    <xf numFmtId="0" fontId="4" fillId="8" borderId="58" xfId="0" applyFont="1" applyFill="1" applyBorder="1" applyAlignment="1">
      <alignment horizontal="center" vertical="center"/>
    </xf>
    <xf numFmtId="0" fontId="4" fillId="8" borderId="59" xfId="0" applyFont="1" applyFill="1" applyBorder="1" applyAlignment="1">
      <alignment horizontal="center" vertical="center"/>
    </xf>
    <xf numFmtId="0" fontId="4" fillId="8" borderId="60" xfId="0" applyFont="1" applyFill="1" applyBorder="1" applyAlignment="1">
      <alignment horizontal="center" vertical="center"/>
    </xf>
    <xf numFmtId="0" fontId="4" fillId="8" borderId="61" xfId="0" applyFont="1" applyFill="1" applyBorder="1" applyAlignment="1">
      <alignment horizontal="center" vertical="center"/>
    </xf>
    <xf numFmtId="0" fontId="3" fillId="8" borderId="56" xfId="0" applyFont="1" applyFill="1" applyBorder="1" applyAlignment="1">
      <alignment horizontal="center" vertical="center"/>
    </xf>
    <xf numFmtId="0" fontId="3" fillId="8" borderId="57" xfId="0" applyFont="1" applyFill="1" applyBorder="1" applyAlignment="1">
      <alignment horizontal="center" vertical="center"/>
    </xf>
    <xf numFmtId="0" fontId="3" fillId="8" borderId="58" xfId="0" applyFont="1" applyFill="1" applyBorder="1" applyAlignment="1">
      <alignment horizontal="center" vertical="center"/>
    </xf>
    <xf numFmtId="0" fontId="3" fillId="8" borderId="59" xfId="0" applyFont="1" applyFill="1" applyBorder="1" applyAlignment="1">
      <alignment horizontal="center" vertical="center"/>
    </xf>
    <xf numFmtId="0" fontId="3" fillId="8" borderId="60" xfId="0" applyFont="1" applyFill="1" applyBorder="1" applyAlignment="1">
      <alignment horizontal="center" vertical="center"/>
    </xf>
    <xf numFmtId="0" fontId="3" fillId="8" borderId="61" xfId="0" applyFont="1" applyFill="1" applyBorder="1" applyAlignment="1">
      <alignment horizontal="center" vertical="center"/>
    </xf>
    <xf numFmtId="0" fontId="3" fillId="3" borderId="51" xfId="0" applyFont="1" applyFill="1" applyBorder="1" applyAlignment="1">
      <alignment horizontal="center" wrapText="1"/>
    </xf>
    <xf numFmtId="0" fontId="3" fillId="3" borderId="6" xfId="0" applyFont="1" applyFill="1" applyBorder="1" applyAlignment="1">
      <alignment horizontal="center" wrapText="1"/>
    </xf>
    <xf numFmtId="0" fontId="3" fillId="3" borderId="19" xfId="0" applyFont="1" applyFill="1" applyBorder="1" applyAlignment="1">
      <alignment horizontal="center" vertical="center" wrapText="1"/>
    </xf>
    <xf numFmtId="0" fontId="3" fillId="3" borderId="39" xfId="0" applyFont="1" applyFill="1" applyBorder="1" applyAlignment="1">
      <alignment horizontal="center" vertical="center" wrapText="1"/>
    </xf>
    <xf numFmtId="0" fontId="3" fillId="3" borderId="35" xfId="0" applyFont="1" applyFill="1" applyBorder="1" applyAlignment="1">
      <alignment horizontal="center" vertical="center" wrapText="1"/>
    </xf>
    <xf numFmtId="0" fontId="3" fillId="3" borderId="21" xfId="0" applyFont="1" applyFill="1" applyBorder="1" applyAlignment="1">
      <alignment horizontal="center" vertical="center" wrapText="1"/>
    </xf>
    <xf numFmtId="0" fontId="3" fillId="3" borderId="17" xfId="0" applyFont="1" applyFill="1" applyBorder="1" applyAlignment="1">
      <alignment horizontal="center" vertical="center" wrapText="1"/>
    </xf>
  </cellXfs>
  <cellStyles count="16">
    <cellStyle name="Normal" xfId="0"/>
    <cellStyle name="Percent" xfId="15"/>
    <cellStyle name="Currency" xfId="16"/>
    <cellStyle name="Currency [0]" xfId="17"/>
    <cellStyle name="Comma" xfId="18"/>
    <cellStyle name="Comma [0]" xfId="19"/>
    <cellStyle name="Moneda" xfId="20"/>
    <cellStyle name="Porcentaje" xfId="21"/>
    <cellStyle name="Normal 2" xfId="22"/>
    <cellStyle name="Moneda 2" xfId="23"/>
    <cellStyle name="Normal 6" xfId="24"/>
    <cellStyle name="Comma 5" xfId="25"/>
    <cellStyle name="Millares" xfId="26"/>
    <cellStyle name="Normal 3" xfId="27"/>
    <cellStyle name="Millares 3" xfId="28"/>
    <cellStyle name="Moneda 2 2" xfId="29"/>
  </cellStyles>
  <dxfs count="27">
    <dxf>
      <font>
        <color rgb="FF9C0006"/>
      </font>
      <fill>
        <patternFill>
          <bgColor rgb="FFFFC7CE"/>
        </patternFill>
      </fill>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microsoft.com/office/2017/10/relationships/person" Target="persons/person.xml" /><Relationship Id="rId12" Type="http://schemas.openxmlformats.org/officeDocument/2006/relationships/customXml" Target="../customXml/item1.xml" /><Relationship Id="rId13" Type="http://schemas.openxmlformats.org/officeDocument/2006/relationships/customXml" Target="../customXml/item2.xml" /><Relationship Id="rId14" Type="http://schemas.openxmlformats.org/officeDocument/2006/relationships/customXml" Target="../customXml/item3.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2</xdr:row>
      <xdr:rowOff>161925</xdr:rowOff>
    </xdr:from>
    <xdr:to>
      <xdr:col>2</xdr:col>
      <xdr:colOff>1590675</xdr:colOff>
      <xdr:row>9</xdr:row>
      <xdr:rowOff>66675</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447675" y="752475"/>
          <a:ext cx="3009900" cy="1371600"/>
        </a:xfrm>
        <a:prstGeom prst="rect">
          <a:avLst/>
        </a:prstGeom>
        <a:ln>
          <a:noFill/>
        </a:ln>
      </xdr:spPr>
    </xdr:pic>
    <xdr:clientData/>
  </xdr:twoCellAnchor>
</xdr:wsDr>
</file>

<file path=xl/persons/person.xml><?xml version="1.0" encoding="utf-8"?>
<personList xmlns="http://schemas.microsoft.com/office/spreadsheetml/2018/threadedcomments" xmlns:x="http://schemas.openxmlformats.org/spreadsheetml/2006/main">
  <person displayName="AMAYA Yesenia" id="{B59F3035-E07F-4C0D-AADA-929F5723EA28}" userId="S::yamaya@iom.int::8fbfd019-6e7c-412f-94f6-a00846092c0b" providerId="AD"/>
  <person displayName="Elvia MOJICA" id="{D613331B-121A-4ADD-943D-A9D6CD039F25}" userId="S::elvia.mojica_wfp.org#ext#@iomint.onmicrosoft.com::269f2f60-f14c-4886-bb5d-fc8704b57880"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E207" dT="2023-05-16T21:34:03.89" personId="{B59F3035-E07F-4C0D-AADA-929F5723EA28}" id="{21ABBBA5-7A98-4315-BCF7-BC98CD0B43B8}">
    <text>PMA: E190*6.713426% = 21240.01</text>
  </threadedComment>
  <threadedComment ref="E207" dT="2023-05-31T22:19:07.25" personId="{D613331B-121A-4ADD-943D-A9D6CD039F25}" id="{98A1F1C9-8E56-4B21-B58B-145F68168788}" parentId="{21ABBBA5-7A98-4315-BCF7-BC98CD0B43B8}">
    <text>el monto correcto es   $                              21,240.01  por que tenemos como PMA un ISC diferente al 7%</text>
  </threadedComment>
  <threadedComment ref="E208" dT="2023-05-16T21:36:01.81" personId="{B59F3035-E07F-4C0D-AADA-929F5723EA28}" id="{105C661F-DD05-4750-9CC1-8E1F5FFC6C59}">
    <text>PMA: $337,621.09</text>
  </threadedComment>
  <threadedComment ref="E208" dT="2023-05-31T22:19:36.44" personId="{D613331B-121A-4ADD-943D-A9D6CD039F25}" id="{1ED48BBF-FA44-4497-A6E2-0D0053A5C31D}" parentId="{105C661F-DD05-4750-9CC1-8E1F5FFC6C59}">
    <text>el monto real recibido y ejecuado por PMA es de   $                            337,621.09 </text>
  </threadedComment>
</ThreadedComments>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4" Type="http://schemas.microsoft.com/office/2017/10/relationships/threadedComment" Target="../threadedComments/threadedComment1.xml" /><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CC8568-A774-49BA-90A4-34E4951A04A7}">
  <sheetPr>
    <tabColor theme="4" tint="0.7999799847602844"/>
  </sheetPr>
  <dimension ref="B2:E3"/>
  <sheetViews>
    <sheetView showGridLines="0" zoomScale="80" zoomScaleNormal="80" workbookViewId="0" topLeftCell="A1">
      <selection activeCell="B8" sqref="B8"/>
    </sheetView>
  </sheetViews>
  <sheetFormatPr defaultColWidth="8.8515625" defaultRowHeight="15"/>
  <cols>
    <col min="2" max="2" width="127.140625" style="0" customWidth="1"/>
  </cols>
  <sheetData>
    <row r="2" spans="2:5" ht="36.75" customHeight="1" thickBot="1">
      <c r="B2" s="394" t="s">
        <v>0</v>
      </c>
      <c r="C2" s="394"/>
      <c r="D2" s="394"/>
      <c r="E2" s="394"/>
    </row>
    <row r="3" ht="295.5" customHeight="1" thickBot="1">
      <c r="B3" s="135" t="s">
        <v>1</v>
      </c>
    </row>
  </sheetData>
  <sheetProtection sheet="1" objects="1" scenarios="1"/>
  <mergeCells count="1">
    <mergeCell ref="B2:E2"/>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9090E4-5BD0-4381-9545-996EF19C34C6}">
  <sheetPr>
    <tabColor theme="2" tint="-0.4999699890613556"/>
  </sheetPr>
  <dimension ref="A1:M97"/>
  <sheetViews>
    <sheetView zoomScale="85" zoomScaleNormal="85" workbookViewId="0" topLeftCell="B33">
      <selection activeCell="B33" sqref="B33:G33"/>
    </sheetView>
  </sheetViews>
  <sheetFormatPr defaultColWidth="9.140625" defaultRowHeight="15"/>
  <cols>
    <col min="1" max="1" width="5.8515625" style="167" customWidth="1"/>
    <col min="2" max="2" width="22.140625" style="154" customWidth="1"/>
    <col min="3" max="3" width="82.140625" style="150" customWidth="1"/>
    <col min="4" max="4" width="16.140625" style="151" hidden="1" customWidth="1"/>
    <col min="5" max="5" width="5.7109375" style="152" customWidth="1"/>
    <col min="6" max="6" width="14.8515625" style="153" customWidth="1"/>
    <col min="7" max="7" width="19.421875" style="153" customWidth="1"/>
    <col min="8" max="8" width="12.140625" style="153" hidden="1" customWidth="1"/>
    <col min="9" max="9" width="8.8515625" style="267" hidden="1" customWidth="1"/>
    <col min="10" max="10" width="8.7109375" style="245" customWidth="1"/>
    <col min="11" max="11" width="33.140625" style="278" customWidth="1"/>
    <col min="12" max="12" width="17.140625" style="154" customWidth="1"/>
    <col min="13" max="13" width="15.8515625" style="148" customWidth="1"/>
    <col min="14" max="246" width="11.421875" style="154" customWidth="1"/>
    <col min="247" max="16384" width="9.140625" style="154" customWidth="1"/>
  </cols>
  <sheetData>
    <row r="1" spans="2:12" ht="31.5">
      <c r="B1" s="428" t="s">
        <v>2</v>
      </c>
      <c r="C1" s="428"/>
      <c r="D1" s="428"/>
      <c r="E1" s="428"/>
      <c r="F1" s="428"/>
      <c r="G1" s="428"/>
      <c r="H1" s="255"/>
      <c r="I1" s="255"/>
      <c r="J1" s="244"/>
      <c r="K1" s="255"/>
      <c r="L1" s="255"/>
    </row>
    <row r="3" ht="16.5"/>
    <row r="4" ht="16.5"/>
    <row r="5" ht="16.5"/>
    <row r="6" ht="16.5">
      <c r="B6" s="149" t="e">
        <v>#REF!</v>
      </c>
    </row>
    <row r="7" ht="16.5"/>
    <row r="8" ht="16.5"/>
    <row r="9" ht="16.5"/>
    <row r="10" spans="2:6" ht="15.75">
      <c r="B10" s="429"/>
      <c r="C10" s="429"/>
      <c r="D10" s="429"/>
      <c r="E10" s="429"/>
      <c r="F10" s="429"/>
    </row>
    <row r="12" spans="2:11" ht="18.75">
      <c r="B12" s="155" t="s">
        <v>3</v>
      </c>
      <c r="C12" s="156" t="s">
        <v>4</v>
      </c>
      <c r="D12" s="157"/>
      <c r="E12" s="158"/>
      <c r="F12" s="159"/>
      <c r="G12" s="159"/>
      <c r="H12" s="159"/>
      <c r="I12" s="268"/>
      <c r="J12" s="184"/>
      <c r="K12" s="279"/>
    </row>
    <row r="13" spans="2:11" ht="21" customHeight="1">
      <c r="B13" s="155" t="s">
        <v>5</v>
      </c>
      <c r="C13" s="160" t="s">
        <v>6</v>
      </c>
      <c r="D13" s="157"/>
      <c r="E13" s="158"/>
      <c r="F13" s="159"/>
      <c r="G13" s="159"/>
      <c r="H13" s="159"/>
      <c r="I13" s="268"/>
      <c r="J13" s="184"/>
      <c r="K13" s="279"/>
    </row>
    <row r="14" spans="2:11" ht="29.25" customHeight="1">
      <c r="B14" s="161" t="s">
        <v>7</v>
      </c>
      <c r="C14" s="162">
        <f>+G81</f>
        <v>802880.1973800001</v>
      </c>
      <c r="D14" s="157"/>
      <c r="E14" s="158"/>
      <c r="F14" s="159"/>
      <c r="G14" s="159"/>
      <c r="H14" s="159"/>
      <c r="I14" s="268"/>
      <c r="J14" s="184"/>
      <c r="K14" s="279"/>
    </row>
    <row r="15" spans="2:11" ht="21" customHeight="1">
      <c r="B15" s="155" t="s">
        <v>8</v>
      </c>
      <c r="C15" s="163" t="s">
        <v>9</v>
      </c>
      <c r="D15" s="157"/>
      <c r="E15" s="158"/>
      <c r="F15" s="159"/>
      <c r="G15" s="164"/>
      <c r="H15" s="164"/>
      <c r="I15" s="269"/>
      <c r="J15" s="246"/>
      <c r="K15" s="280"/>
    </row>
    <row r="16" spans="2:11" ht="21">
      <c r="B16" s="165" t="s">
        <v>10</v>
      </c>
      <c r="C16" s="166" t="s">
        <v>11</v>
      </c>
      <c r="D16" s="157"/>
      <c r="E16" s="158"/>
      <c r="F16" s="159"/>
      <c r="G16" s="159"/>
      <c r="H16" s="159"/>
      <c r="I16" s="268"/>
      <c r="J16" s="184"/>
      <c r="K16" s="279"/>
    </row>
    <row r="17" spans="2:11" ht="14.25" customHeight="1">
      <c r="B17" s="430" t="s">
        <v>12</v>
      </c>
      <c r="C17" s="432" t="s">
        <v>13</v>
      </c>
      <c r="D17" s="432" t="s">
        <v>14</v>
      </c>
      <c r="E17" s="434" t="s">
        <v>15</v>
      </c>
      <c r="F17" s="436" t="s">
        <v>16</v>
      </c>
      <c r="G17" s="436" t="s">
        <v>17</v>
      </c>
      <c r="H17" s="168"/>
      <c r="I17" s="270"/>
      <c r="J17" s="247"/>
      <c r="K17" s="281"/>
    </row>
    <row r="18" spans="2:11" ht="15" customHeight="1" thickBot="1">
      <c r="B18" s="431"/>
      <c r="C18" s="433"/>
      <c r="D18" s="433"/>
      <c r="E18" s="435"/>
      <c r="F18" s="437"/>
      <c r="G18" s="437"/>
      <c r="H18" s="168"/>
      <c r="I18" s="270"/>
      <c r="J18" s="247"/>
      <c r="K18" s="281"/>
    </row>
    <row r="19" spans="1:13" ht="17.25" customHeight="1" thickBot="1">
      <c r="A19" s="169"/>
      <c r="B19" s="170" t="s">
        <v>18</v>
      </c>
      <c r="C19" s="171"/>
      <c r="D19" s="172"/>
      <c r="E19" s="173"/>
      <c r="F19" s="174"/>
      <c r="G19" s="175">
        <f>SUM(G20:G25)</f>
        <v>82093.194</v>
      </c>
      <c r="H19" s="176">
        <f>+G19/G81</f>
        <v>0.10224837312950391</v>
      </c>
      <c r="I19" s="271"/>
      <c r="J19" s="248"/>
      <c r="K19" s="183">
        <f>G19-'1) Budget Table'!D175</f>
        <v>-0.021999999997206032</v>
      </c>
      <c r="L19" s="294" t="s">
        <v>19</v>
      </c>
      <c r="M19" s="294" t="s">
        <v>20</v>
      </c>
    </row>
    <row r="20" spans="1:13" ht="31.5">
      <c r="A20" s="178"/>
      <c r="B20" s="186" t="s">
        <v>21</v>
      </c>
      <c r="C20" s="179" t="s">
        <v>22</v>
      </c>
      <c r="D20" s="180" t="s">
        <v>23</v>
      </c>
      <c r="E20" s="181">
        <v>18</v>
      </c>
      <c r="F20" s="182">
        <v>2016.08</v>
      </c>
      <c r="G20" s="183">
        <f aca="true" t="shared" si="0" ref="G20:G25">E20*F20</f>
        <v>36289.44</v>
      </c>
      <c r="I20" s="185" t="s">
        <v>24</v>
      </c>
      <c r="J20" s="243" t="s">
        <v>25</v>
      </c>
      <c r="K20" s="242" t="s">
        <v>26</v>
      </c>
      <c r="L20" s="291" t="s">
        <v>27</v>
      </c>
      <c r="M20" s="291" t="s">
        <v>27</v>
      </c>
    </row>
    <row r="21" spans="1:13" ht="31.5">
      <c r="A21" s="178"/>
      <c r="B21" s="186" t="s">
        <v>28</v>
      </c>
      <c r="C21" s="179" t="s">
        <v>29</v>
      </c>
      <c r="D21" s="180" t="s">
        <v>23</v>
      </c>
      <c r="E21" s="181">
        <v>18</v>
      </c>
      <c r="F21" s="182">
        <f>+(1597.5*0.75)+408.296</f>
        <v>1606.421</v>
      </c>
      <c r="G21" s="183">
        <f t="shared" si="0"/>
        <v>28915.578</v>
      </c>
      <c r="H21" s="339"/>
      <c r="I21" s="185" t="s">
        <v>30</v>
      </c>
      <c r="J21" s="243" t="s">
        <v>25</v>
      </c>
      <c r="K21" s="242" t="s">
        <v>26</v>
      </c>
      <c r="L21" s="291" t="s">
        <v>27</v>
      </c>
      <c r="M21" s="291" t="s">
        <v>27</v>
      </c>
    </row>
    <row r="22" spans="1:13" ht="31.5">
      <c r="A22" s="178"/>
      <c r="B22" s="186" t="s">
        <v>31</v>
      </c>
      <c r="C22" s="179" t="s">
        <v>32</v>
      </c>
      <c r="D22" s="180" t="s">
        <v>23</v>
      </c>
      <c r="E22" s="181">
        <v>18</v>
      </c>
      <c r="F22" s="182">
        <f>1237.19*0.15</f>
        <v>185.5785</v>
      </c>
      <c r="G22" s="183">
        <f t="shared" si="0"/>
        <v>3340.413</v>
      </c>
      <c r="I22" s="185" t="s">
        <v>33</v>
      </c>
      <c r="J22" s="243" t="s">
        <v>25</v>
      </c>
      <c r="K22" s="242" t="s">
        <v>26</v>
      </c>
      <c r="L22" s="291" t="s">
        <v>27</v>
      </c>
      <c r="M22" s="291" t="s">
        <v>27</v>
      </c>
    </row>
    <row r="23" spans="1:13" ht="31.5">
      <c r="A23" s="178"/>
      <c r="B23" s="186" t="s">
        <v>34</v>
      </c>
      <c r="C23" s="179" t="s">
        <v>35</v>
      </c>
      <c r="D23" s="180" t="s">
        <v>23</v>
      </c>
      <c r="E23" s="181">
        <v>18</v>
      </c>
      <c r="F23" s="182">
        <f>1530*0.15</f>
        <v>229.5</v>
      </c>
      <c r="G23" s="187">
        <f t="shared" si="0"/>
        <v>4131</v>
      </c>
      <c r="I23" s="185" t="s">
        <v>36</v>
      </c>
      <c r="J23" s="243" t="s">
        <v>25</v>
      </c>
      <c r="K23" s="242" t="s">
        <v>26</v>
      </c>
      <c r="L23" s="291" t="s">
        <v>27</v>
      </c>
      <c r="M23" s="291" t="s">
        <v>27</v>
      </c>
    </row>
    <row r="24" spans="1:13" ht="31.5">
      <c r="A24" s="178"/>
      <c r="B24" s="186" t="s">
        <v>37</v>
      </c>
      <c r="C24" s="179" t="s">
        <v>38</v>
      </c>
      <c r="D24" s="180" t="s">
        <v>23</v>
      </c>
      <c r="E24" s="181">
        <v>18</v>
      </c>
      <c r="F24" s="182">
        <f>(1155.74+1401.95)*0.15</f>
        <v>383.6535</v>
      </c>
      <c r="G24" s="187">
        <f t="shared" si="0"/>
        <v>6905.763</v>
      </c>
      <c r="I24" s="185" t="s">
        <v>39</v>
      </c>
      <c r="J24" s="243" t="s">
        <v>25</v>
      </c>
      <c r="K24" s="242" t="s">
        <v>26</v>
      </c>
      <c r="L24" s="291" t="s">
        <v>27</v>
      </c>
      <c r="M24" s="291" t="s">
        <v>27</v>
      </c>
    </row>
    <row r="25" spans="1:13" ht="32.25" thickBot="1">
      <c r="A25" s="178"/>
      <c r="B25" s="188" t="s">
        <v>40</v>
      </c>
      <c r="C25" s="179" t="s">
        <v>41</v>
      </c>
      <c r="D25" s="180" t="s">
        <v>23</v>
      </c>
      <c r="E25" s="181">
        <v>18</v>
      </c>
      <c r="F25" s="182">
        <f>930*0.15</f>
        <v>139.5</v>
      </c>
      <c r="G25" s="187">
        <f t="shared" si="0"/>
        <v>2511</v>
      </c>
      <c r="I25" s="185" t="s">
        <v>42</v>
      </c>
      <c r="J25" s="243" t="s">
        <v>25</v>
      </c>
      <c r="K25" s="242" t="s">
        <v>26</v>
      </c>
      <c r="L25" s="291" t="s">
        <v>27</v>
      </c>
      <c r="M25" s="291" t="s">
        <v>27</v>
      </c>
    </row>
    <row r="26" spans="1:13" ht="15.75" thickBot="1">
      <c r="A26" s="189"/>
      <c r="B26" s="170" t="s">
        <v>43</v>
      </c>
      <c r="C26" s="171"/>
      <c r="D26" s="172"/>
      <c r="E26" s="173"/>
      <c r="F26" s="174"/>
      <c r="G26" s="175">
        <f>SUM(G27:G30)</f>
        <v>20256.22</v>
      </c>
      <c r="H26" s="176">
        <f>+G26/G81</f>
        <v>0.025229442781253216</v>
      </c>
      <c r="I26" s="271"/>
      <c r="J26" s="248"/>
      <c r="K26" s="282"/>
      <c r="M26" s="154"/>
    </row>
    <row r="27" spans="1:13" ht="47.25">
      <c r="A27" s="190"/>
      <c r="B27" s="191" t="s">
        <v>44</v>
      </c>
      <c r="C27" s="192" t="s">
        <v>45</v>
      </c>
      <c r="D27" s="180" t="s">
        <v>23</v>
      </c>
      <c r="E27" s="180">
        <v>18</v>
      </c>
      <c r="F27" s="182">
        <v>680</v>
      </c>
      <c r="G27" s="183">
        <f>F27*E27</f>
        <v>12240</v>
      </c>
      <c r="H27" s="193"/>
      <c r="I27" s="292"/>
      <c r="J27" s="243" t="s">
        <v>46</v>
      </c>
      <c r="K27" s="242" t="s">
        <v>47</v>
      </c>
      <c r="L27" s="291" t="s">
        <v>48</v>
      </c>
      <c r="M27" s="291" t="s">
        <v>48</v>
      </c>
    </row>
    <row r="28" spans="1:13" ht="47.25">
      <c r="A28" s="190"/>
      <c r="B28" s="194" t="s">
        <v>49</v>
      </c>
      <c r="C28" s="192" t="s">
        <v>50</v>
      </c>
      <c r="D28" s="180" t="s">
        <v>23</v>
      </c>
      <c r="E28" s="180">
        <v>18</v>
      </c>
      <c r="F28" s="182">
        <v>50</v>
      </c>
      <c r="G28" s="183">
        <f>F28*E28</f>
        <v>900</v>
      </c>
      <c r="H28" s="184"/>
      <c r="I28" s="268"/>
      <c r="J28" s="243" t="s">
        <v>46</v>
      </c>
      <c r="K28" s="242" t="s">
        <v>47</v>
      </c>
      <c r="L28" s="291" t="s">
        <v>48</v>
      </c>
      <c r="M28" s="291" t="s">
        <v>48</v>
      </c>
    </row>
    <row r="29" spans="1:13" ht="47.25">
      <c r="A29" s="190"/>
      <c r="B29" s="194" t="s">
        <v>51</v>
      </c>
      <c r="C29" s="192" t="s">
        <v>52</v>
      </c>
      <c r="D29" s="180" t="s">
        <v>13</v>
      </c>
      <c r="E29" s="180">
        <v>1</v>
      </c>
      <c r="F29" s="182">
        <v>816.22</v>
      </c>
      <c r="G29" s="183">
        <f>F29*E29</f>
        <v>816.22</v>
      </c>
      <c r="H29" s="195"/>
      <c r="I29" s="293"/>
      <c r="J29" s="243" t="s">
        <v>46</v>
      </c>
      <c r="K29" s="242" t="s">
        <v>47</v>
      </c>
      <c r="L29" s="291" t="s">
        <v>48</v>
      </c>
      <c r="M29" s="291" t="s">
        <v>48</v>
      </c>
    </row>
    <row r="30" spans="1:13" ht="48" thickBot="1">
      <c r="A30" s="190"/>
      <c r="B30" s="194" t="s">
        <v>53</v>
      </c>
      <c r="C30" s="192" t="s">
        <v>54</v>
      </c>
      <c r="D30" s="180" t="s">
        <v>23</v>
      </c>
      <c r="E30" s="180">
        <v>18</v>
      </c>
      <c r="F30" s="182">
        <f>+(6*50)+50</f>
        <v>350</v>
      </c>
      <c r="G30" s="183">
        <f aca="true" t="shared" si="1" ref="G30">F30*E30</f>
        <v>6300</v>
      </c>
      <c r="I30" s="185" t="s">
        <v>55</v>
      </c>
      <c r="J30" s="243" t="s">
        <v>46</v>
      </c>
      <c r="K30" s="242" t="s">
        <v>47</v>
      </c>
      <c r="L30" s="291" t="s">
        <v>48</v>
      </c>
      <c r="M30" s="291" t="s">
        <v>48</v>
      </c>
    </row>
    <row r="31" spans="2:13" ht="15.75" thickBot="1">
      <c r="B31" s="415" t="s">
        <v>56</v>
      </c>
      <c r="C31" s="416"/>
      <c r="D31" s="416"/>
      <c r="E31" s="416"/>
      <c r="F31" s="417"/>
      <c r="G31" s="196">
        <f>+G19+G26</f>
        <v>102349.414</v>
      </c>
      <c r="H31" s="197">
        <f>+G31/G81</f>
        <v>0.12747781591075713</v>
      </c>
      <c r="I31" s="272"/>
      <c r="J31" s="249"/>
      <c r="K31" s="283"/>
      <c r="L31" s="198"/>
      <c r="M31" s="177"/>
    </row>
    <row r="32" spans="2:13" ht="15.75" thickBot="1">
      <c r="B32" s="170" t="s">
        <v>57</v>
      </c>
      <c r="C32" s="171"/>
      <c r="D32" s="172"/>
      <c r="E32" s="173"/>
      <c r="F32" s="174"/>
      <c r="G32" s="175"/>
      <c r="H32" s="199"/>
      <c r="I32" s="273"/>
      <c r="J32" s="250"/>
      <c r="K32" s="284"/>
      <c r="L32" s="198"/>
      <c r="M32" s="177"/>
    </row>
    <row r="33" spans="1:13" ht="39" customHeight="1">
      <c r="A33" s="200"/>
      <c r="B33" s="418" t="s">
        <v>58</v>
      </c>
      <c r="C33" s="419"/>
      <c r="D33" s="420"/>
      <c r="E33" s="420"/>
      <c r="F33" s="420"/>
      <c r="G33" s="421"/>
      <c r="H33" s="201"/>
      <c r="I33" s="274"/>
      <c r="J33" s="201"/>
      <c r="K33" s="274"/>
      <c r="L33" s="148"/>
      <c r="M33" s="154"/>
    </row>
    <row r="34" spans="2:13" ht="36" customHeight="1">
      <c r="B34" s="422" t="s">
        <v>59</v>
      </c>
      <c r="C34" s="423"/>
      <c r="D34" s="202"/>
      <c r="E34" s="203"/>
      <c r="F34" s="204"/>
      <c r="G34" s="205">
        <f>SUM(G35:G42)</f>
        <v>156509.78</v>
      </c>
      <c r="H34" s="201"/>
      <c r="I34" s="274">
        <f>21200/2</f>
        <v>10600</v>
      </c>
      <c r="J34" s="201"/>
      <c r="K34" s="274"/>
      <c r="L34" s="148"/>
      <c r="M34" s="154"/>
    </row>
    <row r="35" spans="1:13" ht="30">
      <c r="A35" s="200"/>
      <c r="B35" s="256" t="s">
        <v>60</v>
      </c>
      <c r="C35" s="206" t="s">
        <v>61</v>
      </c>
      <c r="D35" s="207" t="s">
        <v>62</v>
      </c>
      <c r="E35" s="257">
        <v>1</v>
      </c>
      <c r="F35" s="259">
        <v>41328</v>
      </c>
      <c r="G35" s="259">
        <f aca="true" t="shared" si="2" ref="G35:G42">F35*E35</f>
        <v>41328</v>
      </c>
      <c r="J35" s="243" t="s">
        <v>63</v>
      </c>
      <c r="K35" s="242" t="s">
        <v>64</v>
      </c>
      <c r="L35" s="291" t="s">
        <v>65</v>
      </c>
      <c r="M35" s="291" t="s">
        <v>66</v>
      </c>
    </row>
    <row r="36" spans="1:13" ht="30">
      <c r="A36" s="190"/>
      <c r="B36" s="256" t="s">
        <v>67</v>
      </c>
      <c r="C36" s="206" t="s">
        <v>68</v>
      </c>
      <c r="D36" s="207" t="s">
        <v>62</v>
      </c>
      <c r="E36" s="257">
        <v>1</v>
      </c>
      <c r="F36" s="259">
        <v>24600</v>
      </c>
      <c r="G36" s="259">
        <f t="shared" si="2"/>
        <v>24600</v>
      </c>
      <c r="J36" s="243" t="s">
        <v>69</v>
      </c>
      <c r="K36" s="242" t="s">
        <v>70</v>
      </c>
      <c r="L36" s="291" t="s">
        <v>71</v>
      </c>
      <c r="M36" s="291" t="s">
        <v>66</v>
      </c>
    </row>
    <row r="37" spans="1:13" s="167" customFormat="1" ht="30">
      <c r="A37" s="190"/>
      <c r="B37" s="315" t="s">
        <v>72</v>
      </c>
      <c r="C37" s="336" t="s">
        <v>73</v>
      </c>
      <c r="D37" s="317" t="s">
        <v>74</v>
      </c>
      <c r="E37" s="337">
        <v>1</v>
      </c>
      <c r="F37" s="325">
        <f>6888-2898.22</f>
        <v>3989.78</v>
      </c>
      <c r="G37" s="325">
        <f t="shared" si="2"/>
        <v>3989.78</v>
      </c>
      <c r="H37" s="323"/>
      <c r="I37" s="324"/>
      <c r="J37" s="321" t="s">
        <v>46</v>
      </c>
      <c r="K37" s="295" t="s">
        <v>47</v>
      </c>
      <c r="L37" s="1" t="s">
        <v>75</v>
      </c>
      <c r="M37" s="1" t="s">
        <v>66</v>
      </c>
    </row>
    <row r="38" spans="1:13" ht="15.75">
      <c r="A38" s="190"/>
      <c r="B38" s="256" t="s">
        <v>76</v>
      </c>
      <c r="C38" s="206" t="s">
        <v>77</v>
      </c>
      <c r="D38" s="207" t="s">
        <v>62</v>
      </c>
      <c r="E38" s="257">
        <v>2</v>
      </c>
      <c r="F38" s="325">
        <f>24600-10600</f>
        <v>14000</v>
      </c>
      <c r="G38" s="325">
        <f t="shared" si="2"/>
        <v>28000</v>
      </c>
      <c r="J38" s="243" t="s">
        <v>69</v>
      </c>
      <c r="K38" s="242" t="s">
        <v>70</v>
      </c>
      <c r="L38" s="291" t="s">
        <v>78</v>
      </c>
      <c r="M38" s="291" t="s">
        <v>66</v>
      </c>
    </row>
    <row r="39" spans="1:13" ht="30">
      <c r="A39" s="190"/>
      <c r="B39" s="256" t="s">
        <v>79</v>
      </c>
      <c r="C39" s="210" t="s">
        <v>80</v>
      </c>
      <c r="D39" s="207" t="s">
        <v>74</v>
      </c>
      <c r="E39" s="257">
        <v>1</v>
      </c>
      <c r="F39" s="259">
        <v>6888</v>
      </c>
      <c r="G39" s="259">
        <f t="shared" si="2"/>
        <v>6888</v>
      </c>
      <c r="J39" s="243" t="s">
        <v>46</v>
      </c>
      <c r="K39" s="242" t="s">
        <v>47</v>
      </c>
      <c r="L39" s="291" t="s">
        <v>81</v>
      </c>
      <c r="M39" s="291" t="s">
        <v>66</v>
      </c>
    </row>
    <row r="40" spans="1:13" ht="15.75">
      <c r="A40" s="190"/>
      <c r="B40" s="194" t="s">
        <v>82</v>
      </c>
      <c r="C40" s="206" t="s">
        <v>83</v>
      </c>
      <c r="D40" s="207" t="s">
        <v>74</v>
      </c>
      <c r="E40" s="257">
        <v>1</v>
      </c>
      <c r="F40" s="259">
        <v>25584</v>
      </c>
      <c r="G40" s="259">
        <f t="shared" si="2"/>
        <v>25584</v>
      </c>
      <c r="J40" s="243" t="s">
        <v>63</v>
      </c>
      <c r="K40" s="242" t="s">
        <v>64</v>
      </c>
      <c r="L40" s="291" t="s">
        <v>84</v>
      </c>
      <c r="M40" s="291" t="s">
        <v>66</v>
      </c>
    </row>
    <row r="41" spans="1:13" ht="15.75">
      <c r="A41" s="190"/>
      <c r="B41" s="256" t="s">
        <v>85</v>
      </c>
      <c r="C41" s="206" t="s">
        <v>86</v>
      </c>
      <c r="D41" s="207" t="s">
        <v>74</v>
      </c>
      <c r="E41" s="257">
        <v>1</v>
      </c>
      <c r="F41" s="259">
        <v>4920</v>
      </c>
      <c r="G41" s="259">
        <f t="shared" si="2"/>
        <v>4920</v>
      </c>
      <c r="J41" s="243" t="s">
        <v>87</v>
      </c>
      <c r="K41" s="242" t="s">
        <v>88</v>
      </c>
      <c r="L41" s="291" t="s">
        <v>89</v>
      </c>
      <c r="M41" s="291" t="s">
        <v>66</v>
      </c>
    </row>
    <row r="42" spans="1:13" ht="15.75">
      <c r="A42" s="190"/>
      <c r="B42" s="315" t="s">
        <v>90</v>
      </c>
      <c r="C42" s="316" t="s">
        <v>91</v>
      </c>
      <c r="D42" s="207" t="s">
        <v>74</v>
      </c>
      <c r="E42" s="257">
        <v>1</v>
      </c>
      <c r="F42" s="318">
        <v>21200</v>
      </c>
      <c r="G42" s="318">
        <f t="shared" si="2"/>
        <v>21200</v>
      </c>
      <c r="H42" s="319"/>
      <c r="I42" s="320"/>
      <c r="J42" s="321" t="s">
        <v>92</v>
      </c>
      <c r="K42" s="295" t="s">
        <v>93</v>
      </c>
      <c r="L42" s="1" t="s">
        <v>94</v>
      </c>
      <c r="M42" s="1" t="s">
        <v>66</v>
      </c>
    </row>
    <row r="43" spans="2:13" ht="46.35" customHeight="1">
      <c r="B43" s="422" t="s">
        <v>95</v>
      </c>
      <c r="C43" s="423"/>
      <c r="D43" s="202"/>
      <c r="E43" s="203"/>
      <c r="F43" s="204"/>
      <c r="G43" s="205">
        <f>SUM(G44:G52)</f>
        <v>227772.72</v>
      </c>
      <c r="H43" s="201"/>
      <c r="I43" s="274"/>
      <c r="J43" s="201"/>
      <c r="K43" s="274"/>
      <c r="L43" s="148"/>
      <c r="M43" s="154"/>
    </row>
    <row r="44" spans="2:13" ht="15.75">
      <c r="B44" s="256" t="s">
        <v>96</v>
      </c>
      <c r="C44" s="206" t="s">
        <v>97</v>
      </c>
      <c r="D44" s="207" t="s">
        <v>74</v>
      </c>
      <c r="E44" s="257">
        <v>1</v>
      </c>
      <c r="F44" s="258">
        <v>16728</v>
      </c>
      <c r="G44" s="259">
        <f aca="true" t="shared" si="3" ref="G44:G52">F44*E44</f>
        <v>16728</v>
      </c>
      <c r="J44" s="243" t="s">
        <v>63</v>
      </c>
      <c r="K44" s="242" t="s">
        <v>64</v>
      </c>
      <c r="L44" s="291" t="s">
        <v>98</v>
      </c>
      <c r="M44" s="291" t="s">
        <v>99</v>
      </c>
    </row>
    <row r="45" spans="2:13" ht="15.75">
      <c r="B45" s="322" t="s">
        <v>100</v>
      </c>
      <c r="C45" s="333" t="s">
        <v>101</v>
      </c>
      <c r="D45" s="317" t="s">
        <v>74</v>
      </c>
      <c r="E45" s="337">
        <v>1</v>
      </c>
      <c r="F45" s="338">
        <f>5904-2952</f>
        <v>2952</v>
      </c>
      <c r="G45" s="325">
        <f t="shared" si="3"/>
        <v>2952</v>
      </c>
      <c r="J45" s="243" t="s">
        <v>92</v>
      </c>
      <c r="K45" s="242" t="s">
        <v>93</v>
      </c>
      <c r="L45" s="291" t="s">
        <v>102</v>
      </c>
      <c r="M45" s="291" t="s">
        <v>99</v>
      </c>
    </row>
    <row r="46" spans="2:13" ht="15.75">
      <c r="B46" s="322" t="s">
        <v>103</v>
      </c>
      <c r="C46" s="333" t="s">
        <v>104</v>
      </c>
      <c r="D46" s="317" t="s">
        <v>23</v>
      </c>
      <c r="E46" s="337">
        <v>18</v>
      </c>
      <c r="F46" s="338">
        <f>1913.33-83.29</f>
        <v>1830.04</v>
      </c>
      <c r="G46" s="325">
        <f>+E46*F46</f>
        <v>32940.72</v>
      </c>
      <c r="H46" s="339"/>
      <c r="J46" s="243" t="s">
        <v>63</v>
      </c>
      <c r="K46" s="242" t="s">
        <v>64</v>
      </c>
      <c r="L46" s="291" t="s">
        <v>105</v>
      </c>
      <c r="M46" s="291" t="s">
        <v>99</v>
      </c>
    </row>
    <row r="47" spans="2:13" ht="30">
      <c r="B47" s="256" t="s">
        <v>106</v>
      </c>
      <c r="C47" s="206" t="s">
        <v>107</v>
      </c>
      <c r="D47" s="207" t="s">
        <v>62</v>
      </c>
      <c r="E47" s="257">
        <v>50</v>
      </c>
      <c r="F47" s="258">
        <v>2460</v>
      </c>
      <c r="G47" s="259">
        <f>F47*E47</f>
        <v>123000</v>
      </c>
      <c r="J47" s="243" t="s">
        <v>69</v>
      </c>
      <c r="K47" s="242" t="s">
        <v>70</v>
      </c>
      <c r="L47" s="291" t="s">
        <v>108</v>
      </c>
      <c r="M47" s="291" t="s">
        <v>99</v>
      </c>
    </row>
    <row r="48" spans="2:13" ht="15.75">
      <c r="B48" s="322" t="s">
        <v>109</v>
      </c>
      <c r="C48" s="333" t="s">
        <v>110</v>
      </c>
      <c r="D48" s="317" t="s">
        <v>74</v>
      </c>
      <c r="E48" s="337">
        <v>1</v>
      </c>
      <c r="F48" s="338">
        <f>11808-4008</f>
        <v>7800</v>
      </c>
      <c r="G48" s="325">
        <f t="shared" si="3"/>
        <v>7800</v>
      </c>
      <c r="J48" s="243" t="s">
        <v>63</v>
      </c>
      <c r="K48" s="242" t="s">
        <v>64</v>
      </c>
      <c r="L48" s="291" t="s">
        <v>111</v>
      </c>
      <c r="M48" s="291" t="s">
        <v>99</v>
      </c>
    </row>
    <row r="49" spans="2:13" ht="30">
      <c r="B49" s="315" t="s">
        <v>112</v>
      </c>
      <c r="C49" s="333" t="s">
        <v>113</v>
      </c>
      <c r="D49" s="317" t="s">
        <v>74</v>
      </c>
      <c r="E49" s="337">
        <v>1</v>
      </c>
      <c r="F49" s="338">
        <f>28536+10896</f>
        <v>39432</v>
      </c>
      <c r="G49" s="325">
        <f t="shared" si="3"/>
        <v>39432</v>
      </c>
      <c r="H49" s="153" t="s">
        <v>114</v>
      </c>
      <c r="J49" s="243" t="s">
        <v>69</v>
      </c>
      <c r="K49" s="242" t="s">
        <v>70</v>
      </c>
      <c r="L49" s="291" t="s">
        <v>115</v>
      </c>
      <c r="M49" s="291" t="s">
        <v>99</v>
      </c>
    </row>
    <row r="50" spans="2:13" ht="15.75">
      <c r="B50" s="322" t="s">
        <v>116</v>
      </c>
      <c r="C50" s="333" t="s">
        <v>117</v>
      </c>
      <c r="D50" s="317" t="s">
        <v>74</v>
      </c>
      <c r="E50" s="337">
        <v>1</v>
      </c>
      <c r="F50" s="326">
        <f>6888-6888</f>
        <v>0</v>
      </c>
      <c r="G50" s="325">
        <f t="shared" si="3"/>
        <v>0</v>
      </c>
      <c r="J50" s="243" t="s">
        <v>69</v>
      </c>
      <c r="K50" s="242" t="s">
        <v>70</v>
      </c>
      <c r="L50" s="291" t="s">
        <v>118</v>
      </c>
      <c r="M50" s="291" t="s">
        <v>99</v>
      </c>
    </row>
    <row r="51" spans="2:13" ht="15.75">
      <c r="B51" s="256" t="s">
        <v>119</v>
      </c>
      <c r="C51" s="206" t="s">
        <v>86</v>
      </c>
      <c r="D51" s="207" t="s">
        <v>74</v>
      </c>
      <c r="E51" s="257">
        <v>1</v>
      </c>
      <c r="F51" s="264">
        <v>4920</v>
      </c>
      <c r="G51" s="259">
        <f t="shared" si="3"/>
        <v>4920</v>
      </c>
      <c r="J51" s="243" t="s">
        <v>87</v>
      </c>
      <c r="K51" s="242" t="s">
        <v>88</v>
      </c>
      <c r="L51" s="291" t="s">
        <v>120</v>
      </c>
      <c r="M51" s="291" t="s">
        <v>99</v>
      </c>
    </row>
    <row r="52" spans="1:13" ht="15">
      <c r="A52" s="211"/>
      <c r="B52" s="194"/>
      <c r="C52" s="212"/>
      <c r="D52" s="207"/>
      <c r="E52" s="208"/>
      <c r="F52" s="209"/>
      <c r="G52" s="209">
        <f t="shared" si="3"/>
        <v>0</v>
      </c>
      <c r="J52" s="201"/>
      <c r="K52" s="201"/>
      <c r="L52" s="274"/>
      <c r="M52" s="154"/>
    </row>
    <row r="53" spans="1:13" ht="36.6" customHeight="1">
      <c r="A53" s="211"/>
      <c r="B53" s="418" t="s">
        <v>121</v>
      </c>
      <c r="C53" s="419"/>
      <c r="D53" s="420"/>
      <c r="E53" s="420"/>
      <c r="F53" s="420"/>
      <c r="G53" s="421"/>
      <c r="J53" s="201"/>
      <c r="K53" s="201"/>
      <c r="L53" s="274"/>
      <c r="M53" s="154"/>
    </row>
    <row r="54" spans="1:13" ht="38.45" customHeight="1">
      <c r="A54" s="211"/>
      <c r="B54" s="422" t="s">
        <v>122</v>
      </c>
      <c r="C54" s="424"/>
      <c r="D54" s="202"/>
      <c r="E54" s="203"/>
      <c r="F54" s="204"/>
      <c r="G54" s="205">
        <f>SUM(G55:G59)</f>
        <v>76466.92</v>
      </c>
      <c r="J54" s="201"/>
      <c r="K54" s="201"/>
      <c r="L54" s="274"/>
      <c r="M54" s="154"/>
    </row>
    <row r="55" spans="1:13" s="167" customFormat="1" ht="30">
      <c r="A55" s="211"/>
      <c r="B55" s="322" t="s">
        <v>123</v>
      </c>
      <c r="C55" s="333" t="s">
        <v>124</v>
      </c>
      <c r="D55" s="317" t="s">
        <v>74</v>
      </c>
      <c r="E55" s="334">
        <v>1</v>
      </c>
      <c r="F55" s="326">
        <f>46946.92-32461.82</f>
        <v>14485.099999999999</v>
      </c>
      <c r="G55" s="325">
        <f aca="true" t="shared" si="4" ref="G55:G58">F55*E55</f>
        <v>14485.099999999999</v>
      </c>
      <c r="H55" s="323"/>
      <c r="I55" s="324"/>
      <c r="J55" s="321" t="s">
        <v>63</v>
      </c>
      <c r="K55" s="295" t="s">
        <v>64</v>
      </c>
      <c r="L55" s="1" t="s">
        <v>125</v>
      </c>
      <c r="M55" s="1" t="s">
        <v>126</v>
      </c>
    </row>
    <row r="56" spans="2:13" ht="30">
      <c r="B56" s="256" t="s">
        <v>127</v>
      </c>
      <c r="C56" s="206" t="s">
        <v>128</v>
      </c>
      <c r="D56" s="207" t="s">
        <v>74</v>
      </c>
      <c r="E56" s="257">
        <v>1</v>
      </c>
      <c r="F56" s="326">
        <f>14760-14760</f>
        <v>0</v>
      </c>
      <c r="G56" s="325">
        <f t="shared" si="4"/>
        <v>0</v>
      </c>
      <c r="J56" s="243" t="s">
        <v>63</v>
      </c>
      <c r="K56" s="242" t="s">
        <v>64</v>
      </c>
      <c r="L56" s="291" t="s">
        <v>129</v>
      </c>
      <c r="M56" s="291" t="s">
        <v>126</v>
      </c>
    </row>
    <row r="57" spans="2:13" ht="30">
      <c r="B57" s="256" t="s">
        <v>130</v>
      </c>
      <c r="C57" s="206" t="s">
        <v>131</v>
      </c>
      <c r="D57" s="207" t="s">
        <v>62</v>
      </c>
      <c r="E57" s="257">
        <v>5</v>
      </c>
      <c r="F57" s="264">
        <v>984</v>
      </c>
      <c r="G57" s="259">
        <f t="shared" si="4"/>
        <v>4920</v>
      </c>
      <c r="J57" s="243" t="s">
        <v>69</v>
      </c>
      <c r="K57" s="242" t="s">
        <v>70</v>
      </c>
      <c r="L57" s="291" t="s">
        <v>132</v>
      </c>
      <c r="M57" s="291" t="s">
        <v>126</v>
      </c>
    </row>
    <row r="58" spans="2:13" ht="15.75">
      <c r="B58" s="256" t="s">
        <v>133</v>
      </c>
      <c r="C58" s="206" t="s">
        <v>134</v>
      </c>
      <c r="D58" s="207" t="s">
        <v>62</v>
      </c>
      <c r="E58" s="266">
        <v>1</v>
      </c>
      <c r="F58" s="264">
        <v>9840</v>
      </c>
      <c r="G58" s="259">
        <f t="shared" si="4"/>
        <v>9840</v>
      </c>
      <c r="J58" s="243" t="s">
        <v>63</v>
      </c>
      <c r="K58" s="242" t="s">
        <v>64</v>
      </c>
      <c r="L58" s="291" t="s">
        <v>135</v>
      </c>
      <c r="M58" s="291" t="s">
        <v>126</v>
      </c>
    </row>
    <row r="59" spans="2:13" ht="15.75">
      <c r="B59" s="322" t="s">
        <v>136</v>
      </c>
      <c r="C59" s="333" t="s">
        <v>137</v>
      </c>
      <c r="D59" s="317" t="s">
        <v>62</v>
      </c>
      <c r="E59" s="335">
        <v>1</v>
      </c>
      <c r="F59" s="326">
        <f>14760+32461.82</f>
        <v>47221.82</v>
      </c>
      <c r="G59" s="325">
        <f aca="true" t="shared" si="5" ref="G59">F59*E59</f>
        <v>47221.82</v>
      </c>
      <c r="H59" s="323"/>
      <c r="I59" s="324"/>
      <c r="J59" s="321" t="s">
        <v>92</v>
      </c>
      <c r="K59" s="295" t="s">
        <v>93</v>
      </c>
      <c r="L59" s="1" t="s">
        <v>138</v>
      </c>
      <c r="M59" s="1" t="s">
        <v>126</v>
      </c>
    </row>
    <row r="60" spans="2:13" ht="21.75" customHeight="1">
      <c r="B60" s="422" t="s">
        <v>139</v>
      </c>
      <c r="C60" s="425"/>
      <c r="D60" s="426"/>
      <c r="E60" s="426"/>
      <c r="F60" s="426"/>
      <c r="G60" s="205">
        <f>SUM(G61:G64)</f>
        <v>36408</v>
      </c>
      <c r="J60" s="213"/>
      <c r="K60" s="213"/>
      <c r="L60" s="285"/>
      <c r="M60" s="154"/>
    </row>
    <row r="61" spans="2:13" ht="15" customHeight="1">
      <c r="B61" s="256" t="s">
        <v>140</v>
      </c>
      <c r="C61" s="206" t="s">
        <v>141</v>
      </c>
      <c r="D61" s="207" t="s">
        <v>74</v>
      </c>
      <c r="E61" s="263">
        <v>1</v>
      </c>
      <c r="F61" s="265">
        <v>6888</v>
      </c>
      <c r="G61" s="259">
        <f aca="true" t="shared" si="6" ref="G61:G64">F61*E61</f>
        <v>6888</v>
      </c>
      <c r="J61" s="243" t="s">
        <v>63</v>
      </c>
      <c r="K61" s="242" t="s">
        <v>64</v>
      </c>
      <c r="L61" s="291" t="s">
        <v>142</v>
      </c>
      <c r="M61" s="291" t="s">
        <v>143</v>
      </c>
    </row>
    <row r="62" spans="2:13" ht="30">
      <c r="B62" s="256" t="s">
        <v>144</v>
      </c>
      <c r="C62" s="206" t="s">
        <v>145</v>
      </c>
      <c r="D62" s="207" t="s">
        <v>13</v>
      </c>
      <c r="E62" s="257">
        <v>4</v>
      </c>
      <c r="F62" s="265">
        <v>3444</v>
      </c>
      <c r="G62" s="259">
        <f t="shared" si="6"/>
        <v>13776</v>
      </c>
      <c r="J62" s="243" t="s">
        <v>63</v>
      </c>
      <c r="K62" s="242" t="s">
        <v>64</v>
      </c>
      <c r="L62" s="291" t="s">
        <v>146</v>
      </c>
      <c r="M62" s="291" t="s">
        <v>143</v>
      </c>
    </row>
    <row r="63" spans="2:13" ht="30">
      <c r="B63" s="256" t="s">
        <v>147</v>
      </c>
      <c r="C63" s="206" t="s">
        <v>148</v>
      </c>
      <c r="D63" s="207" t="s">
        <v>62</v>
      </c>
      <c r="E63" s="257">
        <v>1</v>
      </c>
      <c r="F63" s="265">
        <v>11808</v>
      </c>
      <c r="G63" s="259">
        <f t="shared" si="6"/>
        <v>11808</v>
      </c>
      <c r="J63" s="243" t="s">
        <v>63</v>
      </c>
      <c r="K63" s="242" t="s">
        <v>64</v>
      </c>
      <c r="L63" s="291" t="s">
        <v>149</v>
      </c>
      <c r="M63" s="291" t="s">
        <v>143</v>
      </c>
    </row>
    <row r="64" spans="2:13" ht="30">
      <c r="B64" s="256" t="s">
        <v>150</v>
      </c>
      <c r="C64" s="206" t="s">
        <v>151</v>
      </c>
      <c r="D64" s="207" t="s">
        <v>74</v>
      </c>
      <c r="E64" s="257">
        <v>1</v>
      </c>
      <c r="F64" s="265">
        <v>3936</v>
      </c>
      <c r="G64" s="259">
        <f t="shared" si="6"/>
        <v>3936</v>
      </c>
      <c r="J64" s="243" t="s">
        <v>69</v>
      </c>
      <c r="K64" s="242" t="s">
        <v>70</v>
      </c>
      <c r="L64" s="291" t="s">
        <v>152</v>
      </c>
      <c r="M64" s="291" t="s">
        <v>143</v>
      </c>
    </row>
    <row r="65" spans="2:13" ht="35.45" customHeight="1">
      <c r="B65" s="418" t="s">
        <v>153</v>
      </c>
      <c r="C65" s="419"/>
      <c r="D65" s="420"/>
      <c r="E65" s="420"/>
      <c r="F65" s="420"/>
      <c r="G65" s="421"/>
      <c r="J65" s="215"/>
      <c r="K65" s="215"/>
      <c r="L65" s="286"/>
      <c r="M65" s="154"/>
    </row>
    <row r="66" spans="2:13" ht="35.45" customHeight="1">
      <c r="B66" s="422" t="s">
        <v>154</v>
      </c>
      <c r="C66" s="425"/>
      <c r="D66" s="426"/>
      <c r="E66" s="426"/>
      <c r="F66" s="426"/>
      <c r="G66" s="205">
        <f>SUM(G67:G74)</f>
        <v>21105.5</v>
      </c>
      <c r="J66" s="213"/>
      <c r="K66" s="213"/>
      <c r="L66" s="285"/>
      <c r="M66" s="154"/>
    </row>
    <row r="67" spans="2:13" ht="45">
      <c r="B67" s="256" t="s">
        <v>155</v>
      </c>
      <c r="C67" s="206" t="s">
        <v>156</v>
      </c>
      <c r="D67" s="207" t="s">
        <v>62</v>
      </c>
      <c r="E67" s="263">
        <v>5</v>
      </c>
      <c r="F67" s="258">
        <v>196.8</v>
      </c>
      <c r="G67" s="259">
        <f aca="true" t="shared" si="7" ref="G67:G74">F67*E67</f>
        <v>984</v>
      </c>
      <c r="J67" s="243" t="s">
        <v>63</v>
      </c>
      <c r="K67" s="242" t="s">
        <v>64</v>
      </c>
      <c r="L67" s="291" t="s">
        <v>157</v>
      </c>
      <c r="M67" s="291" t="s">
        <v>158</v>
      </c>
    </row>
    <row r="68" spans="2:13" ht="15" customHeight="1">
      <c r="B68" s="256" t="s">
        <v>159</v>
      </c>
      <c r="C68" s="206" t="s">
        <v>160</v>
      </c>
      <c r="D68" s="207" t="s">
        <v>74</v>
      </c>
      <c r="E68" s="260">
        <v>1</v>
      </c>
      <c r="F68" s="261">
        <v>5904</v>
      </c>
      <c r="G68" s="262">
        <f t="shared" si="7"/>
        <v>5904</v>
      </c>
      <c r="J68" s="243" t="s">
        <v>63</v>
      </c>
      <c r="K68" s="242" t="s">
        <v>64</v>
      </c>
      <c r="L68" s="291" t="s">
        <v>161</v>
      </c>
      <c r="M68" s="291" t="s">
        <v>158</v>
      </c>
    </row>
    <row r="69" spans="2:13" ht="15" customHeight="1">
      <c r="B69" s="256" t="s">
        <v>162</v>
      </c>
      <c r="C69" s="206" t="s">
        <v>163</v>
      </c>
      <c r="D69" s="207" t="s">
        <v>74</v>
      </c>
      <c r="E69" s="263">
        <v>1</v>
      </c>
      <c r="F69" s="258">
        <v>1425.5</v>
      </c>
      <c r="G69" s="259">
        <f t="shared" si="7"/>
        <v>1425.5</v>
      </c>
      <c r="J69" s="243" t="s">
        <v>63</v>
      </c>
      <c r="K69" s="242" t="s">
        <v>64</v>
      </c>
      <c r="L69" s="291" t="s">
        <v>164</v>
      </c>
      <c r="M69" s="291" t="s">
        <v>158</v>
      </c>
    </row>
    <row r="70" spans="2:13" ht="15" customHeight="1">
      <c r="B70" s="256" t="s">
        <v>165</v>
      </c>
      <c r="C70" s="206" t="s">
        <v>166</v>
      </c>
      <c r="D70" s="207" t="s">
        <v>74</v>
      </c>
      <c r="E70" s="263">
        <v>1</v>
      </c>
      <c r="F70" s="258">
        <v>984</v>
      </c>
      <c r="G70" s="259">
        <f t="shared" si="7"/>
        <v>984</v>
      </c>
      <c r="J70" s="243" t="s">
        <v>63</v>
      </c>
      <c r="K70" s="242" t="s">
        <v>64</v>
      </c>
      <c r="L70" s="291" t="s">
        <v>167</v>
      </c>
      <c r="M70" s="291" t="s">
        <v>158</v>
      </c>
    </row>
    <row r="71" spans="2:13" ht="48.6" customHeight="1">
      <c r="B71" s="256" t="s">
        <v>168</v>
      </c>
      <c r="C71" s="206" t="s">
        <v>169</v>
      </c>
      <c r="D71" s="207" t="s">
        <v>62</v>
      </c>
      <c r="E71" s="263">
        <v>4</v>
      </c>
      <c r="F71" s="258">
        <v>492</v>
      </c>
      <c r="G71" s="259">
        <f t="shared" si="7"/>
        <v>1968</v>
      </c>
      <c r="J71" s="243" t="s">
        <v>69</v>
      </c>
      <c r="K71" s="242" t="s">
        <v>70</v>
      </c>
      <c r="L71" s="291" t="s">
        <v>170</v>
      </c>
      <c r="M71" s="291" t="s">
        <v>158</v>
      </c>
    </row>
    <row r="72" spans="2:13" ht="30">
      <c r="B72" s="256" t="s">
        <v>171</v>
      </c>
      <c r="C72" s="206" t="s">
        <v>172</v>
      </c>
      <c r="D72" s="207" t="s">
        <v>74</v>
      </c>
      <c r="E72" s="257">
        <v>1</v>
      </c>
      <c r="F72" s="258">
        <v>7872</v>
      </c>
      <c r="G72" s="259">
        <f t="shared" si="7"/>
        <v>7872</v>
      </c>
      <c r="J72" s="243" t="s">
        <v>63</v>
      </c>
      <c r="K72" s="242" t="s">
        <v>64</v>
      </c>
      <c r="L72" s="291" t="s">
        <v>173</v>
      </c>
      <c r="M72" s="291" t="s">
        <v>158</v>
      </c>
    </row>
    <row r="73" spans="2:13" ht="30">
      <c r="B73" s="256" t="s">
        <v>174</v>
      </c>
      <c r="C73" s="216" t="s">
        <v>175</v>
      </c>
      <c r="D73" s="207" t="s">
        <v>74</v>
      </c>
      <c r="E73" s="257">
        <v>1</v>
      </c>
      <c r="F73" s="264">
        <v>984</v>
      </c>
      <c r="G73" s="259">
        <f t="shared" si="7"/>
        <v>984</v>
      </c>
      <c r="J73" s="243" t="s">
        <v>63</v>
      </c>
      <c r="K73" s="242" t="s">
        <v>64</v>
      </c>
      <c r="L73" s="291" t="s">
        <v>176</v>
      </c>
      <c r="M73" s="291" t="s">
        <v>158</v>
      </c>
    </row>
    <row r="74" spans="2:13" ht="15.75">
      <c r="B74" s="256" t="s">
        <v>177</v>
      </c>
      <c r="C74" s="216" t="s">
        <v>178</v>
      </c>
      <c r="D74" s="207" t="s">
        <v>74</v>
      </c>
      <c r="E74" s="257">
        <v>1</v>
      </c>
      <c r="F74" s="264">
        <v>984</v>
      </c>
      <c r="G74" s="259">
        <f t="shared" si="7"/>
        <v>984</v>
      </c>
      <c r="J74" s="243" t="s">
        <v>63</v>
      </c>
      <c r="K74" s="242" t="s">
        <v>64</v>
      </c>
      <c r="L74" s="291" t="s">
        <v>179</v>
      </c>
      <c r="M74" s="291" t="s">
        <v>158</v>
      </c>
    </row>
    <row r="75" spans="2:13" ht="15">
      <c r="B75" s="422" t="s">
        <v>180</v>
      </c>
      <c r="C75" s="427"/>
      <c r="D75" s="426"/>
      <c r="E75" s="426"/>
      <c r="F75" s="426"/>
      <c r="G75" s="217">
        <f>SUM(G76:G77)</f>
        <v>129742.9906542057</v>
      </c>
      <c r="J75" s="218"/>
      <c r="K75" s="214"/>
      <c r="L75" s="287"/>
      <c r="M75" s="154"/>
    </row>
    <row r="76" spans="2:13" ht="47.25">
      <c r="B76" s="242" t="s">
        <v>181</v>
      </c>
      <c r="C76" s="216" t="s">
        <v>182</v>
      </c>
      <c r="D76" s="207" t="s">
        <v>62</v>
      </c>
      <c r="E76" s="257">
        <v>2</v>
      </c>
      <c r="F76" s="264">
        <f>+G76/2</f>
        <v>29842.2897196262</v>
      </c>
      <c r="G76" s="259">
        <v>59684.5794392524</v>
      </c>
      <c r="J76" s="243" t="s">
        <v>63</v>
      </c>
      <c r="K76" s="242" t="s">
        <v>64</v>
      </c>
      <c r="L76" s="291" t="s">
        <v>183</v>
      </c>
      <c r="M76" s="291" t="s">
        <v>183</v>
      </c>
    </row>
    <row r="77" spans="2:13" ht="32.25" thickBot="1">
      <c r="B77" s="242" t="s">
        <v>184</v>
      </c>
      <c r="C77" s="216" t="s">
        <v>185</v>
      </c>
      <c r="D77" s="207" t="s">
        <v>74</v>
      </c>
      <c r="E77" s="257">
        <v>1</v>
      </c>
      <c r="F77" s="264">
        <v>70058.4112149533</v>
      </c>
      <c r="G77" s="259">
        <f aca="true" t="shared" si="8" ref="G77">F77*E77</f>
        <v>70058.4112149533</v>
      </c>
      <c r="J77" s="243" t="s">
        <v>25</v>
      </c>
      <c r="K77" s="242" t="s">
        <v>26</v>
      </c>
      <c r="L77" s="291" t="s">
        <v>186</v>
      </c>
      <c r="M77" s="291" t="s">
        <v>186</v>
      </c>
    </row>
    <row r="78" spans="2:12" ht="15" customHeight="1" thickBot="1">
      <c r="B78" s="415" t="s">
        <v>187</v>
      </c>
      <c r="C78" s="416"/>
      <c r="D78" s="416"/>
      <c r="E78" s="416"/>
      <c r="F78" s="417"/>
      <c r="G78" s="219">
        <f>+G34+G43+G54+G60+G66+G75</f>
        <v>648005.9106542057</v>
      </c>
      <c r="H78" s="197">
        <f>+G78/G81</f>
        <v>0.8071016233415793</v>
      </c>
      <c r="I78" s="272"/>
      <c r="J78" s="249"/>
      <c r="L78" s="283"/>
    </row>
    <row r="79" spans="2:12" ht="15" customHeight="1" thickBot="1">
      <c r="B79" s="412" t="s">
        <v>188</v>
      </c>
      <c r="C79" s="413"/>
      <c r="D79" s="413"/>
      <c r="E79" s="413"/>
      <c r="F79" s="414"/>
      <c r="G79" s="220">
        <f>G31+G78</f>
        <v>750355.3246542057</v>
      </c>
      <c r="H79" s="221">
        <f>+G79/G81</f>
        <v>0.9345794392523364</v>
      </c>
      <c r="I79" s="272"/>
      <c r="J79" s="249"/>
      <c r="L79" s="283"/>
    </row>
    <row r="80" spans="2:12" ht="15.75" thickBot="1">
      <c r="B80" s="401" t="s">
        <v>189</v>
      </c>
      <c r="C80" s="402"/>
      <c r="D80" s="402"/>
      <c r="E80" s="402"/>
      <c r="F80" s="403"/>
      <c r="G80" s="222">
        <f>G79*0.07</f>
        <v>52524.872725794405</v>
      </c>
      <c r="H80" s="223">
        <f>+G80/G81</f>
        <v>0.06542056074766356</v>
      </c>
      <c r="I80" s="272"/>
      <c r="J80" s="249"/>
      <c r="L80" s="283"/>
    </row>
    <row r="81" spans="2:12" ht="15">
      <c r="B81" s="404" t="s">
        <v>190</v>
      </c>
      <c r="C81" s="405"/>
      <c r="D81" s="405"/>
      <c r="E81" s="405"/>
      <c r="F81" s="406" t="e">
        <f>#REF!+#REF!+#REF!</f>
        <v>#REF!</v>
      </c>
      <c r="G81" s="225">
        <f>G79+G80</f>
        <v>802880.1973800001</v>
      </c>
      <c r="H81" s="226">
        <v>1</v>
      </c>
      <c r="I81" s="272"/>
      <c r="J81" s="249"/>
      <c r="K81" s="283"/>
      <c r="L81" s="224"/>
    </row>
    <row r="82" spans="3:11" ht="15">
      <c r="C82" s="227"/>
      <c r="G82" s="153">
        <f>SUBTOTAL(9,B20:G77)</f>
        <v>1963685.5632429912</v>
      </c>
      <c r="H82" s="224"/>
      <c r="I82" s="275"/>
      <c r="J82" s="198"/>
      <c r="K82" s="288"/>
    </row>
    <row r="83" spans="3:11" ht="15">
      <c r="C83" s="154"/>
      <c r="D83" s="154"/>
      <c r="E83" s="154"/>
      <c r="F83" s="154"/>
      <c r="G83" s="343">
        <f>G82-G77</f>
        <v>1893627.152028038</v>
      </c>
      <c r="H83" s="228"/>
      <c r="I83" s="276"/>
      <c r="J83" s="251"/>
      <c r="K83" s="289"/>
    </row>
    <row r="84" spans="3:11" ht="15">
      <c r="C84" s="154"/>
      <c r="D84" s="154"/>
      <c r="E84" s="154"/>
      <c r="F84" s="154"/>
      <c r="G84" s="343">
        <f>G20+G21+G22+G23+G24+G25</f>
        <v>82093.194</v>
      </c>
      <c r="H84" s="229"/>
      <c r="I84" s="277"/>
      <c r="J84" s="252"/>
      <c r="K84" s="290"/>
    </row>
    <row r="85" spans="3:13" ht="13.7" customHeight="1">
      <c r="C85" s="230" t="s">
        <v>191</v>
      </c>
      <c r="D85" s="231"/>
      <c r="E85" s="231"/>
      <c r="F85" s="232"/>
      <c r="G85" s="232"/>
      <c r="H85" s="232"/>
      <c r="I85" s="232"/>
      <c r="J85" s="253"/>
      <c r="K85" s="232"/>
      <c r="L85" s="232"/>
      <c r="M85" s="232"/>
    </row>
    <row r="86" spans="3:13" ht="15">
      <c r="C86" s="407" t="s">
        <v>192</v>
      </c>
      <c r="D86" s="409" t="s">
        <v>193</v>
      </c>
      <c r="E86" s="409" t="s">
        <v>194</v>
      </c>
      <c r="F86" s="395" t="s">
        <v>195</v>
      </c>
      <c r="G86" s="395" t="s">
        <v>196</v>
      </c>
      <c r="H86" s="154"/>
      <c r="I86" s="154"/>
      <c r="J86" s="254"/>
      <c r="K86" s="154"/>
      <c r="M86" s="154"/>
    </row>
    <row r="87" spans="3:13" ht="15.75" thickBot="1">
      <c r="C87" s="408"/>
      <c r="D87" s="410"/>
      <c r="E87" s="411"/>
      <c r="F87" s="396"/>
      <c r="G87" s="396"/>
      <c r="H87" s="154"/>
      <c r="I87" s="154"/>
      <c r="J87" s="254"/>
      <c r="K87" s="154"/>
      <c r="M87" s="154"/>
    </row>
    <row r="88" spans="3:13" ht="15">
      <c r="C88" s="233" t="s">
        <v>197</v>
      </c>
      <c r="D88" s="234" t="s">
        <v>23</v>
      </c>
      <c r="E88" s="235">
        <v>18</v>
      </c>
      <c r="F88" s="236">
        <f>3830.46*0.75+24.3</f>
        <v>2897.1450000000004</v>
      </c>
      <c r="G88" s="236">
        <f>E88*F88</f>
        <v>52148.61000000001</v>
      </c>
      <c r="I88" s="185" t="s">
        <v>198</v>
      </c>
      <c r="J88" s="254"/>
      <c r="K88" s="154"/>
      <c r="M88" s="154"/>
    </row>
    <row r="89" spans="3:13" ht="15">
      <c r="C89" s="237" t="s">
        <v>199</v>
      </c>
      <c r="D89" s="238" t="s">
        <v>23</v>
      </c>
      <c r="E89" s="235">
        <v>18</v>
      </c>
      <c r="F89" s="236">
        <f>1294.25*0.75+24.3015</f>
        <v>994.989</v>
      </c>
      <c r="G89" s="236">
        <f aca="true" t="shared" si="9" ref="G89">E89*F89</f>
        <v>17909.802</v>
      </c>
      <c r="I89" s="185" t="s">
        <v>200</v>
      </c>
      <c r="J89" s="254"/>
      <c r="K89" s="154"/>
      <c r="M89" s="239"/>
    </row>
    <row r="90" spans="3:13" ht="15">
      <c r="C90" s="397" t="s">
        <v>196</v>
      </c>
      <c r="D90" s="398"/>
      <c r="E90" s="398"/>
      <c r="F90" s="399"/>
      <c r="G90" s="240">
        <f>SUM(G88:G89)</f>
        <v>70058.41200000001</v>
      </c>
      <c r="H90" s="154"/>
      <c r="I90" s="154"/>
      <c r="J90" s="254"/>
      <c r="K90" s="154"/>
      <c r="M90" s="154"/>
    </row>
    <row r="91" spans="3:13" ht="15">
      <c r="C91" s="400"/>
      <c r="D91" s="400"/>
      <c r="E91" s="400"/>
      <c r="F91" s="400"/>
      <c r="G91" s="149"/>
      <c r="H91" s="154"/>
      <c r="I91" s="154"/>
      <c r="J91" s="254"/>
      <c r="K91" s="154"/>
      <c r="M91" s="154"/>
    </row>
    <row r="92" ht="15">
      <c r="G92" s="224"/>
    </row>
    <row r="93" ht="15">
      <c r="G93" s="241"/>
    </row>
    <row r="94" ht="15">
      <c r="G94" s="241"/>
    </row>
    <row r="96" ht="15">
      <c r="G96" s="241"/>
    </row>
    <row r="97" ht="15">
      <c r="G97" s="241"/>
    </row>
  </sheetData>
  <autoFilter ref="A16:IL90"/>
  <mergeCells count="29">
    <mergeCell ref="B1:G1"/>
    <mergeCell ref="B10:F10"/>
    <mergeCell ref="B17:B18"/>
    <mergeCell ref="C17:C18"/>
    <mergeCell ref="D17:D18"/>
    <mergeCell ref="E17:E18"/>
    <mergeCell ref="F17:F18"/>
    <mergeCell ref="G17:G18"/>
    <mergeCell ref="B79:F79"/>
    <mergeCell ref="B31:F31"/>
    <mergeCell ref="B33:G33"/>
    <mergeCell ref="B34:C34"/>
    <mergeCell ref="B43:C43"/>
    <mergeCell ref="B53:G53"/>
    <mergeCell ref="B54:C54"/>
    <mergeCell ref="B60:F60"/>
    <mergeCell ref="B65:G65"/>
    <mergeCell ref="B66:F66"/>
    <mergeCell ref="B75:F75"/>
    <mergeCell ref="B78:F78"/>
    <mergeCell ref="G86:G87"/>
    <mergeCell ref="C90:F90"/>
    <mergeCell ref="C91:F91"/>
    <mergeCell ref="B80:F80"/>
    <mergeCell ref="B81:F81"/>
    <mergeCell ref="C86:C87"/>
    <mergeCell ref="D86:D87"/>
    <mergeCell ref="E86:E87"/>
    <mergeCell ref="F86:F87"/>
  </mergeCells>
  <dataValidations count="3">
    <dataValidation type="list" allowBlank="1" showInputMessage="1" showErrorMessage="1" sqref="D20:D25 D61:D65 D67:D74 D88:D89 D44:D52 D76:D77 D27:D30 D35:D42 D55:D59">
      <formula1>"Month, Weeks, Days, Hours, Each, No. of Person, Installment,Item, Lump Sum"</formula1>
    </dataValidation>
    <dataValidation type="list" allowBlank="1" showInputMessage="1" showErrorMessage="1" sqref="C92:C306">
      <formula1>"Month(s), Day(s), Each, No. of Person, Item, Lump Sum"</formula1>
    </dataValidation>
    <dataValidation allowBlank="1" showInputMessage="1" showErrorMessage="1" prompt="Insert *text* description of Activity here" sqref="C35 C44 C67"/>
  </dataValidation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P213"/>
  <sheetViews>
    <sheetView showGridLines="0" showZeros="0" tabSelected="1" zoomScale="60" zoomScaleNormal="60" workbookViewId="0" topLeftCell="A1">
      <pane ySplit="4" topLeftCell="A201" activePane="bottomLeft" state="frozen"/>
      <selection pane="bottomLeft" activeCell="D203" sqref="D203"/>
    </sheetView>
  </sheetViews>
  <sheetFormatPr defaultColWidth="9.140625" defaultRowHeight="15"/>
  <cols>
    <col min="1" max="1" width="6.421875" style="20" customWidth="1"/>
    <col min="2" max="2" width="30.8515625" style="20" customWidth="1"/>
    <col min="3" max="3" width="56.7109375" style="20" customWidth="1"/>
    <col min="4" max="4" width="25.140625" style="20" customWidth="1"/>
    <col min="5" max="6" width="25.8515625" style="20" customWidth="1"/>
    <col min="7" max="7" width="23.140625" style="20" customWidth="1"/>
    <col min="8" max="8" width="22.421875" style="20" customWidth="1"/>
    <col min="9" max="9" width="22.421875" style="108" customWidth="1"/>
    <col min="10" max="10" width="25.8515625" style="128" customWidth="1"/>
    <col min="11" max="11" width="30.140625" style="20" customWidth="1"/>
    <col min="12" max="12" width="18.8515625" style="20" customWidth="1"/>
    <col min="13" max="13" width="9.140625" style="20" customWidth="1"/>
    <col min="14" max="14" width="17.8515625" style="20" customWidth="1"/>
    <col min="15" max="15" width="26.421875" style="20" customWidth="1"/>
    <col min="16" max="16" width="22.421875" style="20" customWidth="1"/>
    <col min="17" max="17" width="29.8515625" style="20" customWidth="1"/>
    <col min="18" max="18" width="23.421875" style="20" customWidth="1"/>
    <col min="19" max="19" width="18.421875" style="20" customWidth="1"/>
    <col min="20" max="20" width="17.421875" style="20" customWidth="1"/>
    <col min="21" max="21" width="25.140625" style="20" customWidth="1"/>
    <col min="22" max="16384" width="9.140625" style="20" customWidth="1"/>
  </cols>
  <sheetData>
    <row r="1" spans="2:11" ht="30.75" customHeight="1">
      <c r="B1" s="394" t="s">
        <v>0</v>
      </c>
      <c r="C1" s="394"/>
      <c r="D1" s="394"/>
      <c r="E1" s="394"/>
      <c r="F1" s="18"/>
      <c r="G1" s="18"/>
      <c r="H1" s="19"/>
      <c r="I1" s="107"/>
      <c r="J1" s="127"/>
      <c r="K1" s="19"/>
    </row>
    <row r="2" spans="2:10" ht="16.5" customHeight="1">
      <c r="B2" s="440" t="s">
        <v>201</v>
      </c>
      <c r="C2" s="440"/>
      <c r="D2" s="440"/>
      <c r="E2" s="440"/>
      <c r="F2" s="136"/>
      <c r="G2" s="136"/>
      <c r="H2" s="136"/>
      <c r="I2" s="117"/>
      <c r="J2" s="117"/>
    </row>
    <row r="4" spans="2:12" ht="120" customHeight="1">
      <c r="B4" s="133" t="s">
        <v>202</v>
      </c>
      <c r="C4" s="133" t="s">
        <v>203</v>
      </c>
      <c r="D4" s="51" t="s">
        <v>204</v>
      </c>
      <c r="E4" s="51" t="s">
        <v>205</v>
      </c>
      <c r="F4" s="51" t="s">
        <v>206</v>
      </c>
      <c r="G4" s="70" t="s">
        <v>196</v>
      </c>
      <c r="H4" s="133" t="s">
        <v>207</v>
      </c>
      <c r="I4" s="133" t="s">
        <v>208</v>
      </c>
      <c r="J4" s="133" t="s">
        <v>209</v>
      </c>
      <c r="K4" s="133" t="s">
        <v>210</v>
      </c>
      <c r="L4" s="26"/>
    </row>
    <row r="5" spans="2:12" ht="51" customHeight="1">
      <c r="B5" s="68" t="s">
        <v>211</v>
      </c>
      <c r="C5" s="453" t="s">
        <v>212</v>
      </c>
      <c r="D5" s="454"/>
      <c r="E5" s="454"/>
      <c r="F5" s="454"/>
      <c r="G5" s="454"/>
      <c r="H5" s="454"/>
      <c r="I5" s="454"/>
      <c r="J5" s="454"/>
      <c r="K5" s="455"/>
      <c r="L5" s="9"/>
    </row>
    <row r="6" spans="2:12" ht="51" customHeight="1">
      <c r="B6" s="68" t="s">
        <v>66</v>
      </c>
      <c r="C6" s="456" t="s">
        <v>213</v>
      </c>
      <c r="D6" s="457"/>
      <c r="E6" s="457"/>
      <c r="F6" s="457"/>
      <c r="G6" s="457"/>
      <c r="H6" s="457"/>
      <c r="I6" s="457"/>
      <c r="J6" s="457"/>
      <c r="K6" s="458"/>
      <c r="L6" s="28"/>
    </row>
    <row r="7" spans="2:16" ht="63">
      <c r="B7" s="296" t="s">
        <v>65</v>
      </c>
      <c r="C7" s="138" t="s">
        <v>61</v>
      </c>
      <c r="D7" s="139">
        <v>41328</v>
      </c>
      <c r="E7" s="346">
        <v>0</v>
      </c>
      <c r="F7" s="139">
        <v>0</v>
      </c>
      <c r="G7" s="341">
        <f>SUM(D7:F7)</f>
        <v>41328</v>
      </c>
      <c r="H7" s="342">
        <v>0.5</v>
      </c>
      <c r="I7" s="344">
        <v>39680.06</v>
      </c>
      <c r="J7" s="141" t="s">
        <v>214</v>
      </c>
      <c r="K7" s="353"/>
      <c r="L7" s="314"/>
      <c r="P7" s="340"/>
    </row>
    <row r="8" spans="2:12" ht="63">
      <c r="B8" s="296" t="s">
        <v>71</v>
      </c>
      <c r="C8" s="138" t="s">
        <v>68</v>
      </c>
      <c r="D8" s="139">
        <f>24600</f>
        <v>24600</v>
      </c>
      <c r="E8" s="346">
        <v>0</v>
      </c>
      <c r="F8" s="139">
        <v>0</v>
      </c>
      <c r="G8" s="341">
        <f aca="true" t="shared" si="0" ref="G8:G14">SUM(D8:F8)</f>
        <v>24600</v>
      </c>
      <c r="H8" s="342">
        <v>0.3</v>
      </c>
      <c r="I8" s="344">
        <v>24476.67</v>
      </c>
      <c r="J8" s="141" t="s">
        <v>214</v>
      </c>
      <c r="K8" s="332"/>
      <c r="L8" s="314"/>
    </row>
    <row r="9" spans="2:12" ht="31.5">
      <c r="B9" s="296" t="s">
        <v>75</v>
      </c>
      <c r="C9" s="144" t="s">
        <v>73</v>
      </c>
      <c r="D9" s="139">
        <f>6888-2898.22</f>
        <v>3989.78</v>
      </c>
      <c r="E9" s="347">
        <v>49601.01</v>
      </c>
      <c r="F9" s="139">
        <v>0</v>
      </c>
      <c r="G9" s="341">
        <f t="shared" si="0"/>
        <v>53590.79</v>
      </c>
      <c r="H9" s="342">
        <v>0.5</v>
      </c>
      <c r="I9" s="344">
        <f>7709.98+49601.01</f>
        <v>57310.990000000005</v>
      </c>
      <c r="J9" s="141"/>
      <c r="K9" s="353"/>
      <c r="L9" s="314"/>
    </row>
    <row r="10" spans="2:12" ht="63">
      <c r="B10" s="296" t="s">
        <v>78</v>
      </c>
      <c r="C10" s="138" t="s">
        <v>77</v>
      </c>
      <c r="D10" s="139">
        <f>49200-21200</f>
        <v>28000</v>
      </c>
      <c r="E10" s="347">
        <v>41895.64</v>
      </c>
      <c r="F10" s="139">
        <v>0</v>
      </c>
      <c r="G10" s="341">
        <f t="shared" si="0"/>
        <v>69895.64</v>
      </c>
      <c r="H10" s="342">
        <v>0.5</v>
      </c>
      <c r="I10" s="344">
        <f>31487.82+41895.64</f>
        <v>73383.45999999999</v>
      </c>
      <c r="J10" s="141" t="s">
        <v>214</v>
      </c>
      <c r="K10" s="353"/>
      <c r="L10" s="314"/>
    </row>
    <row r="11" spans="2:12" ht="63">
      <c r="B11" s="296" t="s">
        <v>81</v>
      </c>
      <c r="C11" s="144" t="s">
        <v>80</v>
      </c>
      <c r="D11" s="139">
        <v>6888</v>
      </c>
      <c r="E11" s="347">
        <v>14809.2</v>
      </c>
      <c r="F11" s="139">
        <v>0</v>
      </c>
      <c r="G11" s="341">
        <f t="shared" si="0"/>
        <v>21697.2</v>
      </c>
      <c r="H11" s="342">
        <v>0.5</v>
      </c>
      <c r="I11" s="354">
        <f>7624.63+14809.2</f>
        <v>22433.83</v>
      </c>
      <c r="J11" s="141" t="s">
        <v>214</v>
      </c>
      <c r="K11" s="353"/>
      <c r="L11" s="314"/>
    </row>
    <row r="12" spans="2:12" ht="63">
      <c r="B12" s="296" t="s">
        <v>84</v>
      </c>
      <c r="C12" s="138" t="s">
        <v>83</v>
      </c>
      <c r="D12" s="139">
        <v>25584</v>
      </c>
      <c r="E12" s="347">
        <v>25000</v>
      </c>
      <c r="F12" s="139">
        <v>0</v>
      </c>
      <c r="G12" s="341">
        <f t="shared" si="0"/>
        <v>50584</v>
      </c>
      <c r="H12" s="342">
        <v>0.5</v>
      </c>
      <c r="I12" s="344">
        <f>20617.98+25000</f>
        <v>45617.979999999996</v>
      </c>
      <c r="J12" s="141" t="s">
        <v>214</v>
      </c>
      <c r="K12" s="353"/>
      <c r="L12" s="314"/>
    </row>
    <row r="13" spans="2:12" ht="63">
      <c r="B13" s="296" t="s">
        <v>89</v>
      </c>
      <c r="C13" s="138" t="s">
        <v>86</v>
      </c>
      <c r="D13" s="139">
        <v>4920</v>
      </c>
      <c r="E13" s="348">
        <v>0</v>
      </c>
      <c r="F13" s="139">
        <v>0</v>
      </c>
      <c r="G13" s="341">
        <f t="shared" si="0"/>
        <v>4920</v>
      </c>
      <c r="H13" s="351">
        <v>0.5</v>
      </c>
      <c r="I13" s="344">
        <v>5695.869999999999</v>
      </c>
      <c r="J13" s="141" t="s">
        <v>214</v>
      </c>
      <c r="K13" s="352"/>
      <c r="L13" s="314"/>
    </row>
    <row r="14" spans="1:12" ht="31.5">
      <c r="A14" s="21"/>
      <c r="B14" s="296" t="s">
        <v>215</v>
      </c>
      <c r="C14" s="138" t="s">
        <v>216</v>
      </c>
      <c r="D14" s="141">
        <v>0</v>
      </c>
      <c r="E14" s="348">
        <v>72130.24</v>
      </c>
      <c r="F14" s="139">
        <v>0</v>
      </c>
      <c r="G14" s="341">
        <f t="shared" si="0"/>
        <v>72130.24</v>
      </c>
      <c r="H14" s="351">
        <v>0.5</v>
      </c>
      <c r="I14" s="354">
        <v>72130.24</v>
      </c>
      <c r="J14" s="141"/>
      <c r="K14" s="352"/>
      <c r="L14" s="20" t="s">
        <v>217</v>
      </c>
    </row>
    <row r="15" spans="1:12" ht="31.5">
      <c r="A15" s="21"/>
      <c r="B15" s="296" t="s">
        <v>94</v>
      </c>
      <c r="C15" s="138" t="s">
        <v>91</v>
      </c>
      <c r="D15" s="139">
        <v>21200</v>
      </c>
      <c r="E15" s="141">
        <v>0</v>
      </c>
      <c r="F15" s="139">
        <v>0</v>
      </c>
      <c r="G15" s="341">
        <f aca="true" t="shared" si="1" ref="G15">SUM(D15:F15)</f>
        <v>21200</v>
      </c>
      <c r="H15" s="351">
        <v>0.5</v>
      </c>
      <c r="I15" s="141">
        <v>13142</v>
      </c>
      <c r="J15" s="141" t="s">
        <v>218</v>
      </c>
      <c r="K15" s="352"/>
      <c r="L15" s="20" t="s">
        <v>217</v>
      </c>
    </row>
    <row r="16" spans="1:12" ht="15.75">
      <c r="A16" s="21"/>
      <c r="C16" s="68" t="s">
        <v>219</v>
      </c>
      <c r="D16" s="10">
        <f>SUM(D7:D15)</f>
        <v>156509.78</v>
      </c>
      <c r="E16" s="10">
        <f>SUM(E7:E15)</f>
        <v>203436.08999999997</v>
      </c>
      <c r="F16" s="10">
        <f>SUM(F7:F14)</f>
        <v>0</v>
      </c>
      <c r="G16" s="10">
        <f>SUM(G7:G15)</f>
        <v>359945.87</v>
      </c>
      <c r="H16" s="10">
        <f>(H7*G7)+(H8*G8)+(H9*G9)+(H10*G10)+(H11*G11)+(H12*G12)+(H13*G13)+(H14*G14)+(H15*G15)</f>
        <v>175052.935</v>
      </c>
      <c r="I16" s="10">
        <f>SUM(I7:I15)</f>
        <v>353871.1</v>
      </c>
      <c r="J16" s="129"/>
      <c r="K16" s="352"/>
      <c r="L16" s="29"/>
    </row>
    <row r="17" spans="1:12" ht="51" customHeight="1">
      <c r="A17" s="21"/>
      <c r="B17" s="68" t="s">
        <v>99</v>
      </c>
      <c r="C17" s="444" t="s">
        <v>220</v>
      </c>
      <c r="D17" s="445"/>
      <c r="E17" s="445"/>
      <c r="F17" s="445"/>
      <c r="G17" s="445"/>
      <c r="H17" s="445"/>
      <c r="I17" s="445"/>
      <c r="J17" s="445"/>
      <c r="K17" s="446"/>
      <c r="L17" s="28"/>
    </row>
    <row r="18" spans="1:12" ht="46.5" customHeight="1">
      <c r="A18" s="21"/>
      <c r="B18" s="296" t="s">
        <v>98</v>
      </c>
      <c r="C18" s="138" t="s">
        <v>97</v>
      </c>
      <c r="D18" s="139">
        <v>16728</v>
      </c>
      <c r="E18" s="346">
        <v>25000</v>
      </c>
      <c r="F18" s="139"/>
      <c r="G18" s="341">
        <f>SUM(D18:F18)</f>
        <v>41728</v>
      </c>
      <c r="H18" s="342">
        <v>0.3</v>
      </c>
      <c r="I18" s="139">
        <f>16545.6+25000</f>
        <v>41545.6</v>
      </c>
      <c r="J18" s="141" t="s">
        <v>221</v>
      </c>
      <c r="K18" s="353"/>
      <c r="L18" s="314"/>
    </row>
    <row r="19" spans="1:12" ht="15.75">
      <c r="A19" s="21"/>
      <c r="B19" s="296" t="s">
        <v>102</v>
      </c>
      <c r="C19" s="138" t="s">
        <v>101</v>
      </c>
      <c r="D19" s="139">
        <f>5904-2952</f>
        <v>2952</v>
      </c>
      <c r="E19" s="346">
        <v>0</v>
      </c>
      <c r="F19" s="139"/>
      <c r="G19" s="341">
        <f aca="true" t="shared" si="2" ref="G19:G25">SUM(D19:F19)</f>
        <v>2952</v>
      </c>
      <c r="H19" s="342"/>
      <c r="I19" s="139">
        <v>2952</v>
      </c>
      <c r="J19" s="141"/>
      <c r="K19" s="353"/>
      <c r="L19" s="314"/>
    </row>
    <row r="20" spans="1:12" ht="46.5" customHeight="1">
      <c r="A20" s="21"/>
      <c r="B20" s="296" t="s">
        <v>105</v>
      </c>
      <c r="C20" s="138" t="s">
        <v>104</v>
      </c>
      <c r="D20" s="139">
        <f>34440-1499.28</f>
        <v>32940.72</v>
      </c>
      <c r="E20" s="346">
        <v>42944.990000000005</v>
      </c>
      <c r="F20" s="139"/>
      <c r="G20" s="341">
        <f t="shared" si="2"/>
        <v>75885.71</v>
      </c>
      <c r="H20" s="342">
        <v>0.5</v>
      </c>
      <c r="I20" s="139">
        <f>32854.26+42944.99</f>
        <v>75799.25</v>
      </c>
      <c r="J20" s="141" t="s">
        <v>221</v>
      </c>
      <c r="K20" s="353"/>
      <c r="L20" s="314"/>
    </row>
    <row r="21" spans="1:12" ht="46.5" customHeight="1">
      <c r="A21" s="21"/>
      <c r="B21" s="296" t="s">
        <v>108</v>
      </c>
      <c r="C21" s="138" t="s">
        <v>222</v>
      </c>
      <c r="D21" s="139">
        <v>123000</v>
      </c>
      <c r="E21" s="346">
        <v>30000</v>
      </c>
      <c r="F21" s="139"/>
      <c r="G21" s="341">
        <f t="shared" si="2"/>
        <v>153000</v>
      </c>
      <c r="H21" s="342">
        <v>0.5</v>
      </c>
      <c r="I21" s="139">
        <f>120500+30000</f>
        <v>150500</v>
      </c>
      <c r="J21" s="141" t="s">
        <v>221</v>
      </c>
      <c r="K21" s="353"/>
      <c r="L21" s="314"/>
    </row>
    <row r="22" spans="1:12" ht="46.5" customHeight="1">
      <c r="A22" s="21"/>
      <c r="B22" s="296" t="s">
        <v>111</v>
      </c>
      <c r="C22" s="138" t="s">
        <v>110</v>
      </c>
      <c r="D22" s="139">
        <f>11808-4008</f>
        <v>7800</v>
      </c>
      <c r="E22" s="346">
        <v>0</v>
      </c>
      <c r="F22" s="139"/>
      <c r="G22" s="341">
        <f t="shared" si="2"/>
        <v>7800</v>
      </c>
      <c r="H22" s="342">
        <v>0.5</v>
      </c>
      <c r="I22" s="139">
        <v>6740.669999999999</v>
      </c>
      <c r="J22" s="141" t="s">
        <v>221</v>
      </c>
      <c r="K22" s="353"/>
      <c r="L22" s="314"/>
    </row>
    <row r="23" spans="1:12" ht="46.5" customHeight="1">
      <c r="A23" s="21"/>
      <c r="B23" s="296" t="s">
        <v>115</v>
      </c>
      <c r="C23" s="138" t="s">
        <v>113</v>
      </c>
      <c r="D23" s="139">
        <f>28536+10896</f>
        <v>39432</v>
      </c>
      <c r="E23" s="346">
        <v>15000</v>
      </c>
      <c r="F23" s="139"/>
      <c r="G23" s="341">
        <f t="shared" si="2"/>
        <v>54432</v>
      </c>
      <c r="H23" s="342">
        <v>0.5</v>
      </c>
      <c r="I23" s="139">
        <f>38822.02+15000</f>
        <v>53822.02</v>
      </c>
      <c r="J23" s="141" t="s">
        <v>221</v>
      </c>
      <c r="K23" s="353"/>
      <c r="L23" s="314"/>
    </row>
    <row r="24" spans="1:12" ht="31.5">
      <c r="A24" s="21"/>
      <c r="B24" s="296" t="s">
        <v>118</v>
      </c>
      <c r="C24" s="138" t="s">
        <v>117</v>
      </c>
      <c r="D24" s="141">
        <f>6888-6888</f>
        <v>0</v>
      </c>
      <c r="E24" s="349"/>
      <c r="F24" s="141"/>
      <c r="G24" s="341">
        <f t="shared" si="2"/>
        <v>0</v>
      </c>
      <c r="H24" s="351">
        <v>0.5</v>
      </c>
      <c r="I24" s="141">
        <v>0</v>
      </c>
      <c r="J24" s="141"/>
      <c r="K24" s="352"/>
      <c r="L24" s="314"/>
    </row>
    <row r="25" spans="1:12" ht="46.5" customHeight="1">
      <c r="A25" s="21"/>
      <c r="B25" s="296" t="s">
        <v>120</v>
      </c>
      <c r="C25" s="138" t="s">
        <v>86</v>
      </c>
      <c r="D25" s="141">
        <v>4920</v>
      </c>
      <c r="E25" s="349"/>
      <c r="F25" s="141"/>
      <c r="G25" s="341">
        <f t="shared" si="2"/>
        <v>4920</v>
      </c>
      <c r="H25" s="351">
        <v>0.5</v>
      </c>
      <c r="I25" s="139">
        <v>5013.299999999997</v>
      </c>
      <c r="J25" s="141" t="s">
        <v>221</v>
      </c>
      <c r="K25" s="352"/>
      <c r="L25" s="314"/>
    </row>
    <row r="26" spans="1:12" ht="15.75">
      <c r="A26" s="21"/>
      <c r="C26" s="68" t="s">
        <v>219</v>
      </c>
      <c r="D26" s="13">
        <f>SUM(D18:D25)</f>
        <v>227772.72</v>
      </c>
      <c r="E26" s="13">
        <f>SUM(E18:E25)</f>
        <v>112944.99</v>
      </c>
      <c r="F26" s="13">
        <f>SUM(F18:F25)</f>
        <v>0</v>
      </c>
      <c r="G26" s="13">
        <f>SUM(G18:G25)</f>
        <v>340717.71</v>
      </c>
      <c r="H26" s="10">
        <f>(H18*G18)+(H19*G19)+(H20*G20)+(H21*G21)+(H22*G22)+(H23*G23)+(H24*G24)+(H25*G25)</f>
        <v>160537.255</v>
      </c>
      <c r="I26" s="10">
        <f>SUM(I18:I25)</f>
        <v>336372.83999999997</v>
      </c>
      <c r="J26" s="129"/>
      <c r="K26" s="352"/>
      <c r="L26" s="29"/>
    </row>
    <row r="27" spans="1:12" ht="51" customHeight="1">
      <c r="A27" s="21"/>
      <c r="B27" s="68" t="s">
        <v>223</v>
      </c>
      <c r="C27" s="444"/>
      <c r="D27" s="445"/>
      <c r="E27" s="445"/>
      <c r="F27" s="445"/>
      <c r="G27" s="445"/>
      <c r="H27" s="445"/>
      <c r="I27" s="445"/>
      <c r="J27" s="445"/>
      <c r="K27" s="446"/>
      <c r="L27" s="28"/>
    </row>
    <row r="28" spans="1:12" ht="15.75">
      <c r="A28" s="21"/>
      <c r="B28" s="296" t="s">
        <v>224</v>
      </c>
      <c r="C28" s="138"/>
      <c r="D28" s="139"/>
      <c r="E28" s="139"/>
      <c r="F28" s="139"/>
      <c r="G28" s="341">
        <f>SUM(D28:F28)</f>
        <v>0</v>
      </c>
      <c r="H28" s="342"/>
      <c r="I28" s="139">
        <v>0</v>
      </c>
      <c r="J28" s="141"/>
      <c r="K28" s="353"/>
      <c r="L28" s="314"/>
    </row>
    <row r="29" spans="1:12" ht="15.75">
      <c r="A29" s="21"/>
      <c r="B29" s="296" t="s">
        <v>225</v>
      </c>
      <c r="C29" s="138"/>
      <c r="D29" s="139"/>
      <c r="E29" s="139"/>
      <c r="F29" s="139"/>
      <c r="G29" s="341">
        <f aca="true" t="shared" si="3" ref="G29:G35">SUM(D29:F29)</f>
        <v>0</v>
      </c>
      <c r="H29" s="342"/>
      <c r="I29" s="139">
        <v>0</v>
      </c>
      <c r="J29" s="141"/>
      <c r="K29" s="353"/>
      <c r="L29" s="314"/>
    </row>
    <row r="30" spans="1:12" ht="15.75">
      <c r="A30" s="21"/>
      <c r="B30" s="296" t="s">
        <v>226</v>
      </c>
      <c r="C30" s="138"/>
      <c r="D30" s="139"/>
      <c r="E30" s="139"/>
      <c r="F30" s="139"/>
      <c r="G30" s="341">
        <f t="shared" si="3"/>
        <v>0</v>
      </c>
      <c r="H30" s="342"/>
      <c r="I30" s="139">
        <v>0</v>
      </c>
      <c r="J30" s="141"/>
      <c r="K30" s="353"/>
      <c r="L30" s="314"/>
    </row>
    <row r="31" spans="1:12" ht="15.75">
      <c r="A31" s="21"/>
      <c r="B31" s="296" t="s">
        <v>227</v>
      </c>
      <c r="C31" s="138"/>
      <c r="D31" s="139"/>
      <c r="E31" s="139"/>
      <c r="F31" s="139"/>
      <c r="G31" s="341">
        <f t="shared" si="3"/>
        <v>0</v>
      </c>
      <c r="H31" s="342"/>
      <c r="I31" s="139">
        <v>0</v>
      </c>
      <c r="J31" s="141"/>
      <c r="K31" s="353"/>
      <c r="L31" s="314"/>
    </row>
    <row r="32" spans="2:12" s="21" customFormat="1" ht="15.75">
      <c r="B32" s="296" t="s">
        <v>228</v>
      </c>
      <c r="C32" s="138"/>
      <c r="D32" s="139"/>
      <c r="E32" s="139"/>
      <c r="F32" s="139"/>
      <c r="G32" s="341">
        <f t="shared" si="3"/>
        <v>0</v>
      </c>
      <c r="H32" s="342"/>
      <c r="I32" s="139">
        <v>0</v>
      </c>
      <c r="J32" s="141"/>
      <c r="K32" s="353"/>
      <c r="L32" s="314"/>
    </row>
    <row r="33" spans="2:12" s="21" customFormat="1" ht="15.75">
      <c r="B33" s="296" t="s">
        <v>229</v>
      </c>
      <c r="C33" s="138"/>
      <c r="D33" s="139"/>
      <c r="E33" s="139"/>
      <c r="F33" s="139"/>
      <c r="G33" s="341">
        <f t="shared" si="3"/>
        <v>0</v>
      </c>
      <c r="H33" s="342"/>
      <c r="I33" s="139">
        <v>0</v>
      </c>
      <c r="J33" s="141"/>
      <c r="K33" s="353"/>
      <c r="L33" s="314"/>
    </row>
    <row r="34" spans="1:12" s="21" customFormat="1" ht="15.75">
      <c r="A34" s="20"/>
      <c r="B34" s="296" t="s">
        <v>230</v>
      </c>
      <c r="C34" s="140"/>
      <c r="D34" s="141"/>
      <c r="E34" s="141"/>
      <c r="F34" s="141"/>
      <c r="G34" s="341">
        <f t="shared" si="3"/>
        <v>0</v>
      </c>
      <c r="H34" s="351"/>
      <c r="I34" s="139">
        <v>0</v>
      </c>
      <c r="J34" s="141"/>
      <c r="K34" s="352"/>
      <c r="L34" s="314"/>
    </row>
    <row r="35" spans="2:12" ht="15.75">
      <c r="B35" s="296" t="s">
        <v>231</v>
      </c>
      <c r="C35" s="140"/>
      <c r="D35" s="141"/>
      <c r="E35" s="141"/>
      <c r="F35" s="141"/>
      <c r="G35" s="341">
        <f t="shared" si="3"/>
        <v>0</v>
      </c>
      <c r="H35" s="351"/>
      <c r="I35" s="139">
        <v>0</v>
      </c>
      <c r="J35" s="141"/>
      <c r="K35" s="352"/>
      <c r="L35" s="314"/>
    </row>
    <row r="36" spans="3:12" ht="15.75">
      <c r="C36" s="68" t="s">
        <v>219</v>
      </c>
      <c r="D36" s="13">
        <f>SUM(D28:D35)</f>
        <v>0</v>
      </c>
      <c r="E36" s="13">
        <f>SUM(E28:E35)</f>
        <v>0</v>
      </c>
      <c r="F36" s="13">
        <f>SUM(F28:F35)</f>
        <v>0</v>
      </c>
      <c r="G36" s="13">
        <f>SUM(G28:G35)</f>
        <v>0</v>
      </c>
      <c r="H36" s="10">
        <f>(H28*G28)+(H29*G29)+(H30*G30)+(H31*G31)+(H32*G32)+(H33*G33)+(H34*G34)+(H35*G35)</f>
        <v>0</v>
      </c>
      <c r="I36" s="10">
        <f>SUM(I28:I35)</f>
        <v>0</v>
      </c>
      <c r="J36" s="129"/>
      <c r="K36" s="352"/>
      <c r="L36" s="29"/>
    </row>
    <row r="37" spans="2:12" ht="51" customHeight="1">
      <c r="B37" s="68" t="s">
        <v>232</v>
      </c>
      <c r="C37" s="444"/>
      <c r="D37" s="445"/>
      <c r="E37" s="445"/>
      <c r="F37" s="445"/>
      <c r="G37" s="445"/>
      <c r="H37" s="445"/>
      <c r="I37" s="445"/>
      <c r="J37" s="445"/>
      <c r="K37" s="446"/>
      <c r="L37" s="28"/>
    </row>
    <row r="38" spans="2:12" ht="15.75">
      <c r="B38" s="296" t="s">
        <v>233</v>
      </c>
      <c r="C38" s="138"/>
      <c r="D38" s="139"/>
      <c r="E38" s="139"/>
      <c r="F38" s="139"/>
      <c r="G38" s="341">
        <f>SUM(D38:F38)</f>
        <v>0</v>
      </c>
      <c r="H38" s="342"/>
      <c r="I38" s="139">
        <v>0</v>
      </c>
      <c r="J38" s="141"/>
      <c r="K38" s="353"/>
      <c r="L38" s="314"/>
    </row>
    <row r="39" spans="2:12" ht="15.75">
      <c r="B39" s="296" t="s">
        <v>234</v>
      </c>
      <c r="C39" s="138"/>
      <c r="D39" s="139"/>
      <c r="E39" s="139"/>
      <c r="F39" s="139"/>
      <c r="G39" s="341">
        <f aca="true" t="shared" si="4" ref="G39:G45">SUM(D39:F39)</f>
        <v>0</v>
      </c>
      <c r="H39" s="342"/>
      <c r="I39" s="139">
        <v>0</v>
      </c>
      <c r="J39" s="141"/>
      <c r="K39" s="353"/>
      <c r="L39" s="314"/>
    </row>
    <row r="40" spans="2:12" ht="15.75">
      <c r="B40" s="296" t="s">
        <v>235</v>
      </c>
      <c r="C40" s="138"/>
      <c r="D40" s="139"/>
      <c r="E40" s="139"/>
      <c r="F40" s="139"/>
      <c r="G40" s="341">
        <f t="shared" si="4"/>
        <v>0</v>
      </c>
      <c r="H40" s="342"/>
      <c r="I40" s="139">
        <v>0</v>
      </c>
      <c r="J40" s="141"/>
      <c r="K40" s="353"/>
      <c r="L40" s="314"/>
    </row>
    <row r="41" spans="2:12" ht="15.75">
      <c r="B41" s="296" t="s">
        <v>236</v>
      </c>
      <c r="C41" s="138"/>
      <c r="D41" s="139"/>
      <c r="E41" s="139"/>
      <c r="F41" s="139"/>
      <c r="G41" s="341">
        <f t="shared" si="4"/>
        <v>0</v>
      </c>
      <c r="H41" s="342"/>
      <c r="I41" s="139">
        <v>0</v>
      </c>
      <c r="J41" s="141"/>
      <c r="K41" s="353"/>
      <c r="L41" s="314"/>
    </row>
    <row r="42" spans="2:12" ht="15.75">
      <c r="B42" s="296" t="s">
        <v>237</v>
      </c>
      <c r="C42" s="138"/>
      <c r="D42" s="139"/>
      <c r="E42" s="139"/>
      <c r="F42" s="139"/>
      <c r="G42" s="341">
        <f t="shared" si="4"/>
        <v>0</v>
      </c>
      <c r="H42" s="342"/>
      <c r="I42" s="139">
        <v>0</v>
      </c>
      <c r="J42" s="141"/>
      <c r="K42" s="353"/>
      <c r="L42" s="314"/>
    </row>
    <row r="43" spans="1:12" ht="15.75">
      <c r="A43" s="21"/>
      <c r="B43" s="296" t="s">
        <v>238</v>
      </c>
      <c r="C43" s="138"/>
      <c r="D43" s="139"/>
      <c r="E43" s="139"/>
      <c r="F43" s="139"/>
      <c r="G43" s="341">
        <f t="shared" si="4"/>
        <v>0</v>
      </c>
      <c r="H43" s="342"/>
      <c r="I43" s="139">
        <v>0</v>
      </c>
      <c r="J43" s="141"/>
      <c r="K43" s="353"/>
      <c r="L43" s="314"/>
    </row>
    <row r="44" spans="1:12" s="21" customFormat="1" ht="15.75">
      <c r="A44" s="20"/>
      <c r="B44" s="296" t="s">
        <v>239</v>
      </c>
      <c r="C44" s="140"/>
      <c r="D44" s="141"/>
      <c r="E44" s="141"/>
      <c r="F44" s="141"/>
      <c r="G44" s="341">
        <f t="shared" si="4"/>
        <v>0</v>
      </c>
      <c r="H44" s="351"/>
      <c r="I44" s="139">
        <v>0</v>
      </c>
      <c r="J44" s="141"/>
      <c r="K44" s="352"/>
      <c r="L44" s="314"/>
    </row>
    <row r="45" spans="2:12" ht="15.75">
      <c r="B45" s="296" t="s">
        <v>240</v>
      </c>
      <c r="C45" s="140"/>
      <c r="D45" s="141"/>
      <c r="E45" s="141"/>
      <c r="F45" s="141"/>
      <c r="G45" s="341">
        <f t="shared" si="4"/>
        <v>0</v>
      </c>
      <c r="H45" s="351"/>
      <c r="I45" s="139">
        <v>0</v>
      </c>
      <c r="J45" s="141"/>
      <c r="K45" s="352"/>
      <c r="L45" s="314"/>
    </row>
    <row r="46" spans="3:12" ht="15.75">
      <c r="C46" s="68" t="s">
        <v>219</v>
      </c>
      <c r="D46" s="10">
        <f>SUM(D38:D45)</f>
        <v>0</v>
      </c>
      <c r="E46" s="10">
        <f>SUM(E38:E45)</f>
        <v>0</v>
      </c>
      <c r="F46" s="10">
        <f>SUM(F38:F45)</f>
        <v>0</v>
      </c>
      <c r="G46" s="10">
        <f>SUM(G38:G45)</f>
        <v>0</v>
      </c>
      <c r="H46" s="10">
        <f>(H38*G38)+(H39*G39)+(H40*G40)+(H41*G41)+(H42*G42)+(H43*G43)+(H44*G44)+(H45*G45)</f>
        <v>0</v>
      </c>
      <c r="I46" s="10">
        <f>SUM(I38:I45)</f>
        <v>0</v>
      </c>
      <c r="J46" s="129"/>
      <c r="K46" s="352"/>
      <c r="L46" s="29"/>
    </row>
    <row r="47" spans="2:12" ht="15.75">
      <c r="B47" s="355"/>
      <c r="C47" s="356"/>
      <c r="D47" s="357"/>
      <c r="E47" s="357"/>
      <c r="F47" s="357"/>
      <c r="G47" s="357"/>
      <c r="H47" s="357"/>
      <c r="I47" s="357"/>
      <c r="J47" s="357"/>
      <c r="K47" s="357"/>
      <c r="L47" s="314"/>
    </row>
    <row r="48" spans="2:12" ht="51" customHeight="1">
      <c r="B48" s="68" t="s">
        <v>241</v>
      </c>
      <c r="C48" s="447" t="s">
        <v>242</v>
      </c>
      <c r="D48" s="448"/>
      <c r="E48" s="448"/>
      <c r="F48" s="448"/>
      <c r="G48" s="448"/>
      <c r="H48" s="448"/>
      <c r="I48" s="448"/>
      <c r="J48" s="448"/>
      <c r="K48" s="449"/>
      <c r="L48" s="9"/>
    </row>
    <row r="49" spans="2:12" ht="51" customHeight="1">
      <c r="B49" s="68" t="s">
        <v>126</v>
      </c>
      <c r="C49" s="450" t="s">
        <v>243</v>
      </c>
      <c r="D49" s="451"/>
      <c r="E49" s="451"/>
      <c r="F49" s="451"/>
      <c r="G49" s="451"/>
      <c r="H49" s="451"/>
      <c r="I49" s="451"/>
      <c r="J49" s="451"/>
      <c r="K49" s="452"/>
      <c r="L49" s="28"/>
    </row>
    <row r="50" spans="2:12" s="327" customFormat="1" ht="63">
      <c r="B50" s="296" t="s">
        <v>125</v>
      </c>
      <c r="C50" s="138" t="s">
        <v>124</v>
      </c>
      <c r="D50" s="139">
        <f>46946.91552-32461.82</f>
        <v>14485.095520000003</v>
      </c>
      <c r="E50" s="139"/>
      <c r="F50" s="139"/>
      <c r="G50" s="341">
        <f>SUM(D50:F50)</f>
        <v>14485.095520000003</v>
      </c>
      <c r="H50" s="342">
        <v>0.3</v>
      </c>
      <c r="I50" s="139">
        <v>14485.180000000002</v>
      </c>
      <c r="J50" s="331" t="s">
        <v>244</v>
      </c>
      <c r="K50" s="332"/>
      <c r="L50" s="29"/>
    </row>
    <row r="51" spans="2:12" ht="47.25">
      <c r="B51" s="296" t="s">
        <v>129</v>
      </c>
      <c r="C51" s="138" t="s">
        <v>128</v>
      </c>
      <c r="D51" s="139">
        <f>14760-14760</f>
        <v>0</v>
      </c>
      <c r="E51" s="139"/>
      <c r="F51" s="139"/>
      <c r="G51" s="341">
        <f aca="true" t="shared" si="5" ref="G51:G57">SUM(D51:F51)</f>
        <v>0</v>
      </c>
      <c r="H51" s="342">
        <v>0.3</v>
      </c>
      <c r="I51" s="139">
        <v>0</v>
      </c>
      <c r="J51" s="141" t="s">
        <v>244</v>
      </c>
      <c r="K51" s="353"/>
      <c r="L51" s="314"/>
    </row>
    <row r="52" spans="2:12" ht="47.25">
      <c r="B52" s="296" t="s">
        <v>132</v>
      </c>
      <c r="C52" s="138" t="s">
        <v>131</v>
      </c>
      <c r="D52" s="139">
        <v>4920</v>
      </c>
      <c r="E52" s="139"/>
      <c r="F52" s="139"/>
      <c r="G52" s="341">
        <f t="shared" si="5"/>
        <v>4920</v>
      </c>
      <c r="H52" s="342">
        <v>0.3</v>
      </c>
      <c r="I52" s="139">
        <v>4012.2300000000005</v>
      </c>
      <c r="J52" s="141" t="s">
        <v>245</v>
      </c>
      <c r="K52" s="353"/>
      <c r="L52" s="314"/>
    </row>
    <row r="53" spans="2:12" ht="31.5">
      <c r="B53" s="296" t="s">
        <v>135</v>
      </c>
      <c r="C53" s="138" t="s">
        <v>134</v>
      </c>
      <c r="D53" s="139">
        <v>9840</v>
      </c>
      <c r="E53" s="139"/>
      <c r="F53" s="139"/>
      <c r="G53" s="341">
        <f t="shared" si="5"/>
        <v>9840</v>
      </c>
      <c r="H53" s="342">
        <v>0.3</v>
      </c>
      <c r="I53" s="139">
        <v>9852.5</v>
      </c>
      <c r="J53" s="141" t="s">
        <v>245</v>
      </c>
      <c r="K53" s="353"/>
      <c r="L53" s="314"/>
    </row>
    <row r="54" spans="2:12" ht="32.25" customHeight="1">
      <c r="B54" s="68" t="s">
        <v>138</v>
      </c>
      <c r="C54" s="328" t="s">
        <v>137</v>
      </c>
      <c r="D54" s="329">
        <v>47221.82</v>
      </c>
      <c r="E54" s="329"/>
      <c r="F54" s="329"/>
      <c r="G54" s="10">
        <f t="shared" si="5"/>
        <v>47221.82</v>
      </c>
      <c r="H54" s="330">
        <v>0.5</v>
      </c>
      <c r="I54" s="331">
        <v>20752</v>
      </c>
      <c r="J54" s="331" t="s">
        <v>246</v>
      </c>
      <c r="K54" s="353"/>
      <c r="L54" s="314"/>
    </row>
    <row r="55" spans="2:12" ht="15.75">
      <c r="B55" s="296" t="s">
        <v>247</v>
      </c>
      <c r="C55" s="138"/>
      <c r="D55" s="139"/>
      <c r="E55" s="139"/>
      <c r="F55" s="139"/>
      <c r="G55" s="341">
        <f t="shared" si="5"/>
        <v>0</v>
      </c>
      <c r="H55" s="342"/>
      <c r="I55" s="139">
        <v>0</v>
      </c>
      <c r="J55" s="141"/>
      <c r="K55" s="353"/>
      <c r="L55" s="314"/>
    </row>
    <row r="56" spans="1:12" ht="15.75">
      <c r="A56" s="21"/>
      <c r="B56" s="296" t="s">
        <v>248</v>
      </c>
      <c r="C56" s="140"/>
      <c r="D56" s="141"/>
      <c r="E56" s="141"/>
      <c r="F56" s="141"/>
      <c r="G56" s="341">
        <f t="shared" si="5"/>
        <v>0</v>
      </c>
      <c r="H56" s="351"/>
      <c r="I56" s="139">
        <v>0</v>
      </c>
      <c r="J56" s="141"/>
      <c r="K56" s="352"/>
      <c r="L56" s="314"/>
    </row>
    <row r="57" spans="2:12" s="21" customFormat="1" ht="15.75">
      <c r="B57" s="296" t="s">
        <v>249</v>
      </c>
      <c r="C57" s="140"/>
      <c r="D57" s="141"/>
      <c r="E57" s="141"/>
      <c r="F57" s="141"/>
      <c r="G57" s="341">
        <f t="shared" si="5"/>
        <v>0</v>
      </c>
      <c r="H57" s="351"/>
      <c r="I57" s="139">
        <v>0</v>
      </c>
      <c r="J57" s="141"/>
      <c r="K57" s="352"/>
      <c r="L57" s="314"/>
    </row>
    <row r="58" spans="1:12" s="21" customFormat="1" ht="15.75">
      <c r="A58" s="20"/>
      <c r="B58" s="20"/>
      <c r="C58" s="68" t="s">
        <v>219</v>
      </c>
      <c r="D58" s="10">
        <f>SUM(D50:D57)</f>
        <v>76466.91552000001</v>
      </c>
      <c r="E58" s="10">
        <f>SUM(E50:E57)</f>
        <v>0</v>
      </c>
      <c r="F58" s="10">
        <f>SUM(F50:F57)</f>
        <v>0</v>
      </c>
      <c r="G58" s="13">
        <f>SUM(G50:G57)</f>
        <v>76466.91552000001</v>
      </c>
      <c r="H58" s="10">
        <f>(H50*G50)+(H51*G51)+(H52*G52)+(H53*G53)+(H54*G54)+(H55*G55)+(H56*G56)+(H57*G57)</f>
        <v>32384.438656</v>
      </c>
      <c r="I58" s="10">
        <f>SUM(I50:I57)</f>
        <v>49101.91</v>
      </c>
      <c r="J58" s="129"/>
      <c r="K58" s="352"/>
      <c r="L58" s="29"/>
    </row>
    <row r="59" spans="2:12" ht="51" customHeight="1">
      <c r="B59" s="68" t="s">
        <v>143</v>
      </c>
      <c r="C59" s="450" t="s">
        <v>250</v>
      </c>
      <c r="D59" s="451"/>
      <c r="E59" s="451"/>
      <c r="F59" s="451"/>
      <c r="G59" s="451"/>
      <c r="H59" s="451"/>
      <c r="I59" s="451"/>
      <c r="J59" s="451"/>
      <c r="K59" s="452"/>
      <c r="L59" s="28"/>
    </row>
    <row r="60" spans="2:12" ht="47.25">
      <c r="B60" s="296" t="s">
        <v>142</v>
      </c>
      <c r="C60" s="358" t="s">
        <v>141</v>
      </c>
      <c r="D60" s="139">
        <v>6888</v>
      </c>
      <c r="E60" s="139"/>
      <c r="F60" s="139"/>
      <c r="G60" s="341">
        <f>SUM(D60:F60)</f>
        <v>6888</v>
      </c>
      <c r="H60" s="342">
        <v>0.4</v>
      </c>
      <c r="I60" s="139">
        <v>4350.9800000000005</v>
      </c>
      <c r="J60" s="141"/>
      <c r="K60" s="353"/>
      <c r="L60" s="314"/>
    </row>
    <row r="61" spans="2:12" ht="47.25">
      <c r="B61" s="296" t="s">
        <v>146</v>
      </c>
      <c r="C61" s="358" t="s">
        <v>145</v>
      </c>
      <c r="D61" s="139">
        <v>13776</v>
      </c>
      <c r="E61" s="139"/>
      <c r="F61" s="139"/>
      <c r="G61" s="341">
        <f aca="true" t="shared" si="6" ref="G61:G67">SUM(D61:F61)</f>
        <v>13776</v>
      </c>
      <c r="H61" s="342">
        <v>0.4</v>
      </c>
      <c r="I61" s="139">
        <v>13700</v>
      </c>
      <c r="J61" s="141" t="s">
        <v>251</v>
      </c>
      <c r="K61" s="353"/>
      <c r="L61" s="314"/>
    </row>
    <row r="62" spans="2:12" ht="47.25">
      <c r="B62" s="296" t="s">
        <v>149</v>
      </c>
      <c r="C62" s="358" t="s">
        <v>148</v>
      </c>
      <c r="D62" s="139">
        <v>11808</v>
      </c>
      <c r="E62" s="139"/>
      <c r="F62" s="139"/>
      <c r="G62" s="341">
        <f t="shared" si="6"/>
        <v>11808</v>
      </c>
      <c r="H62" s="342">
        <v>0.4</v>
      </c>
      <c r="I62" s="139">
        <v>4330.65</v>
      </c>
      <c r="J62" s="141" t="s">
        <v>251</v>
      </c>
      <c r="K62" s="353"/>
      <c r="L62" s="314"/>
    </row>
    <row r="63" spans="2:12" ht="47.25">
      <c r="B63" s="296" t="s">
        <v>152</v>
      </c>
      <c r="C63" s="358" t="s">
        <v>151</v>
      </c>
      <c r="D63" s="139">
        <v>3936</v>
      </c>
      <c r="E63" s="139"/>
      <c r="F63" s="139"/>
      <c r="G63" s="341">
        <f t="shared" si="6"/>
        <v>3936</v>
      </c>
      <c r="H63" s="342">
        <v>0.4</v>
      </c>
      <c r="I63" s="139">
        <v>2170.4</v>
      </c>
      <c r="J63" s="141" t="s">
        <v>252</v>
      </c>
      <c r="K63" s="353"/>
      <c r="L63" s="314"/>
    </row>
    <row r="64" spans="2:12" ht="15.75">
      <c r="B64" s="296" t="s">
        <v>253</v>
      </c>
      <c r="C64" s="138"/>
      <c r="D64" s="139">
        <v>0</v>
      </c>
      <c r="E64" s="139"/>
      <c r="F64" s="139"/>
      <c r="G64" s="341">
        <f t="shared" si="6"/>
        <v>0</v>
      </c>
      <c r="H64" s="342"/>
      <c r="I64" s="139">
        <v>0</v>
      </c>
      <c r="J64" s="141"/>
      <c r="K64" s="353"/>
      <c r="L64" s="314"/>
    </row>
    <row r="65" spans="2:12" ht="15.75">
      <c r="B65" s="296" t="s">
        <v>254</v>
      </c>
      <c r="C65" s="138"/>
      <c r="D65" s="139"/>
      <c r="E65" s="139"/>
      <c r="F65" s="139"/>
      <c r="G65" s="341">
        <f t="shared" si="6"/>
        <v>0</v>
      </c>
      <c r="H65" s="342"/>
      <c r="I65" s="139">
        <v>0</v>
      </c>
      <c r="J65" s="141"/>
      <c r="K65" s="353"/>
      <c r="L65" s="314"/>
    </row>
    <row r="66" spans="2:12" ht="15.75">
      <c r="B66" s="296" t="s">
        <v>255</v>
      </c>
      <c r="C66" s="140"/>
      <c r="D66" s="141"/>
      <c r="E66" s="141"/>
      <c r="F66" s="141"/>
      <c r="G66" s="341">
        <f t="shared" si="6"/>
        <v>0</v>
      </c>
      <c r="H66" s="351"/>
      <c r="I66" s="139">
        <v>0</v>
      </c>
      <c r="J66" s="141"/>
      <c r="K66" s="352"/>
      <c r="L66" s="314"/>
    </row>
    <row r="67" spans="2:12" ht="15.75">
      <c r="B67" s="296" t="s">
        <v>256</v>
      </c>
      <c r="C67" s="140"/>
      <c r="D67" s="141"/>
      <c r="E67" s="141"/>
      <c r="F67" s="141"/>
      <c r="G67" s="341">
        <f t="shared" si="6"/>
        <v>0</v>
      </c>
      <c r="H67" s="351"/>
      <c r="I67" s="139">
        <v>0</v>
      </c>
      <c r="J67" s="141"/>
      <c r="K67" s="352"/>
      <c r="L67" s="314"/>
    </row>
    <row r="68" spans="3:12" ht="15.75">
      <c r="C68" s="68" t="s">
        <v>219</v>
      </c>
      <c r="D68" s="13">
        <f>SUM(D60:D67)</f>
        <v>36408</v>
      </c>
      <c r="E68" s="13">
        <f>SUM(E60:E67)</f>
        <v>0</v>
      </c>
      <c r="F68" s="13">
        <f>SUM(F60:F67)</f>
        <v>0</v>
      </c>
      <c r="G68" s="13">
        <f>SUM(G60:G67)</f>
        <v>36408</v>
      </c>
      <c r="H68" s="10">
        <f>(H60*G60)+(H61*G61)+(H62*G62)+(H63*G63)+(H64*G64)+(H65*G65)+(H66*G66)+(H67*G67)</f>
        <v>14563.199999999999</v>
      </c>
      <c r="I68" s="114">
        <f>SUM(I60:I67)</f>
        <v>24552.03</v>
      </c>
      <c r="J68" s="130"/>
      <c r="K68" s="352"/>
      <c r="L68" s="29"/>
    </row>
    <row r="69" spans="2:12" ht="51" customHeight="1">
      <c r="B69" s="68" t="s">
        <v>257</v>
      </c>
      <c r="C69" s="444" t="s">
        <v>258</v>
      </c>
      <c r="D69" s="445"/>
      <c r="E69" s="445"/>
      <c r="F69" s="445"/>
      <c r="G69" s="445"/>
      <c r="H69" s="445"/>
      <c r="I69" s="445"/>
      <c r="J69" s="445"/>
      <c r="K69" s="446"/>
      <c r="L69" s="28"/>
    </row>
    <row r="70" spans="2:12" ht="189">
      <c r="B70" s="296" t="s">
        <v>259</v>
      </c>
      <c r="C70" s="138" t="s">
        <v>260</v>
      </c>
      <c r="D70" s="139"/>
      <c r="E70" s="139"/>
      <c r="F70" s="139">
        <v>61220</v>
      </c>
      <c r="G70" s="341">
        <f>SUM(D70:F70)</f>
        <v>61220</v>
      </c>
      <c r="H70" s="342">
        <v>0.4</v>
      </c>
      <c r="I70" s="349">
        <v>61220</v>
      </c>
      <c r="J70" s="349" t="s">
        <v>261</v>
      </c>
      <c r="K70" s="353"/>
      <c r="L70" s="314"/>
    </row>
    <row r="71" spans="2:12" ht="15.75">
      <c r="B71" s="296" t="s">
        <v>262</v>
      </c>
      <c r="C71" s="138"/>
      <c r="D71" s="139"/>
      <c r="E71" s="139"/>
      <c r="F71" s="139"/>
      <c r="G71" s="341">
        <f aca="true" t="shared" si="7" ref="G71:G77">SUM(D71:F71)</f>
        <v>0</v>
      </c>
      <c r="H71" s="342"/>
      <c r="I71" s="139">
        <v>0</v>
      </c>
      <c r="J71" s="141"/>
      <c r="K71" s="353"/>
      <c r="L71" s="314"/>
    </row>
    <row r="72" spans="2:12" ht="15.75">
      <c r="B72" s="296" t="s">
        <v>263</v>
      </c>
      <c r="C72" s="138"/>
      <c r="D72" s="139"/>
      <c r="E72" s="139"/>
      <c r="F72" s="139"/>
      <c r="G72" s="341">
        <f t="shared" si="7"/>
        <v>0</v>
      </c>
      <c r="H72" s="342"/>
      <c r="I72" s="139">
        <v>0</v>
      </c>
      <c r="J72" s="141"/>
      <c r="K72" s="353"/>
      <c r="L72" s="314"/>
    </row>
    <row r="73" spans="1:12" ht="15.75">
      <c r="A73" s="21"/>
      <c r="B73" s="296" t="s">
        <v>264</v>
      </c>
      <c r="C73" s="138"/>
      <c r="D73" s="139"/>
      <c r="E73" s="139"/>
      <c r="F73" s="139"/>
      <c r="G73" s="341">
        <f t="shared" si="7"/>
        <v>0</v>
      </c>
      <c r="H73" s="342"/>
      <c r="I73" s="139">
        <v>0</v>
      </c>
      <c r="J73" s="141"/>
      <c r="K73" s="353"/>
      <c r="L73" s="314"/>
    </row>
    <row r="74" spans="1:12" s="21" customFormat="1" ht="15.75">
      <c r="A74" s="20"/>
      <c r="B74" s="296" t="s">
        <v>265</v>
      </c>
      <c r="C74" s="138"/>
      <c r="D74" s="139"/>
      <c r="E74" s="139"/>
      <c r="F74" s="139"/>
      <c r="G74" s="341">
        <f t="shared" si="7"/>
        <v>0</v>
      </c>
      <c r="H74" s="342"/>
      <c r="I74" s="139">
        <v>0</v>
      </c>
      <c r="J74" s="141"/>
      <c r="K74" s="353"/>
      <c r="L74" s="314"/>
    </row>
    <row r="75" spans="2:12" ht="15.75">
      <c r="B75" s="296" t="s">
        <v>266</v>
      </c>
      <c r="C75" s="138"/>
      <c r="D75" s="139"/>
      <c r="E75" s="139"/>
      <c r="F75" s="139"/>
      <c r="G75" s="341">
        <f t="shared" si="7"/>
        <v>0</v>
      </c>
      <c r="H75" s="342"/>
      <c r="I75" s="139">
        <v>0</v>
      </c>
      <c r="J75" s="141"/>
      <c r="K75" s="353"/>
      <c r="L75" s="314"/>
    </row>
    <row r="76" spans="2:12" ht="15.75">
      <c r="B76" s="296" t="s">
        <v>267</v>
      </c>
      <c r="C76" s="140"/>
      <c r="D76" s="141"/>
      <c r="E76" s="141"/>
      <c r="F76" s="141"/>
      <c r="G76" s="341">
        <f t="shared" si="7"/>
        <v>0</v>
      </c>
      <c r="H76" s="351"/>
      <c r="I76" s="139">
        <v>0</v>
      </c>
      <c r="J76" s="141"/>
      <c r="K76" s="352"/>
      <c r="L76" s="314"/>
    </row>
    <row r="77" spans="2:12" ht="15.75">
      <c r="B77" s="296" t="s">
        <v>268</v>
      </c>
      <c r="C77" s="140"/>
      <c r="D77" s="141"/>
      <c r="E77" s="141"/>
      <c r="F77" s="141"/>
      <c r="G77" s="341">
        <f t="shared" si="7"/>
        <v>0</v>
      </c>
      <c r="H77" s="351"/>
      <c r="I77" s="139">
        <v>0</v>
      </c>
      <c r="J77" s="141"/>
      <c r="K77" s="352"/>
      <c r="L77" s="314"/>
    </row>
    <row r="78" spans="3:12" ht="15.75">
      <c r="C78" s="68" t="s">
        <v>219</v>
      </c>
      <c r="D78" s="13">
        <f>SUM(D70:D77)</f>
        <v>0</v>
      </c>
      <c r="E78" s="13">
        <f>SUM(E70:E77)</f>
        <v>0</v>
      </c>
      <c r="F78" s="13">
        <f>SUM(F70:F77)</f>
        <v>61220</v>
      </c>
      <c r="G78" s="13">
        <f>SUM(G70:G77)</f>
        <v>61220</v>
      </c>
      <c r="H78" s="10">
        <f>(H70*G70)+(H71*G71)+(H72*G72)+(H73*G73)+(H74*G74)+(H75*G75)+(H76*G76)+(H77*G77)</f>
        <v>24488</v>
      </c>
      <c r="I78" s="114">
        <f>SUM(I70:I77)</f>
        <v>61220</v>
      </c>
      <c r="J78" s="130"/>
      <c r="K78" s="352"/>
      <c r="L78" s="29"/>
    </row>
    <row r="79" spans="2:12" ht="51" customHeight="1">
      <c r="B79" s="68" t="s">
        <v>269</v>
      </c>
      <c r="C79" s="441" t="s">
        <v>270</v>
      </c>
      <c r="D79" s="442"/>
      <c r="E79" s="442"/>
      <c r="F79" s="442"/>
      <c r="G79" s="442"/>
      <c r="H79" s="442"/>
      <c r="I79" s="442"/>
      <c r="J79" s="442"/>
      <c r="K79" s="443"/>
      <c r="L79" s="28"/>
    </row>
    <row r="80" spans="2:12" ht="78.75">
      <c r="B80" s="296" t="s">
        <v>271</v>
      </c>
      <c r="C80" s="138" t="s">
        <v>272</v>
      </c>
      <c r="D80" s="142"/>
      <c r="E80" s="142"/>
      <c r="F80" s="350">
        <v>41000</v>
      </c>
      <c r="G80" s="341">
        <f>SUM(D80:F80)</f>
        <v>41000</v>
      </c>
      <c r="H80" s="342">
        <v>0.3</v>
      </c>
      <c r="I80" s="346">
        <v>44325</v>
      </c>
      <c r="J80" s="350" t="s">
        <v>273</v>
      </c>
      <c r="K80" s="353"/>
      <c r="L80" s="314"/>
    </row>
    <row r="81" spans="2:12" ht="47.25">
      <c r="B81" s="296" t="s">
        <v>274</v>
      </c>
      <c r="C81" s="138" t="s">
        <v>275</v>
      </c>
      <c r="D81" s="142"/>
      <c r="E81" s="142"/>
      <c r="F81" s="350">
        <v>41000</v>
      </c>
      <c r="G81" s="341">
        <f aca="true" t="shared" si="8" ref="G81:G87">SUM(D81:F81)</f>
        <v>41000</v>
      </c>
      <c r="H81" s="342">
        <v>0.3</v>
      </c>
      <c r="I81" s="346">
        <v>44325</v>
      </c>
      <c r="J81" s="350" t="s">
        <v>276</v>
      </c>
      <c r="K81" s="353"/>
      <c r="L81" s="314"/>
    </row>
    <row r="82" spans="2:12" ht="15.75">
      <c r="B82" s="296" t="s">
        <v>277</v>
      </c>
      <c r="C82" s="138"/>
      <c r="D82" s="139"/>
      <c r="E82" s="139"/>
      <c r="F82" s="139"/>
      <c r="G82" s="341">
        <f t="shared" si="8"/>
        <v>0</v>
      </c>
      <c r="H82" s="342"/>
      <c r="I82" s="139">
        <v>0</v>
      </c>
      <c r="J82" s="141"/>
      <c r="K82" s="353"/>
      <c r="L82" s="314"/>
    </row>
    <row r="83" spans="2:12" ht="15.75">
      <c r="B83" s="296" t="s">
        <v>278</v>
      </c>
      <c r="C83" s="138"/>
      <c r="D83" s="139"/>
      <c r="E83" s="139"/>
      <c r="F83" s="139"/>
      <c r="G83" s="341">
        <f t="shared" si="8"/>
        <v>0</v>
      </c>
      <c r="H83" s="342"/>
      <c r="I83" s="139">
        <v>0</v>
      </c>
      <c r="J83" s="141"/>
      <c r="K83" s="353"/>
      <c r="L83" s="314"/>
    </row>
    <row r="84" spans="2:12" ht="15.75">
      <c r="B84" s="296" t="s">
        <v>279</v>
      </c>
      <c r="C84" s="138"/>
      <c r="D84" s="139"/>
      <c r="E84" s="139"/>
      <c r="F84" s="139"/>
      <c r="G84" s="341">
        <f t="shared" si="8"/>
        <v>0</v>
      </c>
      <c r="H84" s="342"/>
      <c r="I84" s="139">
        <v>0</v>
      </c>
      <c r="J84" s="141"/>
      <c r="K84" s="353"/>
      <c r="L84" s="314"/>
    </row>
    <row r="85" spans="2:12" ht="15.75">
      <c r="B85" s="296" t="s">
        <v>280</v>
      </c>
      <c r="C85" s="138"/>
      <c r="D85" s="139"/>
      <c r="E85" s="139"/>
      <c r="F85" s="139"/>
      <c r="G85" s="341">
        <f t="shared" si="8"/>
        <v>0</v>
      </c>
      <c r="H85" s="342"/>
      <c r="I85" s="139">
        <v>0</v>
      </c>
      <c r="J85" s="141"/>
      <c r="K85" s="353"/>
      <c r="L85" s="314"/>
    </row>
    <row r="86" spans="2:12" ht="15.75">
      <c r="B86" s="296" t="s">
        <v>281</v>
      </c>
      <c r="C86" s="140"/>
      <c r="D86" s="141"/>
      <c r="E86" s="141"/>
      <c r="F86" s="141"/>
      <c r="G86" s="341">
        <f t="shared" si="8"/>
        <v>0</v>
      </c>
      <c r="H86" s="351"/>
      <c r="I86" s="139">
        <v>0</v>
      </c>
      <c r="J86" s="141"/>
      <c r="K86" s="352"/>
      <c r="L86" s="314"/>
    </row>
    <row r="87" spans="2:12" ht="15.75">
      <c r="B87" s="296" t="s">
        <v>282</v>
      </c>
      <c r="C87" s="140"/>
      <c r="D87" s="141"/>
      <c r="E87" s="141"/>
      <c r="F87" s="141"/>
      <c r="G87" s="341">
        <f t="shared" si="8"/>
        <v>0</v>
      </c>
      <c r="H87" s="351"/>
      <c r="I87" s="139">
        <v>0</v>
      </c>
      <c r="J87" s="141"/>
      <c r="K87" s="352"/>
      <c r="L87" s="314"/>
    </row>
    <row r="88" spans="3:12" ht="15.75">
      <c r="C88" s="68" t="s">
        <v>219</v>
      </c>
      <c r="D88" s="10">
        <f>SUM(D80:D87)</f>
        <v>0</v>
      </c>
      <c r="E88" s="10">
        <f>SUM(E80:E87)</f>
        <v>0</v>
      </c>
      <c r="F88" s="10">
        <f>SUM(F80:F87)</f>
        <v>82000</v>
      </c>
      <c r="G88" s="10">
        <f>SUM(G80:G87)</f>
        <v>82000</v>
      </c>
      <c r="H88" s="10">
        <f>(H80*G80)+(H81*G81)+(H82*G82)+(H83*G83)+(H84*G84)+(H85*G85)+(H86*G86)+(H87*G87)</f>
        <v>24600</v>
      </c>
      <c r="I88" s="114">
        <f>SUM(I80:I87)</f>
        <v>88650</v>
      </c>
      <c r="J88" s="130"/>
      <c r="K88" s="352"/>
      <c r="L88" s="29"/>
    </row>
    <row r="89" spans="2:12" ht="15.75" customHeight="1">
      <c r="B89" s="4"/>
      <c r="C89" s="355"/>
      <c r="D89" s="359"/>
      <c r="E89" s="359"/>
      <c r="F89" s="359"/>
      <c r="G89" s="359"/>
      <c r="H89" s="359"/>
      <c r="I89" s="359"/>
      <c r="J89" s="359"/>
      <c r="K89" s="355"/>
      <c r="L89" s="2"/>
    </row>
    <row r="90" spans="2:12" ht="51" customHeight="1">
      <c r="B90" s="68" t="s">
        <v>283</v>
      </c>
      <c r="C90" s="447" t="s">
        <v>284</v>
      </c>
      <c r="D90" s="448"/>
      <c r="E90" s="448"/>
      <c r="F90" s="448"/>
      <c r="G90" s="448"/>
      <c r="H90" s="448"/>
      <c r="I90" s="448"/>
      <c r="J90" s="448"/>
      <c r="K90" s="449"/>
      <c r="L90" s="9"/>
    </row>
    <row r="91" spans="2:12" ht="51" customHeight="1">
      <c r="B91" s="68" t="s">
        <v>158</v>
      </c>
      <c r="C91" s="444" t="s">
        <v>285</v>
      </c>
      <c r="D91" s="445"/>
      <c r="E91" s="445"/>
      <c r="F91" s="445"/>
      <c r="G91" s="445"/>
      <c r="H91" s="445"/>
      <c r="I91" s="445"/>
      <c r="J91" s="445"/>
      <c r="K91" s="446"/>
      <c r="L91" s="28"/>
    </row>
    <row r="92" spans="2:12" ht="78.75">
      <c r="B92" s="296" t="s">
        <v>157</v>
      </c>
      <c r="C92" s="138" t="s">
        <v>286</v>
      </c>
      <c r="D92" s="139">
        <v>984</v>
      </c>
      <c r="E92" s="139"/>
      <c r="F92" s="139"/>
      <c r="G92" s="341">
        <f>SUM(D92:F92)</f>
        <v>984</v>
      </c>
      <c r="H92" s="342">
        <v>0.5</v>
      </c>
      <c r="I92" s="139">
        <v>264</v>
      </c>
      <c r="J92" s="141" t="s">
        <v>287</v>
      </c>
      <c r="K92" s="353"/>
      <c r="L92" s="314"/>
    </row>
    <row r="93" spans="2:12" ht="63">
      <c r="B93" s="296" t="s">
        <v>161</v>
      </c>
      <c r="C93" s="138" t="s">
        <v>160</v>
      </c>
      <c r="D93" s="139">
        <v>5904</v>
      </c>
      <c r="E93" s="139"/>
      <c r="F93" s="139"/>
      <c r="G93" s="341">
        <f aca="true" t="shared" si="9" ref="G93:G99">SUM(D93:F93)</f>
        <v>5904</v>
      </c>
      <c r="H93" s="342">
        <v>0.5</v>
      </c>
      <c r="I93" s="139">
        <v>0</v>
      </c>
      <c r="J93" s="141" t="s">
        <v>287</v>
      </c>
      <c r="K93" s="353"/>
      <c r="L93" s="314"/>
    </row>
    <row r="94" spans="2:12" ht="63">
      <c r="B94" s="296" t="s">
        <v>164</v>
      </c>
      <c r="C94" s="138" t="s">
        <v>163</v>
      </c>
      <c r="D94" s="139">
        <v>1425.5</v>
      </c>
      <c r="E94" s="139"/>
      <c r="F94" s="139"/>
      <c r="G94" s="341">
        <f t="shared" si="9"/>
        <v>1425.5</v>
      </c>
      <c r="H94" s="342"/>
      <c r="I94" s="139">
        <v>0</v>
      </c>
      <c r="J94" s="141"/>
      <c r="K94" s="353"/>
      <c r="L94" s="314"/>
    </row>
    <row r="95" spans="2:12" ht="63">
      <c r="B95" s="296" t="s">
        <v>167</v>
      </c>
      <c r="C95" s="138" t="s">
        <v>166</v>
      </c>
      <c r="D95" s="139">
        <v>984</v>
      </c>
      <c r="E95" s="139"/>
      <c r="F95" s="139"/>
      <c r="G95" s="341">
        <f t="shared" si="9"/>
        <v>984</v>
      </c>
      <c r="H95" s="342"/>
      <c r="I95" s="139">
        <v>0</v>
      </c>
      <c r="J95" s="141"/>
      <c r="K95" s="353"/>
      <c r="L95" s="314"/>
    </row>
    <row r="96" spans="2:12" ht="94.5">
      <c r="B96" s="296" t="s">
        <v>170</v>
      </c>
      <c r="C96" s="138" t="s">
        <v>169</v>
      </c>
      <c r="D96" s="139">
        <v>1968</v>
      </c>
      <c r="E96" s="139"/>
      <c r="F96" s="139"/>
      <c r="G96" s="341">
        <f t="shared" si="9"/>
        <v>1968</v>
      </c>
      <c r="H96" s="342">
        <v>0.2</v>
      </c>
      <c r="I96" s="139">
        <v>0</v>
      </c>
      <c r="J96" s="141" t="s">
        <v>287</v>
      </c>
      <c r="K96" s="353"/>
      <c r="L96" s="314"/>
    </row>
    <row r="97" spans="2:12" ht="47.25">
      <c r="B97" s="296" t="s">
        <v>173</v>
      </c>
      <c r="C97" s="138" t="s">
        <v>172</v>
      </c>
      <c r="D97" s="139">
        <v>7872</v>
      </c>
      <c r="E97" s="139"/>
      <c r="F97" s="139"/>
      <c r="G97" s="341">
        <f t="shared" si="9"/>
        <v>7872</v>
      </c>
      <c r="H97" s="342"/>
      <c r="I97" s="139">
        <v>632.45</v>
      </c>
      <c r="J97" s="141"/>
      <c r="K97" s="353"/>
      <c r="L97" s="314"/>
    </row>
    <row r="98" spans="2:12" ht="31.5">
      <c r="B98" s="296" t="s">
        <v>176</v>
      </c>
      <c r="C98" s="140" t="s">
        <v>175</v>
      </c>
      <c r="D98" s="141">
        <v>984</v>
      </c>
      <c r="E98" s="141"/>
      <c r="F98" s="141"/>
      <c r="G98" s="341">
        <f t="shared" si="9"/>
        <v>984</v>
      </c>
      <c r="H98" s="351"/>
      <c r="I98" s="139">
        <v>855</v>
      </c>
      <c r="J98" s="141"/>
      <c r="K98" s="352"/>
      <c r="L98" s="314"/>
    </row>
    <row r="99" spans="2:12" ht="31.5">
      <c r="B99" s="296" t="s">
        <v>179</v>
      </c>
      <c r="C99" s="140" t="s">
        <v>178</v>
      </c>
      <c r="D99" s="141">
        <v>984</v>
      </c>
      <c r="E99" s="141"/>
      <c r="F99" s="141"/>
      <c r="G99" s="341">
        <f t="shared" si="9"/>
        <v>984</v>
      </c>
      <c r="H99" s="351"/>
      <c r="I99" s="139">
        <v>600</v>
      </c>
      <c r="J99" s="141"/>
      <c r="K99" s="352"/>
      <c r="L99" s="314"/>
    </row>
    <row r="100" spans="3:12" ht="15.75">
      <c r="C100" s="68" t="s">
        <v>219</v>
      </c>
      <c r="D100" s="10">
        <f>SUM(D92:D99)</f>
        <v>21105.5</v>
      </c>
      <c r="E100" s="10">
        <f>SUM(E92:E99)</f>
        <v>0</v>
      </c>
      <c r="F100" s="10">
        <f>SUM(F92:F99)</f>
        <v>0</v>
      </c>
      <c r="G100" s="13">
        <f>SUM(G92:G99)</f>
        <v>21105.5</v>
      </c>
      <c r="H100" s="10">
        <f>(H92*G92)+(H93*G93)+(H94*G94)+(H95*G95)+(H96*G96)+(H97*G97)+(H98*G98)+(H99*G99)</f>
        <v>3837.6</v>
      </c>
      <c r="I100" s="114">
        <f>SUM(I92:I99)</f>
        <v>2351.45</v>
      </c>
      <c r="J100" s="130"/>
      <c r="K100" s="352"/>
      <c r="L100" s="29"/>
    </row>
    <row r="101" spans="2:12" ht="51" customHeight="1">
      <c r="B101" s="68" t="s">
        <v>288</v>
      </c>
      <c r="C101" s="441" t="s">
        <v>289</v>
      </c>
      <c r="D101" s="442"/>
      <c r="E101" s="442"/>
      <c r="F101" s="442"/>
      <c r="G101" s="442"/>
      <c r="H101" s="442"/>
      <c r="I101" s="442"/>
      <c r="J101" s="442"/>
      <c r="K101" s="443"/>
      <c r="L101" s="28"/>
    </row>
    <row r="102" spans="2:12" ht="126">
      <c r="B102" s="296" t="s">
        <v>290</v>
      </c>
      <c r="C102" s="138" t="s">
        <v>291</v>
      </c>
      <c r="D102" s="142"/>
      <c r="E102" s="142"/>
      <c r="F102" s="350">
        <v>178000</v>
      </c>
      <c r="G102" s="341">
        <f>SUM(D102:F102)</f>
        <v>178000</v>
      </c>
      <c r="H102" s="143">
        <v>0.4</v>
      </c>
      <c r="I102" s="350">
        <v>171350</v>
      </c>
      <c r="J102" s="350" t="s">
        <v>292</v>
      </c>
      <c r="K102" s="353"/>
      <c r="L102" s="314"/>
    </row>
    <row r="103" spans="2:12" ht="63">
      <c r="B103" s="296" t="s">
        <v>293</v>
      </c>
      <c r="C103" s="138" t="s">
        <v>294</v>
      </c>
      <c r="D103" s="142"/>
      <c r="E103" s="142"/>
      <c r="F103" s="350">
        <v>14760</v>
      </c>
      <c r="G103" s="341">
        <f aca="true" t="shared" si="10" ref="G103:G109">SUM(D103:F103)</f>
        <v>14760</v>
      </c>
      <c r="H103" s="143">
        <v>0.8</v>
      </c>
      <c r="I103" s="350">
        <v>14760</v>
      </c>
      <c r="J103" s="350" t="s">
        <v>295</v>
      </c>
      <c r="K103" s="353"/>
      <c r="L103" s="314"/>
    </row>
    <row r="104" spans="2:12" ht="15.75">
      <c r="B104" s="296" t="s">
        <v>296</v>
      </c>
      <c r="C104" s="138"/>
      <c r="D104" s="139"/>
      <c r="E104" s="139"/>
      <c r="F104" s="139"/>
      <c r="G104" s="341">
        <f t="shared" si="10"/>
        <v>0</v>
      </c>
      <c r="H104" s="342"/>
      <c r="I104" s="139">
        <v>0</v>
      </c>
      <c r="J104" s="141"/>
      <c r="K104" s="353"/>
      <c r="L104" s="314"/>
    </row>
    <row r="105" spans="2:12" ht="15.75">
      <c r="B105" s="296" t="s">
        <v>297</v>
      </c>
      <c r="C105" s="138"/>
      <c r="D105" s="139"/>
      <c r="E105" s="139"/>
      <c r="F105" s="139"/>
      <c r="G105" s="341">
        <f t="shared" si="10"/>
        <v>0</v>
      </c>
      <c r="H105" s="342"/>
      <c r="I105" s="139">
        <v>0</v>
      </c>
      <c r="J105" s="141"/>
      <c r="K105" s="353"/>
      <c r="L105" s="314"/>
    </row>
    <row r="106" spans="2:12" ht="15.75">
      <c r="B106" s="296" t="s">
        <v>298</v>
      </c>
      <c r="C106" s="138"/>
      <c r="D106" s="139"/>
      <c r="E106" s="139"/>
      <c r="F106" s="139"/>
      <c r="G106" s="341">
        <f t="shared" si="10"/>
        <v>0</v>
      </c>
      <c r="H106" s="342"/>
      <c r="I106" s="139">
        <v>0</v>
      </c>
      <c r="J106" s="141"/>
      <c r="K106" s="353"/>
      <c r="L106" s="314"/>
    </row>
    <row r="107" spans="2:12" ht="15.75">
      <c r="B107" s="296" t="s">
        <v>299</v>
      </c>
      <c r="C107" s="138"/>
      <c r="D107" s="139"/>
      <c r="E107" s="139"/>
      <c r="F107" s="139"/>
      <c r="G107" s="341">
        <f t="shared" si="10"/>
        <v>0</v>
      </c>
      <c r="H107" s="342"/>
      <c r="I107" s="139">
        <v>0</v>
      </c>
      <c r="J107" s="141"/>
      <c r="K107" s="353"/>
      <c r="L107" s="314"/>
    </row>
    <row r="108" spans="2:12" ht="15.75">
      <c r="B108" s="296" t="s">
        <v>300</v>
      </c>
      <c r="C108" s="140"/>
      <c r="D108" s="141"/>
      <c r="E108" s="141"/>
      <c r="F108" s="141"/>
      <c r="G108" s="341">
        <f t="shared" si="10"/>
        <v>0</v>
      </c>
      <c r="H108" s="351"/>
      <c r="I108" s="139">
        <v>0</v>
      </c>
      <c r="J108" s="141"/>
      <c r="K108" s="352"/>
      <c r="L108" s="314"/>
    </row>
    <row r="109" spans="2:12" ht="15.75">
      <c r="B109" s="296" t="s">
        <v>301</v>
      </c>
      <c r="C109" s="140"/>
      <c r="D109" s="141"/>
      <c r="E109" s="141"/>
      <c r="F109" s="141"/>
      <c r="G109" s="341">
        <f t="shared" si="10"/>
        <v>0</v>
      </c>
      <c r="H109" s="351"/>
      <c r="I109" s="139">
        <v>0</v>
      </c>
      <c r="J109" s="141"/>
      <c r="K109" s="352"/>
      <c r="L109" s="314"/>
    </row>
    <row r="110" spans="3:12" ht="15.75">
      <c r="C110" s="68" t="s">
        <v>219</v>
      </c>
      <c r="D110" s="13">
        <f>SUM(D102:D109)</f>
        <v>0</v>
      </c>
      <c r="E110" s="13">
        <f>SUM(E102:E109)</f>
        <v>0</v>
      </c>
      <c r="F110" s="13">
        <f>SUM(F102:F109)</f>
        <v>192760</v>
      </c>
      <c r="G110" s="13">
        <f>SUM(G102:G109)</f>
        <v>192760</v>
      </c>
      <c r="H110" s="10">
        <f>(H102*G102)+(H103*G103)+(H104*G104)+(H105*G105)+(H106*G106)+(H107*G107)+(H108*G108)+(H109*G109)</f>
        <v>83008</v>
      </c>
      <c r="I110" s="114">
        <f>SUM(I102:I109)</f>
        <v>186110</v>
      </c>
      <c r="J110" s="130"/>
      <c r="K110" s="352"/>
      <c r="L110" s="29"/>
    </row>
    <row r="111" spans="2:12" ht="51" customHeight="1">
      <c r="B111" s="68" t="s">
        <v>302</v>
      </c>
      <c r="C111" s="444"/>
      <c r="D111" s="445"/>
      <c r="E111" s="445"/>
      <c r="F111" s="445"/>
      <c r="G111" s="445"/>
      <c r="H111" s="445"/>
      <c r="I111" s="445"/>
      <c r="J111" s="445"/>
      <c r="K111" s="446"/>
      <c r="L111" s="28"/>
    </row>
    <row r="112" spans="2:12" ht="15.75">
      <c r="B112" s="296" t="s">
        <v>303</v>
      </c>
      <c r="C112" s="138"/>
      <c r="D112" s="139"/>
      <c r="E112" s="139"/>
      <c r="F112" s="139"/>
      <c r="G112" s="341">
        <f>SUM(D112:F112)</f>
        <v>0</v>
      </c>
      <c r="H112" s="342"/>
      <c r="I112" s="139">
        <v>0</v>
      </c>
      <c r="J112" s="141"/>
      <c r="K112" s="353"/>
      <c r="L112" s="314"/>
    </row>
    <row r="113" spans="2:12" ht="15.75">
      <c r="B113" s="296" t="s">
        <v>304</v>
      </c>
      <c r="C113" s="138"/>
      <c r="D113" s="139"/>
      <c r="E113" s="139"/>
      <c r="F113" s="139"/>
      <c r="G113" s="341">
        <f aca="true" t="shared" si="11" ref="G113:G119">SUM(D113:F113)</f>
        <v>0</v>
      </c>
      <c r="H113" s="342"/>
      <c r="I113" s="139">
        <v>0</v>
      </c>
      <c r="J113" s="141"/>
      <c r="K113" s="353"/>
      <c r="L113" s="314"/>
    </row>
    <row r="114" spans="2:12" ht="15.75">
      <c r="B114" s="296" t="s">
        <v>305</v>
      </c>
      <c r="C114" s="138"/>
      <c r="D114" s="139"/>
      <c r="E114" s="139"/>
      <c r="F114" s="139"/>
      <c r="G114" s="341">
        <f t="shared" si="11"/>
        <v>0</v>
      </c>
      <c r="H114" s="342"/>
      <c r="I114" s="139">
        <v>0</v>
      </c>
      <c r="J114" s="141"/>
      <c r="K114" s="353"/>
      <c r="L114" s="314"/>
    </row>
    <row r="115" spans="2:12" ht="15.75">
      <c r="B115" s="296" t="s">
        <v>306</v>
      </c>
      <c r="C115" s="138"/>
      <c r="D115" s="139"/>
      <c r="E115" s="139"/>
      <c r="F115" s="139"/>
      <c r="G115" s="341">
        <f t="shared" si="11"/>
        <v>0</v>
      </c>
      <c r="H115" s="342"/>
      <c r="I115" s="139">
        <v>0</v>
      </c>
      <c r="J115" s="141"/>
      <c r="K115" s="353"/>
      <c r="L115" s="314"/>
    </row>
    <row r="116" spans="2:12" ht="15.75">
      <c r="B116" s="296" t="s">
        <v>307</v>
      </c>
      <c r="C116" s="138"/>
      <c r="D116" s="139"/>
      <c r="E116" s="139"/>
      <c r="F116" s="139"/>
      <c r="G116" s="341">
        <f t="shared" si="11"/>
        <v>0</v>
      </c>
      <c r="H116" s="342"/>
      <c r="I116" s="139">
        <v>0</v>
      </c>
      <c r="J116" s="141"/>
      <c r="K116" s="353"/>
      <c r="L116" s="314"/>
    </row>
    <row r="117" spans="2:12" ht="15.75">
      <c r="B117" s="296" t="s">
        <v>308</v>
      </c>
      <c r="C117" s="138"/>
      <c r="D117" s="139"/>
      <c r="E117" s="139"/>
      <c r="F117" s="139"/>
      <c r="G117" s="341">
        <f t="shared" si="11"/>
        <v>0</v>
      </c>
      <c r="H117" s="342"/>
      <c r="I117" s="139">
        <v>0</v>
      </c>
      <c r="J117" s="141"/>
      <c r="K117" s="353"/>
      <c r="L117" s="314"/>
    </row>
    <row r="118" spans="2:12" ht="15.75">
      <c r="B118" s="296" t="s">
        <v>309</v>
      </c>
      <c r="C118" s="140"/>
      <c r="D118" s="141"/>
      <c r="E118" s="141"/>
      <c r="F118" s="141"/>
      <c r="G118" s="341">
        <f t="shared" si="11"/>
        <v>0</v>
      </c>
      <c r="H118" s="351"/>
      <c r="I118" s="139">
        <v>0</v>
      </c>
      <c r="J118" s="141"/>
      <c r="K118" s="352"/>
      <c r="L118" s="314"/>
    </row>
    <row r="119" spans="2:12" ht="15.75">
      <c r="B119" s="296" t="s">
        <v>310</v>
      </c>
      <c r="C119" s="140"/>
      <c r="D119" s="141"/>
      <c r="E119" s="141"/>
      <c r="F119" s="141"/>
      <c r="G119" s="341">
        <f t="shared" si="11"/>
        <v>0</v>
      </c>
      <c r="H119" s="351"/>
      <c r="I119" s="139">
        <v>0</v>
      </c>
      <c r="J119" s="141"/>
      <c r="K119" s="352"/>
      <c r="L119" s="314"/>
    </row>
    <row r="120" spans="3:12" ht="15.75">
      <c r="C120" s="68" t="s">
        <v>219</v>
      </c>
      <c r="D120" s="13">
        <f>SUM(D112:D119)</f>
        <v>0</v>
      </c>
      <c r="E120" s="13">
        <f>SUM(E112:E119)</f>
        <v>0</v>
      </c>
      <c r="F120" s="13">
        <f>SUM(F112:F119)</f>
        <v>0</v>
      </c>
      <c r="G120" s="13">
        <f>SUM(G112:G119)</f>
        <v>0</v>
      </c>
      <c r="H120" s="10">
        <f>(H112*G112)+(H113*G113)+(H114*G114)+(H115*G115)+(H116*G116)+(H117*G117)+(H118*G118)+(H119*G119)</f>
        <v>0</v>
      </c>
      <c r="I120" s="114">
        <f>SUM(I112:I119)</f>
        <v>0</v>
      </c>
      <c r="J120" s="130"/>
      <c r="K120" s="352"/>
      <c r="L120" s="29"/>
    </row>
    <row r="121" spans="2:12" ht="51" customHeight="1">
      <c r="B121" s="68" t="s">
        <v>311</v>
      </c>
      <c r="C121" s="444"/>
      <c r="D121" s="445"/>
      <c r="E121" s="445"/>
      <c r="F121" s="445"/>
      <c r="G121" s="445"/>
      <c r="H121" s="445"/>
      <c r="I121" s="445"/>
      <c r="J121" s="445"/>
      <c r="K121" s="446"/>
      <c r="L121" s="28"/>
    </row>
    <row r="122" spans="2:12" ht="15.75">
      <c r="B122" s="296" t="s">
        <v>312</v>
      </c>
      <c r="C122" s="138"/>
      <c r="D122" s="139"/>
      <c r="E122" s="139"/>
      <c r="F122" s="139"/>
      <c r="G122" s="341">
        <f>SUM(D122:F122)</f>
        <v>0</v>
      </c>
      <c r="H122" s="342"/>
      <c r="I122" s="139">
        <v>0</v>
      </c>
      <c r="J122" s="141"/>
      <c r="K122" s="353"/>
      <c r="L122" s="314"/>
    </row>
    <row r="123" spans="2:12" ht="15.75">
      <c r="B123" s="296" t="s">
        <v>313</v>
      </c>
      <c r="C123" s="138"/>
      <c r="D123" s="139"/>
      <c r="E123" s="139"/>
      <c r="F123" s="139"/>
      <c r="G123" s="341">
        <f aca="true" t="shared" si="12" ref="G123:G129">SUM(D123:F123)</f>
        <v>0</v>
      </c>
      <c r="H123" s="342"/>
      <c r="I123" s="139">
        <v>0</v>
      </c>
      <c r="J123" s="141"/>
      <c r="K123" s="353"/>
      <c r="L123" s="314"/>
    </row>
    <row r="124" spans="2:12" ht="15.75">
      <c r="B124" s="296" t="s">
        <v>314</v>
      </c>
      <c r="C124" s="138"/>
      <c r="D124" s="139"/>
      <c r="E124" s="139"/>
      <c r="F124" s="139"/>
      <c r="G124" s="341">
        <f t="shared" si="12"/>
        <v>0</v>
      </c>
      <c r="H124" s="342"/>
      <c r="I124" s="139">
        <v>0</v>
      </c>
      <c r="J124" s="141"/>
      <c r="K124" s="353"/>
      <c r="L124" s="314"/>
    </row>
    <row r="125" spans="2:12" ht="15.75">
      <c r="B125" s="296" t="s">
        <v>315</v>
      </c>
      <c r="C125" s="138"/>
      <c r="D125" s="139"/>
      <c r="E125" s="139"/>
      <c r="F125" s="139"/>
      <c r="G125" s="341">
        <f t="shared" si="12"/>
        <v>0</v>
      </c>
      <c r="H125" s="342"/>
      <c r="I125" s="139">
        <v>0</v>
      </c>
      <c r="J125" s="141"/>
      <c r="K125" s="353"/>
      <c r="L125" s="314"/>
    </row>
    <row r="126" spans="2:12" ht="15.75">
      <c r="B126" s="296" t="s">
        <v>316</v>
      </c>
      <c r="C126" s="138"/>
      <c r="D126" s="139"/>
      <c r="E126" s="139"/>
      <c r="F126" s="139"/>
      <c r="G126" s="341">
        <f t="shared" si="12"/>
        <v>0</v>
      </c>
      <c r="H126" s="342"/>
      <c r="I126" s="139">
        <v>0</v>
      </c>
      <c r="J126" s="141"/>
      <c r="K126" s="353"/>
      <c r="L126" s="314"/>
    </row>
    <row r="127" spans="2:12" ht="15.75">
      <c r="B127" s="296" t="s">
        <v>317</v>
      </c>
      <c r="C127" s="138"/>
      <c r="D127" s="139"/>
      <c r="E127" s="139"/>
      <c r="F127" s="139"/>
      <c r="G127" s="341">
        <f t="shared" si="12"/>
        <v>0</v>
      </c>
      <c r="H127" s="342"/>
      <c r="I127" s="139">
        <v>0</v>
      </c>
      <c r="J127" s="141"/>
      <c r="K127" s="353"/>
      <c r="L127" s="314"/>
    </row>
    <row r="128" spans="2:12" ht="15.75">
      <c r="B128" s="296" t="s">
        <v>318</v>
      </c>
      <c r="C128" s="140"/>
      <c r="D128" s="141"/>
      <c r="E128" s="141"/>
      <c r="F128" s="141"/>
      <c r="G128" s="341">
        <f t="shared" si="12"/>
        <v>0</v>
      </c>
      <c r="H128" s="351"/>
      <c r="I128" s="139">
        <v>0</v>
      </c>
      <c r="J128" s="141"/>
      <c r="K128" s="352"/>
      <c r="L128" s="314"/>
    </row>
    <row r="129" spans="2:12" ht="15.75">
      <c r="B129" s="296" t="s">
        <v>319</v>
      </c>
      <c r="C129" s="140"/>
      <c r="D129" s="141"/>
      <c r="E129" s="141"/>
      <c r="F129" s="141"/>
      <c r="G129" s="341">
        <f t="shared" si="12"/>
        <v>0</v>
      </c>
      <c r="H129" s="351"/>
      <c r="I129" s="139">
        <v>0</v>
      </c>
      <c r="J129" s="141"/>
      <c r="K129" s="352"/>
      <c r="L129" s="314"/>
    </row>
    <row r="130" spans="3:12" ht="15.75">
      <c r="C130" s="68" t="s">
        <v>219</v>
      </c>
      <c r="D130" s="10">
        <f>SUM(D122:D129)</f>
        <v>0</v>
      </c>
      <c r="E130" s="10">
        <f>SUM(E122:E129)</f>
        <v>0</v>
      </c>
      <c r="F130" s="10">
        <f>SUM(F122:F129)</f>
        <v>0</v>
      </c>
      <c r="G130" s="10">
        <f>SUM(G122:G129)</f>
        <v>0</v>
      </c>
      <c r="H130" s="10">
        <f>(H122*G122)+(H123*G123)+(H124*G124)+(H125*G125)+(H126*G126)+(H127*G127)+(H128*G128)+(H129*G129)</f>
        <v>0</v>
      </c>
      <c r="I130" s="114">
        <f>SUM(I122:I129)</f>
        <v>0</v>
      </c>
      <c r="J130" s="130"/>
      <c r="K130" s="352"/>
      <c r="L130" s="29"/>
    </row>
    <row r="131" spans="2:12" ht="15.75" customHeight="1">
      <c r="B131" s="4"/>
      <c r="C131" s="355"/>
      <c r="D131" s="359"/>
      <c r="E131" s="359"/>
      <c r="F131" s="359"/>
      <c r="G131" s="359"/>
      <c r="H131" s="359"/>
      <c r="I131" s="359"/>
      <c r="J131" s="359"/>
      <c r="K131" s="360"/>
      <c r="L131" s="2"/>
    </row>
    <row r="132" spans="2:12" ht="51" customHeight="1">
      <c r="B132" s="68" t="s">
        <v>320</v>
      </c>
      <c r="C132" s="447"/>
      <c r="D132" s="448"/>
      <c r="E132" s="448"/>
      <c r="F132" s="448"/>
      <c r="G132" s="448"/>
      <c r="H132" s="448"/>
      <c r="I132" s="448"/>
      <c r="J132" s="448"/>
      <c r="K132" s="449"/>
      <c r="L132" s="9"/>
    </row>
    <row r="133" spans="2:12" ht="51" customHeight="1">
      <c r="B133" s="68" t="s">
        <v>321</v>
      </c>
      <c r="C133" s="444"/>
      <c r="D133" s="445"/>
      <c r="E133" s="445"/>
      <c r="F133" s="445"/>
      <c r="G133" s="445"/>
      <c r="H133" s="445"/>
      <c r="I133" s="445"/>
      <c r="J133" s="445"/>
      <c r="K133" s="446"/>
      <c r="L133" s="28"/>
    </row>
    <row r="134" spans="2:12" ht="15.75">
      <c r="B134" s="296" t="s">
        <v>322</v>
      </c>
      <c r="C134" s="138"/>
      <c r="D134" s="139"/>
      <c r="E134" s="139"/>
      <c r="F134" s="139"/>
      <c r="G134" s="341">
        <f>SUM(D134:F134)</f>
        <v>0</v>
      </c>
      <c r="H134" s="342"/>
      <c r="I134" s="139">
        <v>0</v>
      </c>
      <c r="J134" s="141"/>
      <c r="K134" s="353"/>
      <c r="L134" s="314"/>
    </row>
    <row r="135" spans="2:12" ht="15.75">
      <c r="B135" s="296" t="s">
        <v>323</v>
      </c>
      <c r="C135" s="138"/>
      <c r="D135" s="139"/>
      <c r="E135" s="139"/>
      <c r="F135" s="139"/>
      <c r="G135" s="341">
        <f aca="true" t="shared" si="13" ref="G135:G141">SUM(D135:F135)</f>
        <v>0</v>
      </c>
      <c r="H135" s="342"/>
      <c r="I135" s="139">
        <v>0</v>
      </c>
      <c r="J135" s="141"/>
      <c r="K135" s="353"/>
      <c r="L135" s="314"/>
    </row>
    <row r="136" spans="2:12" ht="15.75">
      <c r="B136" s="296" t="s">
        <v>324</v>
      </c>
      <c r="C136" s="138"/>
      <c r="D136" s="139"/>
      <c r="E136" s="139"/>
      <c r="F136" s="139"/>
      <c r="G136" s="341">
        <f t="shared" si="13"/>
        <v>0</v>
      </c>
      <c r="H136" s="342"/>
      <c r="I136" s="139">
        <v>0</v>
      </c>
      <c r="J136" s="141"/>
      <c r="K136" s="353"/>
      <c r="L136" s="314"/>
    </row>
    <row r="137" spans="2:12" ht="15.75">
      <c r="B137" s="296" t="s">
        <v>325</v>
      </c>
      <c r="C137" s="138"/>
      <c r="D137" s="139"/>
      <c r="E137" s="139"/>
      <c r="F137" s="139"/>
      <c r="G137" s="341">
        <f t="shared" si="13"/>
        <v>0</v>
      </c>
      <c r="H137" s="342"/>
      <c r="I137" s="139">
        <v>0</v>
      </c>
      <c r="J137" s="141"/>
      <c r="K137" s="353"/>
      <c r="L137" s="314"/>
    </row>
    <row r="138" spans="2:12" ht="15.75">
      <c r="B138" s="296" t="s">
        <v>326</v>
      </c>
      <c r="C138" s="138"/>
      <c r="D138" s="139"/>
      <c r="E138" s="139"/>
      <c r="F138" s="139"/>
      <c r="G138" s="341">
        <f t="shared" si="13"/>
        <v>0</v>
      </c>
      <c r="H138" s="342"/>
      <c r="I138" s="139">
        <v>0</v>
      </c>
      <c r="J138" s="141"/>
      <c r="K138" s="353"/>
      <c r="L138" s="314"/>
    </row>
    <row r="139" spans="2:12" ht="15.75">
      <c r="B139" s="296" t="s">
        <v>327</v>
      </c>
      <c r="C139" s="138"/>
      <c r="D139" s="139"/>
      <c r="E139" s="139"/>
      <c r="F139" s="139"/>
      <c r="G139" s="341">
        <f t="shared" si="13"/>
        <v>0</v>
      </c>
      <c r="H139" s="342"/>
      <c r="I139" s="139">
        <v>0</v>
      </c>
      <c r="J139" s="141"/>
      <c r="K139" s="353"/>
      <c r="L139" s="314"/>
    </row>
    <row r="140" spans="2:12" ht="15.75">
      <c r="B140" s="296" t="s">
        <v>328</v>
      </c>
      <c r="C140" s="140"/>
      <c r="D140" s="141"/>
      <c r="E140" s="141"/>
      <c r="F140" s="141"/>
      <c r="G140" s="341">
        <f t="shared" si="13"/>
        <v>0</v>
      </c>
      <c r="H140" s="351"/>
      <c r="I140" s="139">
        <v>0</v>
      </c>
      <c r="J140" s="141"/>
      <c r="K140" s="352"/>
      <c r="L140" s="314"/>
    </row>
    <row r="141" spans="2:12" ht="15.75">
      <c r="B141" s="296" t="s">
        <v>329</v>
      </c>
      <c r="C141" s="140"/>
      <c r="D141" s="141"/>
      <c r="E141" s="141"/>
      <c r="F141" s="141"/>
      <c r="G141" s="341">
        <f t="shared" si="13"/>
        <v>0</v>
      </c>
      <c r="H141" s="351"/>
      <c r="I141" s="139">
        <v>0</v>
      </c>
      <c r="J141" s="141"/>
      <c r="K141" s="352"/>
      <c r="L141" s="314"/>
    </row>
    <row r="142" spans="3:12" ht="15.75">
      <c r="C142" s="68" t="s">
        <v>219</v>
      </c>
      <c r="D142" s="10">
        <f>SUM(D134:D141)</f>
        <v>0</v>
      </c>
      <c r="E142" s="10">
        <f>SUM(E134:E141)</f>
        <v>0</v>
      </c>
      <c r="F142" s="10">
        <f>SUM(F134:F141)</f>
        <v>0</v>
      </c>
      <c r="G142" s="13">
        <f>SUM(G134:G141)</f>
        <v>0</v>
      </c>
      <c r="H142" s="10">
        <f>(H134*G134)+(H135*G135)+(H136*G136)+(H137*G137)+(H138*G138)+(H139*G139)+(H140*G140)+(H141*G141)</f>
        <v>0</v>
      </c>
      <c r="I142" s="114">
        <f>SUM(I134:I141)</f>
        <v>0</v>
      </c>
      <c r="J142" s="130"/>
      <c r="K142" s="352"/>
      <c r="L142" s="29"/>
    </row>
    <row r="143" spans="2:12" ht="51" customHeight="1">
      <c r="B143" s="68" t="s">
        <v>330</v>
      </c>
      <c r="C143" s="444"/>
      <c r="D143" s="445"/>
      <c r="E143" s="445"/>
      <c r="F143" s="445"/>
      <c r="G143" s="445"/>
      <c r="H143" s="445"/>
      <c r="I143" s="445"/>
      <c r="J143" s="445"/>
      <c r="K143" s="446"/>
      <c r="L143" s="28"/>
    </row>
    <row r="144" spans="2:12" ht="15.75">
      <c r="B144" s="296" t="s">
        <v>331</v>
      </c>
      <c r="C144" s="138"/>
      <c r="D144" s="139"/>
      <c r="E144" s="139"/>
      <c r="F144" s="139"/>
      <c r="G144" s="341">
        <f>SUM(D144:F144)</f>
        <v>0</v>
      </c>
      <c r="H144" s="342"/>
      <c r="I144" s="139">
        <v>0</v>
      </c>
      <c r="J144" s="141"/>
      <c r="K144" s="353"/>
      <c r="L144" s="314"/>
    </row>
    <row r="145" spans="2:12" ht="15.75">
      <c r="B145" s="296" t="s">
        <v>332</v>
      </c>
      <c r="C145" s="138"/>
      <c r="D145" s="139"/>
      <c r="E145" s="139"/>
      <c r="F145" s="139"/>
      <c r="G145" s="341">
        <f aca="true" t="shared" si="14" ref="G145:G151">SUM(D145:F145)</f>
        <v>0</v>
      </c>
      <c r="H145" s="342"/>
      <c r="I145" s="139">
        <v>0</v>
      </c>
      <c r="J145" s="141"/>
      <c r="K145" s="353"/>
      <c r="L145" s="314"/>
    </row>
    <row r="146" spans="2:12" ht="15.75">
      <c r="B146" s="296" t="s">
        <v>333</v>
      </c>
      <c r="C146" s="138"/>
      <c r="D146" s="139"/>
      <c r="E146" s="139"/>
      <c r="F146" s="139"/>
      <c r="G146" s="341">
        <f t="shared" si="14"/>
        <v>0</v>
      </c>
      <c r="H146" s="342"/>
      <c r="I146" s="139">
        <v>0</v>
      </c>
      <c r="J146" s="141"/>
      <c r="K146" s="353"/>
      <c r="L146" s="314"/>
    </row>
    <row r="147" spans="2:12" ht="15.75">
      <c r="B147" s="296" t="s">
        <v>334</v>
      </c>
      <c r="C147" s="138"/>
      <c r="D147" s="139"/>
      <c r="E147" s="139"/>
      <c r="F147" s="139"/>
      <c r="G147" s="341">
        <f t="shared" si="14"/>
        <v>0</v>
      </c>
      <c r="H147" s="342"/>
      <c r="I147" s="139">
        <v>0</v>
      </c>
      <c r="J147" s="141"/>
      <c r="K147" s="353"/>
      <c r="L147" s="314"/>
    </row>
    <row r="148" spans="2:12" ht="15.75">
      <c r="B148" s="296" t="s">
        <v>335</v>
      </c>
      <c r="C148" s="138"/>
      <c r="D148" s="139"/>
      <c r="E148" s="139"/>
      <c r="F148" s="139"/>
      <c r="G148" s="341">
        <f t="shared" si="14"/>
        <v>0</v>
      </c>
      <c r="H148" s="342"/>
      <c r="I148" s="139">
        <v>0</v>
      </c>
      <c r="J148" s="141"/>
      <c r="K148" s="353"/>
      <c r="L148" s="314"/>
    </row>
    <row r="149" spans="2:12" ht="15.75">
      <c r="B149" s="296" t="s">
        <v>336</v>
      </c>
      <c r="C149" s="138"/>
      <c r="D149" s="139"/>
      <c r="E149" s="139"/>
      <c r="F149" s="139"/>
      <c r="G149" s="341">
        <f t="shared" si="14"/>
        <v>0</v>
      </c>
      <c r="H149" s="342"/>
      <c r="I149" s="139">
        <v>0</v>
      </c>
      <c r="J149" s="141"/>
      <c r="K149" s="353"/>
      <c r="L149" s="314"/>
    </row>
    <row r="150" spans="2:12" ht="15.75">
      <c r="B150" s="296" t="s">
        <v>337</v>
      </c>
      <c r="C150" s="140"/>
      <c r="D150" s="141"/>
      <c r="E150" s="141"/>
      <c r="F150" s="141"/>
      <c r="G150" s="341">
        <f t="shared" si="14"/>
        <v>0</v>
      </c>
      <c r="H150" s="351"/>
      <c r="I150" s="139">
        <v>0</v>
      </c>
      <c r="J150" s="141"/>
      <c r="K150" s="352"/>
      <c r="L150" s="314"/>
    </row>
    <row r="151" spans="2:12" ht="15.75">
      <c r="B151" s="296" t="s">
        <v>338</v>
      </c>
      <c r="C151" s="140"/>
      <c r="D151" s="141"/>
      <c r="E151" s="141"/>
      <c r="F151" s="141"/>
      <c r="G151" s="341">
        <f t="shared" si="14"/>
        <v>0</v>
      </c>
      <c r="H151" s="351"/>
      <c r="I151" s="139">
        <v>0</v>
      </c>
      <c r="J151" s="141"/>
      <c r="K151" s="352"/>
      <c r="L151" s="314"/>
    </row>
    <row r="152" spans="3:12" ht="15.75">
      <c r="C152" s="68" t="s">
        <v>219</v>
      </c>
      <c r="D152" s="13">
        <f>SUM(D144:D151)</f>
        <v>0</v>
      </c>
      <c r="E152" s="13">
        <f>SUM(E144:E151)</f>
        <v>0</v>
      </c>
      <c r="F152" s="13">
        <f>SUM(F144:F151)</f>
        <v>0</v>
      </c>
      <c r="G152" s="13">
        <f>SUM(G144:G151)</f>
        <v>0</v>
      </c>
      <c r="H152" s="10">
        <f>(H144*G144)+(H145*G145)+(H146*G146)+(H147*G147)+(H148*G148)+(H149*G149)+(H150*G150)+(H151*G151)</f>
        <v>0</v>
      </c>
      <c r="I152" s="114">
        <f>SUM(I144:I151)</f>
        <v>0</v>
      </c>
      <c r="J152" s="130"/>
      <c r="K152" s="352"/>
      <c r="L152" s="29"/>
    </row>
    <row r="153" spans="2:12" ht="51" customHeight="1">
      <c r="B153" s="68" t="s">
        <v>339</v>
      </c>
      <c r="C153" s="444"/>
      <c r="D153" s="445"/>
      <c r="E153" s="445"/>
      <c r="F153" s="445"/>
      <c r="G153" s="445"/>
      <c r="H153" s="445"/>
      <c r="I153" s="445"/>
      <c r="J153" s="445"/>
      <c r="K153" s="446"/>
      <c r="L153" s="28"/>
    </row>
    <row r="154" spans="2:12" ht="15.75">
      <c r="B154" s="296" t="s">
        <v>340</v>
      </c>
      <c r="C154" s="138"/>
      <c r="D154" s="139"/>
      <c r="E154" s="139"/>
      <c r="F154" s="139"/>
      <c r="G154" s="341">
        <f>SUM(D154:F154)</f>
        <v>0</v>
      </c>
      <c r="H154" s="342"/>
      <c r="I154" s="139">
        <v>0</v>
      </c>
      <c r="J154" s="141"/>
      <c r="K154" s="353"/>
      <c r="L154" s="314"/>
    </row>
    <row r="155" spans="2:12" ht="15.75">
      <c r="B155" s="296" t="s">
        <v>341</v>
      </c>
      <c r="C155" s="138"/>
      <c r="D155" s="139"/>
      <c r="E155" s="139"/>
      <c r="F155" s="139"/>
      <c r="G155" s="341">
        <f aca="true" t="shared" si="15" ref="G155:G161">SUM(D155:F155)</f>
        <v>0</v>
      </c>
      <c r="H155" s="342"/>
      <c r="I155" s="139">
        <v>0</v>
      </c>
      <c r="J155" s="141"/>
      <c r="K155" s="353"/>
      <c r="L155" s="314"/>
    </row>
    <row r="156" spans="2:12" ht="15.75">
      <c r="B156" s="296" t="s">
        <v>342</v>
      </c>
      <c r="C156" s="138"/>
      <c r="D156" s="139"/>
      <c r="E156" s="139"/>
      <c r="F156" s="139"/>
      <c r="G156" s="341">
        <f t="shared" si="15"/>
        <v>0</v>
      </c>
      <c r="H156" s="342"/>
      <c r="I156" s="139">
        <v>0</v>
      </c>
      <c r="J156" s="141"/>
      <c r="K156" s="353"/>
      <c r="L156" s="314"/>
    </row>
    <row r="157" spans="2:12" ht="15.75">
      <c r="B157" s="296" t="s">
        <v>343</v>
      </c>
      <c r="C157" s="138"/>
      <c r="D157" s="139"/>
      <c r="E157" s="139"/>
      <c r="F157" s="139"/>
      <c r="G157" s="341">
        <f t="shared" si="15"/>
        <v>0</v>
      </c>
      <c r="H157" s="342"/>
      <c r="I157" s="139">
        <v>0</v>
      </c>
      <c r="J157" s="141"/>
      <c r="K157" s="353"/>
      <c r="L157" s="314"/>
    </row>
    <row r="158" spans="2:12" ht="15.75">
      <c r="B158" s="296" t="s">
        <v>344</v>
      </c>
      <c r="C158" s="138"/>
      <c r="D158" s="139"/>
      <c r="E158" s="139"/>
      <c r="F158" s="139"/>
      <c r="G158" s="341">
        <f t="shared" si="15"/>
        <v>0</v>
      </c>
      <c r="H158" s="342"/>
      <c r="I158" s="139">
        <v>0</v>
      </c>
      <c r="J158" s="141"/>
      <c r="K158" s="353"/>
      <c r="L158" s="314"/>
    </row>
    <row r="159" spans="2:12" ht="15.75">
      <c r="B159" s="296" t="s">
        <v>345</v>
      </c>
      <c r="C159" s="138"/>
      <c r="D159" s="139"/>
      <c r="E159" s="139"/>
      <c r="F159" s="139"/>
      <c r="G159" s="341">
        <f t="shared" si="15"/>
        <v>0</v>
      </c>
      <c r="H159" s="342"/>
      <c r="I159" s="139">
        <v>0</v>
      </c>
      <c r="J159" s="141"/>
      <c r="K159" s="353"/>
      <c r="L159" s="314"/>
    </row>
    <row r="160" spans="2:12" ht="15.75">
      <c r="B160" s="296" t="s">
        <v>346</v>
      </c>
      <c r="C160" s="140"/>
      <c r="D160" s="141"/>
      <c r="E160" s="141"/>
      <c r="F160" s="141"/>
      <c r="G160" s="341">
        <f t="shared" si="15"/>
        <v>0</v>
      </c>
      <c r="H160" s="351"/>
      <c r="I160" s="139">
        <v>0</v>
      </c>
      <c r="J160" s="141"/>
      <c r="K160" s="352"/>
      <c r="L160" s="314"/>
    </row>
    <row r="161" spans="2:12" ht="15.75">
      <c r="B161" s="296" t="s">
        <v>347</v>
      </c>
      <c r="C161" s="140"/>
      <c r="D161" s="141"/>
      <c r="E161" s="141"/>
      <c r="F161" s="141"/>
      <c r="G161" s="341">
        <f t="shared" si="15"/>
        <v>0</v>
      </c>
      <c r="H161" s="351"/>
      <c r="I161" s="139">
        <v>0</v>
      </c>
      <c r="J161" s="141"/>
      <c r="K161" s="352"/>
      <c r="L161" s="314"/>
    </row>
    <row r="162" spans="3:12" ht="15.75">
      <c r="C162" s="68" t="s">
        <v>219</v>
      </c>
      <c r="D162" s="13">
        <f>SUM(D154:D161)</f>
        <v>0</v>
      </c>
      <c r="E162" s="13">
        <f>SUM(E154:E161)</f>
        <v>0</v>
      </c>
      <c r="F162" s="13">
        <f>SUM(F154:F161)</f>
        <v>0</v>
      </c>
      <c r="G162" s="13">
        <f>SUM(G154:G161)</f>
        <v>0</v>
      </c>
      <c r="H162" s="10">
        <f>(H154*G154)+(H155*G155)+(H156*G156)+(H157*G157)+(H158*G158)+(H159*G159)+(H160*G160)+(H161*G161)</f>
        <v>0</v>
      </c>
      <c r="I162" s="114">
        <f>SUM(I154:I161)</f>
        <v>0</v>
      </c>
      <c r="J162" s="130"/>
      <c r="K162" s="352"/>
      <c r="L162" s="29"/>
    </row>
    <row r="163" spans="2:12" ht="51" customHeight="1">
      <c r="B163" s="68" t="s">
        <v>348</v>
      </c>
      <c r="C163" s="444"/>
      <c r="D163" s="445"/>
      <c r="E163" s="445"/>
      <c r="F163" s="445"/>
      <c r="G163" s="445"/>
      <c r="H163" s="445"/>
      <c r="I163" s="445"/>
      <c r="J163" s="445"/>
      <c r="K163" s="446"/>
      <c r="L163" s="28"/>
    </row>
    <row r="164" spans="2:12" ht="15.75">
      <c r="B164" s="296" t="s">
        <v>349</v>
      </c>
      <c r="C164" s="138"/>
      <c r="D164" s="139"/>
      <c r="E164" s="139"/>
      <c r="F164" s="139"/>
      <c r="G164" s="341">
        <f>SUM(D164:F164)</f>
        <v>0</v>
      </c>
      <c r="H164" s="342"/>
      <c r="I164" s="139">
        <v>0</v>
      </c>
      <c r="J164" s="141"/>
      <c r="K164" s="353"/>
      <c r="L164" s="314"/>
    </row>
    <row r="165" spans="2:12" ht="15.75">
      <c r="B165" s="296" t="s">
        <v>350</v>
      </c>
      <c r="C165" s="138"/>
      <c r="D165" s="139"/>
      <c r="E165" s="139"/>
      <c r="F165" s="139"/>
      <c r="G165" s="341">
        <f aca="true" t="shared" si="16" ref="G165:G171">SUM(D165:F165)</f>
        <v>0</v>
      </c>
      <c r="H165" s="342"/>
      <c r="I165" s="139">
        <v>0</v>
      </c>
      <c r="J165" s="141"/>
      <c r="K165" s="353"/>
      <c r="L165" s="314"/>
    </row>
    <row r="166" spans="2:12" ht="15.75">
      <c r="B166" s="296" t="s">
        <v>351</v>
      </c>
      <c r="C166" s="138"/>
      <c r="D166" s="139"/>
      <c r="E166" s="139"/>
      <c r="F166" s="139"/>
      <c r="G166" s="341">
        <f t="shared" si="16"/>
        <v>0</v>
      </c>
      <c r="H166" s="342"/>
      <c r="I166" s="139">
        <v>0</v>
      </c>
      <c r="J166" s="141"/>
      <c r="K166" s="353"/>
      <c r="L166" s="314"/>
    </row>
    <row r="167" spans="2:12" ht="15.75">
      <c r="B167" s="296" t="s">
        <v>352</v>
      </c>
      <c r="C167" s="138"/>
      <c r="D167" s="139"/>
      <c r="E167" s="139"/>
      <c r="F167" s="139"/>
      <c r="G167" s="341">
        <f t="shared" si="16"/>
        <v>0</v>
      </c>
      <c r="H167" s="342"/>
      <c r="I167" s="139">
        <v>0</v>
      </c>
      <c r="J167" s="141"/>
      <c r="K167" s="353"/>
      <c r="L167" s="314"/>
    </row>
    <row r="168" spans="2:12" ht="15.75">
      <c r="B168" s="296" t="s">
        <v>353</v>
      </c>
      <c r="C168" s="138"/>
      <c r="D168" s="139"/>
      <c r="E168" s="139"/>
      <c r="F168" s="139"/>
      <c r="G168" s="341">
        <f>SUM(D168:F168)</f>
        <v>0</v>
      </c>
      <c r="H168" s="342"/>
      <c r="I168" s="139">
        <v>0</v>
      </c>
      <c r="J168" s="141"/>
      <c r="K168" s="353"/>
      <c r="L168" s="314"/>
    </row>
    <row r="169" spans="2:12" ht="15.75">
      <c r="B169" s="296" t="s">
        <v>354</v>
      </c>
      <c r="C169" s="138"/>
      <c r="D169" s="139"/>
      <c r="E169" s="139"/>
      <c r="F169" s="139"/>
      <c r="G169" s="341">
        <f t="shared" si="16"/>
        <v>0</v>
      </c>
      <c r="H169" s="342"/>
      <c r="I169" s="139">
        <v>0</v>
      </c>
      <c r="J169" s="141"/>
      <c r="K169" s="353"/>
      <c r="L169" s="314"/>
    </row>
    <row r="170" spans="2:12" ht="15.75">
      <c r="B170" s="296" t="s">
        <v>355</v>
      </c>
      <c r="C170" s="140"/>
      <c r="D170" s="141"/>
      <c r="E170" s="141"/>
      <c r="F170" s="141"/>
      <c r="G170" s="341">
        <f t="shared" si="16"/>
        <v>0</v>
      </c>
      <c r="H170" s="351"/>
      <c r="I170" s="139">
        <v>0</v>
      </c>
      <c r="J170" s="141"/>
      <c r="K170" s="352"/>
      <c r="L170" s="314"/>
    </row>
    <row r="171" spans="2:12" ht="15.75">
      <c r="B171" s="296" t="s">
        <v>356</v>
      </c>
      <c r="C171" s="140"/>
      <c r="D171" s="141"/>
      <c r="E171" s="141"/>
      <c r="F171" s="141"/>
      <c r="G171" s="341">
        <f t="shared" si="16"/>
        <v>0</v>
      </c>
      <c r="H171" s="351"/>
      <c r="I171" s="139">
        <v>0</v>
      </c>
      <c r="J171" s="141"/>
      <c r="K171" s="352"/>
      <c r="L171" s="314"/>
    </row>
    <row r="172" spans="3:12" ht="15.75">
      <c r="C172" s="68" t="s">
        <v>219</v>
      </c>
      <c r="D172" s="10">
        <f>SUM(D164:D171)</f>
        <v>0</v>
      </c>
      <c r="E172" s="10">
        <f>SUM(E164:E171)</f>
        <v>0</v>
      </c>
      <c r="F172" s="10">
        <f>SUM(F164:F171)</f>
        <v>0</v>
      </c>
      <c r="G172" s="10">
        <f>SUM(G164:G171)</f>
        <v>0</v>
      </c>
      <c r="H172" s="10">
        <f>(H164*G164)+(H165*G165)+(H166*G166)+(H167*G167)+(H168*G168)+(H169*G169)+(H170*G170)+(H171*G171)</f>
        <v>0</v>
      </c>
      <c r="I172" s="114">
        <f>SUM(I164:I171)</f>
        <v>0</v>
      </c>
      <c r="J172" s="130"/>
      <c r="K172" s="352"/>
      <c r="L172" s="29"/>
    </row>
    <row r="173" spans="2:12" ht="15.75" customHeight="1">
      <c r="B173" s="4"/>
      <c r="C173" s="355"/>
      <c r="D173" s="359"/>
      <c r="E173" s="359"/>
      <c r="F173" s="359"/>
      <c r="G173" s="359"/>
      <c r="H173" s="359"/>
      <c r="I173" s="359"/>
      <c r="J173" s="359"/>
      <c r="K173" s="355"/>
      <c r="L173" s="2"/>
    </row>
    <row r="174" spans="2:12" ht="15.75" customHeight="1">
      <c r="B174" s="4"/>
      <c r="C174" s="355"/>
      <c r="D174" s="359"/>
      <c r="E174" s="359"/>
      <c r="F174" s="359"/>
      <c r="G174" s="359"/>
      <c r="H174" s="359"/>
      <c r="I174" s="359"/>
      <c r="J174" s="359"/>
      <c r="K174" s="355"/>
      <c r="L174" s="2"/>
    </row>
    <row r="175" spans="2:12" ht="63.75" customHeight="1">
      <c r="B175" s="68" t="s">
        <v>27</v>
      </c>
      <c r="C175" s="147" t="s">
        <v>357</v>
      </c>
      <c r="D175" s="361">
        <f>74743.776+7349.44</f>
        <v>82093.216</v>
      </c>
      <c r="E175" s="362"/>
      <c r="F175" s="362"/>
      <c r="G175" s="363">
        <f>SUM(D175:F175)</f>
        <v>82093.216</v>
      </c>
      <c r="H175" s="364"/>
      <c r="I175" s="139">
        <v>83003.59</v>
      </c>
      <c r="J175" s="365"/>
      <c r="K175" s="366"/>
      <c r="L175" s="29"/>
    </row>
    <row r="176" spans="2:12" ht="69.75" customHeight="1">
      <c r="B176" s="68" t="s">
        <v>48</v>
      </c>
      <c r="C176" s="147"/>
      <c r="D176" s="361">
        <v>20256.22</v>
      </c>
      <c r="E176" s="362"/>
      <c r="F176" s="362"/>
      <c r="G176" s="363">
        <f>SUM(D176:F176)</f>
        <v>20256.22</v>
      </c>
      <c r="H176" s="364"/>
      <c r="I176" s="139">
        <v>20558.83</v>
      </c>
      <c r="J176" s="365"/>
      <c r="K176" s="366"/>
      <c r="L176" s="29"/>
    </row>
    <row r="177" spans="2:12" ht="57" customHeight="1">
      <c r="B177" s="68" t="s">
        <v>186</v>
      </c>
      <c r="C177" s="367"/>
      <c r="D177" s="361">
        <f>34953.2710280374+17815.4205607477+17289.7196261682</f>
        <v>70058.4112149533</v>
      </c>
      <c r="E177" s="362"/>
      <c r="F177" s="362"/>
      <c r="G177" s="363">
        <f>SUM(D177:F177)</f>
        <v>70058.4112149533</v>
      </c>
      <c r="H177" s="364"/>
      <c r="I177" s="139">
        <v>52881.54</v>
      </c>
      <c r="J177" s="365"/>
      <c r="K177" s="366"/>
      <c r="L177" s="29"/>
    </row>
    <row r="178" spans="2:12" ht="65.25" customHeight="1">
      <c r="B178" s="83" t="s">
        <v>183</v>
      </c>
      <c r="C178" s="147"/>
      <c r="D178" s="361">
        <f>34953.2710280374+17815.4205607477+6915.88785046729</f>
        <v>59684.5794392524</v>
      </c>
      <c r="E178" s="362"/>
      <c r="F178" s="362"/>
      <c r="G178" s="363">
        <f>SUM(D178:F178)</f>
        <v>59684.5794392524</v>
      </c>
      <c r="H178" s="364"/>
      <c r="I178" s="139">
        <v>56522.63</v>
      </c>
      <c r="J178" s="365"/>
      <c r="K178" s="366"/>
      <c r="L178" s="29"/>
    </row>
    <row r="179" spans="2:12" ht="21.75" customHeight="1">
      <c r="B179" s="4"/>
      <c r="C179" s="84" t="s">
        <v>358</v>
      </c>
      <c r="D179" s="87">
        <f>SUM(D175:D178)</f>
        <v>232092.42665420572</v>
      </c>
      <c r="E179" s="87">
        <f>SUM(E175:E178)</f>
        <v>0</v>
      </c>
      <c r="F179" s="87">
        <f>SUM(F175:F178)</f>
        <v>0</v>
      </c>
      <c r="G179" s="87">
        <f>SUM(G175:G178)</f>
        <v>232092.42665420572</v>
      </c>
      <c r="H179" s="10">
        <f>(H175*G175)+(H176*G176)+(H177*G177)+(H178*G178)</f>
        <v>0</v>
      </c>
      <c r="I179" s="114">
        <f>SUM(I175:I178)</f>
        <v>212966.59</v>
      </c>
      <c r="J179" s="130"/>
      <c r="K179" s="147"/>
      <c r="L179" s="8"/>
    </row>
    <row r="180" spans="2:12" ht="15.75" customHeight="1">
      <c r="B180" s="4"/>
      <c r="C180" s="355"/>
      <c r="D180" s="359"/>
      <c r="E180" s="359"/>
      <c r="F180" s="359"/>
      <c r="G180" s="359"/>
      <c r="H180" s="359"/>
      <c r="I180" s="359"/>
      <c r="J180" s="359"/>
      <c r="K180" s="355"/>
      <c r="L180" s="8"/>
    </row>
    <row r="181" spans="2:12" ht="15.75" customHeight="1">
      <c r="B181" s="4"/>
      <c r="C181" s="355"/>
      <c r="D181" s="359"/>
      <c r="E181" s="359"/>
      <c r="F181" s="359"/>
      <c r="G181" s="359"/>
      <c r="H181" s="359"/>
      <c r="I181" s="359"/>
      <c r="J181" s="359"/>
      <c r="K181" s="355"/>
      <c r="L181" s="8"/>
    </row>
    <row r="182" spans="2:12" ht="15.75" customHeight="1">
      <c r="B182" s="4"/>
      <c r="C182" s="355"/>
      <c r="D182" s="359"/>
      <c r="E182" s="359"/>
      <c r="F182" s="359"/>
      <c r="G182" s="359"/>
      <c r="H182" s="359"/>
      <c r="I182" s="359"/>
      <c r="J182" s="359"/>
      <c r="K182" s="355"/>
      <c r="L182" s="8"/>
    </row>
    <row r="183" spans="2:12" ht="15.75" customHeight="1">
      <c r="B183" s="4"/>
      <c r="C183" s="355"/>
      <c r="D183" s="359"/>
      <c r="E183" s="359"/>
      <c r="F183" s="359"/>
      <c r="G183" s="359"/>
      <c r="H183" s="359"/>
      <c r="I183" s="359"/>
      <c r="J183" s="359"/>
      <c r="K183" s="355"/>
      <c r="L183" s="8"/>
    </row>
    <row r="184" spans="2:12" ht="15.75" customHeight="1">
      <c r="B184" s="4"/>
      <c r="C184" s="355"/>
      <c r="D184" s="359"/>
      <c r="E184" s="359"/>
      <c r="F184" s="359"/>
      <c r="G184" s="359"/>
      <c r="H184" s="359"/>
      <c r="I184" s="359"/>
      <c r="J184" s="359"/>
      <c r="K184" s="355"/>
      <c r="L184" s="8"/>
    </row>
    <row r="185" spans="2:12" ht="15.75" customHeight="1">
      <c r="B185" s="4"/>
      <c r="C185" s="355"/>
      <c r="D185" s="359"/>
      <c r="E185" s="359"/>
      <c r="F185" s="359"/>
      <c r="G185" s="359"/>
      <c r="H185" s="359"/>
      <c r="I185" s="359"/>
      <c r="J185" s="359"/>
      <c r="K185" s="355"/>
      <c r="L185" s="8"/>
    </row>
    <row r="186" spans="2:12" ht="15.75" customHeight="1" thickBot="1">
      <c r="B186" s="4"/>
      <c r="C186" s="355"/>
      <c r="D186" s="359"/>
      <c r="E186" s="359"/>
      <c r="F186" s="359"/>
      <c r="G186" s="359"/>
      <c r="H186" s="359"/>
      <c r="I186" s="359"/>
      <c r="J186" s="359"/>
      <c r="K186" s="355"/>
      <c r="L186" s="8"/>
    </row>
    <row r="187" spans="2:11" ht="15.75">
      <c r="B187" s="4"/>
      <c r="C187" s="475" t="s">
        <v>359</v>
      </c>
      <c r="D187" s="476"/>
      <c r="E187" s="476"/>
      <c r="F187" s="476"/>
      <c r="G187" s="477"/>
      <c r="H187" s="8"/>
      <c r="I187" s="359"/>
      <c r="J187" s="359"/>
      <c r="K187" s="8"/>
    </row>
    <row r="188" spans="2:11" ht="40.5" customHeight="1">
      <c r="B188" s="4"/>
      <c r="C188" s="465"/>
      <c r="D188" s="478" t="str">
        <f>D4</f>
        <v>OIM</v>
      </c>
      <c r="E188" s="478" t="str">
        <f>E4</f>
        <v>PMA</v>
      </c>
      <c r="F188" s="478" t="str">
        <f>F4</f>
        <v>UNICEF</v>
      </c>
      <c r="G188" s="467" t="s">
        <v>196</v>
      </c>
      <c r="H188" s="355"/>
      <c r="I188" s="359"/>
      <c r="J188" s="359"/>
      <c r="K188" s="8"/>
    </row>
    <row r="189" spans="2:11" ht="24.75" customHeight="1">
      <c r="B189" s="4"/>
      <c r="C189" s="466"/>
      <c r="D189" s="479"/>
      <c r="E189" s="479"/>
      <c r="F189" s="479"/>
      <c r="G189" s="468"/>
      <c r="H189" s="355"/>
      <c r="I189" s="359"/>
      <c r="J189" s="359"/>
      <c r="K189" s="8"/>
    </row>
    <row r="190" spans="2:11" ht="41.25" customHeight="1">
      <c r="B190" s="368"/>
      <c r="C190" s="369" t="s">
        <v>360</v>
      </c>
      <c r="D190" s="345">
        <f>SUM(D16,D26,D36,D46,D58,D68,D78,D88,D100,D110,D120,D130,D142,D152,D162,D172,D175,D176,D177,D178)</f>
        <v>750355.3421742057</v>
      </c>
      <c r="E190" s="345">
        <f>SUM(E16,E26,E36,E46,E58,E68,E78,E88,E100,E110,E120,E130,E142,E152,E162,E172,E175,E176,E177,E178)</f>
        <v>316381.07999999996</v>
      </c>
      <c r="F190" s="345">
        <f>SUM(F16,F26,F36,F46,F58,F68,F78,F88,F100,F110,F120,F130,F142,F152,F162,F172,F175,F176,F177,F178)</f>
        <v>335980</v>
      </c>
      <c r="G190" s="370">
        <f>SUM(D190:F190)</f>
        <v>1402716.4221742055</v>
      </c>
      <c r="H190" s="355"/>
      <c r="I190" s="371"/>
      <c r="J190" s="359"/>
      <c r="K190" s="368"/>
    </row>
    <row r="191" spans="2:11" ht="51.75" customHeight="1">
      <c r="B191" s="372"/>
      <c r="C191" s="369" t="s">
        <v>361</v>
      </c>
      <c r="D191" s="345">
        <f>D190*0.07</f>
        <v>52524.8739521944</v>
      </c>
      <c r="E191" s="345">
        <f>E190*6.713426%</f>
        <v>21240.009683800796</v>
      </c>
      <c r="F191" s="345">
        <f>F190*0.07</f>
        <v>23518.600000000002</v>
      </c>
      <c r="G191" s="370">
        <f>G190*0.07</f>
        <v>98190.1495521944</v>
      </c>
      <c r="H191" s="372"/>
      <c r="I191" s="371"/>
      <c r="J191" s="359"/>
      <c r="K191" s="291"/>
    </row>
    <row r="192" spans="2:11" ht="51.75" customHeight="1" thickBot="1">
      <c r="B192" s="372"/>
      <c r="C192" s="7" t="s">
        <v>196</v>
      </c>
      <c r="D192" s="73">
        <f>SUM(D190:D191)</f>
        <v>802880.2161264</v>
      </c>
      <c r="E192" s="73">
        <f>SUM(E190:E191)</f>
        <v>337621.08968380076</v>
      </c>
      <c r="F192" s="73">
        <f>SUM(F190:F191)</f>
        <v>359498.6</v>
      </c>
      <c r="G192" s="82">
        <f>SUM(G190:G191)</f>
        <v>1500906.5717264</v>
      </c>
      <c r="H192" s="373"/>
      <c r="K192" s="291"/>
    </row>
    <row r="193" spans="2:12" ht="42" customHeight="1">
      <c r="B193" s="372"/>
      <c r="I193" s="111"/>
      <c r="J193" s="111"/>
      <c r="K193" s="2"/>
      <c r="L193" s="291"/>
    </row>
    <row r="194" spans="2:12" s="21" customFormat="1" ht="29.25" customHeight="1" thickBot="1">
      <c r="B194" s="355"/>
      <c r="C194" s="4"/>
      <c r="D194" s="16"/>
      <c r="E194" s="16"/>
      <c r="F194" s="16"/>
      <c r="G194" s="16"/>
      <c r="H194" s="16"/>
      <c r="I194" s="115"/>
      <c r="J194" s="115"/>
      <c r="K194" s="8"/>
      <c r="L194" s="368"/>
    </row>
    <row r="195" spans="2:11" ht="23.25" customHeight="1">
      <c r="B195" s="291"/>
      <c r="C195" s="460" t="s">
        <v>362</v>
      </c>
      <c r="D195" s="461"/>
      <c r="E195" s="461"/>
      <c r="F195" s="461"/>
      <c r="G195" s="461"/>
      <c r="H195" s="462"/>
      <c r="I195" s="115"/>
      <c r="J195" s="115"/>
      <c r="K195" s="291"/>
    </row>
    <row r="196" spans="2:11" ht="41.25" customHeight="1">
      <c r="B196" s="291"/>
      <c r="C196" s="69"/>
      <c r="D196" s="438" t="str">
        <f>D4</f>
        <v>OIM</v>
      </c>
      <c r="E196" s="438" t="str">
        <f>E4</f>
        <v>PMA</v>
      </c>
      <c r="F196" s="438" t="str">
        <f>F4</f>
        <v>UNICEF</v>
      </c>
      <c r="G196" s="469" t="s">
        <v>196</v>
      </c>
      <c r="H196" s="471" t="s">
        <v>363</v>
      </c>
      <c r="I196" s="115"/>
      <c r="J196" s="115"/>
      <c r="K196" s="291"/>
    </row>
    <row r="197" spans="2:11" ht="27.75" customHeight="1">
      <c r="B197" s="291"/>
      <c r="C197" s="69"/>
      <c r="D197" s="439"/>
      <c r="E197" s="439"/>
      <c r="F197" s="439"/>
      <c r="G197" s="470"/>
      <c r="H197" s="472"/>
      <c r="I197" s="110"/>
      <c r="J197" s="110"/>
      <c r="K197" s="291"/>
    </row>
    <row r="198" spans="2:11" ht="55.5" customHeight="1">
      <c r="B198" s="291"/>
      <c r="C198" s="14" t="s">
        <v>364</v>
      </c>
      <c r="D198" s="71">
        <f>$D$192*H198</f>
        <v>562016.15128848</v>
      </c>
      <c r="E198" s="72">
        <f>$E$192*H198</f>
        <v>236334.76277866052</v>
      </c>
      <c r="F198" s="72">
        <f>$F$192*H198</f>
        <v>251649.01999999996</v>
      </c>
      <c r="G198" s="72">
        <f>SUM(D198:F198)</f>
        <v>1049999.9340671406</v>
      </c>
      <c r="H198" s="92">
        <v>0.7</v>
      </c>
      <c r="I198" s="110"/>
      <c r="J198" s="110"/>
      <c r="K198" s="291"/>
    </row>
    <row r="199" spans="2:10" ht="57.75" customHeight="1">
      <c r="B199" s="459"/>
      <c r="C199" s="85" t="s">
        <v>365</v>
      </c>
      <c r="D199" s="71">
        <f>$D$192*H199</f>
        <v>240864.06483792</v>
      </c>
      <c r="E199" s="72">
        <f>$E$192*H199</f>
        <v>101286.32690514023</v>
      </c>
      <c r="F199" s="72">
        <f>$F$192*H199</f>
        <v>107849.57999999999</v>
      </c>
      <c r="G199" s="86">
        <f>SUM(D199:F199)</f>
        <v>449999.9717430603</v>
      </c>
      <c r="H199" s="93">
        <v>0.3</v>
      </c>
      <c r="I199" s="112"/>
      <c r="J199" s="112"/>
    </row>
    <row r="200" spans="2:10" ht="57.75" customHeight="1">
      <c r="B200" s="459"/>
      <c r="C200" s="85" t="s">
        <v>366</v>
      </c>
      <c r="D200" s="71">
        <f>$D$192*H200</f>
        <v>0</v>
      </c>
      <c r="E200" s="72">
        <f>$E$192*H200</f>
        <v>0</v>
      </c>
      <c r="F200" s="72">
        <f>$F$192*H200</f>
        <v>0</v>
      </c>
      <c r="G200" s="86">
        <f>SUM(D200:F200)</f>
        <v>0</v>
      </c>
      <c r="H200" s="94">
        <v>0</v>
      </c>
      <c r="I200" s="116"/>
      <c r="J200" s="116"/>
    </row>
    <row r="201" spans="2:10" ht="38.25" customHeight="1" thickBot="1">
      <c r="B201" s="459"/>
      <c r="C201" s="7" t="s">
        <v>367</v>
      </c>
      <c r="D201" s="73">
        <f>SUM(D198:D200)</f>
        <v>802880.2161264</v>
      </c>
      <c r="E201" s="73">
        <f>SUM(E198:E200)</f>
        <v>337621.08968380076</v>
      </c>
      <c r="F201" s="73">
        <f>SUM(F198:F200)</f>
        <v>359498.6</v>
      </c>
      <c r="G201" s="73">
        <f>SUM(G198:G200)</f>
        <v>1499999.9058102008</v>
      </c>
      <c r="H201" s="74">
        <f>SUM(H198:H200)</f>
        <v>1</v>
      </c>
      <c r="I201" s="113"/>
      <c r="J201" s="111"/>
    </row>
    <row r="202" spans="2:10" ht="21.75" customHeight="1" thickBot="1">
      <c r="B202" s="459"/>
      <c r="C202" s="1"/>
      <c r="D202" s="5"/>
      <c r="E202" s="5"/>
      <c r="F202" s="5"/>
      <c r="G202" s="5"/>
      <c r="H202" s="5"/>
      <c r="I202" s="113"/>
      <c r="J202" s="111"/>
    </row>
    <row r="203" spans="2:10" ht="49.5" customHeight="1">
      <c r="B203" s="459"/>
      <c r="C203" s="75" t="s">
        <v>368</v>
      </c>
      <c r="D203" s="76">
        <f>SUM(H16,H26,H36,H46,H58,H68,H78,H88,H100,H110,H120,H130,H142,H152,H162,H172,H179)*1.07</f>
        <v>554764.42866192</v>
      </c>
      <c r="E203" s="340"/>
      <c r="F203" s="16"/>
      <c r="G203" s="16"/>
      <c r="H203" s="118" t="s">
        <v>369</v>
      </c>
      <c r="I203" s="119">
        <f>SUM(I179,I172,I162,I152,I142,I130,I120,I110,I100,I88,I78,I68,I58,I46,I36,I26,I16)</f>
        <v>1315195.92</v>
      </c>
      <c r="J203" s="131"/>
    </row>
    <row r="204" spans="2:10" ht="28.5" customHeight="1" thickBot="1">
      <c r="B204" s="459"/>
      <c r="C204" s="77" t="s">
        <v>370</v>
      </c>
      <c r="D204" s="106">
        <f>D203/G192</f>
        <v>0.36961956134538665</v>
      </c>
      <c r="E204" s="23"/>
      <c r="F204" s="23"/>
      <c r="G204" s="23"/>
      <c r="H204" s="120" t="s">
        <v>371</v>
      </c>
      <c r="I204" s="121">
        <f>I203/G190</f>
        <v>0.9376064179539945</v>
      </c>
      <c r="J204" s="132"/>
    </row>
    <row r="205" spans="2:7" ht="28.5" customHeight="1">
      <c r="B205" s="459"/>
      <c r="C205" s="473"/>
      <c r="D205" s="474"/>
      <c r="E205" s="24"/>
      <c r="F205" s="24"/>
      <c r="G205" s="24"/>
    </row>
    <row r="206" spans="2:7" ht="32.25" customHeight="1">
      <c r="B206" s="459"/>
      <c r="C206" s="77" t="s">
        <v>372</v>
      </c>
      <c r="D206" s="78">
        <f>SUM(D177:F178)*1.07</f>
        <v>138825.00000000012</v>
      </c>
      <c r="E206" s="25"/>
      <c r="F206" s="25"/>
      <c r="G206" s="25"/>
    </row>
    <row r="207" spans="2:9" ht="23.25" customHeight="1">
      <c r="B207" s="459"/>
      <c r="C207" s="77" t="s">
        <v>373</v>
      </c>
      <c r="D207" s="106">
        <f>D206/G192</f>
        <v>0.0924940983104087</v>
      </c>
      <c r="E207" s="25"/>
      <c r="F207" s="25"/>
      <c r="G207" s="25"/>
      <c r="I207" s="109"/>
    </row>
    <row r="208" spans="2:7" ht="66.75" customHeight="1" thickBot="1">
      <c r="B208" s="459"/>
      <c r="C208" s="463" t="s">
        <v>374</v>
      </c>
      <c r="D208" s="464"/>
      <c r="E208" s="17"/>
      <c r="F208" s="17"/>
      <c r="G208" s="17"/>
    </row>
    <row r="209" spans="2:12" ht="55.5" customHeight="1">
      <c r="B209" s="459"/>
      <c r="L209" s="21"/>
    </row>
    <row r="210" spans="2:4" ht="42.75" customHeight="1">
      <c r="B210" s="459"/>
      <c r="D210" s="340"/>
    </row>
    <row r="211" ht="21.75" customHeight="1">
      <c r="B211" s="459"/>
    </row>
    <row r="212" ht="21.75" customHeight="1">
      <c r="B212" s="459"/>
    </row>
    <row r="213" ht="23.25" customHeight="1">
      <c r="B213" s="459"/>
    </row>
    <row r="214" ht="23.25" customHeight="1"/>
    <row r="215" ht="21.75" customHeight="1"/>
    <row r="216" ht="16.5" customHeight="1"/>
    <row r="217" ht="29.25" customHeight="1"/>
    <row r="218" ht="24.75" customHeight="1"/>
    <row r="219" ht="33" customHeight="1"/>
    <row r="221" ht="15" customHeight="1"/>
    <row r="222" ht="25.5" customHeight="1"/>
  </sheetData>
  <sheetProtection formatCells="0" formatColumns="0" formatRows="0"/>
  <mergeCells count="37">
    <mergeCell ref="C153:K153"/>
    <mergeCell ref="C163:K163"/>
    <mergeCell ref="B199:B213"/>
    <mergeCell ref="C195:H195"/>
    <mergeCell ref="C208:D208"/>
    <mergeCell ref="C188:C189"/>
    <mergeCell ref="G188:G189"/>
    <mergeCell ref="G196:G197"/>
    <mergeCell ref="H196:H197"/>
    <mergeCell ref="C205:D205"/>
    <mergeCell ref="C187:G187"/>
    <mergeCell ref="D188:D189"/>
    <mergeCell ref="E188:E189"/>
    <mergeCell ref="F188:F189"/>
    <mergeCell ref="D196:D197"/>
    <mergeCell ref="E196:E197"/>
    <mergeCell ref="C49:K49"/>
    <mergeCell ref="B1:E1"/>
    <mergeCell ref="C17:K17"/>
    <mergeCell ref="C6:K6"/>
    <mergeCell ref="C27:K27"/>
    <mergeCell ref="F196:F197"/>
    <mergeCell ref="B2:E2"/>
    <mergeCell ref="C101:K101"/>
    <mergeCell ref="C111:K111"/>
    <mergeCell ref="C132:K132"/>
    <mergeCell ref="C121:K121"/>
    <mergeCell ref="C143:K143"/>
    <mergeCell ref="C133:K133"/>
    <mergeCell ref="C59:K59"/>
    <mergeCell ref="C69:K69"/>
    <mergeCell ref="C79:K79"/>
    <mergeCell ref="C90:K90"/>
    <mergeCell ref="C91:K91"/>
    <mergeCell ref="C37:K37"/>
    <mergeCell ref="C5:K5"/>
    <mergeCell ref="C48:K48"/>
  </mergeCells>
  <conditionalFormatting sqref="D204">
    <cfRule type="cellIs" priority="46" dxfId="0" operator="lessThan">
      <formula>0.15</formula>
    </cfRule>
  </conditionalFormatting>
  <conditionalFormatting sqref="D207">
    <cfRule type="cellIs" priority="44" dxfId="0" operator="lessThan">
      <formula>0.05</formula>
    </cfRule>
  </conditionalFormatting>
  <conditionalFormatting sqref="I200:J200 H201">
    <cfRule type="cellIs" priority="1" dxfId="0" operator="greaterThan">
      <formula>1</formula>
    </cfRule>
  </conditionalFormatting>
  <dataValidations count="6" xWindow="431" yWindow="475">
    <dataValidation allowBlank="1" showInputMessage="1" showErrorMessage="1" prompt="% Towards Gender Equality and Women's Empowerment Must be Higher than 15%_x000a_" sqref="D204:G204"/>
    <dataValidation allowBlank="1" showInputMessage="1" showErrorMessage="1" prompt="M&amp;E Budget Cannot be Less than 5%_x000a_" sqref="D207:G207"/>
    <dataValidation allowBlank="1" showInputMessage="1" showErrorMessage="1" prompt="Insert *text* description of Outcome here" sqref="C5:K5 C48:K48 C90:K90 C132:K132"/>
    <dataValidation allowBlank="1" showInputMessage="1" showErrorMessage="1" prompt="Insert *text* description of Output here" sqref="C6 C17 C27 C37 C49 C59 C69 C79 C91 C101 C111 C121 C133 C143 C153 C163"/>
    <dataValidation allowBlank="1" showInputMessage="1" showErrorMessage="1" prompt="Insert *text* description of Activity here" sqref="C7 C18 C28 C38 C164 C154 C70 C80 C92 C102 C112 C122 C134 C144"/>
    <dataValidation allowBlank="1" showErrorMessage="1" prompt="% Towards Gender Equality and Women's Empowerment Must be Higher than 15%_x000a_" sqref="D206:G206"/>
  </dataValidations>
  <printOptions/>
  <pageMargins left="0.7" right="0.7" top="0.75" bottom="0.75" header="0.3" footer="0.3"/>
  <pageSetup horizontalDpi="600" verticalDpi="600" orientation="landscape" scale="74" r:id="rId1"/>
  <rowBreaks count="1" manualBreakCount="1">
    <brk id="59" max="16383" man="1"/>
  </rowBreaks>
  <ignoredErrors>
    <ignoredError sqref="D188:F189 D196:F197" unlockedFormula="1"/>
  </ignoredError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89B91-DE06-467F-8EA8-3D1E1CFD21DE}">
  <sheetPr>
    <tabColor theme="0"/>
  </sheetPr>
  <dimension ref="B1:N240"/>
  <sheetViews>
    <sheetView showGridLines="0" showZeros="0" zoomScale="80" zoomScaleNormal="80" workbookViewId="0" topLeftCell="A1">
      <pane ySplit="4" topLeftCell="A203" activePane="bottomLeft" state="frozen"/>
      <selection pane="bottomLeft" activeCell="E212" sqref="E212"/>
    </sheetView>
  </sheetViews>
  <sheetFormatPr defaultColWidth="9.140625" defaultRowHeight="15"/>
  <cols>
    <col min="1" max="1" width="4.421875" style="32" customWidth="1"/>
    <col min="2" max="2" width="3.140625" style="32" customWidth="1"/>
    <col min="3" max="3" width="51.421875" style="32" customWidth="1"/>
    <col min="4" max="4" width="34.140625" style="33" customWidth="1"/>
    <col min="5" max="5" width="35.00390625" style="33" customWidth="1"/>
    <col min="6" max="6" width="36.57421875" style="33" customWidth="1"/>
    <col min="7" max="7" width="25.8515625" style="32" customWidth="1"/>
    <col min="8" max="8" width="21.421875" style="32" customWidth="1"/>
    <col min="9" max="9" width="16.8515625" style="32" customWidth="1"/>
    <col min="10" max="10" width="19.421875" style="32" customWidth="1"/>
    <col min="11" max="11" width="19.00390625" style="32" customWidth="1"/>
    <col min="12" max="12" width="26.00390625" style="32" customWidth="1"/>
    <col min="13" max="13" width="21.140625" style="32" customWidth="1"/>
    <col min="14" max="14" width="7.00390625" style="32" customWidth="1"/>
    <col min="15" max="15" width="24.140625" style="32" customWidth="1"/>
    <col min="16" max="16" width="26.421875" style="32" customWidth="1"/>
    <col min="17" max="17" width="30.140625" style="32" customWidth="1"/>
    <col min="18" max="18" width="33.00390625" style="32" customWidth="1"/>
    <col min="19" max="20" width="22.8515625" style="32" customWidth="1"/>
    <col min="21" max="21" width="23.421875" style="32" customWidth="1"/>
    <col min="22" max="22" width="32.140625" style="32" customWidth="1"/>
    <col min="23" max="23" width="9.140625" style="32" customWidth="1"/>
    <col min="24" max="24" width="17.8515625" style="32" customWidth="1"/>
    <col min="25" max="25" width="26.421875" style="32" customWidth="1"/>
    <col min="26" max="26" width="22.421875" style="32" customWidth="1"/>
    <col min="27" max="27" width="29.8515625" style="32" customWidth="1"/>
    <col min="28" max="28" width="23.421875" style="32" customWidth="1"/>
    <col min="29" max="29" width="18.421875" style="32" customWidth="1"/>
    <col min="30" max="30" width="17.421875" style="32" customWidth="1"/>
    <col min="31" max="31" width="25.140625" style="32" customWidth="1"/>
    <col min="32" max="16384" width="9.140625" style="32" customWidth="1"/>
  </cols>
  <sheetData>
    <row r="1" spans="2:13" ht="31.5" customHeight="1">
      <c r="B1" s="374"/>
      <c r="C1" s="394" t="s">
        <v>0</v>
      </c>
      <c r="D1" s="394"/>
      <c r="E1" s="394"/>
      <c r="F1" s="394"/>
      <c r="G1" s="18"/>
      <c r="H1" s="19"/>
      <c r="I1" s="19"/>
      <c r="J1" s="374"/>
      <c r="K1" s="374"/>
      <c r="L1" s="12"/>
      <c r="M1" s="3"/>
    </row>
    <row r="2" spans="2:13" ht="24" customHeight="1">
      <c r="B2" s="374"/>
      <c r="C2" s="440" t="s">
        <v>375</v>
      </c>
      <c r="D2" s="440"/>
      <c r="E2" s="440"/>
      <c r="F2" s="137"/>
      <c r="G2" s="374"/>
      <c r="H2" s="374"/>
      <c r="I2" s="374"/>
      <c r="J2" s="374"/>
      <c r="K2" s="374"/>
      <c r="L2" s="12"/>
      <c r="M2" s="3"/>
    </row>
    <row r="3" spans="2:13" ht="24" customHeight="1">
      <c r="B3" s="374"/>
      <c r="C3" s="27"/>
      <c r="D3" s="27"/>
      <c r="E3" s="27"/>
      <c r="F3" s="27"/>
      <c r="G3" s="374"/>
      <c r="H3" s="374"/>
      <c r="I3" s="374"/>
      <c r="J3" s="374"/>
      <c r="K3" s="374"/>
      <c r="L3" s="12"/>
      <c r="M3" s="3"/>
    </row>
    <row r="4" spans="2:13" ht="24" customHeight="1">
      <c r="B4" s="374"/>
      <c r="C4" s="27"/>
      <c r="D4" s="134" t="str">
        <f>'1) Budget Table'!D4</f>
        <v>OIM</v>
      </c>
      <c r="E4" s="134" t="str">
        <f>'1) Budget Table'!E4</f>
        <v>PMA</v>
      </c>
      <c r="F4" s="134" t="str">
        <f>'1) Budget Table'!F4</f>
        <v>UNICEF</v>
      </c>
      <c r="G4" s="126" t="s">
        <v>196</v>
      </c>
      <c r="H4" s="374"/>
      <c r="I4" s="374"/>
      <c r="J4" s="374"/>
      <c r="K4" s="374"/>
      <c r="L4" s="12"/>
      <c r="M4" s="3"/>
    </row>
    <row r="5" spans="2:13" ht="24" customHeight="1">
      <c r="B5" s="482" t="s">
        <v>376</v>
      </c>
      <c r="C5" s="483"/>
      <c r="D5" s="483"/>
      <c r="E5" s="483"/>
      <c r="F5" s="483"/>
      <c r="G5" s="484"/>
      <c r="H5" s="374"/>
      <c r="I5" s="374"/>
      <c r="J5" s="374"/>
      <c r="K5" s="374"/>
      <c r="L5" s="12"/>
      <c r="M5" s="3"/>
    </row>
    <row r="6" spans="2:13" ht="22.5" customHeight="1">
      <c r="B6" s="374"/>
      <c r="C6" s="482" t="s">
        <v>377</v>
      </c>
      <c r="D6" s="483"/>
      <c r="E6" s="483"/>
      <c r="F6" s="483"/>
      <c r="G6" s="484"/>
      <c r="H6" s="374"/>
      <c r="I6" s="374"/>
      <c r="J6" s="374"/>
      <c r="K6" s="374"/>
      <c r="L6" s="12"/>
      <c r="M6" s="3"/>
    </row>
    <row r="7" spans="2:13" ht="24.75" customHeight="1" thickBot="1">
      <c r="B7" s="374"/>
      <c r="C7" s="40" t="s">
        <v>378</v>
      </c>
      <c r="D7" s="41">
        <f>'1) Budget Table'!D16</f>
        <v>156509.78</v>
      </c>
      <c r="E7" s="41">
        <f>'1) Budget Table'!E16</f>
        <v>203436.08999999997</v>
      </c>
      <c r="F7" s="41">
        <f>'1) Budget Table'!F16</f>
        <v>0</v>
      </c>
      <c r="G7" s="42">
        <f>SUM(D7:F7)</f>
        <v>359945.87</v>
      </c>
      <c r="H7" s="374"/>
      <c r="I7" s="374"/>
      <c r="J7" s="374"/>
      <c r="K7" s="374"/>
      <c r="L7" s="12"/>
      <c r="M7" s="3"/>
    </row>
    <row r="8" spans="2:13" ht="21.75" customHeight="1">
      <c r="B8" s="374"/>
      <c r="C8" s="38" t="s">
        <v>379</v>
      </c>
      <c r="D8" s="375">
        <v>0</v>
      </c>
      <c r="E8" s="376">
        <v>32728.64</v>
      </c>
      <c r="F8" s="376">
        <v>0</v>
      </c>
      <c r="G8" s="39">
        <f aca="true" t="shared" si="0" ref="G8:G15">SUM(D8:F8)</f>
        <v>32728.64</v>
      </c>
      <c r="H8" s="374"/>
      <c r="I8" s="374"/>
      <c r="J8" s="374"/>
      <c r="K8" s="374"/>
      <c r="L8" s="374"/>
      <c r="M8" s="374"/>
    </row>
    <row r="9" spans="2:13" ht="15">
      <c r="B9" s="374"/>
      <c r="C9" s="30" t="s">
        <v>380</v>
      </c>
      <c r="D9" s="377">
        <f>6888+3989.78</f>
        <v>10877.78</v>
      </c>
      <c r="E9" s="141">
        <v>64884.75</v>
      </c>
      <c r="F9" s="141">
        <v>0</v>
      </c>
      <c r="G9" s="37">
        <f t="shared" si="0"/>
        <v>75762.53</v>
      </c>
      <c r="H9" s="374"/>
      <c r="I9" s="374"/>
      <c r="J9" s="374"/>
      <c r="K9" s="374"/>
      <c r="L9" s="374"/>
      <c r="M9" s="374"/>
    </row>
    <row r="10" spans="2:13" ht="15.75" customHeight="1">
      <c r="B10" s="374"/>
      <c r="C10" s="30" t="s">
        <v>381</v>
      </c>
      <c r="D10" s="377">
        <v>21200</v>
      </c>
      <c r="E10" s="377">
        <v>0</v>
      </c>
      <c r="F10" s="377">
        <v>0</v>
      </c>
      <c r="G10" s="37">
        <f t="shared" si="0"/>
        <v>21200</v>
      </c>
      <c r="H10" s="374"/>
      <c r="I10" s="374"/>
      <c r="J10" s="374"/>
      <c r="K10" s="374"/>
      <c r="L10" s="374"/>
      <c r="M10" s="374"/>
    </row>
    <row r="11" spans="2:13" ht="15">
      <c r="B11" s="374"/>
      <c r="C11" s="31" t="s">
        <v>382</v>
      </c>
      <c r="D11" s="377">
        <v>66912</v>
      </c>
      <c r="E11" s="377">
        <v>83904.41</v>
      </c>
      <c r="F11" s="377">
        <v>0</v>
      </c>
      <c r="G11" s="37">
        <f t="shared" si="0"/>
        <v>150816.41</v>
      </c>
      <c r="H11" s="374"/>
      <c r="I11" s="374"/>
      <c r="J11" s="374"/>
      <c r="K11" s="374"/>
      <c r="L11" s="374"/>
      <c r="M11" s="374"/>
    </row>
    <row r="12" spans="2:13" ht="15">
      <c r="B12" s="374"/>
      <c r="C12" s="30" t="s">
        <v>383</v>
      </c>
      <c r="D12" s="377">
        <v>4920</v>
      </c>
      <c r="E12" s="377">
        <v>5000</v>
      </c>
      <c r="F12" s="377">
        <v>0</v>
      </c>
      <c r="G12" s="37">
        <f t="shared" si="0"/>
        <v>9920</v>
      </c>
      <c r="H12" s="374"/>
      <c r="I12" s="374"/>
      <c r="J12" s="374"/>
      <c r="K12" s="374"/>
      <c r="L12" s="374"/>
      <c r="M12" s="374"/>
    </row>
    <row r="13" spans="2:13" ht="21.75" customHeight="1">
      <c r="B13" s="374"/>
      <c r="C13" s="30" t="s">
        <v>384</v>
      </c>
      <c r="D13" s="377">
        <v>0</v>
      </c>
      <c r="E13" s="377">
        <v>44400</v>
      </c>
      <c r="F13" s="377">
        <v>0</v>
      </c>
      <c r="G13" s="37">
        <f t="shared" si="0"/>
        <v>44400</v>
      </c>
      <c r="H13" s="374"/>
      <c r="I13" s="374"/>
      <c r="J13" s="374"/>
      <c r="K13" s="374"/>
      <c r="L13" s="374"/>
      <c r="M13" s="374"/>
    </row>
    <row r="14" spans="2:13" ht="21.75" customHeight="1">
      <c r="B14" s="374"/>
      <c r="C14" s="30" t="s">
        <v>385</v>
      </c>
      <c r="D14" s="377">
        <f>80688-28088</f>
        <v>52600</v>
      </c>
      <c r="E14" s="377">
        <v>34475.41</v>
      </c>
      <c r="F14" s="377">
        <v>0</v>
      </c>
      <c r="G14" s="37">
        <f t="shared" si="0"/>
        <v>87075.41</v>
      </c>
      <c r="H14" s="374"/>
      <c r="I14" s="374"/>
      <c r="J14" s="374"/>
      <c r="K14" s="374"/>
      <c r="L14" s="374"/>
      <c r="M14" s="374"/>
    </row>
    <row r="15" spans="2:13" ht="15.75" customHeight="1">
      <c r="B15" s="374"/>
      <c r="C15" s="34" t="s">
        <v>386</v>
      </c>
      <c r="D15" s="43">
        <f>SUM(D8:D14)</f>
        <v>156509.78</v>
      </c>
      <c r="E15" s="43">
        <f>SUM(E8:E14)</f>
        <v>265393.20999999996</v>
      </c>
      <c r="F15" s="43">
        <f>SUM(F8:F14)</f>
        <v>0</v>
      </c>
      <c r="G15" s="88">
        <f t="shared" si="0"/>
        <v>421902.99</v>
      </c>
      <c r="H15" s="374"/>
      <c r="I15" s="374"/>
      <c r="J15" s="374"/>
      <c r="K15" s="374"/>
      <c r="L15" s="374"/>
      <c r="M15" s="374"/>
    </row>
    <row r="16" spans="2:13" s="33" customFormat="1" ht="15">
      <c r="B16" s="378"/>
      <c r="C16" s="47"/>
      <c r="D16" s="48"/>
      <c r="E16" s="48"/>
      <c r="F16" s="48"/>
      <c r="G16" s="89"/>
      <c r="H16" s="378"/>
      <c r="I16" s="378"/>
      <c r="J16" s="378"/>
      <c r="K16" s="378"/>
      <c r="L16" s="378"/>
      <c r="M16" s="378"/>
    </row>
    <row r="17" spans="3:7" ht="15">
      <c r="C17" s="482" t="s">
        <v>387</v>
      </c>
      <c r="D17" s="483"/>
      <c r="E17" s="483"/>
      <c r="F17" s="483"/>
      <c r="G17" s="484"/>
    </row>
    <row r="18" spans="3:7" ht="27" customHeight="1" thickBot="1">
      <c r="C18" s="40" t="s">
        <v>378</v>
      </c>
      <c r="D18" s="41">
        <f>'1) Budget Table'!D26</f>
        <v>227772.72</v>
      </c>
      <c r="E18" s="41">
        <f>'1) Budget Table'!E26</f>
        <v>112944.99</v>
      </c>
      <c r="F18" s="41">
        <f>'1) Budget Table'!F26</f>
        <v>0</v>
      </c>
      <c r="G18" s="42">
        <f aca="true" t="shared" si="1" ref="G18:G26">SUM(D18:F18)</f>
        <v>340717.71</v>
      </c>
    </row>
    <row r="19" spans="3:7" ht="15">
      <c r="C19" s="38" t="s">
        <v>379</v>
      </c>
      <c r="D19" s="375"/>
      <c r="E19" s="376">
        <v>32728.64</v>
      </c>
      <c r="F19" s="376"/>
      <c r="G19" s="39">
        <f t="shared" si="1"/>
        <v>32728.64</v>
      </c>
    </row>
    <row r="20" spans="3:7" ht="15">
      <c r="C20" s="30" t="s">
        <v>380</v>
      </c>
      <c r="D20" s="377">
        <f>+'1) Budget Table'!D24</f>
        <v>0</v>
      </c>
      <c r="E20" s="141">
        <v>0</v>
      </c>
      <c r="F20" s="141"/>
      <c r="G20" s="37">
        <f t="shared" si="1"/>
        <v>0</v>
      </c>
    </row>
    <row r="21" spans="3:7" ht="31.5">
      <c r="C21" s="30" t="s">
        <v>381</v>
      </c>
      <c r="D21" s="377">
        <f>+'1) Budget Table'!D19</f>
        <v>2952</v>
      </c>
      <c r="E21" s="377">
        <v>13494.89</v>
      </c>
      <c r="F21" s="377"/>
      <c r="G21" s="37">
        <f t="shared" si="1"/>
        <v>16446.89</v>
      </c>
    </row>
    <row r="22" spans="3:7" ht="15">
      <c r="C22" s="31" t="s">
        <v>382</v>
      </c>
      <c r="D22" s="377">
        <f>+'1) Budget Table'!D18+'1) Budget Table'!D20+'1) Budget Table'!D22</f>
        <v>57468.72</v>
      </c>
      <c r="E22" s="377">
        <v>0</v>
      </c>
      <c r="F22" s="377"/>
      <c r="G22" s="37">
        <f t="shared" si="1"/>
        <v>57468.72</v>
      </c>
    </row>
    <row r="23" spans="3:7" ht="15">
      <c r="C23" s="30" t="s">
        <v>383</v>
      </c>
      <c r="D23" s="377">
        <f>+'1) Budget Table'!D25</f>
        <v>4920</v>
      </c>
      <c r="E23" s="377">
        <v>4764.35</v>
      </c>
      <c r="F23" s="377"/>
      <c r="G23" s="37">
        <f t="shared" si="1"/>
        <v>9684.35</v>
      </c>
    </row>
    <row r="24" spans="3:7" ht="15">
      <c r="C24" s="30" t="s">
        <v>384</v>
      </c>
      <c r="D24" s="377"/>
      <c r="E24" s="377">
        <v>0</v>
      </c>
      <c r="F24" s="377"/>
      <c r="G24" s="37">
        <f t="shared" si="1"/>
        <v>0</v>
      </c>
    </row>
    <row r="25" spans="3:7" ht="15">
      <c r="C25" s="30" t="s">
        <v>385</v>
      </c>
      <c r="D25" s="377">
        <f>+'1) Budget Table'!D23+'1) Budget Table'!D21</f>
        <v>162432</v>
      </c>
      <c r="E25" s="377">
        <v>0</v>
      </c>
      <c r="F25" s="377"/>
      <c r="G25" s="37">
        <f t="shared" si="1"/>
        <v>162432</v>
      </c>
    </row>
    <row r="26" spans="3:7" ht="15">
      <c r="C26" s="34" t="s">
        <v>386</v>
      </c>
      <c r="D26" s="43">
        <f>SUM(D19:D25)</f>
        <v>227772.72</v>
      </c>
      <c r="E26" s="43">
        <f>SUM(E19:E25)</f>
        <v>50987.88</v>
      </c>
      <c r="F26" s="43">
        <f>SUM(F19:F25)</f>
        <v>0</v>
      </c>
      <c r="G26" s="37">
        <f t="shared" si="1"/>
        <v>278760.6</v>
      </c>
    </row>
    <row r="27" spans="3:7" s="33" customFormat="1" ht="15">
      <c r="C27" s="47"/>
      <c r="D27" s="48"/>
      <c r="E27" s="48"/>
      <c r="F27" s="48"/>
      <c r="G27" s="49"/>
    </row>
    <row r="28" spans="3:7" ht="15">
      <c r="C28" s="482" t="s">
        <v>388</v>
      </c>
      <c r="D28" s="483"/>
      <c r="E28" s="483"/>
      <c r="F28" s="483"/>
      <c r="G28" s="484"/>
    </row>
    <row r="29" spans="3:7" ht="21.75" customHeight="1" thickBot="1">
      <c r="C29" s="40" t="s">
        <v>378</v>
      </c>
      <c r="D29" s="41">
        <f>'1) Budget Table'!D36</f>
        <v>0</v>
      </c>
      <c r="E29" s="41">
        <f>'1) Budget Table'!E36</f>
        <v>0</v>
      </c>
      <c r="F29" s="41">
        <f>'1) Budget Table'!F36</f>
        <v>0</v>
      </c>
      <c r="G29" s="42">
        <f aca="true" t="shared" si="2" ref="G29:G37">SUM(D29:F29)</f>
        <v>0</v>
      </c>
    </row>
    <row r="30" spans="3:7" ht="15">
      <c r="C30" s="38" t="s">
        <v>379</v>
      </c>
      <c r="D30" s="375"/>
      <c r="E30" s="376"/>
      <c r="F30" s="376"/>
      <c r="G30" s="39">
        <f t="shared" si="2"/>
        <v>0</v>
      </c>
    </row>
    <row r="31" spans="3:7" s="33" customFormat="1" ht="15.75" customHeight="1">
      <c r="C31" s="30" t="s">
        <v>380</v>
      </c>
      <c r="D31" s="377"/>
      <c r="E31" s="141"/>
      <c r="F31" s="141"/>
      <c r="G31" s="37">
        <f t="shared" si="2"/>
        <v>0</v>
      </c>
    </row>
    <row r="32" spans="3:7" s="33" customFormat="1" ht="31.5">
      <c r="C32" s="30" t="s">
        <v>381</v>
      </c>
      <c r="D32" s="377"/>
      <c r="E32" s="377"/>
      <c r="F32" s="377"/>
      <c r="G32" s="37">
        <f t="shared" si="2"/>
        <v>0</v>
      </c>
    </row>
    <row r="33" spans="3:7" s="33" customFormat="1" ht="15">
      <c r="C33" s="31" t="s">
        <v>382</v>
      </c>
      <c r="D33" s="377">
        <v>0</v>
      </c>
      <c r="E33" s="377"/>
      <c r="F33" s="377"/>
      <c r="G33" s="37">
        <f t="shared" si="2"/>
        <v>0</v>
      </c>
    </row>
    <row r="34" spans="3:7" ht="15">
      <c r="C34" s="30" t="s">
        <v>383</v>
      </c>
      <c r="D34" s="377">
        <v>0</v>
      </c>
      <c r="E34" s="377"/>
      <c r="F34" s="377"/>
      <c r="G34" s="37">
        <f t="shared" si="2"/>
        <v>0</v>
      </c>
    </row>
    <row r="35" spans="3:7" ht="15">
      <c r="C35" s="30" t="s">
        <v>384</v>
      </c>
      <c r="D35" s="377"/>
      <c r="E35" s="377"/>
      <c r="F35" s="377"/>
      <c r="G35" s="37">
        <f t="shared" si="2"/>
        <v>0</v>
      </c>
    </row>
    <row r="36" spans="3:7" ht="15">
      <c r="C36" s="30" t="s">
        <v>385</v>
      </c>
      <c r="D36" s="377"/>
      <c r="E36" s="377"/>
      <c r="F36" s="377"/>
      <c r="G36" s="37">
        <f t="shared" si="2"/>
        <v>0</v>
      </c>
    </row>
    <row r="37" spans="3:7" ht="15">
      <c r="C37" s="34" t="s">
        <v>386</v>
      </c>
      <c r="D37" s="43">
        <f>SUM(D30:D36)</f>
        <v>0</v>
      </c>
      <c r="E37" s="43">
        <f>SUM(E30:E36)</f>
        <v>0</v>
      </c>
      <c r="F37" s="43">
        <f>SUM(F30:F36)</f>
        <v>0</v>
      </c>
      <c r="G37" s="37">
        <f t="shared" si="2"/>
        <v>0</v>
      </c>
    </row>
    <row r="38" spans="3:7" ht="15">
      <c r="C38" s="482" t="s">
        <v>389</v>
      </c>
      <c r="D38" s="483"/>
      <c r="E38" s="483"/>
      <c r="F38" s="483"/>
      <c r="G38" s="484"/>
    </row>
    <row r="39" spans="3:7" s="33" customFormat="1" ht="15">
      <c r="C39" s="44"/>
      <c r="D39" s="45"/>
      <c r="E39" s="45"/>
      <c r="F39" s="45"/>
      <c r="G39" s="46"/>
    </row>
    <row r="40" spans="3:7" ht="20.25" customHeight="1" thickBot="1">
      <c r="C40" s="40" t="s">
        <v>378</v>
      </c>
      <c r="D40" s="41">
        <f>'1) Budget Table'!D46</f>
        <v>0</v>
      </c>
      <c r="E40" s="41">
        <f>'1) Budget Table'!E46</f>
        <v>0</v>
      </c>
      <c r="F40" s="41">
        <f>'1) Budget Table'!F46</f>
        <v>0</v>
      </c>
      <c r="G40" s="42">
        <f aca="true" t="shared" si="3" ref="G40:G48">SUM(D40:F40)</f>
        <v>0</v>
      </c>
    </row>
    <row r="41" spans="3:7" ht="15">
      <c r="C41" s="38" t="s">
        <v>379</v>
      </c>
      <c r="D41" s="375"/>
      <c r="E41" s="376"/>
      <c r="F41" s="376"/>
      <c r="G41" s="39">
        <f t="shared" si="3"/>
        <v>0</v>
      </c>
    </row>
    <row r="42" spans="3:7" ht="15.75" customHeight="1">
      <c r="C42" s="30" t="s">
        <v>380</v>
      </c>
      <c r="D42" s="377"/>
      <c r="E42" s="141"/>
      <c r="F42" s="141"/>
      <c r="G42" s="37">
        <f t="shared" si="3"/>
        <v>0</v>
      </c>
    </row>
    <row r="43" spans="3:7" ht="32.25" customHeight="1">
      <c r="C43" s="30" t="s">
        <v>381</v>
      </c>
      <c r="D43" s="377"/>
      <c r="E43" s="377"/>
      <c r="F43" s="377"/>
      <c r="G43" s="37">
        <f t="shared" si="3"/>
        <v>0</v>
      </c>
    </row>
    <row r="44" spans="3:7" s="33" customFormat="1" ht="15">
      <c r="C44" s="31" t="s">
        <v>382</v>
      </c>
      <c r="D44" s="377"/>
      <c r="E44" s="377"/>
      <c r="F44" s="377"/>
      <c r="G44" s="37">
        <f t="shared" si="3"/>
        <v>0</v>
      </c>
    </row>
    <row r="45" spans="3:7" ht="15">
      <c r="C45" s="30" t="s">
        <v>383</v>
      </c>
      <c r="D45" s="377"/>
      <c r="E45" s="377"/>
      <c r="F45" s="377"/>
      <c r="G45" s="37">
        <f t="shared" si="3"/>
        <v>0</v>
      </c>
    </row>
    <row r="46" spans="3:7" ht="15">
      <c r="C46" s="30" t="s">
        <v>384</v>
      </c>
      <c r="D46" s="377"/>
      <c r="E46" s="377"/>
      <c r="F46" s="377"/>
      <c r="G46" s="37">
        <f t="shared" si="3"/>
        <v>0</v>
      </c>
    </row>
    <row r="47" spans="3:7" ht="15">
      <c r="C47" s="30" t="s">
        <v>385</v>
      </c>
      <c r="D47" s="377"/>
      <c r="E47" s="377"/>
      <c r="F47" s="377"/>
      <c r="G47" s="37">
        <f t="shared" si="3"/>
        <v>0</v>
      </c>
    </row>
    <row r="48" spans="3:7" ht="21" customHeight="1">
      <c r="C48" s="34" t="s">
        <v>386</v>
      </c>
      <c r="D48" s="43">
        <f>SUM(D41:D47)</f>
        <v>0</v>
      </c>
      <c r="E48" s="43">
        <f>SUM(E41:E47)</f>
        <v>0</v>
      </c>
      <c r="F48" s="43">
        <f>SUM(F41:F47)</f>
        <v>0</v>
      </c>
      <c r="G48" s="37">
        <f t="shared" si="3"/>
        <v>0</v>
      </c>
    </row>
    <row r="49" spans="2:7" s="33" customFormat="1" ht="22.5" customHeight="1">
      <c r="B49" s="378"/>
      <c r="C49" s="50"/>
      <c r="D49" s="48"/>
      <c r="E49" s="48"/>
      <c r="F49" s="48"/>
      <c r="G49" s="49"/>
    </row>
    <row r="50" spans="2:7" ht="15">
      <c r="B50" s="482" t="s">
        <v>390</v>
      </c>
      <c r="C50" s="483"/>
      <c r="D50" s="483"/>
      <c r="E50" s="483"/>
      <c r="F50" s="483"/>
      <c r="G50" s="484"/>
    </row>
    <row r="51" spans="2:7" ht="15">
      <c r="B51" s="374"/>
      <c r="C51" s="482" t="s">
        <v>391</v>
      </c>
      <c r="D51" s="483"/>
      <c r="E51" s="483"/>
      <c r="F51" s="483"/>
      <c r="G51" s="484"/>
    </row>
    <row r="52" spans="2:7" ht="24" customHeight="1" thickBot="1">
      <c r="B52" s="374"/>
      <c r="C52" s="40" t="s">
        <v>378</v>
      </c>
      <c r="D52" s="41">
        <f>'1) Budget Table'!D58</f>
        <v>76466.91552000001</v>
      </c>
      <c r="E52" s="41">
        <f>'1) Budget Table'!E58</f>
        <v>0</v>
      </c>
      <c r="F52" s="41">
        <f>'1) Budget Table'!F58</f>
        <v>0</v>
      </c>
      <c r="G52" s="42">
        <f>SUM(D52:F52)</f>
        <v>76466.91552000001</v>
      </c>
    </row>
    <row r="53" spans="2:7" ht="15.75" customHeight="1">
      <c r="B53" s="374"/>
      <c r="C53" s="38" t="s">
        <v>379</v>
      </c>
      <c r="D53" s="375"/>
      <c r="E53" s="376"/>
      <c r="F53" s="376"/>
      <c r="G53" s="39">
        <f aca="true" t="shared" si="4" ref="G53:G60">SUM(D53:F53)</f>
        <v>0</v>
      </c>
    </row>
    <row r="54" spans="2:7" ht="15.75" customHeight="1">
      <c r="B54" s="374"/>
      <c r="C54" s="30" t="s">
        <v>380</v>
      </c>
      <c r="D54" s="377"/>
      <c r="E54" s="141"/>
      <c r="F54" s="141"/>
      <c r="G54" s="37">
        <f t="shared" si="4"/>
        <v>0</v>
      </c>
    </row>
    <row r="55" spans="2:7" ht="15.75" customHeight="1">
      <c r="B55" s="374"/>
      <c r="C55" s="30" t="s">
        <v>381</v>
      </c>
      <c r="D55" s="377">
        <f>'1) Budget Table'!D54</f>
        <v>47221.82</v>
      </c>
      <c r="E55" s="377"/>
      <c r="F55" s="377"/>
      <c r="G55" s="37">
        <f t="shared" si="4"/>
        <v>47221.82</v>
      </c>
    </row>
    <row r="56" spans="2:7" ht="18.75" customHeight="1">
      <c r="B56" s="374"/>
      <c r="C56" s="31" t="s">
        <v>382</v>
      </c>
      <c r="D56" s="377">
        <f>+'1) Budget Table'!D50+'1) Budget Table'!D51+'1) Budget Table'!D53</f>
        <v>24325.095520000003</v>
      </c>
      <c r="E56" s="377"/>
      <c r="F56" s="377"/>
      <c r="G56" s="37">
        <f t="shared" si="4"/>
        <v>24325.095520000003</v>
      </c>
    </row>
    <row r="57" spans="2:7" ht="15">
      <c r="B57" s="374"/>
      <c r="C57" s="30" t="s">
        <v>383</v>
      </c>
      <c r="D57" s="377"/>
      <c r="E57" s="377"/>
      <c r="F57" s="377"/>
      <c r="G57" s="37">
        <f t="shared" si="4"/>
        <v>0</v>
      </c>
    </row>
    <row r="58" spans="2:7" s="33" customFormat="1" ht="21.75" customHeight="1">
      <c r="B58" s="374"/>
      <c r="C58" s="30" t="s">
        <v>384</v>
      </c>
      <c r="D58" s="377"/>
      <c r="E58" s="377"/>
      <c r="F58" s="377"/>
      <c r="G58" s="37">
        <f t="shared" si="4"/>
        <v>0</v>
      </c>
    </row>
    <row r="59" spans="2:7" s="33" customFormat="1" ht="15">
      <c r="B59" s="374"/>
      <c r="C59" s="30" t="s">
        <v>385</v>
      </c>
      <c r="D59" s="377">
        <f>+'1) Budget Table'!D52</f>
        <v>4920</v>
      </c>
      <c r="E59" s="377"/>
      <c r="F59" s="377"/>
      <c r="G59" s="37">
        <f t="shared" si="4"/>
        <v>4920</v>
      </c>
    </row>
    <row r="60" spans="2:7" ht="15">
      <c r="B60" s="374"/>
      <c r="C60" s="34" t="s">
        <v>386</v>
      </c>
      <c r="D60" s="43">
        <f>SUM(D53:D59)</f>
        <v>76466.91552000001</v>
      </c>
      <c r="E60" s="43">
        <f>SUM(E53:E59)</f>
        <v>0</v>
      </c>
      <c r="F60" s="43">
        <f>SUM(F53:F59)</f>
        <v>0</v>
      </c>
      <c r="G60" s="37">
        <f t="shared" si="4"/>
        <v>76466.91552000001</v>
      </c>
    </row>
    <row r="61" spans="2:7" s="33" customFormat="1" ht="15">
      <c r="B61" s="378"/>
      <c r="C61" s="47"/>
      <c r="D61" s="48"/>
      <c r="E61" s="48"/>
      <c r="F61" s="48"/>
      <c r="G61" s="49"/>
    </row>
    <row r="62" spans="2:7" ht="15">
      <c r="B62" s="378"/>
      <c r="C62" s="482" t="s">
        <v>143</v>
      </c>
      <c r="D62" s="483"/>
      <c r="E62" s="483"/>
      <c r="F62" s="483"/>
      <c r="G62" s="484"/>
    </row>
    <row r="63" spans="2:7" ht="21.75" customHeight="1" thickBot="1">
      <c r="B63" s="374"/>
      <c r="C63" s="40" t="s">
        <v>378</v>
      </c>
      <c r="D63" s="41">
        <f>'1) Budget Table'!D68</f>
        <v>36408</v>
      </c>
      <c r="E63" s="41">
        <f>'1) Budget Table'!E68</f>
        <v>0</v>
      </c>
      <c r="F63" s="41">
        <f>'1) Budget Table'!F68</f>
        <v>0</v>
      </c>
      <c r="G63" s="42">
        <f aca="true" t="shared" si="5" ref="G63:G71">SUM(D63:F63)</f>
        <v>36408</v>
      </c>
    </row>
    <row r="64" spans="2:7" ht="15.75" customHeight="1">
      <c r="B64" s="374"/>
      <c r="C64" s="38" t="s">
        <v>379</v>
      </c>
      <c r="D64" s="375"/>
      <c r="E64" s="376"/>
      <c r="F64" s="376"/>
      <c r="G64" s="39">
        <f t="shared" si="5"/>
        <v>0</v>
      </c>
    </row>
    <row r="65" spans="2:7" ht="15.75" customHeight="1">
      <c r="B65" s="374"/>
      <c r="C65" s="30" t="s">
        <v>380</v>
      </c>
      <c r="D65" s="377"/>
      <c r="E65" s="141"/>
      <c r="F65" s="141"/>
      <c r="G65" s="37">
        <f t="shared" si="5"/>
        <v>0</v>
      </c>
    </row>
    <row r="66" spans="2:7" ht="15.75" customHeight="1">
      <c r="B66" s="374"/>
      <c r="C66" s="30" t="s">
        <v>381</v>
      </c>
      <c r="D66" s="377"/>
      <c r="E66" s="377"/>
      <c r="F66" s="377"/>
      <c r="G66" s="37">
        <f t="shared" si="5"/>
        <v>0</v>
      </c>
    </row>
    <row r="67" spans="2:7" ht="15">
      <c r="B67" s="374"/>
      <c r="C67" s="31" t="s">
        <v>382</v>
      </c>
      <c r="D67" s="377">
        <f>+'1) Budget Table'!D60+'1) Budget Table'!D61+'1) Budget Table'!D62</f>
        <v>32472</v>
      </c>
      <c r="E67" s="377"/>
      <c r="F67" s="377"/>
      <c r="G67" s="37">
        <f t="shared" si="5"/>
        <v>32472</v>
      </c>
    </row>
    <row r="68" spans="2:7" ht="15">
      <c r="B68" s="374"/>
      <c r="C68" s="30" t="s">
        <v>383</v>
      </c>
      <c r="D68" s="377"/>
      <c r="E68" s="377"/>
      <c r="F68" s="377"/>
      <c r="G68" s="37">
        <f t="shared" si="5"/>
        <v>0</v>
      </c>
    </row>
    <row r="69" spans="2:7" ht="15">
      <c r="B69" s="374"/>
      <c r="C69" s="30" t="s">
        <v>384</v>
      </c>
      <c r="D69" s="377"/>
      <c r="E69" s="377"/>
      <c r="F69" s="377"/>
      <c r="G69" s="37">
        <f t="shared" si="5"/>
        <v>0</v>
      </c>
    </row>
    <row r="70" spans="2:7" ht="15">
      <c r="B70" s="374"/>
      <c r="C70" s="30" t="s">
        <v>385</v>
      </c>
      <c r="D70" s="377">
        <f>+'1) Budget Table'!D63</f>
        <v>3936</v>
      </c>
      <c r="E70" s="377"/>
      <c r="F70" s="377"/>
      <c r="G70" s="37">
        <f t="shared" si="5"/>
        <v>3936</v>
      </c>
    </row>
    <row r="71" spans="2:7" ht="15">
      <c r="B71" s="374"/>
      <c r="C71" s="34" t="s">
        <v>386</v>
      </c>
      <c r="D71" s="43">
        <f>SUM(D64:D70)</f>
        <v>36408</v>
      </c>
      <c r="E71" s="43">
        <f>SUM(E64:E70)</f>
        <v>0</v>
      </c>
      <c r="F71" s="43">
        <f>SUM(F64:F70)</f>
        <v>0</v>
      </c>
      <c r="G71" s="37">
        <f t="shared" si="5"/>
        <v>36408</v>
      </c>
    </row>
    <row r="72" spans="2:7" s="33" customFormat="1" ht="15">
      <c r="B72" s="378"/>
      <c r="C72" s="47"/>
      <c r="D72" s="48"/>
      <c r="E72" s="48"/>
      <c r="F72" s="48"/>
      <c r="G72" s="49"/>
    </row>
    <row r="73" spans="2:7" ht="15">
      <c r="B73" s="374"/>
      <c r="C73" s="482" t="s">
        <v>257</v>
      </c>
      <c r="D73" s="483"/>
      <c r="E73" s="483"/>
      <c r="F73" s="483"/>
      <c r="G73" s="484"/>
    </row>
    <row r="74" spans="2:7" ht="21.75" customHeight="1" thickBot="1">
      <c r="B74" s="378"/>
      <c r="C74" s="40" t="s">
        <v>378</v>
      </c>
      <c r="D74" s="41">
        <f>'1) Budget Table'!D78</f>
        <v>0</v>
      </c>
      <c r="E74" s="41">
        <f>'1) Budget Table'!E78</f>
        <v>0</v>
      </c>
      <c r="F74" s="41">
        <f>'1) Budget Table'!F78</f>
        <v>61220</v>
      </c>
      <c r="G74" s="42">
        <f aca="true" t="shared" si="6" ref="G74:G82">SUM(D74:F74)</f>
        <v>61220</v>
      </c>
    </row>
    <row r="75" spans="2:7" ht="18" customHeight="1">
      <c r="B75" s="374"/>
      <c r="C75" s="38" t="s">
        <v>379</v>
      </c>
      <c r="D75" s="375"/>
      <c r="E75" s="376"/>
      <c r="F75" s="376"/>
      <c r="G75" s="39">
        <f t="shared" si="6"/>
        <v>0</v>
      </c>
    </row>
    <row r="76" spans="2:7" ht="15.75" customHeight="1">
      <c r="B76" s="374"/>
      <c r="C76" s="30" t="s">
        <v>380</v>
      </c>
      <c r="D76" s="377"/>
      <c r="E76" s="141"/>
      <c r="F76" s="141"/>
      <c r="G76" s="37">
        <f t="shared" si="6"/>
        <v>0</v>
      </c>
    </row>
    <row r="77" spans="2:7" s="33" customFormat="1" ht="15.75" customHeight="1">
      <c r="B77" s="374"/>
      <c r="C77" s="30" t="s">
        <v>381</v>
      </c>
      <c r="D77" s="377"/>
      <c r="E77" s="377"/>
      <c r="F77" s="377"/>
      <c r="G77" s="37">
        <f t="shared" si="6"/>
        <v>0</v>
      </c>
    </row>
    <row r="78" spans="2:7" ht="15">
      <c r="B78" s="378"/>
      <c r="C78" s="31" t="s">
        <v>382</v>
      </c>
      <c r="D78" s="377"/>
      <c r="E78" s="377"/>
      <c r="F78" s="377"/>
      <c r="G78" s="37">
        <f t="shared" si="6"/>
        <v>0</v>
      </c>
    </row>
    <row r="79" spans="2:7" ht="15">
      <c r="B79" s="378"/>
      <c r="C79" s="30" t="s">
        <v>383</v>
      </c>
      <c r="D79" s="377"/>
      <c r="E79" s="377"/>
      <c r="F79" s="377"/>
      <c r="G79" s="37">
        <f t="shared" si="6"/>
        <v>0</v>
      </c>
    </row>
    <row r="80" spans="2:7" ht="15">
      <c r="B80" s="378"/>
      <c r="C80" s="30" t="s">
        <v>384</v>
      </c>
      <c r="D80" s="377"/>
      <c r="E80" s="377"/>
      <c r="F80" s="377">
        <v>61220</v>
      </c>
      <c r="G80" s="37">
        <f>SUM(D80:F80)</f>
        <v>61220</v>
      </c>
    </row>
    <row r="81" spans="2:7" ht="15">
      <c r="B81" s="374"/>
      <c r="C81" s="30" t="s">
        <v>385</v>
      </c>
      <c r="D81" s="377"/>
      <c r="E81" s="377"/>
      <c r="F81" s="377"/>
      <c r="G81" s="37">
        <f t="shared" si="6"/>
        <v>0</v>
      </c>
    </row>
    <row r="82" spans="2:7" ht="15">
      <c r="B82" s="374"/>
      <c r="C82" s="34" t="s">
        <v>386</v>
      </c>
      <c r="D82" s="43">
        <f>SUM(D75:D81)</f>
        <v>0</v>
      </c>
      <c r="E82" s="43">
        <f>SUM(E75:E81)</f>
        <v>0</v>
      </c>
      <c r="F82" s="43">
        <f>SUM(F75:F81)</f>
        <v>61220</v>
      </c>
      <c r="G82" s="37">
        <f t="shared" si="6"/>
        <v>61220</v>
      </c>
    </row>
    <row r="83" spans="2:7" s="33" customFormat="1" ht="15">
      <c r="B83" s="378"/>
      <c r="C83" s="47"/>
      <c r="D83" s="48"/>
      <c r="E83" s="48"/>
      <c r="F83" s="48"/>
      <c r="G83" s="49"/>
    </row>
    <row r="84" spans="2:7" ht="15">
      <c r="B84" s="374"/>
      <c r="C84" s="482" t="s">
        <v>269</v>
      </c>
      <c r="D84" s="483"/>
      <c r="E84" s="483"/>
      <c r="F84" s="483"/>
      <c r="G84" s="484"/>
    </row>
    <row r="85" spans="2:7" ht="21.75" customHeight="1" thickBot="1">
      <c r="B85" s="374"/>
      <c r="C85" s="40" t="s">
        <v>378</v>
      </c>
      <c r="D85" s="41">
        <f>'1) Budget Table'!D88</f>
        <v>0</v>
      </c>
      <c r="E85" s="41">
        <f>'1) Budget Table'!E88</f>
        <v>0</v>
      </c>
      <c r="F85" s="41">
        <f>'1) Budget Table'!F88</f>
        <v>82000</v>
      </c>
      <c r="G85" s="42">
        <f aca="true" t="shared" si="7" ref="G85:G93">SUM(D85:F85)</f>
        <v>82000</v>
      </c>
    </row>
    <row r="86" spans="2:7" ht="15.75" customHeight="1">
      <c r="B86" s="374"/>
      <c r="C86" s="38" t="s">
        <v>379</v>
      </c>
      <c r="D86" s="375"/>
      <c r="E86" s="376"/>
      <c r="F86" s="376"/>
      <c r="G86" s="39">
        <f t="shared" si="7"/>
        <v>0</v>
      </c>
    </row>
    <row r="87" spans="2:7" ht="15.75" customHeight="1">
      <c r="B87" s="378"/>
      <c r="C87" s="30" t="s">
        <v>380</v>
      </c>
      <c r="D87" s="377"/>
      <c r="E87" s="141"/>
      <c r="F87" s="141"/>
      <c r="G87" s="37">
        <f t="shared" si="7"/>
        <v>0</v>
      </c>
    </row>
    <row r="88" spans="2:7" ht="15.75" customHeight="1">
      <c r="B88" s="374"/>
      <c r="C88" s="30" t="s">
        <v>381</v>
      </c>
      <c r="D88" s="377"/>
      <c r="E88" s="377"/>
      <c r="F88" s="377"/>
      <c r="G88" s="37">
        <f t="shared" si="7"/>
        <v>0</v>
      </c>
    </row>
    <row r="89" spans="2:7" ht="15">
      <c r="B89" s="374"/>
      <c r="C89" s="31" t="s">
        <v>382</v>
      </c>
      <c r="D89" s="377"/>
      <c r="E89" s="377"/>
      <c r="F89" s="377"/>
      <c r="G89" s="37">
        <f t="shared" si="7"/>
        <v>0</v>
      </c>
    </row>
    <row r="90" spans="2:7" ht="15">
      <c r="B90" s="374"/>
      <c r="C90" s="30" t="s">
        <v>383</v>
      </c>
      <c r="D90" s="377"/>
      <c r="E90" s="377"/>
      <c r="F90" s="377"/>
      <c r="G90" s="37">
        <f t="shared" si="7"/>
        <v>0</v>
      </c>
    </row>
    <row r="91" spans="2:7" ht="25.5" customHeight="1">
      <c r="B91" s="374"/>
      <c r="C91" s="30" t="s">
        <v>384</v>
      </c>
      <c r="D91" s="377"/>
      <c r="E91" s="377"/>
      <c r="F91" s="377">
        <v>82000</v>
      </c>
      <c r="G91" s="37">
        <f>SUM(D91:F91)</f>
        <v>82000</v>
      </c>
    </row>
    <row r="92" spans="2:7" ht="15">
      <c r="B92" s="378"/>
      <c r="C92" s="30" t="s">
        <v>385</v>
      </c>
      <c r="D92" s="377"/>
      <c r="E92" s="377"/>
      <c r="F92" s="377"/>
      <c r="G92" s="37">
        <f t="shared" si="7"/>
        <v>0</v>
      </c>
    </row>
    <row r="93" spans="2:7" ht="15.75" customHeight="1">
      <c r="B93" s="374"/>
      <c r="C93" s="34" t="s">
        <v>386</v>
      </c>
      <c r="D93" s="43">
        <f>SUM(D86:D92)</f>
        <v>0</v>
      </c>
      <c r="E93" s="43">
        <f>SUM(E86:E92)</f>
        <v>0</v>
      </c>
      <c r="F93" s="43">
        <f>SUM(F86:F92)</f>
        <v>82000</v>
      </c>
      <c r="G93" s="37">
        <f t="shared" si="7"/>
        <v>82000</v>
      </c>
    </row>
    <row r="94" spans="2:7" ht="25.5" customHeight="1">
      <c r="B94" s="374"/>
      <c r="C94" s="374"/>
      <c r="D94" s="374"/>
      <c r="E94" s="374"/>
      <c r="F94" s="374"/>
      <c r="G94" s="374"/>
    </row>
    <row r="95" spans="2:7" ht="15">
      <c r="B95" s="482" t="s">
        <v>392</v>
      </c>
      <c r="C95" s="483"/>
      <c r="D95" s="483"/>
      <c r="E95" s="483"/>
      <c r="F95" s="483"/>
      <c r="G95" s="484"/>
    </row>
    <row r="96" spans="2:7" ht="15">
      <c r="B96" s="374"/>
      <c r="C96" s="482" t="s">
        <v>158</v>
      </c>
      <c r="D96" s="483"/>
      <c r="E96" s="483"/>
      <c r="F96" s="483"/>
      <c r="G96" s="484"/>
    </row>
    <row r="97" spans="3:7" ht="22.5" customHeight="1" thickBot="1">
      <c r="C97" s="40" t="s">
        <v>378</v>
      </c>
      <c r="D97" s="41">
        <f>'1) Budget Table'!D100</f>
        <v>21105.5</v>
      </c>
      <c r="E97" s="41">
        <f>'1) Budget Table'!E100</f>
        <v>0</v>
      </c>
      <c r="F97" s="41">
        <f>'1) Budget Table'!F100</f>
        <v>0</v>
      </c>
      <c r="G97" s="42">
        <f>SUM(D97:F97)</f>
        <v>21105.5</v>
      </c>
    </row>
    <row r="98" spans="3:7" ht="15">
      <c r="C98" s="38" t="s">
        <v>379</v>
      </c>
      <c r="D98" s="375"/>
      <c r="E98" s="376"/>
      <c r="F98" s="376"/>
      <c r="G98" s="39">
        <f aca="true" t="shared" si="8" ref="G98:G105">SUM(D98:F98)</f>
        <v>0</v>
      </c>
    </row>
    <row r="99" spans="3:7" ht="15">
      <c r="C99" s="30" t="s">
        <v>380</v>
      </c>
      <c r="D99" s="377"/>
      <c r="E99" s="141"/>
      <c r="F99" s="141"/>
      <c r="G99" s="37">
        <f t="shared" si="8"/>
        <v>0</v>
      </c>
    </row>
    <row r="100" spans="3:7" ht="15.75" customHeight="1">
      <c r="C100" s="30" t="s">
        <v>381</v>
      </c>
      <c r="D100" s="377"/>
      <c r="E100" s="377"/>
      <c r="F100" s="377"/>
      <c r="G100" s="37">
        <f t="shared" si="8"/>
        <v>0</v>
      </c>
    </row>
    <row r="101" spans="3:7" ht="15">
      <c r="C101" s="31" t="s">
        <v>382</v>
      </c>
      <c r="D101" s="377">
        <f>+'1) Budget Table'!D92+'1) Budget Table'!D93+'1) Budget Table'!D94+'1) Budget Table'!D95+'1) Budget Table'!D97+'1) Budget Table'!D98+'1) Budget Table'!D99</f>
        <v>19137.5</v>
      </c>
      <c r="E101" s="377"/>
      <c r="F101" s="377"/>
      <c r="G101" s="37">
        <f t="shared" si="8"/>
        <v>19137.5</v>
      </c>
    </row>
    <row r="102" spans="3:7" ht="15">
      <c r="C102" s="30" t="s">
        <v>383</v>
      </c>
      <c r="D102" s="377"/>
      <c r="E102" s="377"/>
      <c r="F102" s="377"/>
      <c r="G102" s="37">
        <f t="shared" si="8"/>
        <v>0</v>
      </c>
    </row>
    <row r="103" spans="3:7" ht="15">
      <c r="C103" s="30" t="s">
        <v>384</v>
      </c>
      <c r="D103" s="377"/>
      <c r="E103" s="377"/>
      <c r="F103" s="377"/>
      <c r="G103" s="37">
        <f t="shared" si="8"/>
        <v>0</v>
      </c>
    </row>
    <row r="104" spans="3:7" ht="15">
      <c r="C104" s="30" t="s">
        <v>385</v>
      </c>
      <c r="D104" s="377">
        <f>+'1) Budget Table'!D96</f>
        <v>1968</v>
      </c>
      <c r="E104" s="377"/>
      <c r="F104" s="377"/>
      <c r="G104" s="37">
        <f t="shared" si="8"/>
        <v>1968</v>
      </c>
    </row>
    <row r="105" spans="3:7" ht="15">
      <c r="C105" s="34" t="s">
        <v>386</v>
      </c>
      <c r="D105" s="43">
        <f>SUM(D98:D104)</f>
        <v>21105.5</v>
      </c>
      <c r="E105" s="43">
        <f>SUM(E98:E104)</f>
        <v>0</v>
      </c>
      <c r="F105" s="43">
        <f>SUM(F98:F104)</f>
        <v>0</v>
      </c>
      <c r="G105" s="37">
        <f t="shared" si="8"/>
        <v>21105.5</v>
      </c>
    </row>
    <row r="106" spans="3:7" s="33" customFormat="1" ht="15">
      <c r="C106" s="47"/>
      <c r="D106" s="48"/>
      <c r="E106" s="48"/>
      <c r="F106" s="48"/>
      <c r="G106" s="49"/>
    </row>
    <row r="107" spans="3:7" ht="15.75" customHeight="1">
      <c r="C107" s="482" t="s">
        <v>393</v>
      </c>
      <c r="D107" s="483"/>
      <c r="E107" s="483"/>
      <c r="F107" s="483"/>
      <c r="G107" s="484"/>
    </row>
    <row r="108" spans="3:7" ht="21.75" customHeight="1" thickBot="1">
      <c r="C108" s="40" t="s">
        <v>378</v>
      </c>
      <c r="D108" s="41">
        <f>'1) Budget Table'!D110</f>
        <v>0</v>
      </c>
      <c r="E108" s="41">
        <f>'1) Budget Table'!E110</f>
        <v>0</v>
      </c>
      <c r="F108" s="41">
        <f>'1) Budget Table'!F110</f>
        <v>192760</v>
      </c>
      <c r="G108" s="42">
        <f aca="true" t="shared" si="9" ref="G108:G116">SUM(D108:F108)</f>
        <v>192760</v>
      </c>
    </row>
    <row r="109" spans="3:7" ht="15">
      <c r="C109" s="38" t="s">
        <v>379</v>
      </c>
      <c r="D109" s="375"/>
      <c r="E109" s="376"/>
      <c r="F109" s="376"/>
      <c r="G109" s="39">
        <f t="shared" si="9"/>
        <v>0</v>
      </c>
    </row>
    <row r="110" spans="3:7" ht="15">
      <c r="C110" s="30" t="s">
        <v>380</v>
      </c>
      <c r="D110" s="377"/>
      <c r="E110" s="141"/>
      <c r="F110" s="141"/>
      <c r="G110" s="37">
        <f t="shared" si="9"/>
        <v>0</v>
      </c>
    </row>
    <row r="111" spans="3:7" ht="31.5">
      <c r="C111" s="30" t="s">
        <v>381</v>
      </c>
      <c r="D111" s="377"/>
      <c r="E111" s="377"/>
      <c r="F111" s="377"/>
      <c r="G111" s="37">
        <f t="shared" si="9"/>
        <v>0</v>
      </c>
    </row>
    <row r="112" spans="3:7" ht="15">
      <c r="C112" s="31" t="s">
        <v>382</v>
      </c>
      <c r="D112" s="377"/>
      <c r="E112" s="377"/>
      <c r="F112" s="377"/>
      <c r="G112" s="37">
        <f t="shared" si="9"/>
        <v>0</v>
      </c>
    </row>
    <row r="113" spans="3:7" ht="15">
      <c r="C113" s="30" t="s">
        <v>383</v>
      </c>
      <c r="D113" s="377"/>
      <c r="E113" s="377"/>
      <c r="F113" s="377"/>
      <c r="G113" s="37">
        <f t="shared" si="9"/>
        <v>0</v>
      </c>
    </row>
    <row r="114" spans="3:7" ht="15">
      <c r="C114" s="30" t="s">
        <v>384</v>
      </c>
      <c r="D114" s="377"/>
      <c r="E114" s="377"/>
      <c r="F114" s="377">
        <v>192760</v>
      </c>
      <c r="G114" s="37">
        <f t="shared" si="9"/>
        <v>192760</v>
      </c>
    </row>
    <row r="115" spans="3:7" ht="15">
      <c r="C115" s="30" t="s">
        <v>385</v>
      </c>
      <c r="D115" s="377"/>
      <c r="E115" s="377"/>
      <c r="F115" s="377"/>
      <c r="G115" s="37">
        <f t="shared" si="9"/>
        <v>0</v>
      </c>
    </row>
    <row r="116" spans="3:7" ht="15">
      <c r="C116" s="34" t="s">
        <v>386</v>
      </c>
      <c r="D116" s="43">
        <f>SUM(D109:D115)</f>
        <v>0</v>
      </c>
      <c r="E116" s="43">
        <f>SUM(E109:E115)</f>
        <v>0</v>
      </c>
      <c r="F116" s="43">
        <f>SUM(F109:F115)</f>
        <v>192760</v>
      </c>
      <c r="G116" s="37">
        <f t="shared" si="9"/>
        <v>192760</v>
      </c>
    </row>
    <row r="117" spans="3:7" s="33" customFormat="1" ht="15">
      <c r="C117" s="47"/>
      <c r="D117" s="48"/>
      <c r="E117" s="48"/>
      <c r="F117" s="48"/>
      <c r="G117" s="49"/>
    </row>
    <row r="118" spans="3:7" ht="15">
      <c r="C118" s="482" t="s">
        <v>302</v>
      </c>
      <c r="D118" s="483"/>
      <c r="E118" s="483"/>
      <c r="F118" s="483"/>
      <c r="G118" s="484"/>
    </row>
    <row r="119" spans="3:7" ht="21" customHeight="1" thickBot="1">
      <c r="C119" s="40" t="s">
        <v>378</v>
      </c>
      <c r="D119" s="41">
        <f>'1) Budget Table'!D120</f>
        <v>0</v>
      </c>
      <c r="E119" s="41">
        <f>'1) Budget Table'!E120</f>
        <v>0</v>
      </c>
      <c r="F119" s="41">
        <f>'1) Budget Table'!F120</f>
        <v>0</v>
      </c>
      <c r="G119" s="42">
        <f aca="true" t="shared" si="10" ref="G119:G127">SUM(D119:F119)</f>
        <v>0</v>
      </c>
    </row>
    <row r="120" spans="3:7" ht="15">
      <c r="C120" s="38" t="s">
        <v>379</v>
      </c>
      <c r="D120" s="375"/>
      <c r="E120" s="376"/>
      <c r="F120" s="376"/>
      <c r="G120" s="39">
        <f t="shared" si="10"/>
        <v>0</v>
      </c>
    </row>
    <row r="121" spans="3:7" ht="15">
      <c r="C121" s="30" t="s">
        <v>380</v>
      </c>
      <c r="D121" s="377"/>
      <c r="E121" s="141"/>
      <c r="F121" s="141"/>
      <c r="G121" s="37">
        <f t="shared" si="10"/>
        <v>0</v>
      </c>
    </row>
    <row r="122" spans="3:7" ht="31.5">
      <c r="C122" s="30" t="s">
        <v>381</v>
      </c>
      <c r="D122" s="377"/>
      <c r="E122" s="377"/>
      <c r="F122" s="377"/>
      <c r="G122" s="37">
        <f t="shared" si="10"/>
        <v>0</v>
      </c>
    </row>
    <row r="123" spans="3:7" ht="15">
      <c r="C123" s="31" t="s">
        <v>382</v>
      </c>
      <c r="D123" s="377"/>
      <c r="E123" s="377"/>
      <c r="F123" s="377"/>
      <c r="G123" s="37">
        <f t="shared" si="10"/>
        <v>0</v>
      </c>
    </row>
    <row r="124" spans="3:7" ht="15">
      <c r="C124" s="30" t="s">
        <v>383</v>
      </c>
      <c r="D124" s="377"/>
      <c r="E124" s="377"/>
      <c r="F124" s="377"/>
      <c r="G124" s="37">
        <f t="shared" si="10"/>
        <v>0</v>
      </c>
    </row>
    <row r="125" spans="3:7" ht="15">
      <c r="C125" s="30" t="s">
        <v>384</v>
      </c>
      <c r="D125" s="377"/>
      <c r="E125" s="377"/>
      <c r="F125" s="377"/>
      <c r="G125" s="37">
        <f t="shared" si="10"/>
        <v>0</v>
      </c>
    </row>
    <row r="126" spans="3:7" ht="15">
      <c r="C126" s="30" t="s">
        <v>385</v>
      </c>
      <c r="D126" s="377"/>
      <c r="E126" s="377"/>
      <c r="F126" s="377"/>
      <c r="G126" s="37">
        <f t="shared" si="10"/>
        <v>0</v>
      </c>
    </row>
    <row r="127" spans="3:7" ht="15">
      <c r="C127" s="34" t="s">
        <v>386</v>
      </c>
      <c r="D127" s="43">
        <f>SUM(D120:D126)</f>
        <v>0</v>
      </c>
      <c r="E127" s="43">
        <f>SUM(E120:E126)</f>
        <v>0</v>
      </c>
      <c r="F127" s="43">
        <f>SUM(F120:F126)</f>
        <v>0</v>
      </c>
      <c r="G127" s="37">
        <f t="shared" si="10"/>
        <v>0</v>
      </c>
    </row>
    <row r="128" spans="3:7" s="33" customFormat="1" ht="15">
      <c r="C128" s="47"/>
      <c r="D128" s="48"/>
      <c r="E128" s="48"/>
      <c r="F128" s="48"/>
      <c r="G128" s="49"/>
    </row>
    <row r="129" spans="2:7" ht="15">
      <c r="B129" s="374"/>
      <c r="C129" s="482" t="s">
        <v>311</v>
      </c>
      <c r="D129" s="483"/>
      <c r="E129" s="483"/>
      <c r="F129" s="483"/>
      <c r="G129" s="484"/>
    </row>
    <row r="130" spans="2:7" ht="24" customHeight="1" thickBot="1">
      <c r="B130" s="374"/>
      <c r="C130" s="40" t="s">
        <v>378</v>
      </c>
      <c r="D130" s="41">
        <f>'1) Budget Table'!D130</f>
        <v>0</v>
      </c>
      <c r="E130" s="41">
        <f>'1) Budget Table'!E130</f>
        <v>0</v>
      </c>
      <c r="F130" s="41">
        <f>'1) Budget Table'!F130</f>
        <v>0</v>
      </c>
      <c r="G130" s="42">
        <f aca="true" t="shared" si="11" ref="G130:G138">SUM(D130:F130)</f>
        <v>0</v>
      </c>
    </row>
    <row r="131" spans="2:7" ht="15.75" customHeight="1">
      <c r="B131" s="374"/>
      <c r="C131" s="38" t="s">
        <v>379</v>
      </c>
      <c r="D131" s="375"/>
      <c r="E131" s="376"/>
      <c r="F131" s="376"/>
      <c r="G131" s="39">
        <f t="shared" si="11"/>
        <v>0</v>
      </c>
    </row>
    <row r="132" spans="2:7" ht="15">
      <c r="B132" s="374"/>
      <c r="C132" s="30" t="s">
        <v>380</v>
      </c>
      <c r="D132" s="377"/>
      <c r="E132" s="141"/>
      <c r="F132" s="141"/>
      <c r="G132" s="37">
        <f t="shared" si="11"/>
        <v>0</v>
      </c>
    </row>
    <row r="133" spans="2:7" ht="15.75" customHeight="1">
      <c r="B133" s="374"/>
      <c r="C133" s="30" t="s">
        <v>381</v>
      </c>
      <c r="D133" s="377"/>
      <c r="E133" s="377"/>
      <c r="F133" s="377"/>
      <c r="G133" s="37">
        <f t="shared" si="11"/>
        <v>0</v>
      </c>
    </row>
    <row r="134" spans="2:7" ht="15">
      <c r="B134" s="374"/>
      <c r="C134" s="31" t="s">
        <v>382</v>
      </c>
      <c r="D134" s="377"/>
      <c r="E134" s="377"/>
      <c r="F134" s="377"/>
      <c r="G134" s="37">
        <f t="shared" si="11"/>
        <v>0</v>
      </c>
    </row>
    <row r="135" spans="2:7" ht="15">
      <c r="B135" s="374"/>
      <c r="C135" s="30" t="s">
        <v>383</v>
      </c>
      <c r="D135" s="377"/>
      <c r="E135" s="377"/>
      <c r="F135" s="377"/>
      <c r="G135" s="37">
        <f t="shared" si="11"/>
        <v>0</v>
      </c>
    </row>
    <row r="136" spans="2:7" ht="15.75" customHeight="1">
      <c r="B136" s="374"/>
      <c r="C136" s="30" t="s">
        <v>384</v>
      </c>
      <c r="D136" s="377"/>
      <c r="E136" s="377"/>
      <c r="F136" s="377"/>
      <c r="G136" s="37">
        <f t="shared" si="11"/>
        <v>0</v>
      </c>
    </row>
    <row r="137" spans="2:7" ht="15">
      <c r="B137" s="374"/>
      <c r="C137" s="30" t="s">
        <v>385</v>
      </c>
      <c r="D137" s="377"/>
      <c r="E137" s="377"/>
      <c r="F137" s="377"/>
      <c r="G137" s="37">
        <f t="shared" si="11"/>
        <v>0</v>
      </c>
    </row>
    <row r="138" spans="2:7" ht="15">
      <c r="B138" s="374"/>
      <c r="C138" s="34" t="s">
        <v>386</v>
      </c>
      <c r="D138" s="43">
        <f>SUM(D131:D137)</f>
        <v>0</v>
      </c>
      <c r="E138" s="43">
        <f>SUM(E131:E137)</f>
        <v>0</v>
      </c>
      <c r="F138" s="43">
        <f>SUM(F131:F137)</f>
        <v>0</v>
      </c>
      <c r="G138" s="37">
        <f t="shared" si="11"/>
        <v>0</v>
      </c>
    </row>
    <row r="140" spans="2:7" ht="15">
      <c r="B140" s="482" t="s">
        <v>394</v>
      </c>
      <c r="C140" s="483"/>
      <c r="D140" s="483"/>
      <c r="E140" s="483"/>
      <c r="F140" s="483"/>
      <c r="G140" s="484"/>
    </row>
    <row r="141" spans="2:7" ht="15">
      <c r="B141" s="374"/>
      <c r="C141" s="482" t="s">
        <v>321</v>
      </c>
      <c r="D141" s="483"/>
      <c r="E141" s="483"/>
      <c r="F141" s="483"/>
      <c r="G141" s="484"/>
    </row>
    <row r="142" spans="2:7" ht="24" customHeight="1" thickBot="1">
      <c r="B142" s="374"/>
      <c r="C142" s="40" t="s">
        <v>378</v>
      </c>
      <c r="D142" s="41">
        <f>'1) Budget Table'!D142</f>
        <v>0</v>
      </c>
      <c r="E142" s="41">
        <f>'1) Budget Table'!E142</f>
        <v>0</v>
      </c>
      <c r="F142" s="41">
        <f>'1) Budget Table'!F142</f>
        <v>0</v>
      </c>
      <c r="G142" s="42">
        <f>SUM(D142:F142)</f>
        <v>0</v>
      </c>
    </row>
    <row r="143" spans="2:7" ht="24.75" customHeight="1">
      <c r="B143" s="374"/>
      <c r="C143" s="38" t="s">
        <v>379</v>
      </c>
      <c r="D143" s="375"/>
      <c r="E143" s="376"/>
      <c r="F143" s="376"/>
      <c r="G143" s="39">
        <f aca="true" t="shared" si="12" ref="G143:G150">SUM(D143:F143)</f>
        <v>0</v>
      </c>
    </row>
    <row r="144" spans="2:7" ht="15.75" customHeight="1">
      <c r="B144" s="374"/>
      <c r="C144" s="30" t="s">
        <v>380</v>
      </c>
      <c r="D144" s="377"/>
      <c r="E144" s="141"/>
      <c r="F144" s="141"/>
      <c r="G144" s="37">
        <f t="shared" si="12"/>
        <v>0</v>
      </c>
    </row>
    <row r="145" spans="3:7" ht="15.75" customHeight="1">
      <c r="C145" s="30" t="s">
        <v>381</v>
      </c>
      <c r="D145" s="377"/>
      <c r="E145" s="377"/>
      <c r="F145" s="377"/>
      <c r="G145" s="37">
        <f t="shared" si="12"/>
        <v>0</v>
      </c>
    </row>
    <row r="146" spans="3:7" ht="15.75" customHeight="1">
      <c r="C146" s="31" t="s">
        <v>382</v>
      </c>
      <c r="D146" s="377"/>
      <c r="E146" s="377"/>
      <c r="F146" s="377"/>
      <c r="G146" s="37">
        <f t="shared" si="12"/>
        <v>0</v>
      </c>
    </row>
    <row r="147" spans="3:7" ht="15.75" customHeight="1">
      <c r="C147" s="30" t="s">
        <v>383</v>
      </c>
      <c r="D147" s="377"/>
      <c r="E147" s="377"/>
      <c r="F147" s="377"/>
      <c r="G147" s="37">
        <f t="shared" si="12"/>
        <v>0</v>
      </c>
    </row>
    <row r="148" spans="3:7" ht="15.75" customHeight="1">
      <c r="C148" s="30" t="s">
        <v>384</v>
      </c>
      <c r="D148" s="377"/>
      <c r="E148" s="377"/>
      <c r="F148" s="377"/>
      <c r="G148" s="37">
        <f t="shared" si="12"/>
        <v>0</v>
      </c>
    </row>
    <row r="149" spans="3:7" ht="15.75" customHeight="1">
      <c r="C149" s="30" t="s">
        <v>385</v>
      </c>
      <c r="D149" s="377"/>
      <c r="E149" s="377"/>
      <c r="F149" s="377"/>
      <c r="G149" s="37">
        <f t="shared" si="12"/>
        <v>0</v>
      </c>
    </row>
    <row r="150" spans="3:7" ht="15.75" customHeight="1">
      <c r="C150" s="34" t="s">
        <v>386</v>
      </c>
      <c r="D150" s="43">
        <f>SUM(D143:D149)</f>
        <v>0</v>
      </c>
      <c r="E150" s="43">
        <f>SUM(E143:E149)</f>
        <v>0</v>
      </c>
      <c r="F150" s="43">
        <f>SUM(F143:F149)</f>
        <v>0</v>
      </c>
      <c r="G150" s="37">
        <f t="shared" si="12"/>
        <v>0</v>
      </c>
    </row>
    <row r="151" spans="3:7" s="33" customFormat="1" ht="15.75" customHeight="1">
      <c r="C151" s="47"/>
      <c r="D151" s="48"/>
      <c r="E151" s="48"/>
      <c r="F151" s="48"/>
      <c r="G151" s="49"/>
    </row>
    <row r="152" spans="3:7" ht="15.75" customHeight="1">
      <c r="C152" s="482" t="s">
        <v>330</v>
      </c>
      <c r="D152" s="483"/>
      <c r="E152" s="483"/>
      <c r="F152" s="483"/>
      <c r="G152" s="484"/>
    </row>
    <row r="153" spans="3:7" ht="21" customHeight="1" thickBot="1">
      <c r="C153" s="40" t="s">
        <v>378</v>
      </c>
      <c r="D153" s="41">
        <f>'1) Budget Table'!D152</f>
        <v>0</v>
      </c>
      <c r="E153" s="41">
        <f>'1) Budget Table'!E152</f>
        <v>0</v>
      </c>
      <c r="F153" s="41">
        <f>'1) Budget Table'!F152</f>
        <v>0</v>
      </c>
      <c r="G153" s="42">
        <f aca="true" t="shared" si="13" ref="G153:G161">SUM(D153:F153)</f>
        <v>0</v>
      </c>
    </row>
    <row r="154" spans="3:7" ht="15.75" customHeight="1">
      <c r="C154" s="38" t="s">
        <v>379</v>
      </c>
      <c r="D154" s="375"/>
      <c r="E154" s="376"/>
      <c r="F154" s="376"/>
      <c r="G154" s="39">
        <f t="shared" si="13"/>
        <v>0</v>
      </c>
    </row>
    <row r="155" spans="3:7" ht="15.75" customHeight="1">
      <c r="C155" s="30" t="s">
        <v>380</v>
      </c>
      <c r="D155" s="377"/>
      <c r="E155" s="141"/>
      <c r="F155" s="141"/>
      <c r="G155" s="37">
        <f t="shared" si="13"/>
        <v>0</v>
      </c>
    </row>
    <row r="156" spans="3:7" ht="15.75" customHeight="1">
      <c r="C156" s="30" t="s">
        <v>381</v>
      </c>
      <c r="D156" s="377"/>
      <c r="E156" s="377"/>
      <c r="F156" s="377"/>
      <c r="G156" s="37">
        <f t="shared" si="13"/>
        <v>0</v>
      </c>
    </row>
    <row r="157" spans="3:7" ht="15.75" customHeight="1">
      <c r="C157" s="31" t="s">
        <v>382</v>
      </c>
      <c r="D157" s="377"/>
      <c r="E157" s="377"/>
      <c r="F157" s="377"/>
      <c r="G157" s="37">
        <f t="shared" si="13"/>
        <v>0</v>
      </c>
    </row>
    <row r="158" spans="3:7" ht="15.75" customHeight="1">
      <c r="C158" s="30" t="s">
        <v>383</v>
      </c>
      <c r="D158" s="377"/>
      <c r="E158" s="377"/>
      <c r="F158" s="377"/>
      <c r="G158" s="37">
        <f t="shared" si="13"/>
        <v>0</v>
      </c>
    </row>
    <row r="159" spans="3:7" ht="15.75" customHeight="1">
      <c r="C159" s="30" t="s">
        <v>384</v>
      </c>
      <c r="D159" s="377"/>
      <c r="E159" s="377"/>
      <c r="F159" s="377"/>
      <c r="G159" s="37">
        <f t="shared" si="13"/>
        <v>0</v>
      </c>
    </row>
    <row r="160" spans="3:7" ht="15.75" customHeight="1">
      <c r="C160" s="30" t="s">
        <v>385</v>
      </c>
      <c r="D160" s="377"/>
      <c r="E160" s="377"/>
      <c r="F160" s="377"/>
      <c r="G160" s="37">
        <f t="shared" si="13"/>
        <v>0</v>
      </c>
    </row>
    <row r="161" spans="3:7" ht="15.75" customHeight="1">
      <c r="C161" s="34" t="s">
        <v>386</v>
      </c>
      <c r="D161" s="43">
        <f>SUM(D154:D160)</f>
        <v>0</v>
      </c>
      <c r="E161" s="43">
        <f>SUM(E154:E160)</f>
        <v>0</v>
      </c>
      <c r="F161" s="43">
        <f>SUM(F154:F160)</f>
        <v>0</v>
      </c>
      <c r="G161" s="37">
        <f t="shared" si="13"/>
        <v>0</v>
      </c>
    </row>
    <row r="162" spans="3:7" s="33" customFormat="1" ht="15.75" customHeight="1">
      <c r="C162" s="47"/>
      <c r="D162" s="48"/>
      <c r="E162" s="48"/>
      <c r="F162" s="48"/>
      <c r="G162" s="49"/>
    </row>
    <row r="163" spans="3:7" ht="15.75" customHeight="1">
      <c r="C163" s="482" t="s">
        <v>339</v>
      </c>
      <c r="D163" s="483"/>
      <c r="E163" s="483"/>
      <c r="F163" s="483"/>
      <c r="G163" s="484"/>
    </row>
    <row r="164" spans="3:7" ht="19.5" customHeight="1" thickBot="1">
      <c r="C164" s="40" t="s">
        <v>378</v>
      </c>
      <c r="D164" s="41">
        <f>'1) Budget Table'!D162</f>
        <v>0</v>
      </c>
      <c r="E164" s="41">
        <f>'1) Budget Table'!E162</f>
        <v>0</v>
      </c>
      <c r="F164" s="41">
        <f>'1) Budget Table'!F162</f>
        <v>0</v>
      </c>
      <c r="G164" s="42">
        <f aca="true" t="shared" si="14" ref="G164:G172">SUM(D164:F164)</f>
        <v>0</v>
      </c>
    </row>
    <row r="165" spans="3:7" ht="15.75" customHeight="1">
      <c r="C165" s="38" t="s">
        <v>379</v>
      </c>
      <c r="D165" s="375"/>
      <c r="E165" s="376"/>
      <c r="F165" s="376"/>
      <c r="G165" s="39">
        <f t="shared" si="14"/>
        <v>0</v>
      </c>
    </row>
    <row r="166" spans="3:7" ht="15.75" customHeight="1">
      <c r="C166" s="30" t="s">
        <v>380</v>
      </c>
      <c r="D166" s="377"/>
      <c r="E166" s="141"/>
      <c r="F166" s="141"/>
      <c r="G166" s="37">
        <f t="shared" si="14"/>
        <v>0</v>
      </c>
    </row>
    <row r="167" spans="3:7" ht="15.75" customHeight="1">
      <c r="C167" s="30" t="s">
        <v>381</v>
      </c>
      <c r="D167" s="377"/>
      <c r="E167" s="377"/>
      <c r="F167" s="377"/>
      <c r="G167" s="37">
        <f t="shared" si="14"/>
        <v>0</v>
      </c>
    </row>
    <row r="168" spans="3:7" ht="15.75" customHeight="1">
      <c r="C168" s="31" t="s">
        <v>382</v>
      </c>
      <c r="D168" s="377"/>
      <c r="E168" s="377"/>
      <c r="F168" s="377"/>
      <c r="G168" s="37">
        <f t="shared" si="14"/>
        <v>0</v>
      </c>
    </row>
    <row r="169" spans="3:7" ht="15.75" customHeight="1">
      <c r="C169" s="30" t="s">
        <v>383</v>
      </c>
      <c r="D169" s="377"/>
      <c r="E169" s="377"/>
      <c r="F169" s="377"/>
      <c r="G169" s="37">
        <f t="shared" si="14"/>
        <v>0</v>
      </c>
    </row>
    <row r="170" spans="3:7" ht="15.75" customHeight="1">
      <c r="C170" s="30" t="s">
        <v>384</v>
      </c>
      <c r="D170" s="377"/>
      <c r="E170" s="377"/>
      <c r="F170" s="377"/>
      <c r="G170" s="37">
        <f t="shared" si="14"/>
        <v>0</v>
      </c>
    </row>
    <row r="171" spans="3:7" ht="15.75" customHeight="1">
      <c r="C171" s="30" t="s">
        <v>385</v>
      </c>
      <c r="D171" s="377"/>
      <c r="E171" s="377"/>
      <c r="F171" s="377"/>
      <c r="G171" s="37">
        <f t="shared" si="14"/>
        <v>0</v>
      </c>
    </row>
    <row r="172" spans="3:7" ht="15.75" customHeight="1">
      <c r="C172" s="34" t="s">
        <v>386</v>
      </c>
      <c r="D172" s="43">
        <f>SUM(D165:D171)</f>
        <v>0</v>
      </c>
      <c r="E172" s="43">
        <f>SUM(E165:E171)</f>
        <v>0</v>
      </c>
      <c r="F172" s="43">
        <f>SUM(F165:F171)</f>
        <v>0</v>
      </c>
      <c r="G172" s="37">
        <f t="shared" si="14"/>
        <v>0</v>
      </c>
    </row>
    <row r="173" spans="3:7" s="33" customFormat="1" ht="15.75" customHeight="1">
      <c r="C173" s="47"/>
      <c r="D173" s="48"/>
      <c r="E173" s="48"/>
      <c r="F173" s="48"/>
      <c r="G173" s="49"/>
    </row>
    <row r="174" spans="3:7" ht="15.75" customHeight="1">
      <c r="C174" s="482" t="s">
        <v>348</v>
      </c>
      <c r="D174" s="483"/>
      <c r="E174" s="483"/>
      <c r="F174" s="483"/>
      <c r="G174" s="484"/>
    </row>
    <row r="175" spans="3:7" ht="22.5" customHeight="1" thickBot="1">
      <c r="C175" s="40" t="s">
        <v>378</v>
      </c>
      <c r="D175" s="41">
        <f>'1) Budget Table'!D172</f>
        <v>0</v>
      </c>
      <c r="E175" s="41">
        <f>'1) Budget Table'!E172</f>
        <v>0</v>
      </c>
      <c r="F175" s="41">
        <f>'1) Budget Table'!F172</f>
        <v>0</v>
      </c>
      <c r="G175" s="42">
        <f aca="true" t="shared" si="15" ref="G175:G183">SUM(D175:F175)</f>
        <v>0</v>
      </c>
    </row>
    <row r="176" spans="3:7" ht="15.75" customHeight="1">
      <c r="C176" s="38" t="s">
        <v>379</v>
      </c>
      <c r="D176" s="375"/>
      <c r="E176" s="376"/>
      <c r="F176" s="376"/>
      <c r="G176" s="39">
        <f t="shared" si="15"/>
        <v>0</v>
      </c>
    </row>
    <row r="177" spans="3:7" ht="15.75" customHeight="1">
      <c r="C177" s="30" t="s">
        <v>380</v>
      </c>
      <c r="D177" s="377"/>
      <c r="E177" s="141"/>
      <c r="F177" s="141"/>
      <c r="G177" s="37">
        <f t="shared" si="15"/>
        <v>0</v>
      </c>
    </row>
    <row r="178" spans="3:7" ht="15.75" customHeight="1">
      <c r="C178" s="30" t="s">
        <v>381</v>
      </c>
      <c r="D178" s="377"/>
      <c r="E178" s="377"/>
      <c r="F178" s="377"/>
      <c r="G178" s="37">
        <f t="shared" si="15"/>
        <v>0</v>
      </c>
    </row>
    <row r="179" spans="3:7" ht="15.75" customHeight="1">
      <c r="C179" s="31" t="s">
        <v>382</v>
      </c>
      <c r="D179" s="377"/>
      <c r="E179" s="377"/>
      <c r="F179" s="377"/>
      <c r="G179" s="37">
        <f t="shared" si="15"/>
        <v>0</v>
      </c>
    </row>
    <row r="180" spans="3:7" ht="15.75" customHeight="1">
      <c r="C180" s="30" t="s">
        <v>383</v>
      </c>
      <c r="D180" s="377"/>
      <c r="E180" s="377"/>
      <c r="F180" s="377"/>
      <c r="G180" s="37">
        <f t="shared" si="15"/>
        <v>0</v>
      </c>
    </row>
    <row r="181" spans="3:7" ht="15.75" customHeight="1">
      <c r="C181" s="30" t="s">
        <v>384</v>
      </c>
      <c r="D181" s="377"/>
      <c r="E181" s="377"/>
      <c r="F181" s="377"/>
      <c r="G181" s="37">
        <f t="shared" si="15"/>
        <v>0</v>
      </c>
    </row>
    <row r="182" spans="3:7" ht="15.75" customHeight="1">
      <c r="C182" s="30" t="s">
        <v>385</v>
      </c>
      <c r="D182" s="377"/>
      <c r="E182" s="377"/>
      <c r="F182" s="377"/>
      <c r="G182" s="37">
        <f t="shared" si="15"/>
        <v>0</v>
      </c>
    </row>
    <row r="183" spans="3:7" ht="15.75" customHeight="1">
      <c r="C183" s="34" t="s">
        <v>386</v>
      </c>
      <c r="D183" s="43">
        <f>SUM(D176:D182)</f>
        <v>0</v>
      </c>
      <c r="E183" s="43">
        <f>SUM(E176:E182)</f>
        <v>0</v>
      </c>
      <c r="F183" s="43">
        <f>SUM(F176:F182)</f>
        <v>0</v>
      </c>
      <c r="G183" s="37">
        <f t="shared" si="15"/>
        <v>0</v>
      </c>
    </row>
    <row r="184" spans="3:7" ht="15.75" customHeight="1">
      <c r="C184" s="374"/>
      <c r="D184" s="378"/>
      <c r="E184" s="378"/>
      <c r="F184" s="378"/>
      <c r="G184" s="374"/>
    </row>
    <row r="185" spans="3:7" ht="15.75" customHeight="1">
      <c r="C185" s="482" t="s">
        <v>395</v>
      </c>
      <c r="D185" s="483"/>
      <c r="E185" s="483"/>
      <c r="F185" s="483"/>
      <c r="G185" s="484"/>
    </row>
    <row r="186" spans="3:7" ht="19.5" customHeight="1" thickBot="1">
      <c r="C186" s="40" t="s">
        <v>396</v>
      </c>
      <c r="D186" s="41">
        <f>'1) Budget Table'!D179</f>
        <v>232092.42665420572</v>
      </c>
      <c r="E186" s="41">
        <f>'1) Budget Table'!E179</f>
        <v>0</v>
      </c>
      <c r="F186" s="41">
        <f>'1) Budget Table'!F179</f>
        <v>0</v>
      </c>
      <c r="G186" s="42">
        <f aca="true" t="shared" si="16" ref="G186:G194">SUM(D186:F186)</f>
        <v>232092.42665420572</v>
      </c>
    </row>
    <row r="187" spans="3:7" ht="15.75" customHeight="1">
      <c r="C187" s="38" t="s">
        <v>379</v>
      </c>
      <c r="D187" s="375">
        <f>144802.187214953+7349.42</f>
        <v>152151.60721495302</v>
      </c>
      <c r="E187" s="376"/>
      <c r="F187" s="376"/>
      <c r="G187" s="39">
        <f t="shared" si="16"/>
        <v>152151.60721495302</v>
      </c>
    </row>
    <row r="188" spans="3:7" ht="15.75" customHeight="1">
      <c r="C188" s="30" t="s">
        <v>380</v>
      </c>
      <c r="D188" s="377">
        <v>20256.245</v>
      </c>
      <c r="E188" s="141"/>
      <c r="F188" s="141"/>
      <c r="G188" s="37">
        <f t="shared" si="16"/>
        <v>20256.245</v>
      </c>
    </row>
    <row r="189" spans="3:7" ht="15.75" customHeight="1">
      <c r="C189" s="30" t="s">
        <v>381</v>
      </c>
      <c r="D189" s="377"/>
      <c r="E189" s="377"/>
      <c r="F189" s="377"/>
      <c r="G189" s="37">
        <f t="shared" si="16"/>
        <v>0</v>
      </c>
    </row>
    <row r="190" spans="3:7" ht="15.75" customHeight="1">
      <c r="C190" s="31" t="s">
        <v>382</v>
      </c>
      <c r="D190" s="377">
        <v>59684.5794392524</v>
      </c>
      <c r="E190" s="377"/>
      <c r="F190" s="377"/>
      <c r="G190" s="37">
        <f t="shared" si="16"/>
        <v>59684.5794392524</v>
      </c>
    </row>
    <row r="191" spans="3:7" ht="15.75" customHeight="1">
      <c r="C191" s="30" t="s">
        <v>383</v>
      </c>
      <c r="D191" s="377"/>
      <c r="E191" s="377"/>
      <c r="F191" s="377"/>
      <c r="G191" s="37">
        <f t="shared" si="16"/>
        <v>0</v>
      </c>
    </row>
    <row r="192" spans="3:7" ht="15.75" customHeight="1">
      <c r="C192" s="30" t="s">
        <v>384</v>
      </c>
      <c r="D192" s="377"/>
      <c r="E192" s="377"/>
      <c r="F192" s="377"/>
      <c r="G192" s="37">
        <f t="shared" si="16"/>
        <v>0</v>
      </c>
    </row>
    <row r="193" spans="3:13" ht="15.75" customHeight="1">
      <c r="C193" s="30" t="s">
        <v>385</v>
      </c>
      <c r="D193" s="377"/>
      <c r="E193" s="377"/>
      <c r="F193" s="377"/>
      <c r="G193" s="37">
        <f t="shared" si="16"/>
        <v>0</v>
      </c>
      <c r="H193" s="374"/>
      <c r="I193" s="374"/>
      <c r="J193" s="374"/>
      <c r="K193" s="374"/>
      <c r="L193" s="374"/>
      <c r="M193" s="374"/>
    </row>
    <row r="194" spans="3:13" ht="15.75" customHeight="1">
      <c r="C194" s="34" t="s">
        <v>386</v>
      </c>
      <c r="D194" s="43">
        <f>SUM(D187:D193)</f>
        <v>232092.43165420543</v>
      </c>
      <c r="E194" s="43">
        <f>SUM(E187:E193)</f>
        <v>0</v>
      </c>
      <c r="F194" s="43">
        <f>SUM(F187:F193)</f>
        <v>0</v>
      </c>
      <c r="G194" s="37">
        <f t="shared" si="16"/>
        <v>232092.43165420543</v>
      </c>
      <c r="H194" s="374"/>
      <c r="I194" s="374"/>
      <c r="J194" s="374"/>
      <c r="K194" s="374"/>
      <c r="L194" s="374"/>
      <c r="M194" s="374"/>
    </row>
    <row r="195" spans="3:13" ht="15.75" customHeight="1" thickBot="1">
      <c r="C195" s="374"/>
      <c r="D195" s="378"/>
      <c r="E195" s="378"/>
      <c r="F195" s="378"/>
      <c r="G195" s="374"/>
      <c r="H195" s="374"/>
      <c r="I195" s="374"/>
      <c r="J195" s="374"/>
      <c r="K195" s="374"/>
      <c r="L195" s="374"/>
      <c r="M195" s="374"/>
    </row>
    <row r="196" spans="3:13" ht="19.5" customHeight="1" thickBot="1">
      <c r="C196" s="486" t="s">
        <v>359</v>
      </c>
      <c r="D196" s="487"/>
      <c r="E196" s="487"/>
      <c r="F196" s="487"/>
      <c r="G196" s="488"/>
      <c r="H196" s="374"/>
      <c r="I196" s="374"/>
      <c r="J196" s="374"/>
      <c r="K196" s="374"/>
      <c r="L196" s="374"/>
      <c r="M196" s="374"/>
    </row>
    <row r="197" spans="3:13" ht="19.5" customHeight="1">
      <c r="C197" s="54"/>
      <c r="D197" s="480" t="str">
        <f>'1) Budget Table'!D4</f>
        <v>OIM</v>
      </c>
      <c r="E197" s="480" t="str">
        <f>'1) Budget Table'!E4</f>
        <v>PMA</v>
      </c>
      <c r="F197" s="480" t="str">
        <f>'1) Budget Table'!F4</f>
        <v>UNICEF</v>
      </c>
      <c r="G197" s="485" t="s">
        <v>359</v>
      </c>
      <c r="H197" s="374"/>
      <c r="I197" s="374"/>
      <c r="J197" s="374"/>
      <c r="K197" s="374"/>
      <c r="L197" s="374"/>
      <c r="M197" s="374"/>
    </row>
    <row r="198" spans="3:13" ht="19.5" customHeight="1">
      <c r="C198" s="54"/>
      <c r="D198" s="481"/>
      <c r="E198" s="481"/>
      <c r="F198" s="481"/>
      <c r="G198" s="472"/>
      <c r="H198" s="374"/>
      <c r="I198" s="374"/>
      <c r="J198" s="374"/>
      <c r="K198" s="374"/>
      <c r="L198" s="374"/>
      <c r="M198" s="374"/>
    </row>
    <row r="199" spans="3:13" ht="19.5" customHeight="1">
      <c r="C199" s="11" t="s">
        <v>379</v>
      </c>
      <c r="D199" s="379">
        <f>SUM(D176,D165,D154,D143,D131,D120,D109,D98,D86,D75,D64,D53,D41,D30,D19,D8,D187)</f>
        <v>152151.60721495302</v>
      </c>
      <c r="E199" s="379">
        <f>SUM(E176,E165,E154,E143,E131,E120,E109,E98,E86,E75,E64,E53,E41,E30,E19,E8,E187)</f>
        <v>65457.28</v>
      </c>
      <c r="F199" s="379">
        <f aca="true" t="shared" si="17" ref="F199">SUM(F176,F165,F154,F143,F131,F120,F109,F98,F86,F75,F64,F53,F41,F30,F19,F8,F187)</f>
        <v>0</v>
      </c>
      <c r="G199" s="52">
        <f aca="true" t="shared" si="18" ref="G199:G206">SUM(D199:F199)</f>
        <v>217608.88721495302</v>
      </c>
      <c r="H199" s="374"/>
      <c r="I199" s="374"/>
      <c r="J199" s="374"/>
      <c r="K199" s="374"/>
      <c r="L199" s="374"/>
      <c r="M199" s="374"/>
    </row>
    <row r="200" spans="3:13" ht="34.5" customHeight="1">
      <c r="C200" s="11" t="s">
        <v>380</v>
      </c>
      <c r="D200" s="379">
        <f>SUM(D177,D166,D155,D144,D132,D121,D110,D99,D87,D76,D65,D54,D42,D31,D20,D9,D188)</f>
        <v>31134.025</v>
      </c>
      <c r="E200" s="379">
        <f aca="true" t="shared" si="19" ref="E200:F200">SUM(E177,E166,E155,E144,E132,E121,E110,E99,E87,E76,E65,E54,E42,E31,E20,E9,E188)</f>
        <v>64884.75</v>
      </c>
      <c r="F200" s="379">
        <f t="shared" si="19"/>
        <v>0</v>
      </c>
      <c r="G200" s="53">
        <f t="shared" si="18"/>
        <v>96018.775</v>
      </c>
      <c r="H200" s="374"/>
      <c r="I200" s="374"/>
      <c r="J200" s="374"/>
      <c r="K200" s="374"/>
      <c r="L200" s="374"/>
      <c r="M200" s="374"/>
    </row>
    <row r="201" spans="3:13" ht="48" customHeight="1">
      <c r="C201" s="11" t="s">
        <v>381</v>
      </c>
      <c r="D201" s="379">
        <f aca="true" t="shared" si="20" ref="D201:F205">SUM(D178,D167,D156,D145,D133,D122,D111,D100,D88,D77,D66,D55,D43,D32,D21,D10,D189)</f>
        <v>71373.82</v>
      </c>
      <c r="E201" s="379">
        <f t="shared" si="20"/>
        <v>13494.89</v>
      </c>
      <c r="F201" s="379">
        <f t="shared" si="20"/>
        <v>0</v>
      </c>
      <c r="G201" s="53">
        <f t="shared" si="18"/>
        <v>84868.71</v>
      </c>
      <c r="H201" s="374"/>
      <c r="I201" s="374"/>
      <c r="J201" s="374"/>
      <c r="K201" s="374"/>
      <c r="L201" s="374"/>
      <c r="M201" s="374"/>
    </row>
    <row r="202" spans="3:13" ht="33" customHeight="1">
      <c r="C202" s="15" t="s">
        <v>382</v>
      </c>
      <c r="D202" s="379">
        <f t="shared" si="20"/>
        <v>259999.8949592524</v>
      </c>
      <c r="E202" s="379">
        <f t="shared" si="20"/>
        <v>83904.41</v>
      </c>
      <c r="F202" s="379">
        <f>SUM(F179,F168,F157,F146,F134,F123,F112,F101,F89,F78,F67,F56,F44,F33,F22,F11,F190)</f>
        <v>0</v>
      </c>
      <c r="G202" s="53">
        <f t="shared" si="18"/>
        <v>343904.30495925236</v>
      </c>
      <c r="H202" s="374"/>
      <c r="I202" s="374"/>
      <c r="J202" s="374"/>
      <c r="K202" s="374"/>
      <c r="L202" s="374"/>
      <c r="M202" s="374"/>
    </row>
    <row r="203" spans="3:13" ht="21" customHeight="1">
      <c r="C203" s="11" t="s">
        <v>383</v>
      </c>
      <c r="D203" s="379">
        <f t="shared" si="20"/>
        <v>9840</v>
      </c>
      <c r="E203" s="379">
        <f t="shared" si="20"/>
        <v>9764.35</v>
      </c>
      <c r="F203" s="379">
        <f t="shared" si="20"/>
        <v>0</v>
      </c>
      <c r="G203" s="53">
        <f t="shared" si="18"/>
        <v>19604.35</v>
      </c>
      <c r="H203" s="359"/>
      <c r="I203" s="359"/>
      <c r="J203" s="359"/>
      <c r="K203" s="359"/>
      <c r="L203" s="359"/>
      <c r="M203" s="380"/>
    </row>
    <row r="204" spans="3:13" ht="39.75" customHeight="1">
      <c r="C204" s="11" t="s">
        <v>384</v>
      </c>
      <c r="D204" s="379">
        <f t="shared" si="20"/>
        <v>0</v>
      </c>
      <c r="E204" s="379">
        <f t="shared" si="20"/>
        <v>44400</v>
      </c>
      <c r="F204" s="379">
        <f>SUM(F181,F170,F159,F148,F136,F125,F114,F103,F91,F80,F69,F58,F46,F35,F24,F13,F192)</f>
        <v>335980</v>
      </c>
      <c r="G204" s="53">
        <f t="shared" si="18"/>
        <v>380380</v>
      </c>
      <c r="H204" s="359"/>
      <c r="I204" s="359"/>
      <c r="J204" s="359"/>
      <c r="K204" s="359"/>
      <c r="L204" s="359"/>
      <c r="M204" s="380"/>
    </row>
    <row r="205" spans="3:13" ht="23.25" customHeight="1">
      <c r="C205" s="11" t="s">
        <v>385</v>
      </c>
      <c r="D205" s="381">
        <f t="shared" si="20"/>
        <v>225856</v>
      </c>
      <c r="E205" s="381">
        <f t="shared" si="20"/>
        <v>34475.41</v>
      </c>
      <c r="F205" s="381">
        <f t="shared" si="20"/>
        <v>0</v>
      </c>
      <c r="G205" s="53">
        <f t="shared" si="18"/>
        <v>260331.41</v>
      </c>
      <c r="H205" s="359"/>
      <c r="I205" s="359"/>
      <c r="J205" s="359"/>
      <c r="K205" s="359"/>
      <c r="L205" s="359"/>
      <c r="M205" s="380"/>
    </row>
    <row r="206" spans="3:13" ht="22.5" customHeight="1">
      <c r="C206" s="382" t="s">
        <v>397</v>
      </c>
      <c r="D206" s="383">
        <f>SUM(D199:D205)</f>
        <v>750355.3471742054</v>
      </c>
      <c r="E206" s="383">
        <f>SUM(E199:E205)</f>
        <v>316381.08999999997</v>
      </c>
      <c r="F206" s="383">
        <f>SUM(F199:F205)</f>
        <v>335980</v>
      </c>
      <c r="G206" s="384">
        <f t="shared" si="18"/>
        <v>1402716.4371742052</v>
      </c>
      <c r="H206" s="359"/>
      <c r="I206" s="359"/>
      <c r="J206" s="359"/>
      <c r="K206" s="359"/>
      <c r="L206" s="359"/>
      <c r="M206" s="380"/>
    </row>
    <row r="207" spans="3:13" ht="26.25" customHeight="1" thickBot="1">
      <c r="C207" s="385" t="s">
        <v>398</v>
      </c>
      <c r="D207" s="386">
        <f>D206*0.07</f>
        <v>52524.87430219438</v>
      </c>
      <c r="E207" s="386">
        <f aca="true" t="shared" si="21" ref="E207:G207">E206*0.07</f>
        <v>22146.6763</v>
      </c>
      <c r="F207" s="386">
        <f t="shared" si="21"/>
        <v>23518.600000000002</v>
      </c>
      <c r="G207" s="387">
        <f t="shared" si="21"/>
        <v>98190.15060219438</v>
      </c>
      <c r="H207" s="16"/>
      <c r="I207" s="16"/>
      <c r="J207" s="16"/>
      <c r="K207" s="16"/>
      <c r="L207" s="388"/>
      <c r="M207" s="378"/>
    </row>
    <row r="208" spans="3:13" ht="23.25" customHeight="1" thickBot="1">
      <c r="C208" s="90" t="s">
        <v>399</v>
      </c>
      <c r="D208" s="91">
        <f>SUM(D206:D207)</f>
        <v>802880.2214763997</v>
      </c>
      <c r="E208" s="91">
        <f aca="true" t="shared" si="22" ref="E208:G208">SUM(E206:E207)</f>
        <v>338527.76629999996</v>
      </c>
      <c r="F208" s="91">
        <f t="shared" si="22"/>
        <v>359498.6</v>
      </c>
      <c r="G208" s="55">
        <f t="shared" si="22"/>
        <v>1500906.5877763997</v>
      </c>
      <c r="H208" s="16"/>
      <c r="I208" s="16"/>
      <c r="J208" s="16"/>
      <c r="K208" s="16"/>
      <c r="L208" s="388"/>
      <c r="M208" s="378"/>
    </row>
    <row r="209" spans="3:13" ht="15.75" customHeight="1">
      <c r="C209" s="374"/>
      <c r="D209" s="378"/>
      <c r="E209" s="378"/>
      <c r="F209" s="378"/>
      <c r="G209" s="374"/>
      <c r="H209" s="374"/>
      <c r="I209" s="374"/>
      <c r="J209" s="374"/>
      <c r="K209" s="374"/>
      <c r="L209" s="35"/>
      <c r="M209" s="374"/>
    </row>
    <row r="210" spans="3:13" ht="15.75" customHeight="1">
      <c r="C210" s="374"/>
      <c r="D210" s="378"/>
      <c r="E210" s="378"/>
      <c r="F210" s="378"/>
      <c r="G210" s="374"/>
      <c r="H210" s="22"/>
      <c r="I210" s="22"/>
      <c r="J210" s="374"/>
      <c r="K210" s="374"/>
      <c r="L210" s="35"/>
      <c r="M210" s="374"/>
    </row>
    <row r="211" spans="3:13" ht="15.75" customHeight="1">
      <c r="C211" s="374"/>
      <c r="D211" s="378"/>
      <c r="E211" s="378"/>
      <c r="F211" s="378"/>
      <c r="G211" s="374"/>
      <c r="H211" s="22"/>
      <c r="I211" s="22"/>
      <c r="J211" s="374"/>
      <c r="K211" s="374"/>
      <c r="L211" s="374"/>
      <c r="M211" s="374"/>
    </row>
    <row r="212" spans="3:13" ht="40.5" customHeight="1">
      <c r="C212" s="374"/>
      <c r="D212" s="378"/>
      <c r="E212" s="378"/>
      <c r="F212" s="378"/>
      <c r="G212" s="374"/>
      <c r="H212" s="22"/>
      <c r="I212" s="22"/>
      <c r="J212" s="374"/>
      <c r="K212" s="374"/>
      <c r="L212" s="36"/>
      <c r="M212" s="374"/>
    </row>
    <row r="213" spans="3:13" ht="24.75" customHeight="1">
      <c r="C213" s="374"/>
      <c r="D213" s="378"/>
      <c r="E213" s="378"/>
      <c r="F213" s="378"/>
      <c r="G213" s="374"/>
      <c r="H213" s="22"/>
      <c r="I213" s="22"/>
      <c r="J213" s="374"/>
      <c r="K213" s="374"/>
      <c r="L213" s="36"/>
      <c r="M213" s="374"/>
    </row>
    <row r="214" spans="3:13" ht="41.25" customHeight="1">
      <c r="C214" s="374"/>
      <c r="D214" s="378"/>
      <c r="E214" s="378"/>
      <c r="F214" s="378"/>
      <c r="G214" s="374"/>
      <c r="H214" s="389"/>
      <c r="I214" s="22"/>
      <c r="J214" s="374"/>
      <c r="K214" s="374"/>
      <c r="L214" s="36"/>
      <c r="M214" s="374"/>
    </row>
    <row r="215" spans="3:13" ht="51.75" customHeight="1">
      <c r="C215" s="374"/>
      <c r="D215" s="378"/>
      <c r="E215" s="378"/>
      <c r="F215" s="378"/>
      <c r="G215" s="374"/>
      <c r="H215" s="389"/>
      <c r="I215" s="22"/>
      <c r="J215" s="374"/>
      <c r="K215" s="374"/>
      <c r="L215" s="36"/>
      <c r="M215" s="374"/>
    </row>
    <row r="216" spans="3:13" ht="42" customHeight="1">
      <c r="C216" s="374"/>
      <c r="D216" s="378"/>
      <c r="E216" s="378"/>
      <c r="F216" s="378"/>
      <c r="G216" s="374"/>
      <c r="H216" s="22"/>
      <c r="I216" s="22"/>
      <c r="J216" s="374"/>
      <c r="K216" s="374"/>
      <c r="L216" s="36"/>
      <c r="M216" s="374"/>
    </row>
    <row r="217" spans="3:13" s="33" customFormat="1" ht="42" customHeight="1">
      <c r="C217" s="374"/>
      <c r="D217" s="378"/>
      <c r="E217" s="378"/>
      <c r="F217" s="378"/>
      <c r="G217" s="374"/>
      <c r="H217" s="374"/>
      <c r="I217" s="22"/>
      <c r="J217" s="374"/>
      <c r="K217" s="374"/>
      <c r="L217" s="36"/>
      <c r="M217" s="374"/>
    </row>
    <row r="218" spans="3:13" s="33" customFormat="1" ht="42" customHeight="1">
      <c r="C218" s="374"/>
      <c r="D218" s="378"/>
      <c r="E218" s="378"/>
      <c r="F218" s="378"/>
      <c r="G218" s="374"/>
      <c r="H218" s="374"/>
      <c r="I218" s="22"/>
      <c r="J218" s="374"/>
      <c r="K218" s="374"/>
      <c r="L218" s="374"/>
      <c r="M218" s="374"/>
    </row>
    <row r="219" spans="3:13" s="33" customFormat="1" ht="63.75" customHeight="1">
      <c r="C219" s="374"/>
      <c r="D219" s="378"/>
      <c r="E219" s="378"/>
      <c r="F219" s="378"/>
      <c r="G219" s="374"/>
      <c r="H219" s="374"/>
      <c r="I219" s="35"/>
      <c r="J219" s="374"/>
      <c r="K219" s="374"/>
      <c r="L219" s="374"/>
      <c r="M219" s="374"/>
    </row>
    <row r="220" spans="3:13" s="33" customFormat="1" ht="42" customHeight="1">
      <c r="C220" s="374"/>
      <c r="D220" s="378"/>
      <c r="E220" s="378"/>
      <c r="F220" s="378"/>
      <c r="G220" s="374"/>
      <c r="H220" s="374"/>
      <c r="I220" s="374"/>
      <c r="J220" s="374"/>
      <c r="K220" s="374"/>
      <c r="L220" s="374"/>
      <c r="M220" s="35"/>
    </row>
    <row r="221" spans="3:13" ht="23.25" customHeight="1">
      <c r="C221" s="374"/>
      <c r="D221" s="378"/>
      <c r="E221" s="378"/>
      <c r="F221" s="378"/>
      <c r="G221" s="374"/>
      <c r="H221" s="374"/>
      <c r="I221" s="374"/>
      <c r="J221" s="374"/>
      <c r="K221" s="374"/>
      <c r="L221" s="374"/>
      <c r="M221" s="374"/>
    </row>
    <row r="222" spans="3:13" ht="27.75" customHeight="1">
      <c r="C222" s="374"/>
      <c r="D222" s="378"/>
      <c r="E222" s="378"/>
      <c r="F222" s="378"/>
      <c r="G222" s="374"/>
      <c r="H222" s="374"/>
      <c r="I222" s="374"/>
      <c r="J222" s="374"/>
      <c r="K222" s="374"/>
      <c r="L222" s="374"/>
      <c r="M222" s="374"/>
    </row>
    <row r="223" spans="3:13" ht="55.5" customHeight="1">
      <c r="C223" s="374"/>
      <c r="D223" s="378"/>
      <c r="E223" s="378"/>
      <c r="F223" s="378"/>
      <c r="G223" s="374"/>
      <c r="H223" s="374"/>
      <c r="I223" s="374"/>
      <c r="J223" s="374"/>
      <c r="K223" s="374"/>
      <c r="L223" s="374"/>
      <c r="M223" s="374"/>
    </row>
    <row r="224" spans="3:13" ht="57.75" customHeight="1">
      <c r="C224" s="374"/>
      <c r="D224" s="378"/>
      <c r="E224" s="378"/>
      <c r="F224" s="378"/>
      <c r="G224" s="374"/>
      <c r="H224" s="374"/>
      <c r="I224" s="374"/>
      <c r="J224" s="374"/>
      <c r="K224" s="374"/>
      <c r="L224" s="374"/>
      <c r="M224" s="374"/>
    </row>
    <row r="225" ht="21.75" customHeight="1">
      <c r="N225" s="374"/>
    </row>
    <row r="226" ht="49.5" customHeight="1">
      <c r="N226" s="374"/>
    </row>
    <row r="227" ht="28.5" customHeight="1">
      <c r="N227" s="374"/>
    </row>
    <row r="228" ht="28.5" customHeight="1">
      <c r="N228" s="374"/>
    </row>
    <row r="229" ht="28.5" customHeight="1">
      <c r="N229" s="374"/>
    </row>
    <row r="230" ht="23.25" customHeight="1">
      <c r="N230" s="35"/>
    </row>
    <row r="231" ht="43.5" customHeight="1">
      <c r="N231" s="35"/>
    </row>
    <row r="232" ht="55.5" customHeight="1">
      <c r="N232" s="374"/>
    </row>
    <row r="233" ht="42.75" customHeight="1">
      <c r="N233" s="35"/>
    </row>
    <row r="234" ht="21.75" customHeight="1">
      <c r="N234" s="35"/>
    </row>
    <row r="235" ht="21.75" customHeight="1">
      <c r="N235" s="35"/>
    </row>
    <row r="236" ht="23.25" customHeight="1">
      <c r="N236" s="374"/>
    </row>
    <row r="237" ht="23.25" customHeight="1">
      <c r="N237" s="374"/>
    </row>
    <row r="238" ht="21.75" customHeight="1">
      <c r="N238" s="374"/>
    </row>
    <row r="239" ht="16.5" customHeight="1">
      <c r="N239" s="374"/>
    </row>
    <row r="240" ht="29.25" customHeight="1">
      <c r="N240" s="374"/>
    </row>
    <row r="241" ht="24.75" customHeight="1"/>
    <row r="242" ht="33" customHeight="1"/>
    <row r="244" ht="15" customHeight="1"/>
    <row r="245" ht="25.5" customHeight="1"/>
  </sheetData>
  <sheetProtection sheet="1" insertColumns="0" insertRows="0" deleteRows="0"/>
  <mergeCells count="28">
    <mergeCell ref="C129:G129"/>
    <mergeCell ref="B140:G140"/>
    <mergeCell ref="C141:G141"/>
    <mergeCell ref="C62:G62"/>
    <mergeCell ref="C73:G73"/>
    <mergeCell ref="C1:F1"/>
    <mergeCell ref="B5:G5"/>
    <mergeCell ref="C6:G6"/>
    <mergeCell ref="B50:G50"/>
    <mergeCell ref="C17:G17"/>
    <mergeCell ref="C28:G28"/>
    <mergeCell ref="C38:G38"/>
    <mergeCell ref="D197:D198"/>
    <mergeCell ref="E197:E198"/>
    <mergeCell ref="F197:F198"/>
    <mergeCell ref="C2:E2"/>
    <mergeCell ref="C84:G84"/>
    <mergeCell ref="B95:G95"/>
    <mergeCell ref="C185:G185"/>
    <mergeCell ref="G197:G198"/>
    <mergeCell ref="C163:G163"/>
    <mergeCell ref="C174:G174"/>
    <mergeCell ref="C152:G152"/>
    <mergeCell ref="C51:G51"/>
    <mergeCell ref="C96:G96"/>
    <mergeCell ref="C107:G107"/>
    <mergeCell ref="C118:G118"/>
    <mergeCell ref="C196:G196"/>
  </mergeCells>
  <conditionalFormatting sqref="G15">
    <cfRule type="cellIs" priority="18" dxfId="0" operator="notEqual">
      <formula>$G$7</formula>
    </cfRule>
  </conditionalFormatting>
  <conditionalFormatting sqref="G26">
    <cfRule type="cellIs" priority="17" dxfId="0" operator="notEqual">
      <formula>$G$18</formula>
    </cfRule>
  </conditionalFormatting>
  <conditionalFormatting sqref="G37">
    <cfRule type="cellIs" priority="16" dxfId="0" operator="notEqual">
      <formula>$G$29</formula>
    </cfRule>
  </conditionalFormatting>
  <conditionalFormatting sqref="G48">
    <cfRule type="cellIs" priority="15" dxfId="0" operator="notEqual">
      <formula>$G$40</formula>
    </cfRule>
  </conditionalFormatting>
  <conditionalFormatting sqref="G60">
    <cfRule type="cellIs" priority="14" dxfId="0" operator="notEqual">
      <formula>$G$52</formula>
    </cfRule>
  </conditionalFormatting>
  <conditionalFormatting sqref="G71">
    <cfRule type="cellIs" priority="13" dxfId="0" operator="notEqual">
      <formula>$G$63</formula>
    </cfRule>
  </conditionalFormatting>
  <conditionalFormatting sqref="G82">
    <cfRule type="cellIs" priority="12" dxfId="0" operator="notEqual">
      <formula>$G$74</formula>
    </cfRule>
  </conditionalFormatting>
  <conditionalFormatting sqref="G93">
    <cfRule type="cellIs" priority="11" dxfId="0" operator="notEqual">
      <formula>$G$85</formula>
    </cfRule>
  </conditionalFormatting>
  <conditionalFormatting sqref="G105">
    <cfRule type="cellIs" priority="10" dxfId="0" operator="notEqual">
      <formula>$G$97</formula>
    </cfRule>
  </conditionalFormatting>
  <conditionalFormatting sqref="G116">
    <cfRule type="cellIs" priority="9" dxfId="0" operator="notEqual">
      <formula>$G$108</formula>
    </cfRule>
  </conditionalFormatting>
  <conditionalFormatting sqref="G127">
    <cfRule type="cellIs" priority="8" dxfId="0" operator="notEqual">
      <formula>$G$119</formula>
    </cfRule>
  </conditionalFormatting>
  <conditionalFormatting sqref="G138">
    <cfRule type="cellIs" priority="7" dxfId="0" operator="notEqual">
      <formula>$G$130</formula>
    </cfRule>
  </conditionalFormatting>
  <conditionalFormatting sqref="G150">
    <cfRule type="cellIs" priority="6" dxfId="0" operator="notEqual">
      <formula>$G$142</formula>
    </cfRule>
  </conditionalFormatting>
  <conditionalFormatting sqref="G161">
    <cfRule type="cellIs" priority="5" dxfId="0" operator="notEqual">
      <formula>$G$153</formula>
    </cfRule>
  </conditionalFormatting>
  <conditionalFormatting sqref="G172">
    <cfRule type="cellIs" priority="4" dxfId="0" operator="notEqual">
      <formula>$G$153</formula>
    </cfRule>
  </conditionalFormatting>
  <conditionalFormatting sqref="G183">
    <cfRule type="cellIs" priority="3" dxfId="0" operator="notEqual">
      <formula>$G$175</formula>
    </cfRule>
  </conditionalFormatting>
  <conditionalFormatting sqref="G194">
    <cfRule type="cellIs" priority="2" dxfId="0" operator="notEqual">
      <formula>$G$186</formula>
    </cfRule>
  </conditionalFormatting>
  <conditionalFormatting sqref="G208">
    <cfRule type="cellIs" priority="1" dxfId="26" operator="notEqual">
      <formula>'1) Budget Table'!$G$192</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4 C25 C36 C47 C59 C70 C81 C92 C104 C115 C126 C137 C149 C160 C171 C182 C205 C193"/>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3 C24 C35 C46 C58 C69 C80 C91 C103 C114 C125 C136 C148 C159 C170 C181 C204 C192"/>
    <dataValidation allowBlank="1" showInputMessage="1" showErrorMessage="1" prompt="Services contracted by an organization which follow the normal procurement processes." sqref="C11 C22 C33 C44 C56 C67 C78 C89 C101 C112 C123 C134 C146 C157 C168 C179 C202 C190"/>
    <dataValidation allowBlank="1" showInputMessage="1" showErrorMessage="1" prompt="Includes staff and non-staff travel paid for by the organization directly related to a project." sqref="C12 C23 C34 C45 C57 C68 C79 C90 C102 C113 C124 C135 C147 C158 C169 C180 C203 C191"/>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0 C21 C32 C43 C55 C66 C77 C88 C100 C111 C122 C133 C145 C156 C167 C178 C201 C189"/>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9 C20 C31 C42 C54 C65 C76 C87 C99 C110 C121 C132 C144 C155 C166 C177 C200 C188"/>
    <dataValidation allowBlank="1" showInputMessage="1" showErrorMessage="1" prompt="Includes all related staff and temporary staff costs including base salary, post adjustment and all staff entitlements." sqref="C8 C19 C30 C41 C53 C64 C75 C86 C98 C109 C120 C131 C143 C154 C165 C176 C199 C187"/>
    <dataValidation allowBlank="1" showInputMessage="1" showErrorMessage="1" prompt="Output totals must match the original total from Table 1, and will show as red if not. " sqref="G15"/>
  </dataValidations>
  <printOptions/>
  <pageMargins left="0.7" right="0.7" top="0.75" bottom="0.75" header="0.3" footer="0.3"/>
  <pageSetup horizontalDpi="600" verticalDpi="600" orientation="landscape" scale="74" r:id="rId3"/>
  <rowBreaks count="1" manualBreakCount="1">
    <brk id="61" max="16383" man="1"/>
  </rowBreaks>
  <ignoredErrors>
    <ignoredError sqref="D4:F4 D197:F198" unlockedFormula="1"/>
  </ignoredError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97206-DF8F-4C09-A3F6-6A5B9323F72F}">
  <sheetPr>
    <tabColor theme="2" tint="-0.4999699890613556"/>
  </sheetPr>
  <dimension ref="B2:B16"/>
  <sheetViews>
    <sheetView showGridLines="0" workbookViewId="0" topLeftCell="A1">
      <selection activeCell="A10" sqref="A10"/>
    </sheetView>
  </sheetViews>
  <sheetFormatPr defaultColWidth="8.8515625" defaultRowHeight="15"/>
  <cols>
    <col min="2" max="2" width="73.140625" style="0" customWidth="1"/>
  </cols>
  <sheetData>
    <row r="1" ht="15.75" thickBot="1"/>
    <row r="2" ht="15.75" thickBot="1">
      <c r="B2" s="95" t="s">
        <v>400</v>
      </c>
    </row>
    <row r="3" ht="15">
      <c r="B3" s="96"/>
    </row>
    <row r="4" ht="30.75" customHeight="1">
      <c r="B4" s="97" t="s">
        <v>401</v>
      </c>
    </row>
    <row r="5" ht="30.75" customHeight="1">
      <c r="B5" s="97"/>
    </row>
    <row r="6" ht="60">
      <c r="B6" s="97" t="s">
        <v>402</v>
      </c>
    </row>
    <row r="7" ht="15">
      <c r="B7" s="97"/>
    </row>
    <row r="8" ht="60">
      <c r="B8" s="97" t="s">
        <v>403</v>
      </c>
    </row>
    <row r="9" ht="15">
      <c r="B9" s="97"/>
    </row>
    <row r="10" ht="60">
      <c r="B10" s="97" t="s">
        <v>404</v>
      </c>
    </row>
    <row r="11" ht="15">
      <c r="B11" s="97"/>
    </row>
    <row r="12" ht="30">
      <c r="B12" s="97" t="s">
        <v>405</v>
      </c>
    </row>
    <row r="13" ht="15">
      <c r="B13" s="97"/>
    </row>
    <row r="14" ht="60">
      <c r="B14" s="97" t="s">
        <v>406</v>
      </c>
    </row>
    <row r="15" ht="15">
      <c r="B15" s="97"/>
    </row>
    <row r="16" ht="45.75" thickBot="1">
      <c r="B16" s="98" t="s">
        <v>407</v>
      </c>
    </row>
  </sheetData>
  <sheetProtection sheet="1" objects="1" scenarios="1"/>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AB4F5-934D-4955-B89C-92351ADA92DB}">
  <sheetPr>
    <tabColor theme="2" tint="-0.4999699890613556"/>
  </sheetPr>
  <dimension ref="B2:D47"/>
  <sheetViews>
    <sheetView showGridLines="0" showZeros="0" zoomScale="80" zoomScaleNormal="80" zoomScaleSheetLayoutView="70" workbookViewId="0" topLeftCell="A1">
      <selection activeCell="A7" sqref="A7"/>
    </sheetView>
  </sheetViews>
  <sheetFormatPr defaultColWidth="8.8515625" defaultRowHeight="15"/>
  <cols>
    <col min="2" max="2" width="61.8515625" style="0" customWidth="1"/>
    <col min="4" max="4" width="17.8515625" style="0" customWidth="1"/>
  </cols>
  <sheetData>
    <row r="1" ht="15.75" thickBot="1"/>
    <row r="2" spans="2:4" ht="15">
      <c r="B2" s="502" t="s">
        <v>408</v>
      </c>
      <c r="C2" s="503"/>
      <c r="D2" s="504"/>
    </row>
    <row r="3" spans="2:4" ht="15.75" thickBot="1">
      <c r="B3" s="505"/>
      <c r="C3" s="506"/>
      <c r="D3" s="507"/>
    </row>
    <row r="4" ht="15.75" thickBot="1"/>
    <row r="5" spans="2:4" ht="15">
      <c r="B5" s="493" t="s">
        <v>409</v>
      </c>
      <c r="C5" s="494"/>
      <c r="D5" s="495"/>
    </row>
    <row r="6" spans="2:4" ht="15.75" thickBot="1">
      <c r="B6" s="496"/>
      <c r="C6" s="497"/>
      <c r="D6" s="498"/>
    </row>
    <row r="7" spans="2:4" ht="15">
      <c r="B7" s="57" t="s">
        <v>410</v>
      </c>
      <c r="C7" s="491">
        <f>SUM('1) Budget Table'!D16:F16,'1) Budget Table'!D26:F26,'1) Budget Table'!D36:F36,'1) Budget Table'!D46:F46)</f>
        <v>700663.58</v>
      </c>
      <c r="D7" s="492"/>
    </row>
    <row r="8" spans="2:4" ht="15">
      <c r="B8" s="57" t="s">
        <v>411</v>
      </c>
      <c r="C8" s="489">
        <f>SUM(D10:D14)</f>
        <v>0</v>
      </c>
      <c r="D8" s="490"/>
    </row>
    <row r="9" spans="2:4" ht="15">
      <c r="B9" s="58" t="s">
        <v>412</v>
      </c>
      <c r="C9" s="59" t="s">
        <v>413</v>
      </c>
      <c r="D9" s="60" t="s">
        <v>414</v>
      </c>
    </row>
    <row r="10" spans="2:4" ht="35.1" customHeight="1">
      <c r="B10" s="79"/>
      <c r="C10" s="62"/>
      <c r="D10" s="63">
        <f>$C$7*C10</f>
        <v>0</v>
      </c>
    </row>
    <row r="11" spans="2:4" ht="35.1" customHeight="1">
      <c r="B11" s="79"/>
      <c r="C11" s="62"/>
      <c r="D11" s="63">
        <f>C7*C11</f>
        <v>0</v>
      </c>
    </row>
    <row r="12" spans="2:4" ht="35.1" customHeight="1">
      <c r="B12" s="80"/>
      <c r="C12" s="62"/>
      <c r="D12" s="63">
        <f>C7*C12</f>
        <v>0</v>
      </c>
    </row>
    <row r="13" spans="2:4" ht="35.1" customHeight="1">
      <c r="B13" s="80"/>
      <c r="C13" s="62"/>
      <c r="D13" s="63">
        <f>C7*C13</f>
        <v>0</v>
      </c>
    </row>
    <row r="14" spans="2:4" ht="35.1" customHeight="1" thickBot="1">
      <c r="B14" s="81"/>
      <c r="C14" s="62"/>
      <c r="D14" s="67">
        <f>C7*C14</f>
        <v>0</v>
      </c>
    </row>
    <row r="15" ht="15.75" thickBot="1"/>
    <row r="16" spans="2:4" ht="15">
      <c r="B16" s="493" t="s">
        <v>415</v>
      </c>
      <c r="C16" s="494"/>
      <c r="D16" s="495"/>
    </row>
    <row r="17" spans="2:4" ht="15.75" thickBot="1">
      <c r="B17" s="499"/>
      <c r="C17" s="500"/>
      <c r="D17" s="501"/>
    </row>
    <row r="18" spans="2:4" ht="15">
      <c r="B18" s="57" t="s">
        <v>410</v>
      </c>
      <c r="C18" s="491">
        <f>SUM('1) Budget Table'!D58:F58,'1) Budget Table'!D68:F68,'1) Budget Table'!D78:F78,'1) Budget Table'!D88:F88)</f>
        <v>256094.91552</v>
      </c>
      <c r="D18" s="492"/>
    </row>
    <row r="19" spans="2:4" ht="15">
      <c r="B19" s="57" t="s">
        <v>411</v>
      </c>
      <c r="C19" s="489">
        <f>SUM(D21:D25)</f>
        <v>0</v>
      </c>
      <c r="D19" s="490"/>
    </row>
    <row r="20" spans="2:4" ht="15">
      <c r="B20" s="58" t="s">
        <v>412</v>
      </c>
      <c r="C20" s="59" t="s">
        <v>413</v>
      </c>
      <c r="D20" s="60" t="s">
        <v>414</v>
      </c>
    </row>
    <row r="21" spans="2:4" ht="35.1" customHeight="1">
      <c r="B21" s="61"/>
      <c r="C21" s="62"/>
      <c r="D21" s="63">
        <f>$C$18*C21</f>
        <v>0</v>
      </c>
    </row>
    <row r="22" spans="2:4" ht="35.1" customHeight="1">
      <c r="B22" s="64"/>
      <c r="C22" s="62"/>
      <c r="D22" s="63">
        <f>$C$18*C22</f>
        <v>0</v>
      </c>
    </row>
    <row r="23" spans="2:4" ht="35.1" customHeight="1">
      <c r="B23" s="65"/>
      <c r="C23" s="62"/>
      <c r="D23" s="63">
        <f>$C$18*C23</f>
        <v>0</v>
      </c>
    </row>
    <row r="24" spans="2:4" ht="35.1" customHeight="1">
      <c r="B24" s="65"/>
      <c r="C24" s="62"/>
      <c r="D24" s="63">
        <f>$C$18*C24</f>
        <v>0</v>
      </c>
    </row>
    <row r="25" spans="2:4" ht="35.1" customHeight="1" thickBot="1">
      <c r="B25" s="66"/>
      <c r="C25" s="62"/>
      <c r="D25" s="63">
        <f>$C$18*C25</f>
        <v>0</v>
      </c>
    </row>
    <row r="26" ht="15.75" thickBot="1"/>
    <row r="27" spans="2:4" ht="15">
      <c r="B27" s="493" t="s">
        <v>416</v>
      </c>
      <c r="C27" s="494"/>
      <c r="D27" s="495"/>
    </row>
    <row r="28" spans="2:4" ht="15.75" thickBot="1">
      <c r="B28" s="496"/>
      <c r="C28" s="497"/>
      <c r="D28" s="498"/>
    </row>
    <row r="29" spans="2:4" ht="15">
      <c r="B29" s="57" t="s">
        <v>410</v>
      </c>
      <c r="C29" s="491">
        <f>SUM('1) Budget Table'!D100:F100,'1) Budget Table'!D110:F110,'1) Budget Table'!D120:F120,'1) Budget Table'!D130:F130)</f>
        <v>213865.5</v>
      </c>
      <c r="D29" s="492"/>
    </row>
    <row r="30" spans="2:4" ht="15">
      <c r="B30" s="57" t="s">
        <v>411</v>
      </c>
      <c r="C30" s="489">
        <f>SUM(D32:D36)</f>
        <v>0</v>
      </c>
      <c r="D30" s="490"/>
    </row>
    <row r="31" spans="2:4" ht="15">
      <c r="B31" s="58" t="s">
        <v>412</v>
      </c>
      <c r="C31" s="59" t="s">
        <v>413</v>
      </c>
      <c r="D31" s="60" t="s">
        <v>414</v>
      </c>
    </row>
    <row r="32" spans="2:4" ht="35.1" customHeight="1">
      <c r="B32" s="61"/>
      <c r="C32" s="62"/>
      <c r="D32" s="63">
        <f>$C$29*C32</f>
        <v>0</v>
      </c>
    </row>
    <row r="33" spans="2:4" ht="35.1" customHeight="1">
      <c r="B33" s="64"/>
      <c r="C33" s="62"/>
      <c r="D33" s="63">
        <f>$C$29*C33</f>
        <v>0</v>
      </c>
    </row>
    <row r="34" spans="2:4" ht="35.1" customHeight="1">
      <c r="B34" s="65"/>
      <c r="C34" s="62"/>
      <c r="D34" s="63">
        <f>$C$29*C34</f>
        <v>0</v>
      </c>
    </row>
    <row r="35" spans="2:4" ht="35.1" customHeight="1">
      <c r="B35" s="65"/>
      <c r="C35" s="62"/>
      <c r="D35" s="63">
        <f>$C$29*C35</f>
        <v>0</v>
      </c>
    </row>
    <row r="36" spans="2:4" ht="35.1" customHeight="1" thickBot="1">
      <c r="B36" s="66"/>
      <c r="C36" s="62"/>
      <c r="D36" s="63">
        <f>$C$29*C36</f>
        <v>0</v>
      </c>
    </row>
    <row r="37" ht="15.75" thickBot="1"/>
    <row r="38" spans="2:4" ht="15">
      <c r="B38" s="493" t="s">
        <v>417</v>
      </c>
      <c r="C38" s="494"/>
      <c r="D38" s="495"/>
    </row>
    <row r="39" spans="2:4" ht="15.75" thickBot="1">
      <c r="B39" s="496"/>
      <c r="C39" s="497"/>
      <c r="D39" s="498"/>
    </row>
    <row r="40" spans="2:4" ht="15">
      <c r="B40" s="57" t="s">
        <v>410</v>
      </c>
      <c r="C40" s="491">
        <f>SUM('1) Budget Table'!D142:F142,'1) Budget Table'!D152:F152,'1) Budget Table'!D162:F162,'1) Budget Table'!D172:F172)</f>
        <v>0</v>
      </c>
      <c r="D40" s="492"/>
    </row>
    <row r="41" spans="2:4" ht="15">
      <c r="B41" s="57" t="s">
        <v>411</v>
      </c>
      <c r="C41" s="489">
        <f>SUM(D43:D47)</f>
        <v>0</v>
      </c>
      <c r="D41" s="490"/>
    </row>
    <row r="42" spans="2:4" ht="15">
      <c r="B42" s="58" t="s">
        <v>412</v>
      </c>
      <c r="C42" s="59" t="s">
        <v>413</v>
      </c>
      <c r="D42" s="60" t="s">
        <v>414</v>
      </c>
    </row>
    <row r="43" spans="2:4" ht="35.1" customHeight="1">
      <c r="B43" s="61"/>
      <c r="C43" s="62"/>
      <c r="D43" s="63">
        <f>$C$40*C43</f>
        <v>0</v>
      </c>
    </row>
    <row r="44" spans="2:4" ht="35.1" customHeight="1">
      <c r="B44" s="64"/>
      <c r="C44" s="62"/>
      <c r="D44" s="63">
        <f>$C$40*C44</f>
        <v>0</v>
      </c>
    </row>
    <row r="45" spans="2:4" ht="35.1" customHeight="1">
      <c r="B45" s="65"/>
      <c r="C45" s="62"/>
      <c r="D45" s="63">
        <f>$C$40*C45</f>
        <v>0</v>
      </c>
    </row>
    <row r="46" spans="2:4" ht="35.1" customHeight="1">
      <c r="B46" s="65"/>
      <c r="C46" s="62"/>
      <c r="D46" s="63">
        <f>$C$40*C46</f>
        <v>0</v>
      </c>
    </row>
    <row r="47" spans="2:4" ht="35.1" customHeight="1" thickBot="1">
      <c r="B47" s="66"/>
      <c r="C47" s="62"/>
      <c r="D47" s="67">
        <f>$C$40*C47</f>
        <v>0</v>
      </c>
    </row>
  </sheetData>
  <sheetProtection sheet="1" objects="1" scenarios="1"/>
  <mergeCells count="17">
    <mergeCell ref="B2:D3"/>
    <mergeCell ref="C7:D7"/>
    <mergeCell ref="B6:D6"/>
    <mergeCell ref="B5:D5"/>
    <mergeCell ref="C8:D8"/>
    <mergeCell ref="C19:D19"/>
    <mergeCell ref="C30:D30"/>
    <mergeCell ref="B16:D16"/>
    <mergeCell ref="B17:D17"/>
    <mergeCell ref="C18:D18"/>
    <mergeCell ref="B27:D27"/>
    <mergeCell ref="B28:D28"/>
    <mergeCell ref="C41:D41"/>
    <mergeCell ref="C29:D29"/>
    <mergeCell ref="B38:D38"/>
    <mergeCell ref="B39:D39"/>
    <mergeCell ref="C40:D40"/>
  </mergeCells>
  <conditionalFormatting sqref="C8:D8">
    <cfRule type="cellIs" priority="4" dxfId="0" operator="greaterThan">
      <formula>$C$7</formula>
    </cfRule>
  </conditionalFormatting>
  <conditionalFormatting sqref="C19:D19">
    <cfRule type="cellIs" priority="3" dxfId="0" operator="greaterThan">
      <formula>$C$18</formula>
    </cfRule>
  </conditionalFormatting>
  <conditionalFormatting sqref="C30:D30">
    <cfRule type="cellIs" priority="2" dxfId="0" operator="greaterThan">
      <formula>$C$29</formula>
    </cfRule>
  </conditionalFormatting>
  <conditionalFormatting sqref="C41:D41">
    <cfRule type="cellIs" priority="1" dxfId="0" operator="greaterThan">
      <formula>$C$40</formula>
    </cfRule>
  </conditionalFormatting>
  <dataValidations count="1">
    <dataValidation type="list" allowBlank="1" showInputMessage="1" showErrorMessage="1" sqref="B10:C14 B21:C25 B32:C36 B43:C47">
      <formula1>#REF!</formula1>
    </dataValidation>
  </dataValidation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7D0F-866A-4EFE-9FA3-9BBB9DEE4E64}">
  <sheetPr>
    <tabColor theme="2" tint="-0.4999699890613556"/>
  </sheetPr>
  <dimension ref="B2:G25"/>
  <sheetViews>
    <sheetView showGridLines="0" zoomScale="80" zoomScaleNormal="80" workbookViewId="0" topLeftCell="A9">
      <selection activeCell="A10" sqref="A10"/>
    </sheetView>
  </sheetViews>
  <sheetFormatPr defaultColWidth="8.8515625" defaultRowHeight="15"/>
  <cols>
    <col min="1" max="1" width="12.421875" style="0" customWidth="1"/>
    <col min="2" max="2" width="20.421875" style="0" customWidth="1"/>
    <col min="3" max="5" width="25.421875" style="0" customWidth="1"/>
    <col min="6" max="6" width="24.421875" style="0" customWidth="1"/>
    <col min="7" max="7" width="18.421875" style="0" customWidth="1"/>
    <col min="8" max="8" width="21.8515625" style="0" customWidth="1"/>
    <col min="9" max="10" width="15.8515625" style="0" bestFit="1" customWidth="1"/>
    <col min="11" max="11" width="11.140625" style="0" bestFit="1" customWidth="1"/>
  </cols>
  <sheetData>
    <row r="1" ht="15.75" thickBot="1"/>
    <row r="2" spans="2:6" s="56" customFormat="1" ht="15.75">
      <c r="B2" s="508" t="s">
        <v>418</v>
      </c>
      <c r="C2" s="509"/>
      <c r="D2" s="509"/>
      <c r="E2" s="509"/>
      <c r="F2" s="510"/>
    </row>
    <row r="3" spans="2:6" s="56" customFormat="1" ht="16.5" thickBot="1">
      <c r="B3" s="511"/>
      <c r="C3" s="512"/>
      <c r="D3" s="512"/>
      <c r="E3" s="512"/>
      <c r="F3" s="513"/>
    </row>
    <row r="4" spans="2:6" s="56" customFormat="1" ht="16.5" thickBot="1">
      <c r="B4" s="390"/>
      <c r="C4" s="390"/>
      <c r="D4" s="390"/>
      <c r="E4" s="390"/>
      <c r="F4" s="390"/>
    </row>
    <row r="5" spans="2:6" s="56" customFormat="1" ht="16.5" thickBot="1">
      <c r="B5" s="486" t="s">
        <v>359</v>
      </c>
      <c r="C5" s="487"/>
      <c r="D5" s="487"/>
      <c r="E5" s="487"/>
      <c r="F5" s="488"/>
    </row>
    <row r="6" spans="2:6" s="56" customFormat="1" ht="15.75">
      <c r="B6" s="54"/>
      <c r="C6" s="514" t="str">
        <f>'1) Budget Table'!D4</f>
        <v>OIM</v>
      </c>
      <c r="D6" s="514" t="str">
        <f>'1) Budget Table'!E4</f>
        <v>PMA</v>
      </c>
      <c r="E6" s="514" t="str">
        <f>'1) Budget Table'!F4</f>
        <v>UNICEF</v>
      </c>
      <c r="F6" s="485" t="s">
        <v>359</v>
      </c>
    </row>
    <row r="7" spans="2:6" s="56" customFormat="1" ht="15.75">
      <c r="B7" s="54"/>
      <c r="C7" s="515"/>
      <c r="D7" s="515"/>
      <c r="E7" s="515"/>
      <c r="F7" s="472"/>
    </row>
    <row r="8" spans="2:6" s="56" customFormat="1" ht="31.5">
      <c r="B8" s="11" t="s">
        <v>379</v>
      </c>
      <c r="C8" s="379">
        <f>'2) By Category'!D199</f>
        <v>152151.60721495302</v>
      </c>
      <c r="D8" s="379">
        <f>'2) By Category'!E199</f>
        <v>65457.28</v>
      </c>
      <c r="E8" s="379">
        <f>'2) By Category'!F199</f>
        <v>0</v>
      </c>
      <c r="F8" s="52">
        <f aca="true" t="shared" si="0" ref="F8:F15">SUM(C8:E8)</f>
        <v>217608.88721495302</v>
      </c>
    </row>
    <row r="9" spans="2:6" s="56" customFormat="1" ht="47.25">
      <c r="B9" s="11" t="s">
        <v>380</v>
      </c>
      <c r="C9" s="379">
        <f>'2) By Category'!D200</f>
        <v>31134.025</v>
      </c>
      <c r="D9" s="379">
        <f>'2) By Category'!E200</f>
        <v>64884.75</v>
      </c>
      <c r="E9" s="379">
        <f>'2) By Category'!F200</f>
        <v>0</v>
      </c>
      <c r="F9" s="53">
        <f t="shared" si="0"/>
        <v>96018.775</v>
      </c>
    </row>
    <row r="10" spans="2:6" s="56" customFormat="1" ht="78.75">
      <c r="B10" s="11" t="s">
        <v>381</v>
      </c>
      <c r="C10" s="379">
        <f>'2) By Category'!D201</f>
        <v>71373.82</v>
      </c>
      <c r="D10" s="379">
        <f>'2) By Category'!E201</f>
        <v>13494.89</v>
      </c>
      <c r="E10" s="379">
        <f>'2) By Category'!F201</f>
        <v>0</v>
      </c>
      <c r="F10" s="53">
        <f t="shared" si="0"/>
        <v>84868.71</v>
      </c>
    </row>
    <row r="11" spans="2:6" s="56" customFormat="1" ht="31.5">
      <c r="B11" s="15" t="s">
        <v>382</v>
      </c>
      <c r="C11" s="379">
        <f>'2) By Category'!D202</f>
        <v>259999.8949592524</v>
      </c>
      <c r="D11" s="379">
        <f>'2) By Category'!E202</f>
        <v>83904.41</v>
      </c>
      <c r="E11" s="379">
        <f>'2) By Category'!F202</f>
        <v>0</v>
      </c>
      <c r="F11" s="53">
        <f t="shared" si="0"/>
        <v>343904.30495925236</v>
      </c>
    </row>
    <row r="12" spans="2:6" s="56" customFormat="1" ht="15.75">
      <c r="B12" s="11" t="s">
        <v>383</v>
      </c>
      <c r="C12" s="379">
        <f>'2) By Category'!D203</f>
        <v>9840</v>
      </c>
      <c r="D12" s="379">
        <f>'2) By Category'!E203</f>
        <v>9764.35</v>
      </c>
      <c r="E12" s="379">
        <f>'2) By Category'!F203</f>
        <v>0</v>
      </c>
      <c r="F12" s="53">
        <f t="shared" si="0"/>
        <v>19604.35</v>
      </c>
    </row>
    <row r="13" spans="2:6" s="56" customFormat="1" ht="47.25">
      <c r="B13" s="11" t="s">
        <v>384</v>
      </c>
      <c r="C13" s="379">
        <f>'2) By Category'!D204</f>
        <v>0</v>
      </c>
      <c r="D13" s="379">
        <f>'2) By Category'!E204</f>
        <v>44400</v>
      </c>
      <c r="E13" s="379">
        <f>'2) By Category'!F204</f>
        <v>335980</v>
      </c>
      <c r="F13" s="53">
        <f t="shared" si="0"/>
        <v>380380</v>
      </c>
    </row>
    <row r="14" spans="2:6" s="56" customFormat="1" ht="48" thickBot="1">
      <c r="B14" s="99" t="s">
        <v>385</v>
      </c>
      <c r="C14" s="386">
        <f>'2) By Category'!D205</f>
        <v>225856</v>
      </c>
      <c r="D14" s="386">
        <f>'2) By Category'!E205</f>
        <v>34475.41</v>
      </c>
      <c r="E14" s="386">
        <f>'2) By Category'!F205</f>
        <v>0</v>
      </c>
      <c r="F14" s="100">
        <f t="shared" si="0"/>
        <v>260331.41</v>
      </c>
    </row>
    <row r="15" spans="2:6" s="56" customFormat="1" ht="30" customHeight="1">
      <c r="B15" s="391" t="s">
        <v>419</v>
      </c>
      <c r="C15" s="101">
        <f>SUM(C8:C14)</f>
        <v>750355.3471742054</v>
      </c>
      <c r="D15" s="101">
        <f>SUM(D8:D14)</f>
        <v>316381.08999999997</v>
      </c>
      <c r="E15" s="101">
        <f>SUM(E8:E14)</f>
        <v>335980</v>
      </c>
      <c r="F15" s="102">
        <f t="shared" si="0"/>
        <v>1402716.4371742052</v>
      </c>
    </row>
    <row r="16" spans="2:6" s="56" customFormat="1" ht="19.5" customHeight="1">
      <c r="B16" s="382" t="s">
        <v>398</v>
      </c>
      <c r="C16" s="103">
        <f>C15*0.07</f>
        <v>52524.87430219438</v>
      </c>
      <c r="D16" s="103">
        <f aca="true" t="shared" si="1" ref="D16:F16">D15*0.07</f>
        <v>22146.6763</v>
      </c>
      <c r="E16" s="103">
        <f t="shared" si="1"/>
        <v>23518.600000000002</v>
      </c>
      <c r="F16" s="103">
        <f t="shared" si="1"/>
        <v>98190.15060219438</v>
      </c>
    </row>
    <row r="17" spans="2:7" s="56" customFormat="1" ht="25.5" customHeight="1" thickBot="1">
      <c r="B17" s="104" t="s">
        <v>196</v>
      </c>
      <c r="C17" s="105">
        <f>C15+C16</f>
        <v>802880.2214763997</v>
      </c>
      <c r="D17" s="105">
        <f aca="true" t="shared" si="2" ref="D17:F17">D15+D16</f>
        <v>338527.76629999996</v>
      </c>
      <c r="E17" s="105">
        <f t="shared" si="2"/>
        <v>359498.6</v>
      </c>
      <c r="F17" s="145">
        <f t="shared" si="2"/>
        <v>1500906.5877763997</v>
      </c>
      <c r="G17" s="390"/>
    </row>
    <row r="18" spans="2:7" s="56" customFormat="1" ht="16.5" thickBot="1">
      <c r="B18" s="390"/>
      <c r="C18" s="390"/>
      <c r="D18" s="390"/>
      <c r="E18" s="390"/>
      <c r="F18" s="390"/>
      <c r="G18" s="390"/>
    </row>
    <row r="19" spans="2:7" s="56" customFormat="1" ht="15.75" customHeight="1">
      <c r="B19" s="516" t="s">
        <v>362</v>
      </c>
      <c r="C19" s="517"/>
      <c r="D19" s="517"/>
      <c r="E19" s="517"/>
      <c r="F19" s="518"/>
      <c r="G19" s="392"/>
    </row>
    <row r="20" spans="2:7" ht="15.75" customHeight="1">
      <c r="B20" s="519"/>
      <c r="C20" s="469" t="str">
        <f>'1) Budget Table'!D4</f>
        <v>OIM</v>
      </c>
      <c r="D20" s="469" t="str">
        <f>'1) Budget Table'!E4</f>
        <v>PMA</v>
      </c>
      <c r="E20" s="469" t="str">
        <f>'1) Budget Table'!F4</f>
        <v>UNICEF</v>
      </c>
      <c r="F20" s="469" t="s">
        <v>399</v>
      </c>
      <c r="G20" s="471" t="s">
        <v>363</v>
      </c>
    </row>
    <row r="21" spans="2:7" ht="15.75" customHeight="1">
      <c r="B21" s="520"/>
      <c r="C21" s="470"/>
      <c r="D21" s="470"/>
      <c r="E21" s="470"/>
      <c r="F21" s="470"/>
      <c r="G21" s="472"/>
    </row>
    <row r="22" spans="2:7" ht="23.25" customHeight="1">
      <c r="B22" s="14" t="s">
        <v>364</v>
      </c>
      <c r="C22" s="393">
        <f>'1) Budget Table'!D198</f>
        <v>562016.15128848</v>
      </c>
      <c r="D22" s="393">
        <f>'1) Budget Table'!E198</f>
        <v>236334.76277866052</v>
      </c>
      <c r="E22" s="393">
        <f>'1) Budget Table'!F198</f>
        <v>251649.01999999996</v>
      </c>
      <c r="F22" s="123">
        <f>'1) Budget Table'!G198</f>
        <v>1049999.9340671406</v>
      </c>
      <c r="G22" s="6">
        <f>'1) Budget Table'!H198</f>
        <v>0.7</v>
      </c>
    </row>
    <row r="23" spans="2:7" ht="24.75" customHeight="1">
      <c r="B23" s="14" t="s">
        <v>365</v>
      </c>
      <c r="C23" s="393">
        <f>'1) Budget Table'!D199</f>
        <v>240864.06483792</v>
      </c>
      <c r="D23" s="393">
        <f>'1) Budget Table'!E199</f>
        <v>101286.32690514023</v>
      </c>
      <c r="E23" s="393">
        <f>'1) Budget Table'!F199</f>
        <v>107849.57999999999</v>
      </c>
      <c r="F23" s="123">
        <f>'1) Budget Table'!G199</f>
        <v>449999.9717430603</v>
      </c>
      <c r="G23" s="6">
        <f>'1) Budget Table'!H199</f>
        <v>0.3</v>
      </c>
    </row>
    <row r="24" spans="2:7" ht="24.75" customHeight="1">
      <c r="B24" s="14" t="s">
        <v>420</v>
      </c>
      <c r="C24" s="393">
        <f>'1) Budget Table'!D200</f>
        <v>0</v>
      </c>
      <c r="D24" s="393">
        <f>'1) Budget Table'!E200</f>
        <v>0</v>
      </c>
      <c r="E24" s="393">
        <f>'1) Budget Table'!F200</f>
        <v>0</v>
      </c>
      <c r="F24" s="123">
        <f>'1) Budget Table'!G200</f>
        <v>0</v>
      </c>
      <c r="G24" s="6">
        <f>'1) Budget Table'!H200</f>
        <v>0</v>
      </c>
    </row>
    <row r="25" spans="2:7" ht="16.5" thickBot="1">
      <c r="B25" s="7" t="s">
        <v>399</v>
      </c>
      <c r="C25" s="122">
        <f>'1) Budget Table'!D201</f>
        <v>802880.2161264</v>
      </c>
      <c r="D25" s="122">
        <f>'1) Budget Table'!E201</f>
        <v>337621.08968380076</v>
      </c>
      <c r="E25" s="122">
        <f>'1) Budget Table'!F201</f>
        <v>359498.6</v>
      </c>
      <c r="F25" s="124">
        <f>'1) Budget Table'!G201</f>
        <v>1499999.9058102008</v>
      </c>
      <c r="G25" s="125"/>
    </row>
  </sheetData>
  <sheetProtection sheet="1" objects="1" scenarios="1" formatCells="0" formatColumns="0" formatRows="0"/>
  <mergeCells count="13">
    <mergeCell ref="G20:G21"/>
    <mergeCell ref="B2:F3"/>
    <mergeCell ref="C6:C7"/>
    <mergeCell ref="D6:D7"/>
    <mergeCell ref="E6:E7"/>
    <mergeCell ref="C20:C21"/>
    <mergeCell ref="D20:D21"/>
    <mergeCell ref="E20:E21"/>
    <mergeCell ref="B19:F19"/>
    <mergeCell ref="B5:F5"/>
    <mergeCell ref="F6:F7"/>
    <mergeCell ref="B20:B21"/>
    <mergeCell ref="F20:F21"/>
  </mergeCells>
  <conditionalFormatting sqref="F17">
    <cfRule type="cellIs" priority="1" dxfId="26" operator="notEqual">
      <formula>'1) Budget Table'!$G$192</formula>
    </cfRule>
  </conditionalFormatting>
  <dataValidations count="7">
    <dataValidation allowBlank="1" showInputMessage="1" showErrorMessage="1" prompt="Includes all related staff and temporary staff costs including base salary, post adjustment and all staff entitlements." sqref="B8"/>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dataValidation allowBlank="1" showInputMessage="1" showErrorMessage="1" prompt="Includes staff and non-staff travel paid for by the organization directly related to a project." sqref="B12"/>
    <dataValidation allowBlank="1" showInputMessage="1" showErrorMessage="1" prompt="Services contracted by an organization which follow the normal procurement processes." sqref="B11"/>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dataValidation allowBlank="1" showInputMessage="1" showErrorMessage="1" prompt=" Includes all general operating costs for running an office. Examples include telecommunication, rents, finance charges and other costs which cannot be mapped to other expense categories." sqref="B14"/>
  </dataValidations>
  <printOptions/>
  <pageMargins left="0.7" right="0.7" top="0.75" bottom="0.75" header="0.3" footer="0.3"/>
  <pageSetup horizontalDpi="600" verticalDpi="600" orientation="portrait" r:id="rId1"/>
  <ignoredErrors>
    <ignoredError sqref="C6:E7 C20:E21" unlocked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C8BA6D-B7BF-4707-93AE-4D3439E3B9F6}">
  <dimension ref="A1:P122"/>
  <sheetViews>
    <sheetView workbookViewId="0" topLeftCell="A105">
      <selection activeCell="A105" sqref="A105"/>
    </sheetView>
  </sheetViews>
  <sheetFormatPr defaultColWidth="11.421875" defaultRowHeight="15"/>
  <cols>
    <col min="1" max="1" width="12.421875" style="146" bestFit="1" customWidth="1"/>
    <col min="2" max="2" width="9.7109375" style="146" customWidth="1"/>
    <col min="3" max="3" width="36.28125" style="146" bestFit="1" customWidth="1"/>
    <col min="4" max="4" width="11.421875" style="146" customWidth="1"/>
    <col min="5" max="5" width="39.7109375" style="146" bestFit="1" customWidth="1"/>
    <col min="6" max="6" width="11.421875" style="146" customWidth="1"/>
    <col min="7" max="7" width="12.8515625" style="146" bestFit="1" customWidth="1"/>
    <col min="8" max="14" width="11.421875" style="146" customWidth="1"/>
  </cols>
  <sheetData>
    <row r="1" spans="2:16" ht="15">
      <c r="B1" s="297" t="s">
        <v>421</v>
      </c>
      <c r="C1" s="297" t="s">
        <v>422</v>
      </c>
      <c r="D1" s="297" t="s">
        <v>423</v>
      </c>
      <c r="E1" s="297" t="s">
        <v>424</v>
      </c>
      <c r="F1" s="297" t="s">
        <v>425</v>
      </c>
      <c r="G1" s="297" t="s">
        <v>426</v>
      </c>
      <c r="H1" s="297" t="s">
        <v>427</v>
      </c>
      <c r="I1" s="297" t="s">
        <v>428</v>
      </c>
      <c r="J1" s="297" t="s">
        <v>429</v>
      </c>
      <c r="K1" s="297" t="s">
        <v>430</v>
      </c>
      <c r="L1" s="297" t="s">
        <v>431</v>
      </c>
      <c r="M1" s="297" t="s">
        <v>432</v>
      </c>
      <c r="N1" s="297" t="s">
        <v>433</v>
      </c>
      <c r="O1" s="297" t="s">
        <v>434</v>
      </c>
      <c r="P1" s="297" t="s">
        <v>435</v>
      </c>
    </row>
    <row r="2" spans="2:16" ht="15">
      <c r="B2" s="146" t="s">
        <v>436</v>
      </c>
      <c r="C2" s="146" t="s">
        <v>437</v>
      </c>
      <c r="D2" s="146" t="s">
        <v>438</v>
      </c>
      <c r="E2" s="146" t="s">
        <v>439</v>
      </c>
      <c r="F2" s="298">
        <v>0</v>
      </c>
      <c r="G2" s="298">
        <v>-562016.21</v>
      </c>
      <c r="H2" s="299">
        <v>0</v>
      </c>
      <c r="I2" s="298">
        <v>0</v>
      </c>
      <c r="J2" s="298">
        <v>0</v>
      </c>
      <c r="K2" s="298">
        <v>0</v>
      </c>
      <c r="L2" s="298">
        <v>0</v>
      </c>
      <c r="M2" s="298">
        <v>0</v>
      </c>
      <c r="N2" s="300" t="s">
        <v>440</v>
      </c>
      <c r="O2" s="300" t="s">
        <v>440</v>
      </c>
      <c r="P2" s="300" t="s">
        <v>440</v>
      </c>
    </row>
    <row r="3" spans="2:16" ht="15">
      <c r="B3" s="146" t="s">
        <v>436</v>
      </c>
      <c r="C3" s="146" t="s">
        <v>441</v>
      </c>
      <c r="D3" s="146" t="s">
        <v>442</v>
      </c>
      <c r="E3" s="146" t="s">
        <v>443</v>
      </c>
      <c r="F3" s="298">
        <v>0</v>
      </c>
      <c r="G3" s="298">
        <v>0</v>
      </c>
      <c r="H3" s="299">
        <v>0</v>
      </c>
      <c r="I3" s="298">
        <v>0</v>
      </c>
      <c r="J3" s="298">
        <v>0</v>
      </c>
      <c r="K3" s="298">
        <v>0</v>
      </c>
      <c r="L3" s="298">
        <v>0</v>
      </c>
      <c r="M3" s="298">
        <v>0</v>
      </c>
      <c r="N3" s="300" t="s">
        <v>440</v>
      </c>
      <c r="O3" s="300" t="s">
        <v>440</v>
      </c>
      <c r="P3" s="300" t="s">
        <v>440</v>
      </c>
    </row>
    <row r="4" spans="2:16" ht="15">
      <c r="B4" s="146" t="s">
        <v>436</v>
      </c>
      <c r="C4" s="146" t="s">
        <v>444</v>
      </c>
      <c r="D4" s="146" t="s">
        <v>445</v>
      </c>
      <c r="E4" s="146" t="s">
        <v>446</v>
      </c>
      <c r="F4" s="298">
        <v>0</v>
      </c>
      <c r="G4" s="298">
        <v>0</v>
      </c>
      <c r="H4" s="299">
        <v>0</v>
      </c>
      <c r="I4" s="298">
        <v>0</v>
      </c>
      <c r="J4" s="298">
        <v>0</v>
      </c>
      <c r="K4" s="298">
        <v>0</v>
      </c>
      <c r="L4" s="298">
        <v>0</v>
      </c>
      <c r="M4" s="298">
        <v>0</v>
      </c>
      <c r="N4" s="300" t="s">
        <v>440</v>
      </c>
      <c r="O4" s="300" t="s">
        <v>440</v>
      </c>
      <c r="P4" s="300" t="s">
        <v>440</v>
      </c>
    </row>
    <row r="5" spans="2:16" ht="15">
      <c r="B5" s="146" t="s">
        <v>436</v>
      </c>
      <c r="C5" s="146" t="s">
        <v>447</v>
      </c>
      <c r="D5" s="146" t="s">
        <v>448</v>
      </c>
      <c r="E5" s="146" t="s">
        <v>449</v>
      </c>
      <c r="F5" s="298">
        <v>0</v>
      </c>
      <c r="G5" s="298">
        <v>0</v>
      </c>
      <c r="H5" s="299">
        <v>0</v>
      </c>
      <c r="I5" s="298">
        <v>0</v>
      </c>
      <c r="J5" s="298">
        <v>0</v>
      </c>
      <c r="K5" s="298">
        <v>0</v>
      </c>
      <c r="L5" s="298">
        <v>0</v>
      </c>
      <c r="M5" s="298">
        <v>0</v>
      </c>
      <c r="N5" s="300" t="s">
        <v>440</v>
      </c>
      <c r="O5" s="300" t="s">
        <v>440</v>
      </c>
      <c r="P5" s="300" t="s">
        <v>440</v>
      </c>
    </row>
    <row r="6" spans="2:16" ht="15">
      <c r="B6" s="146" t="s">
        <v>436</v>
      </c>
      <c r="C6" s="146" t="s">
        <v>450</v>
      </c>
      <c r="D6" s="146" t="s">
        <v>451</v>
      </c>
      <c r="E6" s="146" t="s">
        <v>452</v>
      </c>
      <c r="F6" s="298">
        <v>0</v>
      </c>
      <c r="G6" s="298">
        <v>-240864.1</v>
      </c>
      <c r="H6" s="299">
        <v>0</v>
      </c>
      <c r="I6" s="298">
        <v>0</v>
      </c>
      <c r="J6" s="298">
        <v>0</v>
      </c>
      <c r="K6" s="298">
        <v>0</v>
      </c>
      <c r="L6" s="298">
        <v>0</v>
      </c>
      <c r="M6" s="298">
        <v>0</v>
      </c>
      <c r="N6" s="300" t="s">
        <v>440</v>
      </c>
      <c r="O6" s="300" t="s">
        <v>440</v>
      </c>
      <c r="P6" s="300" t="s">
        <v>440</v>
      </c>
    </row>
    <row r="7" spans="5:16" ht="15">
      <c r="E7" s="146" t="s">
        <v>453</v>
      </c>
      <c r="F7" s="298">
        <v>0</v>
      </c>
      <c r="G7" s="298">
        <v>-240864.1</v>
      </c>
      <c r="H7" s="299">
        <v>0</v>
      </c>
      <c r="I7" s="298">
        <v>0</v>
      </c>
      <c r="J7" s="298">
        <v>0</v>
      </c>
      <c r="K7" s="298">
        <v>0</v>
      </c>
      <c r="L7" s="298">
        <v>0</v>
      </c>
      <c r="M7" s="298">
        <v>0</v>
      </c>
      <c r="N7" s="300" t="s">
        <v>440</v>
      </c>
      <c r="O7" s="300" t="s">
        <v>440</v>
      </c>
      <c r="P7" s="300" t="s">
        <v>440</v>
      </c>
    </row>
    <row r="8" spans="2:16" ht="15">
      <c r="B8" s="146" t="s">
        <v>436</v>
      </c>
      <c r="C8" s="146" t="s">
        <v>454</v>
      </c>
      <c r="D8" s="146" t="s">
        <v>445</v>
      </c>
      <c r="E8" s="146" t="s">
        <v>455</v>
      </c>
      <c r="F8" s="298">
        <v>0</v>
      </c>
      <c r="G8" s="298">
        <v>0</v>
      </c>
      <c r="H8" s="299">
        <v>0</v>
      </c>
      <c r="I8" s="298">
        <v>0</v>
      </c>
      <c r="J8" s="298">
        <v>0</v>
      </c>
      <c r="K8" s="298">
        <v>0</v>
      </c>
      <c r="L8" s="298">
        <v>0</v>
      </c>
      <c r="M8" s="298">
        <v>0</v>
      </c>
      <c r="N8" s="300" t="s">
        <v>440</v>
      </c>
      <c r="O8" s="300" t="s">
        <v>440</v>
      </c>
      <c r="P8" s="300" t="s">
        <v>440</v>
      </c>
    </row>
    <row r="9" spans="2:16" ht="15">
      <c r="B9" s="146" t="s">
        <v>436</v>
      </c>
      <c r="C9" s="146" t="s">
        <v>456</v>
      </c>
      <c r="D9" s="146" t="s">
        <v>448</v>
      </c>
      <c r="E9" s="146" t="s">
        <v>457</v>
      </c>
      <c r="F9" s="298">
        <v>0</v>
      </c>
      <c r="G9" s="298">
        <v>0</v>
      </c>
      <c r="H9" s="299">
        <v>0</v>
      </c>
      <c r="I9" s="298">
        <v>0</v>
      </c>
      <c r="J9" s="298">
        <v>0</v>
      </c>
      <c r="K9" s="298">
        <v>0</v>
      </c>
      <c r="L9" s="298">
        <v>0</v>
      </c>
      <c r="M9" s="298">
        <v>0</v>
      </c>
      <c r="N9" s="300" t="s">
        <v>440</v>
      </c>
      <c r="O9" s="300" t="s">
        <v>440</v>
      </c>
      <c r="P9" s="300" t="s">
        <v>440</v>
      </c>
    </row>
    <row r="10" spans="2:16" ht="15">
      <c r="B10" s="146" t="s">
        <v>436</v>
      </c>
      <c r="C10" s="146" t="s">
        <v>21</v>
      </c>
      <c r="D10" s="146" t="s">
        <v>451</v>
      </c>
      <c r="E10" s="146" t="s">
        <v>458</v>
      </c>
      <c r="F10" s="298">
        <v>36289.44</v>
      </c>
      <c r="G10" s="298">
        <v>0</v>
      </c>
      <c r="H10" s="299">
        <v>26818.94</v>
      </c>
      <c r="I10" s="298">
        <v>0</v>
      </c>
      <c r="J10" s="298">
        <v>26818.94</v>
      </c>
      <c r="K10" s="298">
        <v>9470.5</v>
      </c>
      <c r="L10" s="298">
        <v>0</v>
      </c>
      <c r="M10" s="298">
        <v>9470.5</v>
      </c>
      <c r="N10" s="300" t="s">
        <v>459</v>
      </c>
      <c r="O10" s="300" t="s">
        <v>459</v>
      </c>
      <c r="P10" s="300" t="s">
        <v>459</v>
      </c>
    </row>
    <row r="11" spans="2:16" ht="15">
      <c r="B11" s="146" t="s">
        <v>436</v>
      </c>
      <c r="C11" s="146" t="s">
        <v>28</v>
      </c>
      <c r="D11" s="146" t="s">
        <v>451</v>
      </c>
      <c r="E11" s="146" t="s">
        <v>460</v>
      </c>
      <c r="F11" s="298">
        <v>28915.58</v>
      </c>
      <c r="G11" s="298">
        <v>0</v>
      </c>
      <c r="H11" s="299">
        <v>36130.83</v>
      </c>
      <c r="I11" s="298">
        <v>0</v>
      </c>
      <c r="J11" s="298">
        <v>36130.83</v>
      </c>
      <c r="K11" s="298">
        <v>-7215.25</v>
      </c>
      <c r="L11" s="298">
        <v>0</v>
      </c>
      <c r="M11" s="298">
        <v>-7215.25</v>
      </c>
      <c r="N11" s="300" t="s">
        <v>461</v>
      </c>
      <c r="O11" s="300" t="s">
        <v>461</v>
      </c>
      <c r="P11" s="300" t="s">
        <v>461</v>
      </c>
    </row>
    <row r="12" spans="5:16" ht="15">
      <c r="E12" s="146" t="s">
        <v>462</v>
      </c>
      <c r="F12" s="298">
        <v>65205.02</v>
      </c>
      <c r="G12" s="298">
        <v>0</v>
      </c>
      <c r="H12" s="299">
        <v>62949.77</v>
      </c>
      <c r="I12" s="298">
        <v>0</v>
      </c>
      <c r="J12" s="298">
        <v>62949.77</v>
      </c>
      <c r="K12" s="298">
        <v>2255.25</v>
      </c>
      <c r="L12" s="298">
        <v>0</v>
      </c>
      <c r="M12" s="298">
        <v>2255.25</v>
      </c>
      <c r="N12" s="300" t="s">
        <v>463</v>
      </c>
      <c r="O12" s="300" t="s">
        <v>463</v>
      </c>
      <c r="P12" s="300" t="s">
        <v>463</v>
      </c>
    </row>
    <row r="13" spans="2:16" ht="15">
      <c r="B13" s="146" t="s">
        <v>436</v>
      </c>
      <c r="C13" s="146" t="s">
        <v>464</v>
      </c>
      <c r="D13" s="146" t="s">
        <v>448</v>
      </c>
      <c r="E13" s="146" t="s">
        <v>465</v>
      </c>
      <c r="F13" s="298">
        <v>0</v>
      </c>
      <c r="G13" s="298">
        <v>0</v>
      </c>
      <c r="H13" s="299">
        <v>0</v>
      </c>
      <c r="I13" s="298">
        <v>0</v>
      </c>
      <c r="J13" s="298">
        <v>0</v>
      </c>
      <c r="K13" s="298">
        <v>0</v>
      </c>
      <c r="L13" s="298">
        <v>0</v>
      </c>
      <c r="M13" s="298">
        <v>0</v>
      </c>
      <c r="N13" s="300" t="s">
        <v>440</v>
      </c>
      <c r="O13" s="300" t="s">
        <v>440</v>
      </c>
      <c r="P13" s="300" t="s">
        <v>440</v>
      </c>
    </row>
    <row r="14" spans="2:16" ht="15">
      <c r="B14" s="146" t="s">
        <v>436</v>
      </c>
      <c r="C14" s="146" t="s">
        <v>31</v>
      </c>
      <c r="D14" s="146" t="s">
        <v>451</v>
      </c>
      <c r="E14" s="146" t="s">
        <v>466</v>
      </c>
      <c r="F14" s="298">
        <v>3340.41</v>
      </c>
      <c r="G14" s="298">
        <v>0</v>
      </c>
      <c r="H14" s="299">
        <v>4171.48</v>
      </c>
      <c r="I14" s="298">
        <v>0</v>
      </c>
      <c r="J14" s="298">
        <v>4171.48</v>
      </c>
      <c r="K14" s="298">
        <v>-831.07</v>
      </c>
      <c r="L14" s="298">
        <v>0</v>
      </c>
      <c r="M14" s="298">
        <v>-831.07</v>
      </c>
      <c r="N14" s="300" t="s">
        <v>467</v>
      </c>
      <c r="O14" s="300" t="s">
        <v>467</v>
      </c>
      <c r="P14" s="300" t="s">
        <v>467</v>
      </c>
    </row>
    <row r="15" spans="2:16" ht="15">
      <c r="B15" s="146" t="s">
        <v>436</v>
      </c>
      <c r="C15" s="146" t="s">
        <v>34</v>
      </c>
      <c r="D15" s="146" t="s">
        <v>451</v>
      </c>
      <c r="E15" s="146" t="s">
        <v>468</v>
      </c>
      <c r="F15" s="298">
        <v>4131</v>
      </c>
      <c r="G15" s="298">
        <v>0</v>
      </c>
      <c r="H15" s="299">
        <v>4747.02</v>
      </c>
      <c r="I15" s="298">
        <v>0</v>
      </c>
      <c r="J15" s="298">
        <v>4747.02</v>
      </c>
      <c r="K15" s="298">
        <v>-616.02</v>
      </c>
      <c r="L15" s="298">
        <v>0</v>
      </c>
      <c r="M15" s="298">
        <v>-616.02</v>
      </c>
      <c r="N15" s="300" t="s">
        <v>469</v>
      </c>
      <c r="O15" s="300" t="s">
        <v>469</v>
      </c>
      <c r="P15" s="300" t="s">
        <v>469</v>
      </c>
    </row>
    <row r="16" spans="2:16" ht="15">
      <c r="B16" s="146" t="s">
        <v>436</v>
      </c>
      <c r="C16" s="146" t="s">
        <v>37</v>
      </c>
      <c r="D16" s="146" t="s">
        <v>451</v>
      </c>
      <c r="E16" s="146" t="s">
        <v>470</v>
      </c>
      <c r="F16" s="298">
        <v>6905.76</v>
      </c>
      <c r="G16" s="298">
        <v>0</v>
      </c>
      <c r="H16" s="299">
        <v>7906.89</v>
      </c>
      <c r="I16" s="298">
        <v>0</v>
      </c>
      <c r="J16" s="298">
        <v>7906.89</v>
      </c>
      <c r="K16" s="298">
        <v>-1001.13</v>
      </c>
      <c r="L16" s="298">
        <v>0</v>
      </c>
      <c r="M16" s="298">
        <v>-1001.13</v>
      </c>
      <c r="N16" s="300" t="s">
        <v>471</v>
      </c>
      <c r="O16" s="300" t="s">
        <v>471</v>
      </c>
      <c r="P16" s="300" t="s">
        <v>471</v>
      </c>
    </row>
    <row r="17" spans="2:16" ht="15">
      <c r="B17" s="146" t="s">
        <v>436</v>
      </c>
      <c r="C17" s="146" t="s">
        <v>40</v>
      </c>
      <c r="D17" s="146" t="s">
        <v>451</v>
      </c>
      <c r="E17" s="146" t="s">
        <v>472</v>
      </c>
      <c r="F17" s="298">
        <v>2511</v>
      </c>
      <c r="G17" s="298">
        <v>0</v>
      </c>
      <c r="H17" s="299">
        <v>3228.43</v>
      </c>
      <c r="I17" s="298">
        <v>0</v>
      </c>
      <c r="J17" s="298">
        <v>3228.43</v>
      </c>
      <c r="K17" s="298">
        <v>-717.43</v>
      </c>
      <c r="L17" s="298">
        <v>0</v>
      </c>
      <c r="M17" s="298">
        <v>-717.43</v>
      </c>
      <c r="N17" s="300" t="s">
        <v>473</v>
      </c>
      <c r="O17" s="300" t="s">
        <v>473</v>
      </c>
      <c r="P17" s="300" t="s">
        <v>473</v>
      </c>
    </row>
    <row r="18" spans="5:16" ht="15">
      <c r="E18" s="146" t="s">
        <v>474</v>
      </c>
      <c r="F18" s="298">
        <v>16888.17</v>
      </c>
      <c r="G18" s="298">
        <v>0</v>
      </c>
      <c r="H18" s="299">
        <v>20053.82</v>
      </c>
      <c r="I18" s="298">
        <v>0</v>
      </c>
      <c r="J18" s="298">
        <v>20053.82</v>
      </c>
      <c r="K18" s="298">
        <v>-3165.65</v>
      </c>
      <c r="L18" s="298">
        <v>0</v>
      </c>
      <c r="M18" s="298">
        <v>-3165.65</v>
      </c>
      <c r="N18" s="300" t="s">
        <v>475</v>
      </c>
      <c r="O18" s="300" t="s">
        <v>475</v>
      </c>
      <c r="P18" s="300" t="s">
        <v>475</v>
      </c>
    </row>
    <row r="19" spans="2:16" ht="15">
      <c r="B19" s="146" t="s">
        <v>436</v>
      </c>
      <c r="C19" s="146" t="s">
        <v>476</v>
      </c>
      <c r="D19" s="146" t="s">
        <v>445</v>
      </c>
      <c r="E19" s="146" t="s">
        <v>477</v>
      </c>
      <c r="F19" s="298">
        <v>0</v>
      </c>
      <c r="G19" s="298">
        <v>0</v>
      </c>
      <c r="H19" s="299">
        <v>0</v>
      </c>
      <c r="I19" s="298">
        <v>0</v>
      </c>
      <c r="J19" s="298">
        <v>0</v>
      </c>
      <c r="K19" s="298">
        <v>0</v>
      </c>
      <c r="L19" s="298">
        <v>0</v>
      </c>
      <c r="M19" s="298">
        <v>0</v>
      </c>
      <c r="N19" s="300" t="s">
        <v>440</v>
      </c>
      <c r="O19" s="300" t="s">
        <v>440</v>
      </c>
      <c r="P19" s="300" t="s">
        <v>440</v>
      </c>
    </row>
    <row r="20" spans="2:16" ht="15">
      <c r="B20" s="146" t="s">
        <v>436</v>
      </c>
      <c r="C20" s="146" t="s">
        <v>478</v>
      </c>
      <c r="D20" s="146" t="s">
        <v>448</v>
      </c>
      <c r="E20" s="146" t="s">
        <v>479</v>
      </c>
      <c r="F20" s="298">
        <v>0</v>
      </c>
      <c r="G20" s="298">
        <v>0</v>
      </c>
      <c r="H20" s="299">
        <v>0</v>
      </c>
      <c r="I20" s="298">
        <v>0</v>
      </c>
      <c r="J20" s="298">
        <v>0</v>
      </c>
      <c r="K20" s="298">
        <v>0</v>
      </c>
      <c r="L20" s="298">
        <v>0</v>
      </c>
      <c r="M20" s="298">
        <v>0</v>
      </c>
      <c r="N20" s="300" t="s">
        <v>440</v>
      </c>
      <c r="O20" s="300" t="s">
        <v>440</v>
      </c>
      <c r="P20" s="300" t="s">
        <v>440</v>
      </c>
    </row>
    <row r="21" spans="2:16" ht="15">
      <c r="B21" s="146" t="s">
        <v>436</v>
      </c>
      <c r="C21" s="146" t="s">
        <v>44</v>
      </c>
      <c r="D21" s="146" t="s">
        <v>451</v>
      </c>
      <c r="E21" s="146" t="s">
        <v>480</v>
      </c>
      <c r="F21" s="298">
        <v>12240</v>
      </c>
      <c r="G21" s="298">
        <v>0</v>
      </c>
      <c r="H21" s="299">
        <v>15486.97</v>
      </c>
      <c r="I21" s="298">
        <v>0</v>
      </c>
      <c r="J21" s="298">
        <v>15486.97</v>
      </c>
      <c r="K21" s="298">
        <v>-3246.97</v>
      </c>
      <c r="L21" s="298">
        <v>0</v>
      </c>
      <c r="M21" s="298">
        <v>-3246.97</v>
      </c>
      <c r="N21" s="300" t="s">
        <v>481</v>
      </c>
      <c r="O21" s="300" t="s">
        <v>481</v>
      </c>
      <c r="P21" s="300" t="s">
        <v>481</v>
      </c>
    </row>
    <row r="22" spans="5:16" ht="15">
      <c r="E22" s="146" t="s">
        <v>482</v>
      </c>
      <c r="F22" s="298">
        <v>12240</v>
      </c>
      <c r="G22" s="298">
        <v>0</v>
      </c>
      <c r="H22" s="299">
        <v>15486.97</v>
      </c>
      <c r="I22" s="298">
        <v>0</v>
      </c>
      <c r="J22" s="298">
        <v>15486.97</v>
      </c>
      <c r="K22" s="298">
        <v>-3246.97</v>
      </c>
      <c r="L22" s="298">
        <v>0</v>
      </c>
      <c r="M22" s="298">
        <v>-3246.97</v>
      </c>
      <c r="N22" s="300" t="s">
        <v>481</v>
      </c>
      <c r="O22" s="300" t="s">
        <v>481</v>
      </c>
      <c r="P22" s="300" t="s">
        <v>481</v>
      </c>
    </row>
    <row r="23" spans="2:16" ht="15">
      <c r="B23" s="146" t="s">
        <v>436</v>
      </c>
      <c r="C23" s="146" t="s">
        <v>483</v>
      </c>
      <c r="D23" s="146" t="s">
        <v>448</v>
      </c>
      <c r="E23" s="146" t="s">
        <v>484</v>
      </c>
      <c r="F23" s="298">
        <v>0</v>
      </c>
      <c r="G23" s="298">
        <v>0</v>
      </c>
      <c r="H23" s="299">
        <v>0</v>
      </c>
      <c r="I23" s="298">
        <v>0</v>
      </c>
      <c r="J23" s="298">
        <v>0</v>
      </c>
      <c r="K23" s="298">
        <v>0</v>
      </c>
      <c r="L23" s="298">
        <v>0</v>
      </c>
      <c r="M23" s="298">
        <v>0</v>
      </c>
      <c r="N23" s="300" t="s">
        <v>440</v>
      </c>
      <c r="O23" s="300" t="s">
        <v>440</v>
      </c>
      <c r="P23" s="300" t="s">
        <v>440</v>
      </c>
    </row>
    <row r="24" spans="2:16" ht="15">
      <c r="B24" s="146" t="s">
        <v>436</v>
      </c>
      <c r="C24" s="146" t="s">
        <v>53</v>
      </c>
      <c r="D24" s="146" t="s">
        <v>451</v>
      </c>
      <c r="E24" s="146" t="s">
        <v>485</v>
      </c>
      <c r="F24" s="298">
        <v>6300</v>
      </c>
      <c r="G24" s="298">
        <v>0</v>
      </c>
      <c r="H24" s="299">
        <v>2844.48</v>
      </c>
      <c r="I24" s="298">
        <v>0</v>
      </c>
      <c r="J24" s="298">
        <v>2844.48</v>
      </c>
      <c r="K24" s="298">
        <v>3455.52</v>
      </c>
      <c r="L24" s="298">
        <v>0</v>
      </c>
      <c r="M24" s="298">
        <v>3455.52</v>
      </c>
      <c r="N24" s="300" t="s">
        <v>486</v>
      </c>
      <c r="O24" s="300" t="s">
        <v>486</v>
      </c>
      <c r="P24" s="300" t="s">
        <v>486</v>
      </c>
    </row>
    <row r="25" spans="5:16" ht="15">
      <c r="E25" s="146" t="s">
        <v>487</v>
      </c>
      <c r="F25" s="298">
        <v>6300</v>
      </c>
      <c r="G25" s="298">
        <v>0</v>
      </c>
      <c r="H25" s="299">
        <v>2844.48</v>
      </c>
      <c r="I25" s="298">
        <v>0</v>
      </c>
      <c r="J25" s="298">
        <v>2844.48</v>
      </c>
      <c r="K25" s="298">
        <v>3455.52</v>
      </c>
      <c r="L25" s="298">
        <v>0</v>
      </c>
      <c r="M25" s="298">
        <v>3455.52</v>
      </c>
      <c r="N25" s="300" t="s">
        <v>486</v>
      </c>
      <c r="O25" s="300" t="s">
        <v>486</v>
      </c>
      <c r="P25" s="300" t="s">
        <v>486</v>
      </c>
    </row>
    <row r="26" spans="2:16" ht="15">
      <c r="B26" s="146" t="s">
        <v>436</v>
      </c>
      <c r="C26" s="146" t="s">
        <v>488</v>
      </c>
      <c r="D26" s="146" t="s">
        <v>448</v>
      </c>
      <c r="E26" s="146" t="s">
        <v>489</v>
      </c>
      <c r="F26" s="298">
        <v>0</v>
      </c>
      <c r="G26" s="298">
        <v>0</v>
      </c>
      <c r="H26" s="299">
        <v>0</v>
      </c>
      <c r="I26" s="298">
        <v>0</v>
      </c>
      <c r="J26" s="298">
        <v>0</v>
      </c>
      <c r="K26" s="298">
        <v>0</v>
      </c>
      <c r="L26" s="298">
        <v>0</v>
      </c>
      <c r="M26" s="298">
        <v>0</v>
      </c>
      <c r="N26" s="300" t="s">
        <v>440</v>
      </c>
      <c r="O26" s="300" t="s">
        <v>440</v>
      </c>
      <c r="P26" s="300" t="s">
        <v>440</v>
      </c>
    </row>
    <row r="27" spans="2:16" ht="15">
      <c r="B27" s="146" t="s">
        <v>436</v>
      </c>
      <c r="C27" s="146" t="s">
        <v>51</v>
      </c>
      <c r="D27" s="146" t="s">
        <v>451</v>
      </c>
      <c r="E27" s="146" t="s">
        <v>490</v>
      </c>
      <c r="F27" s="298">
        <v>816.24</v>
      </c>
      <c r="G27" s="298">
        <v>0</v>
      </c>
      <c r="H27" s="299">
        <v>1350</v>
      </c>
      <c r="I27" s="298">
        <v>0</v>
      </c>
      <c r="J27" s="298">
        <v>1350</v>
      </c>
      <c r="K27" s="298">
        <v>-533.76</v>
      </c>
      <c r="L27" s="298">
        <v>0</v>
      </c>
      <c r="M27" s="298">
        <v>-533.76</v>
      </c>
      <c r="N27" s="300" t="s">
        <v>491</v>
      </c>
      <c r="O27" s="300" t="s">
        <v>491</v>
      </c>
      <c r="P27" s="300" t="s">
        <v>491</v>
      </c>
    </row>
    <row r="28" spans="5:16" ht="15">
      <c r="E28" s="146" t="s">
        <v>492</v>
      </c>
      <c r="F28" s="298">
        <v>816.24</v>
      </c>
      <c r="G28" s="298">
        <v>0</v>
      </c>
      <c r="H28" s="299">
        <v>1350</v>
      </c>
      <c r="I28" s="298">
        <v>0</v>
      </c>
      <c r="J28" s="298">
        <v>1350</v>
      </c>
      <c r="K28" s="298">
        <v>-533.76</v>
      </c>
      <c r="L28" s="298">
        <v>0</v>
      </c>
      <c r="M28" s="298">
        <v>-533.76</v>
      </c>
      <c r="N28" s="300" t="s">
        <v>491</v>
      </c>
      <c r="O28" s="300" t="s">
        <v>491</v>
      </c>
      <c r="P28" s="300" t="s">
        <v>491</v>
      </c>
    </row>
    <row r="29" spans="2:16" ht="15">
      <c r="B29" s="146" t="s">
        <v>436</v>
      </c>
      <c r="C29" s="146" t="s">
        <v>493</v>
      </c>
      <c r="D29" s="146" t="s">
        <v>448</v>
      </c>
      <c r="E29" s="146" t="s">
        <v>494</v>
      </c>
      <c r="F29" s="298">
        <v>0</v>
      </c>
      <c r="G29" s="298">
        <v>0</v>
      </c>
      <c r="H29" s="299">
        <v>0</v>
      </c>
      <c r="I29" s="298">
        <v>0</v>
      </c>
      <c r="J29" s="298">
        <v>0</v>
      </c>
      <c r="K29" s="298">
        <v>0</v>
      </c>
      <c r="L29" s="298">
        <v>0</v>
      </c>
      <c r="M29" s="298">
        <v>0</v>
      </c>
      <c r="N29" s="300" t="s">
        <v>440</v>
      </c>
      <c r="O29" s="300" t="s">
        <v>440</v>
      </c>
      <c r="P29" s="300" t="s">
        <v>440</v>
      </c>
    </row>
    <row r="30" spans="2:16" ht="15">
      <c r="B30" s="146" t="s">
        <v>436</v>
      </c>
      <c r="C30" s="146" t="s">
        <v>49</v>
      </c>
      <c r="D30" s="146" t="s">
        <v>451</v>
      </c>
      <c r="E30" s="146" t="s">
        <v>495</v>
      </c>
      <c r="F30" s="298">
        <v>900</v>
      </c>
      <c r="G30" s="298">
        <v>0</v>
      </c>
      <c r="H30" s="299">
        <v>877.38</v>
      </c>
      <c r="I30" s="298">
        <v>0</v>
      </c>
      <c r="J30" s="298">
        <v>877.38</v>
      </c>
      <c r="K30" s="298">
        <v>22.62</v>
      </c>
      <c r="L30" s="298">
        <v>0</v>
      </c>
      <c r="M30" s="298">
        <v>22.62</v>
      </c>
      <c r="N30" s="300" t="s">
        <v>496</v>
      </c>
      <c r="O30" s="300" t="s">
        <v>496</v>
      </c>
      <c r="P30" s="300" t="s">
        <v>496</v>
      </c>
    </row>
    <row r="31" spans="5:16" ht="15">
      <c r="E31" s="146" t="s">
        <v>497</v>
      </c>
      <c r="F31" s="298">
        <v>900</v>
      </c>
      <c r="G31" s="298">
        <v>0</v>
      </c>
      <c r="H31" s="299">
        <v>877.38</v>
      </c>
      <c r="I31" s="298">
        <v>0</v>
      </c>
      <c r="J31" s="298">
        <v>877.38</v>
      </c>
      <c r="K31" s="298">
        <v>22.62</v>
      </c>
      <c r="L31" s="298">
        <v>0</v>
      </c>
      <c r="M31" s="298">
        <v>22.62</v>
      </c>
      <c r="N31" s="300" t="s">
        <v>496</v>
      </c>
      <c r="O31" s="300" t="s">
        <v>496</v>
      </c>
      <c r="P31" s="300" t="s">
        <v>496</v>
      </c>
    </row>
    <row r="32" spans="2:16" ht="15">
      <c r="B32" s="146" t="s">
        <v>436</v>
      </c>
      <c r="C32" s="146" t="s">
        <v>498</v>
      </c>
      <c r="D32" s="146" t="s">
        <v>445</v>
      </c>
      <c r="E32" s="146" t="s">
        <v>499</v>
      </c>
      <c r="F32" s="298">
        <v>0</v>
      </c>
      <c r="G32" s="298">
        <v>0</v>
      </c>
      <c r="H32" s="299">
        <v>0</v>
      </c>
      <c r="I32" s="298">
        <v>0</v>
      </c>
      <c r="J32" s="298">
        <v>0</v>
      </c>
      <c r="K32" s="298">
        <v>0</v>
      </c>
      <c r="L32" s="298">
        <v>0</v>
      </c>
      <c r="M32" s="298">
        <v>0</v>
      </c>
      <c r="N32" s="300" t="s">
        <v>440</v>
      </c>
      <c r="O32" s="300" t="s">
        <v>440</v>
      </c>
      <c r="P32" s="300" t="s">
        <v>440</v>
      </c>
    </row>
    <row r="33" spans="2:16" ht="15">
      <c r="B33" s="146" t="s">
        <v>436</v>
      </c>
      <c r="C33" s="146" t="s">
        <v>500</v>
      </c>
      <c r="D33" s="146" t="s">
        <v>448</v>
      </c>
      <c r="E33" s="146" t="s">
        <v>501</v>
      </c>
      <c r="F33" s="298">
        <v>0</v>
      </c>
      <c r="G33" s="298">
        <v>0</v>
      </c>
      <c r="H33" s="299">
        <v>0</v>
      </c>
      <c r="I33" s="298">
        <v>0</v>
      </c>
      <c r="J33" s="298">
        <v>0</v>
      </c>
      <c r="K33" s="298">
        <v>0</v>
      </c>
      <c r="L33" s="298">
        <v>0</v>
      </c>
      <c r="M33" s="298">
        <v>0</v>
      </c>
      <c r="N33" s="300" t="s">
        <v>440</v>
      </c>
      <c r="O33" s="300" t="s">
        <v>440</v>
      </c>
      <c r="P33" s="300" t="s">
        <v>440</v>
      </c>
    </row>
    <row r="34" spans="2:16" ht="15">
      <c r="B34" s="146" t="s">
        <v>436</v>
      </c>
      <c r="C34" s="146" t="s">
        <v>106</v>
      </c>
      <c r="D34" s="146" t="s">
        <v>451</v>
      </c>
      <c r="E34" s="146" t="s">
        <v>502</v>
      </c>
      <c r="F34" s="298">
        <v>123000</v>
      </c>
      <c r="G34" s="298">
        <v>0</v>
      </c>
      <c r="H34" s="299">
        <v>120500</v>
      </c>
      <c r="I34" s="298">
        <v>0</v>
      </c>
      <c r="J34" s="298">
        <v>120500</v>
      </c>
      <c r="K34" s="298">
        <v>2500</v>
      </c>
      <c r="L34" s="298">
        <v>0</v>
      </c>
      <c r="M34" s="298">
        <v>2500</v>
      </c>
      <c r="N34" s="300" t="s">
        <v>503</v>
      </c>
      <c r="O34" s="300" t="s">
        <v>503</v>
      </c>
      <c r="P34" s="300" t="s">
        <v>503</v>
      </c>
    </row>
    <row r="35" spans="2:16" ht="15">
      <c r="B35" s="146" t="s">
        <v>436</v>
      </c>
      <c r="C35" s="146" t="s">
        <v>109</v>
      </c>
      <c r="D35" s="146" t="s">
        <v>451</v>
      </c>
      <c r="E35" s="146" t="s">
        <v>504</v>
      </c>
      <c r="F35" s="298">
        <v>7800</v>
      </c>
      <c r="G35" s="298">
        <v>0</v>
      </c>
      <c r="H35" s="299">
        <v>6740.67</v>
      </c>
      <c r="I35" s="298">
        <v>0</v>
      </c>
      <c r="J35" s="298">
        <v>6740.67</v>
      </c>
      <c r="K35" s="298">
        <v>1059.33</v>
      </c>
      <c r="L35" s="298">
        <v>0</v>
      </c>
      <c r="M35" s="298">
        <v>1059.33</v>
      </c>
      <c r="N35" s="300" t="s">
        <v>505</v>
      </c>
      <c r="O35" s="300" t="s">
        <v>505</v>
      </c>
      <c r="P35" s="300" t="s">
        <v>505</v>
      </c>
    </row>
    <row r="36" spans="5:16" ht="15">
      <c r="E36" s="146" t="s">
        <v>506</v>
      </c>
      <c r="F36" s="298">
        <v>130800</v>
      </c>
      <c r="G36" s="298">
        <v>0</v>
      </c>
      <c r="H36" s="299">
        <v>127240.67</v>
      </c>
      <c r="I36" s="298">
        <v>0</v>
      </c>
      <c r="J36" s="298">
        <v>127240.67</v>
      </c>
      <c r="K36" s="298">
        <v>3559.33</v>
      </c>
      <c r="L36" s="298">
        <v>0</v>
      </c>
      <c r="M36" s="298">
        <v>3559.33</v>
      </c>
      <c r="N36" s="300" t="s">
        <v>507</v>
      </c>
      <c r="O36" s="300" t="s">
        <v>507</v>
      </c>
      <c r="P36" s="300" t="s">
        <v>507</v>
      </c>
    </row>
    <row r="37" spans="2:16" ht="15">
      <c r="B37" s="146" t="s">
        <v>436</v>
      </c>
      <c r="C37" s="146" t="s">
        <v>508</v>
      </c>
      <c r="D37" s="146" t="s">
        <v>445</v>
      </c>
      <c r="E37" s="146" t="s">
        <v>509</v>
      </c>
      <c r="F37" s="298">
        <v>0</v>
      </c>
      <c r="G37" s="298">
        <v>0</v>
      </c>
      <c r="H37" s="299">
        <v>0</v>
      </c>
      <c r="I37" s="298">
        <v>0</v>
      </c>
      <c r="J37" s="298">
        <v>0</v>
      </c>
      <c r="K37" s="298">
        <v>0</v>
      </c>
      <c r="L37" s="298">
        <v>0</v>
      </c>
      <c r="M37" s="298">
        <v>0</v>
      </c>
      <c r="N37" s="300" t="s">
        <v>440</v>
      </c>
      <c r="O37" s="300" t="s">
        <v>440</v>
      </c>
      <c r="P37" s="300" t="s">
        <v>440</v>
      </c>
    </row>
    <row r="38" spans="2:16" ht="15">
      <c r="B38" s="146" t="s">
        <v>436</v>
      </c>
      <c r="C38" s="146" t="s">
        <v>510</v>
      </c>
      <c r="D38" s="146" t="s">
        <v>448</v>
      </c>
      <c r="E38" s="146" t="s">
        <v>511</v>
      </c>
      <c r="F38" s="298">
        <v>0</v>
      </c>
      <c r="G38" s="298">
        <v>0</v>
      </c>
      <c r="H38" s="299">
        <v>0</v>
      </c>
      <c r="I38" s="298">
        <v>0</v>
      </c>
      <c r="J38" s="298">
        <v>0</v>
      </c>
      <c r="K38" s="298">
        <v>0</v>
      </c>
      <c r="L38" s="298">
        <v>0</v>
      </c>
      <c r="M38" s="298">
        <v>0</v>
      </c>
      <c r="N38" s="300" t="s">
        <v>440</v>
      </c>
      <c r="O38" s="300" t="s">
        <v>440</v>
      </c>
      <c r="P38" s="300" t="s">
        <v>440</v>
      </c>
    </row>
    <row r="39" spans="2:16" ht="15">
      <c r="B39" s="146" t="s">
        <v>436</v>
      </c>
      <c r="C39" s="146" t="s">
        <v>76</v>
      </c>
      <c r="D39" s="146" t="s">
        <v>451</v>
      </c>
      <c r="E39" s="146" t="s">
        <v>512</v>
      </c>
      <c r="F39" s="298">
        <v>28000</v>
      </c>
      <c r="G39" s="298">
        <v>0</v>
      </c>
      <c r="H39" s="299">
        <v>31487.82</v>
      </c>
      <c r="I39" s="298">
        <v>0</v>
      </c>
      <c r="J39" s="298">
        <v>31487.82</v>
      </c>
      <c r="K39" s="298">
        <v>-3487.82</v>
      </c>
      <c r="L39" s="298">
        <v>0</v>
      </c>
      <c r="M39" s="298">
        <v>-3487.82</v>
      </c>
      <c r="N39" s="300" t="s">
        <v>513</v>
      </c>
      <c r="O39" s="300" t="s">
        <v>513</v>
      </c>
      <c r="P39" s="300" t="s">
        <v>513</v>
      </c>
    </row>
    <row r="40" spans="2:16" ht="15">
      <c r="B40" s="146" t="s">
        <v>436</v>
      </c>
      <c r="C40" s="146" t="s">
        <v>82</v>
      </c>
      <c r="D40" s="146" t="s">
        <v>451</v>
      </c>
      <c r="E40" s="146" t="s">
        <v>514</v>
      </c>
      <c r="F40" s="298">
        <v>25584</v>
      </c>
      <c r="G40" s="298">
        <v>0</v>
      </c>
      <c r="H40" s="299">
        <v>20617.98</v>
      </c>
      <c r="I40" s="298">
        <v>0</v>
      </c>
      <c r="J40" s="298">
        <v>20617.98</v>
      </c>
      <c r="K40" s="298">
        <v>4966.02</v>
      </c>
      <c r="L40" s="298">
        <v>0</v>
      </c>
      <c r="M40" s="298">
        <v>4966.02</v>
      </c>
      <c r="N40" s="300" t="s">
        <v>515</v>
      </c>
      <c r="O40" s="300" t="s">
        <v>515</v>
      </c>
      <c r="P40" s="300" t="s">
        <v>515</v>
      </c>
    </row>
    <row r="41" spans="5:16" ht="15">
      <c r="E41" s="146" t="s">
        <v>516</v>
      </c>
      <c r="F41" s="298">
        <v>53584</v>
      </c>
      <c r="G41" s="298">
        <v>0</v>
      </c>
      <c r="H41" s="299">
        <v>52105.8</v>
      </c>
      <c r="I41" s="298">
        <v>0</v>
      </c>
      <c r="J41" s="298">
        <v>52105.8</v>
      </c>
      <c r="K41" s="298">
        <v>1478.2</v>
      </c>
      <c r="L41" s="298">
        <v>0</v>
      </c>
      <c r="M41" s="298">
        <v>1478.2</v>
      </c>
      <c r="N41" s="300" t="s">
        <v>517</v>
      </c>
      <c r="O41" s="300" t="s">
        <v>517</v>
      </c>
      <c r="P41" s="300" t="s">
        <v>517</v>
      </c>
    </row>
    <row r="42" spans="2:16" ht="15">
      <c r="B42" s="146" t="s">
        <v>436</v>
      </c>
      <c r="C42" s="146" t="s">
        <v>518</v>
      </c>
      <c r="D42" s="146" t="s">
        <v>445</v>
      </c>
      <c r="E42" s="146" t="s">
        <v>519</v>
      </c>
      <c r="F42" s="298">
        <v>0</v>
      </c>
      <c r="G42" s="298">
        <v>0</v>
      </c>
      <c r="H42" s="299">
        <v>0</v>
      </c>
      <c r="I42" s="298">
        <v>0</v>
      </c>
      <c r="J42" s="298">
        <v>0</v>
      </c>
      <c r="K42" s="298">
        <v>0</v>
      </c>
      <c r="L42" s="298">
        <v>0</v>
      </c>
      <c r="M42" s="298">
        <v>0</v>
      </c>
      <c r="N42" s="300" t="s">
        <v>440</v>
      </c>
      <c r="O42" s="300" t="s">
        <v>440</v>
      </c>
      <c r="P42" s="300" t="s">
        <v>440</v>
      </c>
    </row>
    <row r="43" spans="2:16" ht="15">
      <c r="B43" s="146" t="s">
        <v>436</v>
      </c>
      <c r="C43" s="146" t="s">
        <v>520</v>
      </c>
      <c r="D43" s="146" t="s">
        <v>448</v>
      </c>
      <c r="E43" s="146" t="s">
        <v>521</v>
      </c>
      <c r="F43" s="298">
        <v>0</v>
      </c>
      <c r="G43" s="298">
        <v>0</v>
      </c>
      <c r="H43" s="299">
        <v>0</v>
      </c>
      <c r="I43" s="298">
        <v>0</v>
      </c>
      <c r="J43" s="298">
        <v>0</v>
      </c>
      <c r="K43" s="298">
        <v>0</v>
      </c>
      <c r="L43" s="298">
        <v>0</v>
      </c>
      <c r="M43" s="298">
        <v>0</v>
      </c>
      <c r="N43" s="300" t="s">
        <v>440</v>
      </c>
      <c r="O43" s="300" t="s">
        <v>440</v>
      </c>
      <c r="P43" s="300" t="s">
        <v>440</v>
      </c>
    </row>
    <row r="44" spans="2:16" ht="15">
      <c r="B44" s="146" t="s">
        <v>436</v>
      </c>
      <c r="C44" s="146" t="s">
        <v>112</v>
      </c>
      <c r="D44" s="146" t="s">
        <v>451</v>
      </c>
      <c r="E44" s="146" t="s">
        <v>522</v>
      </c>
      <c r="F44" s="298">
        <v>39431.94</v>
      </c>
      <c r="G44" s="298">
        <v>0</v>
      </c>
      <c r="H44" s="299">
        <v>38822.02</v>
      </c>
      <c r="I44" s="298">
        <v>0</v>
      </c>
      <c r="J44" s="298">
        <v>38822.02</v>
      </c>
      <c r="K44" s="298">
        <v>609.92</v>
      </c>
      <c r="L44" s="298">
        <v>0</v>
      </c>
      <c r="M44" s="298">
        <v>609.92</v>
      </c>
      <c r="N44" s="300" t="s">
        <v>523</v>
      </c>
      <c r="O44" s="300" t="s">
        <v>523</v>
      </c>
      <c r="P44" s="300" t="s">
        <v>523</v>
      </c>
    </row>
    <row r="45" spans="5:16" ht="15">
      <c r="E45" s="146" t="s">
        <v>524</v>
      </c>
      <c r="F45" s="298">
        <v>39431.94</v>
      </c>
      <c r="G45" s="298">
        <v>0</v>
      </c>
      <c r="H45" s="299">
        <v>38822.02</v>
      </c>
      <c r="I45" s="298">
        <v>0</v>
      </c>
      <c r="J45" s="298">
        <v>38822.02</v>
      </c>
      <c r="K45" s="298">
        <v>609.92</v>
      </c>
      <c r="L45" s="298">
        <v>0</v>
      </c>
      <c r="M45" s="298">
        <v>609.92</v>
      </c>
      <c r="N45" s="300" t="s">
        <v>523</v>
      </c>
      <c r="O45" s="300" t="s">
        <v>523</v>
      </c>
      <c r="P45" s="300" t="s">
        <v>523</v>
      </c>
    </row>
    <row r="46" spans="2:16" ht="15">
      <c r="B46" s="146" t="s">
        <v>436</v>
      </c>
      <c r="C46" s="146" t="s">
        <v>525</v>
      </c>
      <c r="D46" s="146" t="s">
        <v>448</v>
      </c>
      <c r="E46" s="146" t="s">
        <v>526</v>
      </c>
      <c r="F46" s="298">
        <v>0</v>
      </c>
      <c r="G46" s="298">
        <v>0</v>
      </c>
      <c r="H46" s="299">
        <v>0</v>
      </c>
      <c r="I46" s="298">
        <v>0</v>
      </c>
      <c r="J46" s="298">
        <v>0</v>
      </c>
      <c r="K46" s="298">
        <v>0</v>
      </c>
      <c r="L46" s="298">
        <v>0</v>
      </c>
      <c r="M46" s="298">
        <v>0</v>
      </c>
      <c r="N46" s="300" t="s">
        <v>440</v>
      </c>
      <c r="O46" s="300" t="s">
        <v>440</v>
      </c>
      <c r="P46" s="300" t="s">
        <v>440</v>
      </c>
    </row>
    <row r="47" spans="2:16" ht="15">
      <c r="B47" s="146" t="s">
        <v>436</v>
      </c>
      <c r="C47" s="146" t="s">
        <v>72</v>
      </c>
      <c r="D47" s="146" t="s">
        <v>451</v>
      </c>
      <c r="E47" s="146" t="s">
        <v>527</v>
      </c>
      <c r="F47" s="298">
        <v>3989.78</v>
      </c>
      <c r="G47" s="298">
        <v>0</v>
      </c>
      <c r="H47" s="299">
        <v>7709.98</v>
      </c>
      <c r="I47" s="298">
        <v>0</v>
      </c>
      <c r="J47" s="298">
        <v>7709.98</v>
      </c>
      <c r="K47" s="298">
        <v>-3720.2</v>
      </c>
      <c r="L47" s="298">
        <v>0</v>
      </c>
      <c r="M47" s="298">
        <v>-3720.2</v>
      </c>
      <c r="N47" s="300" t="s">
        <v>528</v>
      </c>
      <c r="O47" s="300" t="s">
        <v>528</v>
      </c>
      <c r="P47" s="300" t="s">
        <v>528</v>
      </c>
    </row>
    <row r="48" spans="2:16" ht="15">
      <c r="B48" s="146" t="s">
        <v>436</v>
      </c>
      <c r="C48" s="146" t="s">
        <v>79</v>
      </c>
      <c r="D48" s="146" t="s">
        <v>451</v>
      </c>
      <c r="E48" s="146" t="s">
        <v>529</v>
      </c>
      <c r="F48" s="298">
        <v>6888</v>
      </c>
      <c r="G48" s="298">
        <v>0</v>
      </c>
      <c r="H48" s="299">
        <v>7624.63</v>
      </c>
      <c r="I48" s="298">
        <v>0</v>
      </c>
      <c r="J48" s="298">
        <v>7624.63</v>
      </c>
      <c r="K48" s="298">
        <v>-736.63</v>
      </c>
      <c r="L48" s="298">
        <v>0</v>
      </c>
      <c r="M48" s="298">
        <v>-736.63</v>
      </c>
      <c r="N48" s="300" t="s">
        <v>530</v>
      </c>
      <c r="O48" s="300" t="s">
        <v>530</v>
      </c>
      <c r="P48" s="300" t="s">
        <v>530</v>
      </c>
    </row>
    <row r="49" spans="2:16" ht="15">
      <c r="B49" s="146" t="s">
        <v>436</v>
      </c>
      <c r="C49" s="146" t="s">
        <v>130</v>
      </c>
      <c r="D49" s="146" t="s">
        <v>451</v>
      </c>
      <c r="E49" s="146" t="s">
        <v>531</v>
      </c>
      <c r="F49" s="298">
        <v>4920</v>
      </c>
      <c r="G49" s="298">
        <v>0</v>
      </c>
      <c r="H49" s="299">
        <v>4012.23</v>
      </c>
      <c r="I49" s="298">
        <v>0</v>
      </c>
      <c r="J49" s="298">
        <v>4012.23</v>
      </c>
      <c r="K49" s="298">
        <v>907.77</v>
      </c>
      <c r="L49" s="298">
        <v>0</v>
      </c>
      <c r="M49" s="298">
        <v>907.77</v>
      </c>
      <c r="N49" s="300" t="s">
        <v>532</v>
      </c>
      <c r="O49" s="300" t="s">
        <v>532</v>
      </c>
      <c r="P49" s="300" t="s">
        <v>532</v>
      </c>
    </row>
    <row r="50" spans="2:16" ht="15">
      <c r="B50" s="146" t="s">
        <v>436</v>
      </c>
      <c r="C50" s="146" t="s">
        <v>150</v>
      </c>
      <c r="D50" s="146" t="s">
        <v>451</v>
      </c>
      <c r="E50" s="146" t="s">
        <v>533</v>
      </c>
      <c r="F50" s="298">
        <v>3936.04</v>
      </c>
      <c r="G50" s="298">
        <v>0</v>
      </c>
      <c r="H50" s="299">
        <v>2170.4</v>
      </c>
      <c r="I50" s="298">
        <v>0</v>
      </c>
      <c r="J50" s="298">
        <v>2170.4</v>
      </c>
      <c r="K50" s="298">
        <v>1765.64</v>
      </c>
      <c r="L50" s="298">
        <v>0</v>
      </c>
      <c r="M50" s="298">
        <v>1765.64</v>
      </c>
      <c r="N50" s="300" t="s">
        <v>534</v>
      </c>
      <c r="O50" s="300" t="s">
        <v>534</v>
      </c>
      <c r="P50" s="300" t="s">
        <v>534</v>
      </c>
    </row>
    <row r="51" spans="5:16" ht="15">
      <c r="E51" s="146" t="s">
        <v>535</v>
      </c>
      <c r="F51" s="298">
        <v>19733.82</v>
      </c>
      <c r="G51" s="298">
        <v>0</v>
      </c>
      <c r="H51" s="299">
        <v>21517.24</v>
      </c>
      <c r="I51" s="298">
        <v>0</v>
      </c>
      <c r="J51" s="298">
        <v>21517.24</v>
      </c>
      <c r="K51" s="298">
        <v>-1783.42</v>
      </c>
      <c r="L51" s="298">
        <v>0</v>
      </c>
      <c r="M51" s="298">
        <v>-1783.42</v>
      </c>
      <c r="N51" s="300" t="s">
        <v>536</v>
      </c>
      <c r="O51" s="300" t="s">
        <v>536</v>
      </c>
      <c r="P51" s="300" t="s">
        <v>536</v>
      </c>
    </row>
    <row r="52" spans="2:16" ht="15">
      <c r="B52" s="146" t="s">
        <v>436</v>
      </c>
      <c r="C52" s="146" t="s">
        <v>537</v>
      </c>
      <c r="D52" s="146" t="s">
        <v>448</v>
      </c>
      <c r="E52" s="146" t="s">
        <v>538</v>
      </c>
      <c r="F52" s="298">
        <v>0</v>
      </c>
      <c r="G52" s="298">
        <v>0</v>
      </c>
      <c r="H52" s="299">
        <v>0</v>
      </c>
      <c r="I52" s="298">
        <v>0</v>
      </c>
      <c r="J52" s="298">
        <v>0</v>
      </c>
      <c r="K52" s="298">
        <v>0</v>
      </c>
      <c r="L52" s="298">
        <v>0</v>
      </c>
      <c r="M52" s="298">
        <v>0</v>
      </c>
      <c r="N52" s="300" t="s">
        <v>440</v>
      </c>
      <c r="O52" s="300" t="s">
        <v>440</v>
      </c>
      <c r="P52" s="300" t="s">
        <v>440</v>
      </c>
    </row>
    <row r="53" spans="2:16" ht="15">
      <c r="B53" s="146" t="s">
        <v>436</v>
      </c>
      <c r="C53" s="146" t="s">
        <v>67</v>
      </c>
      <c r="D53" s="146" t="s">
        <v>451</v>
      </c>
      <c r="E53" s="146" t="s">
        <v>539</v>
      </c>
      <c r="F53" s="298">
        <v>24600</v>
      </c>
      <c r="G53" s="298">
        <v>0</v>
      </c>
      <c r="H53" s="299">
        <v>24476.67</v>
      </c>
      <c r="I53" s="298">
        <v>0</v>
      </c>
      <c r="J53" s="298">
        <v>24476.67</v>
      </c>
      <c r="K53" s="298">
        <v>123.33</v>
      </c>
      <c r="L53" s="298">
        <v>0</v>
      </c>
      <c r="M53" s="298">
        <v>123.33</v>
      </c>
      <c r="N53" s="300" t="s">
        <v>540</v>
      </c>
      <c r="O53" s="300" t="s">
        <v>540</v>
      </c>
      <c r="P53" s="300" t="s">
        <v>540</v>
      </c>
    </row>
    <row r="54" spans="2:16" ht="15">
      <c r="B54" s="146" t="s">
        <v>436</v>
      </c>
      <c r="C54" s="146" t="s">
        <v>155</v>
      </c>
      <c r="D54" s="146" t="s">
        <v>451</v>
      </c>
      <c r="E54" s="146" t="s">
        <v>541</v>
      </c>
      <c r="F54" s="298">
        <v>984</v>
      </c>
      <c r="G54" s="298">
        <v>0</v>
      </c>
      <c r="H54" s="299">
        <v>264</v>
      </c>
      <c r="I54" s="298">
        <v>0</v>
      </c>
      <c r="J54" s="298">
        <v>264</v>
      </c>
      <c r="K54" s="298">
        <v>720</v>
      </c>
      <c r="L54" s="298">
        <v>0</v>
      </c>
      <c r="M54" s="298">
        <v>720</v>
      </c>
      <c r="N54" s="300" t="s">
        <v>542</v>
      </c>
      <c r="O54" s="300" t="s">
        <v>542</v>
      </c>
      <c r="P54" s="300" t="s">
        <v>542</v>
      </c>
    </row>
    <row r="55" spans="2:16" ht="15">
      <c r="B55" s="146" t="s">
        <v>436</v>
      </c>
      <c r="C55" s="146" t="s">
        <v>168</v>
      </c>
      <c r="D55" s="146" t="s">
        <v>451</v>
      </c>
      <c r="E55" s="146" t="s">
        <v>543</v>
      </c>
      <c r="F55" s="298">
        <v>1968</v>
      </c>
      <c r="G55" s="298">
        <v>0</v>
      </c>
      <c r="H55" s="299">
        <v>0</v>
      </c>
      <c r="I55" s="298">
        <v>0</v>
      </c>
      <c r="J55" s="298">
        <v>0</v>
      </c>
      <c r="K55" s="298">
        <v>1968</v>
      </c>
      <c r="L55" s="298">
        <v>0</v>
      </c>
      <c r="M55" s="298">
        <v>1968</v>
      </c>
      <c r="N55" s="300" t="s">
        <v>544</v>
      </c>
      <c r="O55" s="300" t="s">
        <v>544</v>
      </c>
      <c r="P55" s="300" t="s">
        <v>544</v>
      </c>
    </row>
    <row r="56" spans="5:16" ht="15">
      <c r="E56" s="146" t="s">
        <v>545</v>
      </c>
      <c r="F56" s="298">
        <v>27552</v>
      </c>
      <c r="G56" s="298">
        <v>0</v>
      </c>
      <c r="H56" s="299">
        <v>24740.67</v>
      </c>
      <c r="I56" s="298">
        <v>0</v>
      </c>
      <c r="J56" s="298">
        <v>24740.67</v>
      </c>
      <c r="K56" s="298">
        <v>2811.33</v>
      </c>
      <c r="L56" s="298">
        <v>0</v>
      </c>
      <c r="M56" s="298">
        <v>2811.33</v>
      </c>
      <c r="N56" s="300" t="s">
        <v>546</v>
      </c>
      <c r="O56" s="300" t="s">
        <v>546</v>
      </c>
      <c r="P56" s="300" t="s">
        <v>546</v>
      </c>
    </row>
    <row r="57" spans="2:16" ht="15">
      <c r="B57" s="146" t="s">
        <v>436</v>
      </c>
      <c r="C57" s="146" t="s">
        <v>547</v>
      </c>
      <c r="D57" s="146" t="s">
        <v>448</v>
      </c>
      <c r="E57" s="146" t="s">
        <v>548</v>
      </c>
      <c r="F57" s="298">
        <v>0</v>
      </c>
      <c r="G57" s="298">
        <v>0</v>
      </c>
      <c r="H57" s="299">
        <v>0</v>
      </c>
      <c r="I57" s="298">
        <v>0</v>
      </c>
      <c r="J57" s="298">
        <v>0</v>
      </c>
      <c r="K57" s="298">
        <v>0</v>
      </c>
      <c r="L57" s="298">
        <v>0</v>
      </c>
      <c r="M57" s="298">
        <v>0</v>
      </c>
      <c r="N57" s="300" t="s">
        <v>440</v>
      </c>
      <c r="O57" s="300" t="s">
        <v>440</v>
      </c>
      <c r="P57" s="300" t="s">
        <v>440</v>
      </c>
    </row>
    <row r="58" spans="2:16" ht="15">
      <c r="B58" s="146" t="s">
        <v>436</v>
      </c>
      <c r="C58" s="146" t="s">
        <v>60</v>
      </c>
      <c r="D58" s="146" t="s">
        <v>451</v>
      </c>
      <c r="E58" s="146" t="s">
        <v>549</v>
      </c>
      <c r="F58" s="298">
        <v>41328</v>
      </c>
      <c r="G58" s="298">
        <v>0</v>
      </c>
      <c r="H58" s="299">
        <v>39680.06</v>
      </c>
      <c r="I58" s="298">
        <v>0</v>
      </c>
      <c r="J58" s="298">
        <v>39680.06</v>
      </c>
      <c r="K58" s="298">
        <v>1647.94</v>
      </c>
      <c r="L58" s="298">
        <v>0</v>
      </c>
      <c r="M58" s="298">
        <v>1647.94</v>
      </c>
      <c r="N58" s="300" t="s">
        <v>550</v>
      </c>
      <c r="O58" s="300" t="s">
        <v>550</v>
      </c>
      <c r="P58" s="300" t="s">
        <v>550</v>
      </c>
    </row>
    <row r="59" spans="5:16" ht="15">
      <c r="E59" s="146" t="s">
        <v>551</v>
      </c>
      <c r="F59" s="298">
        <v>41328</v>
      </c>
      <c r="G59" s="298">
        <v>0</v>
      </c>
      <c r="H59" s="299">
        <v>39680.06</v>
      </c>
      <c r="I59" s="298">
        <v>0</v>
      </c>
      <c r="J59" s="298">
        <v>39680.06</v>
      </c>
      <c r="K59" s="298">
        <v>1647.94</v>
      </c>
      <c r="L59" s="298">
        <v>0</v>
      </c>
      <c r="M59" s="298">
        <v>1647.94</v>
      </c>
      <c r="N59" s="300" t="s">
        <v>550</v>
      </c>
      <c r="O59" s="300" t="s">
        <v>550</v>
      </c>
      <c r="P59" s="300" t="s">
        <v>550</v>
      </c>
    </row>
    <row r="60" spans="2:16" ht="15">
      <c r="B60" s="146" t="s">
        <v>436</v>
      </c>
      <c r="C60" s="146" t="s">
        <v>552</v>
      </c>
      <c r="D60" s="146" t="s">
        <v>448</v>
      </c>
      <c r="E60" s="146" t="s">
        <v>553</v>
      </c>
      <c r="F60" s="298">
        <v>0</v>
      </c>
      <c r="G60" s="298">
        <v>0</v>
      </c>
      <c r="H60" s="299">
        <v>0</v>
      </c>
      <c r="I60" s="298">
        <v>0</v>
      </c>
      <c r="J60" s="298">
        <v>0</v>
      </c>
      <c r="K60" s="298">
        <v>0</v>
      </c>
      <c r="L60" s="298">
        <v>0</v>
      </c>
      <c r="M60" s="298">
        <v>0</v>
      </c>
      <c r="N60" s="300" t="s">
        <v>440</v>
      </c>
      <c r="O60" s="300" t="s">
        <v>440</v>
      </c>
      <c r="P60" s="300" t="s">
        <v>440</v>
      </c>
    </row>
    <row r="61" spans="2:16" ht="15">
      <c r="B61" s="146" t="s">
        <v>436</v>
      </c>
      <c r="C61" s="146" t="s">
        <v>103</v>
      </c>
      <c r="D61" s="146" t="s">
        <v>451</v>
      </c>
      <c r="E61" s="146" t="s">
        <v>554</v>
      </c>
      <c r="F61" s="298">
        <v>32940.72</v>
      </c>
      <c r="G61" s="298">
        <v>0</v>
      </c>
      <c r="H61" s="299">
        <v>32854.26</v>
      </c>
      <c r="I61" s="298">
        <v>0</v>
      </c>
      <c r="J61" s="298">
        <v>32854.26</v>
      </c>
      <c r="K61" s="298">
        <v>86.46</v>
      </c>
      <c r="L61" s="298">
        <v>0</v>
      </c>
      <c r="M61" s="298">
        <v>86.46</v>
      </c>
      <c r="N61" s="300" t="s">
        <v>555</v>
      </c>
      <c r="O61" s="300" t="s">
        <v>555</v>
      </c>
      <c r="P61" s="300" t="s">
        <v>555</v>
      </c>
    </row>
    <row r="62" spans="2:16" ht="15">
      <c r="B62" s="146" t="s">
        <v>436</v>
      </c>
      <c r="C62" s="146" t="s">
        <v>123</v>
      </c>
      <c r="D62" s="146" t="s">
        <v>451</v>
      </c>
      <c r="E62" s="146" t="s">
        <v>556</v>
      </c>
      <c r="F62" s="298">
        <v>14485.18</v>
      </c>
      <c r="G62" s="298">
        <v>0</v>
      </c>
      <c r="H62" s="299">
        <v>14485.18</v>
      </c>
      <c r="I62" s="298">
        <v>0</v>
      </c>
      <c r="J62" s="298">
        <v>14485.18</v>
      </c>
      <c r="K62" s="298">
        <v>0</v>
      </c>
      <c r="L62" s="298">
        <v>0</v>
      </c>
      <c r="M62" s="298">
        <v>0</v>
      </c>
      <c r="N62" s="300" t="s">
        <v>557</v>
      </c>
      <c r="O62" s="300" t="s">
        <v>557</v>
      </c>
      <c r="P62" s="300" t="s">
        <v>557</v>
      </c>
    </row>
    <row r="63" spans="2:16" ht="15">
      <c r="B63" s="146" t="s">
        <v>436</v>
      </c>
      <c r="C63" s="146" t="s">
        <v>159</v>
      </c>
      <c r="D63" s="146" t="s">
        <v>451</v>
      </c>
      <c r="E63" s="146" t="s">
        <v>558</v>
      </c>
      <c r="F63" s="298">
        <v>5904</v>
      </c>
      <c r="G63" s="298">
        <v>0</v>
      </c>
      <c r="H63" s="299">
        <v>0</v>
      </c>
      <c r="I63" s="298">
        <v>0</v>
      </c>
      <c r="J63" s="298">
        <v>0</v>
      </c>
      <c r="K63" s="298">
        <v>5904</v>
      </c>
      <c r="L63" s="298">
        <v>0</v>
      </c>
      <c r="M63" s="298">
        <v>5904</v>
      </c>
      <c r="N63" s="300" t="s">
        <v>544</v>
      </c>
      <c r="O63" s="300" t="s">
        <v>544</v>
      </c>
      <c r="P63" s="300" t="s">
        <v>544</v>
      </c>
    </row>
    <row r="64" spans="2:16" ht="15">
      <c r="B64" s="146" t="s">
        <v>436</v>
      </c>
      <c r="C64" s="146" t="s">
        <v>171</v>
      </c>
      <c r="D64" s="146" t="s">
        <v>451</v>
      </c>
      <c r="E64" s="146" t="s">
        <v>559</v>
      </c>
      <c r="F64" s="298">
        <v>7872</v>
      </c>
      <c r="G64" s="298">
        <v>0</v>
      </c>
      <c r="H64" s="299">
        <v>632.45</v>
      </c>
      <c r="I64" s="298">
        <v>0</v>
      </c>
      <c r="J64" s="298">
        <v>632.45</v>
      </c>
      <c r="K64" s="298">
        <v>7239.55</v>
      </c>
      <c r="L64" s="298">
        <v>0</v>
      </c>
      <c r="M64" s="298">
        <v>7239.55</v>
      </c>
      <c r="N64" s="300" t="s">
        <v>560</v>
      </c>
      <c r="O64" s="300" t="s">
        <v>560</v>
      </c>
      <c r="P64" s="300" t="s">
        <v>560</v>
      </c>
    </row>
    <row r="65" spans="5:16" ht="15">
      <c r="E65" s="146" t="s">
        <v>561</v>
      </c>
      <c r="F65" s="298">
        <v>61201.9</v>
      </c>
      <c r="G65" s="298">
        <v>0</v>
      </c>
      <c r="H65" s="299">
        <v>47971.89</v>
      </c>
      <c r="I65" s="298">
        <v>0</v>
      </c>
      <c r="J65" s="298">
        <v>47971.89</v>
      </c>
      <c r="K65" s="298">
        <v>13230.01</v>
      </c>
      <c r="L65" s="298">
        <v>0</v>
      </c>
      <c r="M65" s="298">
        <v>13230.01</v>
      </c>
      <c r="N65" s="300" t="s">
        <v>562</v>
      </c>
      <c r="O65" s="300" t="s">
        <v>562</v>
      </c>
      <c r="P65" s="300" t="s">
        <v>562</v>
      </c>
    </row>
    <row r="66" spans="2:16" ht="15">
      <c r="B66" s="146" t="s">
        <v>436</v>
      </c>
      <c r="C66" s="146" t="s">
        <v>563</v>
      </c>
      <c r="D66" s="146" t="s">
        <v>448</v>
      </c>
      <c r="E66" s="146" t="s">
        <v>564</v>
      </c>
      <c r="F66" s="298">
        <v>0</v>
      </c>
      <c r="G66" s="298">
        <v>0</v>
      </c>
      <c r="H66" s="299">
        <v>0</v>
      </c>
      <c r="I66" s="298">
        <v>0</v>
      </c>
      <c r="J66" s="298">
        <v>0</v>
      </c>
      <c r="K66" s="298">
        <v>0</v>
      </c>
      <c r="L66" s="298">
        <v>0</v>
      </c>
      <c r="M66" s="298">
        <v>0</v>
      </c>
      <c r="N66" s="300" t="s">
        <v>440</v>
      </c>
      <c r="O66" s="300" t="s">
        <v>440</v>
      </c>
      <c r="P66" s="300" t="s">
        <v>440</v>
      </c>
    </row>
    <row r="67" spans="2:16" ht="15">
      <c r="B67" s="146" t="s">
        <v>436</v>
      </c>
      <c r="C67" s="146" t="s">
        <v>133</v>
      </c>
      <c r="D67" s="146" t="s">
        <v>451</v>
      </c>
      <c r="E67" s="146" t="s">
        <v>565</v>
      </c>
      <c r="F67" s="298">
        <v>9840</v>
      </c>
      <c r="G67" s="298">
        <v>0</v>
      </c>
      <c r="H67" s="299">
        <v>9852.5</v>
      </c>
      <c r="I67" s="298">
        <v>0</v>
      </c>
      <c r="J67" s="298">
        <v>9852.5</v>
      </c>
      <c r="K67" s="298">
        <v>-12.5</v>
      </c>
      <c r="L67" s="298">
        <v>0</v>
      </c>
      <c r="M67" s="298">
        <v>-12.5</v>
      </c>
      <c r="N67" s="300" t="s">
        <v>566</v>
      </c>
      <c r="O67" s="300" t="s">
        <v>566</v>
      </c>
      <c r="P67" s="300" t="s">
        <v>566</v>
      </c>
    </row>
    <row r="68" spans="2:16" ht="15">
      <c r="B68" s="146" t="s">
        <v>436</v>
      </c>
      <c r="C68" s="146" t="s">
        <v>147</v>
      </c>
      <c r="D68" s="146" t="s">
        <v>451</v>
      </c>
      <c r="E68" s="146" t="s">
        <v>567</v>
      </c>
      <c r="F68" s="298">
        <v>11808</v>
      </c>
      <c r="G68" s="298">
        <v>0</v>
      </c>
      <c r="H68" s="299">
        <v>4330.65</v>
      </c>
      <c r="I68" s="298">
        <v>0</v>
      </c>
      <c r="J68" s="298">
        <v>4330.65</v>
      </c>
      <c r="K68" s="298">
        <v>7477.35</v>
      </c>
      <c r="L68" s="298">
        <v>0</v>
      </c>
      <c r="M68" s="298">
        <v>7477.35</v>
      </c>
      <c r="N68" s="300" t="s">
        <v>568</v>
      </c>
      <c r="O68" s="300" t="s">
        <v>568</v>
      </c>
      <c r="P68" s="300" t="s">
        <v>568</v>
      </c>
    </row>
    <row r="69" spans="5:16" ht="15">
      <c r="E69" s="146" t="s">
        <v>569</v>
      </c>
      <c r="F69" s="298">
        <v>21648</v>
      </c>
      <c r="G69" s="298">
        <v>0</v>
      </c>
      <c r="H69" s="299">
        <v>14183.15</v>
      </c>
      <c r="I69" s="298">
        <v>0</v>
      </c>
      <c r="J69" s="298">
        <v>14183.15</v>
      </c>
      <c r="K69" s="298">
        <v>7464.85</v>
      </c>
      <c r="L69" s="298">
        <v>0</v>
      </c>
      <c r="M69" s="298">
        <v>7464.85</v>
      </c>
      <c r="N69" s="300" t="s">
        <v>570</v>
      </c>
      <c r="O69" s="300" t="s">
        <v>570</v>
      </c>
      <c r="P69" s="300" t="s">
        <v>570</v>
      </c>
    </row>
    <row r="70" spans="2:16" ht="15">
      <c r="B70" s="146" t="s">
        <v>436</v>
      </c>
      <c r="C70" s="146" t="s">
        <v>571</v>
      </c>
      <c r="D70" s="146" t="s">
        <v>448</v>
      </c>
      <c r="E70" s="146" t="s">
        <v>572</v>
      </c>
      <c r="F70" s="298">
        <v>0</v>
      </c>
      <c r="G70" s="298">
        <v>0</v>
      </c>
      <c r="H70" s="299">
        <v>0</v>
      </c>
      <c r="I70" s="298">
        <v>0</v>
      </c>
      <c r="J70" s="298">
        <v>0</v>
      </c>
      <c r="K70" s="298">
        <v>0</v>
      </c>
      <c r="L70" s="298">
        <v>0</v>
      </c>
      <c r="M70" s="298">
        <v>0</v>
      </c>
      <c r="N70" s="300" t="s">
        <v>440</v>
      </c>
      <c r="O70" s="300" t="s">
        <v>440</v>
      </c>
      <c r="P70" s="300" t="s">
        <v>440</v>
      </c>
    </row>
    <row r="71" spans="2:16" ht="15">
      <c r="B71" s="146" t="s">
        <v>436</v>
      </c>
      <c r="C71" s="146" t="s">
        <v>90</v>
      </c>
      <c r="D71" s="146" t="s">
        <v>451</v>
      </c>
      <c r="E71" s="146" t="s">
        <v>573</v>
      </c>
      <c r="F71" s="298">
        <v>47221.82</v>
      </c>
      <c r="G71" s="298">
        <v>0</v>
      </c>
      <c r="H71" s="299">
        <v>13142</v>
      </c>
      <c r="I71" s="298">
        <v>0</v>
      </c>
      <c r="J71" s="298">
        <v>13142</v>
      </c>
      <c r="K71" s="298">
        <v>34079.82</v>
      </c>
      <c r="L71" s="298">
        <v>0</v>
      </c>
      <c r="M71" s="298">
        <v>34079.82</v>
      </c>
      <c r="N71" s="300" t="s">
        <v>574</v>
      </c>
      <c r="O71" s="300" t="s">
        <v>574</v>
      </c>
      <c r="P71" s="300" t="s">
        <v>574</v>
      </c>
    </row>
    <row r="72" spans="2:16" ht="15">
      <c r="B72" s="146" t="s">
        <v>436</v>
      </c>
      <c r="C72" s="146" t="s">
        <v>136</v>
      </c>
      <c r="D72" s="146" t="s">
        <v>451</v>
      </c>
      <c r="E72" s="146" t="s">
        <v>575</v>
      </c>
      <c r="F72" s="298">
        <v>21200</v>
      </c>
      <c r="G72" s="298">
        <v>0</v>
      </c>
      <c r="H72" s="299">
        <v>20752</v>
      </c>
      <c r="I72" s="298">
        <v>0</v>
      </c>
      <c r="J72" s="298">
        <v>20752</v>
      </c>
      <c r="K72" s="298">
        <v>448</v>
      </c>
      <c r="L72" s="298">
        <v>0</v>
      </c>
      <c r="M72" s="298">
        <v>448</v>
      </c>
      <c r="N72" s="300" t="s">
        <v>576</v>
      </c>
      <c r="O72" s="300" t="s">
        <v>576</v>
      </c>
      <c r="P72" s="300" t="s">
        <v>576</v>
      </c>
    </row>
    <row r="73" spans="5:16" ht="15">
      <c r="E73" s="146" t="s">
        <v>577</v>
      </c>
      <c r="F73" s="298">
        <v>68421.82</v>
      </c>
      <c r="G73" s="298">
        <v>0</v>
      </c>
      <c r="H73" s="299">
        <v>33894</v>
      </c>
      <c r="I73" s="298">
        <v>0</v>
      </c>
      <c r="J73" s="298">
        <v>33894</v>
      </c>
      <c r="K73" s="298">
        <v>34527.82</v>
      </c>
      <c r="L73" s="298">
        <v>0</v>
      </c>
      <c r="M73" s="298">
        <v>34527.82</v>
      </c>
      <c r="N73" s="300" t="s">
        <v>578</v>
      </c>
      <c r="O73" s="300" t="s">
        <v>578</v>
      </c>
      <c r="P73" s="300" t="s">
        <v>578</v>
      </c>
    </row>
    <row r="74" spans="2:16" ht="15">
      <c r="B74" s="146" t="s">
        <v>436</v>
      </c>
      <c r="C74" s="146" t="s">
        <v>579</v>
      </c>
      <c r="D74" s="146" t="s">
        <v>445</v>
      </c>
      <c r="E74" s="146" t="s">
        <v>580</v>
      </c>
      <c r="F74" s="298">
        <v>0</v>
      </c>
      <c r="G74" s="298">
        <v>0</v>
      </c>
      <c r="H74" s="299">
        <v>0</v>
      </c>
      <c r="I74" s="298">
        <v>0</v>
      </c>
      <c r="J74" s="298">
        <v>0</v>
      </c>
      <c r="K74" s="298">
        <v>0</v>
      </c>
      <c r="L74" s="298">
        <v>0</v>
      </c>
      <c r="M74" s="298">
        <v>0</v>
      </c>
      <c r="N74" s="300" t="s">
        <v>440</v>
      </c>
      <c r="O74" s="300" t="s">
        <v>440</v>
      </c>
      <c r="P74" s="300" t="s">
        <v>440</v>
      </c>
    </row>
    <row r="75" spans="2:16" ht="15">
      <c r="B75" s="146" t="s">
        <v>436</v>
      </c>
      <c r="C75" s="146" t="s">
        <v>581</v>
      </c>
      <c r="D75" s="146" t="s">
        <v>448</v>
      </c>
      <c r="E75" s="146" t="s">
        <v>582</v>
      </c>
      <c r="F75" s="298">
        <v>0</v>
      </c>
      <c r="G75" s="298">
        <v>0</v>
      </c>
      <c r="H75" s="299">
        <v>0</v>
      </c>
      <c r="I75" s="298">
        <v>0</v>
      </c>
      <c r="J75" s="298">
        <v>0</v>
      </c>
      <c r="K75" s="298">
        <v>0</v>
      </c>
      <c r="L75" s="298">
        <v>0</v>
      </c>
      <c r="M75" s="298">
        <v>0</v>
      </c>
      <c r="N75" s="300" t="s">
        <v>440</v>
      </c>
      <c r="O75" s="300" t="s">
        <v>440</v>
      </c>
      <c r="P75" s="300" t="s">
        <v>440</v>
      </c>
    </row>
    <row r="76" spans="2:16" ht="15">
      <c r="B76" s="146" t="s">
        <v>436</v>
      </c>
      <c r="C76" s="146" t="s">
        <v>96</v>
      </c>
      <c r="D76" s="146" t="s">
        <v>451</v>
      </c>
      <c r="E76" s="146" t="s">
        <v>583</v>
      </c>
      <c r="F76" s="298">
        <v>16728</v>
      </c>
      <c r="G76" s="298">
        <v>0</v>
      </c>
      <c r="H76" s="299">
        <v>16545.6</v>
      </c>
      <c r="I76" s="298">
        <v>0</v>
      </c>
      <c r="J76" s="298">
        <v>16545.6</v>
      </c>
      <c r="K76" s="298">
        <v>182.4</v>
      </c>
      <c r="L76" s="298">
        <v>0</v>
      </c>
      <c r="M76" s="298">
        <v>182.4</v>
      </c>
      <c r="N76" s="300" t="s">
        <v>584</v>
      </c>
      <c r="O76" s="300" t="s">
        <v>584</v>
      </c>
      <c r="P76" s="300" t="s">
        <v>584</v>
      </c>
    </row>
    <row r="77" spans="5:16" ht="15">
      <c r="E77" s="146" t="s">
        <v>585</v>
      </c>
      <c r="F77" s="298">
        <v>16728</v>
      </c>
      <c r="G77" s="298">
        <v>0</v>
      </c>
      <c r="H77" s="299">
        <v>16545.6</v>
      </c>
      <c r="I77" s="298">
        <v>0</v>
      </c>
      <c r="J77" s="298">
        <v>16545.6</v>
      </c>
      <c r="K77" s="298">
        <v>182.4</v>
      </c>
      <c r="L77" s="298">
        <v>0</v>
      </c>
      <c r="M77" s="298">
        <v>182.4</v>
      </c>
      <c r="N77" s="300" t="s">
        <v>584</v>
      </c>
      <c r="O77" s="300" t="s">
        <v>584</v>
      </c>
      <c r="P77" s="300" t="s">
        <v>584</v>
      </c>
    </row>
    <row r="78" spans="2:16" ht="15">
      <c r="B78" s="146" t="s">
        <v>436</v>
      </c>
      <c r="C78" s="146" t="s">
        <v>586</v>
      </c>
      <c r="D78" s="146" t="s">
        <v>448</v>
      </c>
      <c r="E78" s="146" t="s">
        <v>587</v>
      </c>
      <c r="F78" s="298">
        <v>0</v>
      </c>
      <c r="G78" s="298">
        <v>0</v>
      </c>
      <c r="H78" s="299">
        <v>0</v>
      </c>
      <c r="I78" s="298">
        <v>0</v>
      </c>
      <c r="J78" s="298">
        <v>0</v>
      </c>
      <c r="K78" s="298">
        <v>0</v>
      </c>
      <c r="L78" s="298">
        <v>0</v>
      </c>
      <c r="M78" s="298">
        <v>0</v>
      </c>
      <c r="N78" s="300" t="s">
        <v>440</v>
      </c>
      <c r="O78" s="300" t="s">
        <v>440</v>
      </c>
      <c r="P78" s="300" t="s">
        <v>440</v>
      </c>
    </row>
    <row r="79" spans="2:16" ht="15">
      <c r="B79" s="146" t="s">
        <v>436</v>
      </c>
      <c r="C79" s="146" t="s">
        <v>85</v>
      </c>
      <c r="D79" s="146" t="s">
        <v>451</v>
      </c>
      <c r="E79" s="146" t="s">
        <v>588</v>
      </c>
      <c r="F79" s="298">
        <v>4920</v>
      </c>
      <c r="G79" s="298">
        <v>0</v>
      </c>
      <c r="H79" s="299">
        <v>5674.27</v>
      </c>
      <c r="I79" s="298">
        <v>21.6</v>
      </c>
      <c r="J79" s="298">
        <v>5695.87</v>
      </c>
      <c r="K79" s="298">
        <v>-775.87</v>
      </c>
      <c r="L79" s="298">
        <v>0</v>
      </c>
      <c r="M79" s="298">
        <v>-775.87</v>
      </c>
      <c r="N79" s="300" t="s">
        <v>589</v>
      </c>
      <c r="O79" s="300" t="s">
        <v>590</v>
      </c>
      <c r="P79" s="300" t="s">
        <v>590</v>
      </c>
    </row>
    <row r="80" spans="2:16" ht="15">
      <c r="B80" s="146" t="s">
        <v>436</v>
      </c>
      <c r="C80" s="146" t="s">
        <v>119</v>
      </c>
      <c r="D80" s="146" t="s">
        <v>451</v>
      </c>
      <c r="E80" s="146" t="s">
        <v>591</v>
      </c>
      <c r="F80" s="298">
        <v>4920</v>
      </c>
      <c r="G80" s="298">
        <v>0</v>
      </c>
      <c r="H80" s="299">
        <v>4950</v>
      </c>
      <c r="I80" s="298">
        <v>63.3</v>
      </c>
      <c r="J80" s="298">
        <v>5013.3</v>
      </c>
      <c r="K80" s="298">
        <v>-93.3</v>
      </c>
      <c r="L80" s="298">
        <v>0</v>
      </c>
      <c r="M80" s="298">
        <v>-93.3</v>
      </c>
      <c r="N80" s="300" t="s">
        <v>592</v>
      </c>
      <c r="O80" s="300" t="s">
        <v>593</v>
      </c>
      <c r="P80" s="300" t="s">
        <v>593</v>
      </c>
    </row>
    <row r="81" spans="2:16" ht="15">
      <c r="B81" s="146" t="s">
        <v>436</v>
      </c>
      <c r="C81" s="146" t="s">
        <v>184</v>
      </c>
      <c r="D81" s="146" t="s">
        <v>451</v>
      </c>
      <c r="E81" s="146" t="s">
        <v>594</v>
      </c>
      <c r="F81" s="298">
        <v>70058.41</v>
      </c>
      <c r="G81" s="298">
        <v>0</v>
      </c>
      <c r="H81" s="299">
        <v>52881.54</v>
      </c>
      <c r="I81" s="298">
        <v>0</v>
      </c>
      <c r="J81" s="298">
        <v>52881.54</v>
      </c>
      <c r="K81" s="298">
        <v>17176.87</v>
      </c>
      <c r="L81" s="298">
        <v>0</v>
      </c>
      <c r="M81" s="298">
        <v>17176.87</v>
      </c>
      <c r="N81" s="300" t="s">
        <v>595</v>
      </c>
      <c r="O81" s="300" t="s">
        <v>595</v>
      </c>
      <c r="P81" s="300" t="s">
        <v>595</v>
      </c>
    </row>
    <row r="82" spans="5:16" ht="15">
      <c r="E82" s="146" t="s">
        <v>596</v>
      </c>
      <c r="F82" s="298">
        <v>79898.41</v>
      </c>
      <c r="G82" s="298">
        <v>0</v>
      </c>
      <c r="H82" s="299">
        <v>63505.81</v>
      </c>
      <c r="I82" s="298">
        <v>84.9</v>
      </c>
      <c r="J82" s="298">
        <v>63590.71</v>
      </c>
      <c r="K82" s="298">
        <v>16307.7</v>
      </c>
      <c r="L82" s="298">
        <v>0</v>
      </c>
      <c r="M82" s="298">
        <v>16307.7</v>
      </c>
      <c r="N82" s="300" t="s">
        <v>597</v>
      </c>
      <c r="O82" s="300" t="s">
        <v>598</v>
      </c>
      <c r="P82" s="300" t="s">
        <v>598</v>
      </c>
    </row>
    <row r="83" spans="2:16" ht="15">
      <c r="B83" s="146" t="s">
        <v>436</v>
      </c>
      <c r="C83" s="146" t="s">
        <v>599</v>
      </c>
      <c r="D83" s="146" t="s">
        <v>448</v>
      </c>
      <c r="E83" s="146" t="s">
        <v>600</v>
      </c>
      <c r="F83" s="298">
        <v>0</v>
      </c>
      <c r="G83" s="298">
        <v>0</v>
      </c>
      <c r="H83" s="299">
        <v>0</v>
      </c>
      <c r="I83" s="298">
        <v>0</v>
      </c>
      <c r="J83" s="298">
        <v>0</v>
      </c>
      <c r="K83" s="298">
        <v>0</v>
      </c>
      <c r="L83" s="298">
        <v>0</v>
      </c>
      <c r="M83" s="298">
        <v>0</v>
      </c>
      <c r="N83" s="300" t="s">
        <v>440</v>
      </c>
      <c r="O83" s="300" t="s">
        <v>440</v>
      </c>
      <c r="P83" s="300" t="s">
        <v>440</v>
      </c>
    </row>
    <row r="84" spans="2:16" ht="15">
      <c r="B84" s="146" t="s">
        <v>436</v>
      </c>
      <c r="C84" s="146" t="s">
        <v>181</v>
      </c>
      <c r="D84" s="146" t="s">
        <v>451</v>
      </c>
      <c r="E84" s="146" t="s">
        <v>600</v>
      </c>
      <c r="F84" s="298">
        <v>59684.58</v>
      </c>
      <c r="G84" s="298">
        <v>0</v>
      </c>
      <c r="H84" s="299">
        <v>37586.37</v>
      </c>
      <c r="I84" s="298">
        <v>18936.26</v>
      </c>
      <c r="J84" s="298">
        <v>56522.63</v>
      </c>
      <c r="K84" s="298">
        <v>3161.95</v>
      </c>
      <c r="L84" s="298">
        <v>0</v>
      </c>
      <c r="M84" s="298">
        <v>3161.95</v>
      </c>
      <c r="N84" s="300" t="s">
        <v>601</v>
      </c>
      <c r="O84" s="300" t="s">
        <v>602</v>
      </c>
      <c r="P84" s="300" t="s">
        <v>602</v>
      </c>
    </row>
    <row r="85" spans="5:16" ht="15">
      <c r="E85" s="146" t="s">
        <v>603</v>
      </c>
      <c r="F85" s="298">
        <v>59684.58</v>
      </c>
      <c r="G85" s="298">
        <v>0</v>
      </c>
      <c r="H85" s="299">
        <v>37586.37</v>
      </c>
      <c r="I85" s="298">
        <v>18936.26</v>
      </c>
      <c r="J85" s="298">
        <v>56522.63</v>
      </c>
      <c r="K85" s="298">
        <v>3161.95</v>
      </c>
      <c r="L85" s="298">
        <v>0</v>
      </c>
      <c r="M85" s="298">
        <v>3161.95</v>
      </c>
      <c r="N85" s="300" t="s">
        <v>601</v>
      </c>
      <c r="O85" s="300" t="s">
        <v>602</v>
      </c>
      <c r="P85" s="300" t="s">
        <v>602</v>
      </c>
    </row>
    <row r="86" spans="2:16" ht="15">
      <c r="B86" s="146" t="s">
        <v>436</v>
      </c>
      <c r="C86" s="146" t="s">
        <v>604</v>
      </c>
      <c r="D86" s="146" t="s">
        <v>445</v>
      </c>
      <c r="E86" s="146" t="s">
        <v>605</v>
      </c>
      <c r="F86" s="298">
        <v>0</v>
      </c>
      <c r="G86" s="298">
        <v>0</v>
      </c>
      <c r="H86" s="299">
        <v>0</v>
      </c>
      <c r="I86" s="298">
        <v>0</v>
      </c>
      <c r="J86" s="298">
        <v>0</v>
      </c>
      <c r="K86" s="298">
        <v>0</v>
      </c>
      <c r="L86" s="298">
        <v>0</v>
      </c>
      <c r="M86" s="298">
        <v>0</v>
      </c>
      <c r="N86" s="300" t="s">
        <v>440</v>
      </c>
      <c r="O86" s="300" t="s">
        <v>440</v>
      </c>
      <c r="P86" s="300" t="s">
        <v>440</v>
      </c>
    </row>
    <row r="87" spans="2:16" ht="15">
      <c r="B87" s="146" t="s">
        <v>436</v>
      </c>
      <c r="C87" s="146" t="s">
        <v>606</v>
      </c>
      <c r="D87" s="146" t="s">
        <v>448</v>
      </c>
      <c r="E87" s="146" t="s">
        <v>607</v>
      </c>
      <c r="F87" s="298">
        <v>0</v>
      </c>
      <c r="G87" s="298">
        <v>0</v>
      </c>
      <c r="H87" s="299">
        <v>0</v>
      </c>
      <c r="I87" s="298">
        <v>0</v>
      </c>
      <c r="J87" s="298">
        <v>0</v>
      </c>
      <c r="K87" s="298">
        <v>0</v>
      </c>
      <c r="L87" s="298">
        <v>0</v>
      </c>
      <c r="M87" s="298">
        <v>0</v>
      </c>
      <c r="N87" s="300" t="s">
        <v>440</v>
      </c>
      <c r="O87" s="300" t="s">
        <v>440</v>
      </c>
      <c r="P87" s="300" t="s">
        <v>440</v>
      </c>
    </row>
    <row r="88" spans="2:16" ht="15">
      <c r="B88" s="146" t="s">
        <v>436</v>
      </c>
      <c r="C88" s="146" t="s">
        <v>140</v>
      </c>
      <c r="D88" s="146" t="s">
        <v>451</v>
      </c>
      <c r="E88" s="146" t="s">
        <v>608</v>
      </c>
      <c r="F88" s="298">
        <v>6888</v>
      </c>
      <c r="G88" s="298">
        <v>0</v>
      </c>
      <c r="H88" s="299">
        <v>4350.98</v>
      </c>
      <c r="I88" s="298">
        <v>0</v>
      </c>
      <c r="J88" s="298">
        <v>4350.98</v>
      </c>
      <c r="K88" s="298">
        <v>2537.02</v>
      </c>
      <c r="L88" s="298">
        <v>0</v>
      </c>
      <c r="M88" s="298">
        <v>2537.02</v>
      </c>
      <c r="N88" s="300" t="s">
        <v>609</v>
      </c>
      <c r="O88" s="300" t="s">
        <v>609</v>
      </c>
      <c r="P88" s="300" t="s">
        <v>609</v>
      </c>
    </row>
    <row r="89" spans="2:16" ht="15">
      <c r="B89" s="146" t="s">
        <v>436</v>
      </c>
      <c r="C89" s="146" t="s">
        <v>144</v>
      </c>
      <c r="D89" s="146" t="s">
        <v>451</v>
      </c>
      <c r="E89" s="146" t="s">
        <v>610</v>
      </c>
      <c r="F89" s="298">
        <v>13775.94</v>
      </c>
      <c r="G89" s="298">
        <v>0</v>
      </c>
      <c r="H89" s="299">
        <v>13700</v>
      </c>
      <c r="I89" s="298">
        <v>0</v>
      </c>
      <c r="J89" s="298">
        <v>13700</v>
      </c>
      <c r="K89" s="298">
        <v>75.94</v>
      </c>
      <c r="L89" s="298">
        <v>0</v>
      </c>
      <c r="M89" s="298">
        <v>75.94</v>
      </c>
      <c r="N89" s="300" t="s">
        <v>611</v>
      </c>
      <c r="O89" s="300" t="s">
        <v>611</v>
      </c>
      <c r="P89" s="300" t="s">
        <v>611</v>
      </c>
    </row>
    <row r="90" spans="2:16" ht="15">
      <c r="B90" s="146" t="s">
        <v>436</v>
      </c>
      <c r="C90" s="146" t="s">
        <v>162</v>
      </c>
      <c r="D90" s="146" t="s">
        <v>451</v>
      </c>
      <c r="E90" s="146" t="s">
        <v>612</v>
      </c>
      <c r="F90" s="298">
        <v>1425.49</v>
      </c>
      <c r="G90" s="298">
        <v>0</v>
      </c>
      <c r="H90" s="299">
        <v>0</v>
      </c>
      <c r="I90" s="298">
        <v>0</v>
      </c>
      <c r="J90" s="298">
        <v>0</v>
      </c>
      <c r="K90" s="298">
        <v>1425.49</v>
      </c>
      <c r="L90" s="298">
        <v>0</v>
      </c>
      <c r="M90" s="298">
        <v>1425.49</v>
      </c>
      <c r="N90" s="300" t="s">
        <v>544</v>
      </c>
      <c r="O90" s="300" t="s">
        <v>544</v>
      </c>
      <c r="P90" s="300" t="s">
        <v>544</v>
      </c>
    </row>
    <row r="91" spans="2:16" ht="15">
      <c r="B91" s="146" t="s">
        <v>436</v>
      </c>
      <c r="C91" s="146" t="s">
        <v>165</v>
      </c>
      <c r="D91" s="146" t="s">
        <v>451</v>
      </c>
      <c r="E91" s="146" t="s">
        <v>613</v>
      </c>
      <c r="F91" s="298">
        <v>984.06</v>
      </c>
      <c r="G91" s="298">
        <v>0</v>
      </c>
      <c r="H91" s="299">
        <v>0</v>
      </c>
      <c r="I91" s="298">
        <v>0</v>
      </c>
      <c r="J91" s="298">
        <v>0</v>
      </c>
      <c r="K91" s="298">
        <v>984.06</v>
      </c>
      <c r="L91" s="298">
        <v>0</v>
      </c>
      <c r="M91" s="298">
        <v>984.06</v>
      </c>
      <c r="N91" s="300" t="s">
        <v>544</v>
      </c>
      <c r="O91" s="300" t="s">
        <v>544</v>
      </c>
      <c r="P91" s="300" t="s">
        <v>544</v>
      </c>
    </row>
    <row r="92" spans="2:16" ht="15">
      <c r="B92" s="146" t="s">
        <v>436</v>
      </c>
      <c r="C92" s="146" t="s">
        <v>174</v>
      </c>
      <c r="D92" s="146" t="s">
        <v>451</v>
      </c>
      <c r="E92" s="146" t="s">
        <v>614</v>
      </c>
      <c r="F92" s="298">
        <v>984.04</v>
      </c>
      <c r="G92" s="298">
        <v>0</v>
      </c>
      <c r="H92" s="299">
        <v>855</v>
      </c>
      <c r="I92" s="298">
        <v>0</v>
      </c>
      <c r="J92" s="298">
        <v>855</v>
      </c>
      <c r="K92" s="298">
        <v>129.04</v>
      </c>
      <c r="L92" s="298">
        <v>0</v>
      </c>
      <c r="M92" s="298">
        <v>129.04</v>
      </c>
      <c r="N92" s="300" t="s">
        <v>615</v>
      </c>
      <c r="O92" s="300" t="s">
        <v>615</v>
      </c>
      <c r="P92" s="300" t="s">
        <v>615</v>
      </c>
    </row>
    <row r="93" spans="2:16" ht="15">
      <c r="B93" s="146" t="s">
        <v>436</v>
      </c>
      <c r="C93" s="146" t="s">
        <v>177</v>
      </c>
      <c r="D93" s="146" t="s">
        <v>451</v>
      </c>
      <c r="E93" s="146" t="s">
        <v>616</v>
      </c>
      <c r="F93" s="298">
        <v>984</v>
      </c>
      <c r="G93" s="298">
        <v>0</v>
      </c>
      <c r="H93" s="299">
        <v>600</v>
      </c>
      <c r="I93" s="298">
        <v>0</v>
      </c>
      <c r="J93" s="298">
        <v>600</v>
      </c>
      <c r="K93" s="298">
        <v>384</v>
      </c>
      <c r="L93" s="298">
        <v>0</v>
      </c>
      <c r="M93" s="298">
        <v>384</v>
      </c>
      <c r="N93" s="300" t="s">
        <v>617</v>
      </c>
      <c r="O93" s="300" t="s">
        <v>617</v>
      </c>
      <c r="P93" s="300" t="s">
        <v>617</v>
      </c>
    </row>
    <row r="94" spans="5:16" ht="15">
      <c r="E94" s="146" t="s">
        <v>618</v>
      </c>
      <c r="F94" s="298">
        <v>25041.53</v>
      </c>
      <c r="G94" s="298">
        <v>0</v>
      </c>
      <c r="H94" s="299">
        <v>19505.98</v>
      </c>
      <c r="I94" s="298">
        <v>0</v>
      </c>
      <c r="J94" s="298">
        <v>19505.98</v>
      </c>
      <c r="K94" s="298">
        <v>5535.55</v>
      </c>
      <c r="L94" s="298">
        <v>0</v>
      </c>
      <c r="M94" s="298">
        <v>5535.55</v>
      </c>
      <c r="N94" s="300" t="s">
        <v>619</v>
      </c>
      <c r="O94" s="300" t="s">
        <v>619</v>
      </c>
      <c r="P94" s="300" t="s">
        <v>619</v>
      </c>
    </row>
    <row r="95" spans="2:16" ht="15">
      <c r="B95" s="146" t="s">
        <v>436</v>
      </c>
      <c r="C95" s="146" t="s">
        <v>620</v>
      </c>
      <c r="D95" s="146" t="s">
        <v>445</v>
      </c>
      <c r="E95" s="146" t="s">
        <v>621</v>
      </c>
      <c r="F95" s="298">
        <v>0</v>
      </c>
      <c r="G95" s="298">
        <v>0</v>
      </c>
      <c r="H95" s="299">
        <v>0</v>
      </c>
      <c r="I95" s="298">
        <v>0</v>
      </c>
      <c r="J95" s="298">
        <v>0</v>
      </c>
      <c r="K95" s="298">
        <v>0</v>
      </c>
      <c r="L95" s="298">
        <v>0</v>
      </c>
      <c r="M95" s="298">
        <v>0</v>
      </c>
      <c r="N95" s="300" t="s">
        <v>440</v>
      </c>
      <c r="O95" s="300" t="s">
        <v>440</v>
      </c>
      <c r="P95" s="300" t="s">
        <v>440</v>
      </c>
    </row>
    <row r="96" spans="2:16" ht="15">
      <c r="B96" s="146" t="s">
        <v>436</v>
      </c>
      <c r="C96" s="146" t="s">
        <v>622</v>
      </c>
      <c r="D96" s="146" t="s">
        <v>448</v>
      </c>
      <c r="E96" s="146" t="s">
        <v>623</v>
      </c>
      <c r="F96" s="298">
        <v>0</v>
      </c>
      <c r="G96" s="298">
        <v>0</v>
      </c>
      <c r="H96" s="299">
        <v>0</v>
      </c>
      <c r="I96" s="298">
        <v>0</v>
      </c>
      <c r="J96" s="298">
        <v>0</v>
      </c>
      <c r="K96" s="298">
        <v>0</v>
      </c>
      <c r="L96" s="298">
        <v>0</v>
      </c>
      <c r="M96" s="298">
        <v>0</v>
      </c>
      <c r="N96" s="300" t="s">
        <v>440</v>
      </c>
      <c r="O96" s="300" t="s">
        <v>440</v>
      </c>
      <c r="P96" s="300" t="s">
        <v>440</v>
      </c>
    </row>
    <row r="97" spans="2:16" ht="15">
      <c r="B97" s="146" t="s">
        <v>436</v>
      </c>
      <c r="C97" s="146" t="s">
        <v>100</v>
      </c>
      <c r="D97" s="146" t="s">
        <v>451</v>
      </c>
      <c r="E97" s="146" t="s">
        <v>624</v>
      </c>
      <c r="F97" s="298">
        <v>2952</v>
      </c>
      <c r="G97" s="298">
        <v>0</v>
      </c>
      <c r="H97" s="299">
        <v>2952</v>
      </c>
      <c r="I97" s="298">
        <v>0</v>
      </c>
      <c r="J97" s="298">
        <v>2952</v>
      </c>
      <c r="K97" s="298">
        <v>0</v>
      </c>
      <c r="L97" s="298">
        <v>0</v>
      </c>
      <c r="M97" s="298">
        <v>0</v>
      </c>
      <c r="N97" s="300" t="s">
        <v>557</v>
      </c>
      <c r="O97" s="300" t="s">
        <v>557</v>
      </c>
      <c r="P97" s="300" t="s">
        <v>557</v>
      </c>
    </row>
    <row r="98" spans="5:16" ht="15">
      <c r="E98" s="146" t="s">
        <v>625</v>
      </c>
      <c r="F98" s="298">
        <v>2952</v>
      </c>
      <c r="G98" s="298">
        <v>0</v>
      </c>
      <c r="H98" s="299">
        <v>2952</v>
      </c>
      <c r="I98" s="298">
        <v>0</v>
      </c>
      <c r="J98" s="298">
        <v>2952</v>
      </c>
      <c r="K98" s="298">
        <v>0</v>
      </c>
      <c r="L98" s="298">
        <v>0</v>
      </c>
      <c r="M98" s="298">
        <v>0</v>
      </c>
      <c r="N98" s="300" t="s">
        <v>557</v>
      </c>
      <c r="O98" s="300" t="s">
        <v>557</v>
      </c>
      <c r="P98" s="300" t="s">
        <v>557</v>
      </c>
    </row>
    <row r="99" spans="2:16" ht="15">
      <c r="B99" s="146" t="s">
        <v>436</v>
      </c>
      <c r="E99" s="146" t="s">
        <v>626</v>
      </c>
      <c r="F99" s="298">
        <v>52524.82</v>
      </c>
      <c r="G99" s="298">
        <v>0</v>
      </c>
      <c r="H99" s="299">
        <v>45067</v>
      </c>
      <c r="I99" s="298">
        <v>0</v>
      </c>
      <c r="J99" s="298">
        <v>45067</v>
      </c>
      <c r="K99" s="298">
        <v>7457.82</v>
      </c>
      <c r="L99" s="298">
        <v>0</v>
      </c>
      <c r="M99" s="298">
        <v>7457.82</v>
      </c>
      <c r="N99" s="300" t="s">
        <v>627</v>
      </c>
      <c r="O99" s="300" t="s">
        <v>627</v>
      </c>
      <c r="P99" s="300" t="s">
        <v>627</v>
      </c>
    </row>
    <row r="100" spans="5:16" ht="15">
      <c r="E100" s="146" t="s">
        <v>628</v>
      </c>
      <c r="F100" s="298">
        <v>802880.25</v>
      </c>
      <c r="G100" s="298">
        <v>-802880.31</v>
      </c>
      <c r="H100" s="299">
        <v>688880.68</v>
      </c>
      <c r="I100" s="298">
        <v>19021.16</v>
      </c>
      <c r="J100" s="298">
        <v>707901.84</v>
      </c>
      <c r="K100" s="298">
        <v>94978.41</v>
      </c>
      <c r="L100" s="298">
        <v>0</v>
      </c>
      <c r="M100" s="298">
        <v>94978.41</v>
      </c>
      <c r="N100" s="300" t="s">
        <v>627</v>
      </c>
      <c r="O100" s="300" t="s">
        <v>629</v>
      </c>
      <c r="P100" s="300" t="s">
        <v>629</v>
      </c>
    </row>
    <row r="101" spans="5:16" ht="15">
      <c r="E101" s="146" t="s">
        <v>630</v>
      </c>
      <c r="F101" s="298">
        <v>52524.82</v>
      </c>
      <c r="G101" s="298">
        <v>0</v>
      </c>
      <c r="H101" s="299">
        <v>45067</v>
      </c>
      <c r="I101" s="298">
        <v>0</v>
      </c>
      <c r="J101" s="298">
        <v>45067</v>
      </c>
      <c r="K101" s="298">
        <v>7457.82</v>
      </c>
      <c r="L101" s="298">
        <v>0</v>
      </c>
      <c r="M101" s="298">
        <v>7457.82</v>
      </c>
      <c r="N101" s="300" t="s">
        <v>627</v>
      </c>
      <c r="O101" s="300" t="s">
        <v>627</v>
      </c>
      <c r="P101" s="300" t="s">
        <v>627</v>
      </c>
    </row>
    <row r="102" spans="5:16" ht="15">
      <c r="E102" s="301" t="s">
        <v>190</v>
      </c>
      <c r="F102" s="302">
        <v>802880.25</v>
      </c>
      <c r="G102" s="302">
        <v>-802880.31</v>
      </c>
      <c r="H102" s="302">
        <v>688880.68</v>
      </c>
      <c r="I102" s="302">
        <v>19021.16</v>
      </c>
      <c r="J102" s="302">
        <v>707901.84</v>
      </c>
      <c r="K102" s="302">
        <v>94978.41</v>
      </c>
      <c r="L102" s="302">
        <v>0</v>
      </c>
      <c r="M102" s="302">
        <v>94978.41</v>
      </c>
      <c r="N102" s="303" t="s">
        <v>627</v>
      </c>
      <c r="O102" s="303" t="s">
        <v>629</v>
      </c>
      <c r="P102" s="303" t="s">
        <v>629</v>
      </c>
    </row>
    <row r="103" spans="8:9" ht="15">
      <c r="H103" s="304"/>
      <c r="I103" s="304"/>
    </row>
    <row r="105" ht="15">
      <c r="A105" s="305" t="s">
        <v>631</v>
      </c>
    </row>
    <row r="106" spans="1:14" ht="15">
      <c r="A106" s="306" t="s">
        <v>632</v>
      </c>
      <c r="B106" s="306" t="s">
        <v>633</v>
      </c>
      <c r="C106" s="306" t="s">
        <v>634</v>
      </c>
      <c r="D106" s="306" t="s">
        <v>635</v>
      </c>
      <c r="E106" s="306" t="s">
        <v>636</v>
      </c>
      <c r="F106" s="306" t="s">
        <v>637</v>
      </c>
      <c r="G106" s="306" t="s">
        <v>638</v>
      </c>
      <c r="H106" s="306" t="s">
        <v>639</v>
      </c>
      <c r="I106" s="306" t="s">
        <v>640</v>
      </c>
      <c r="J106" s="306" t="s">
        <v>641</v>
      </c>
      <c r="K106" s="306" t="s">
        <v>642</v>
      </c>
      <c r="L106" s="306" t="s">
        <v>643</v>
      </c>
      <c r="M106" s="306" t="s">
        <v>644</v>
      </c>
      <c r="N106"/>
    </row>
    <row r="107" spans="1:14" ht="15">
      <c r="A107" s="307" t="s">
        <v>638</v>
      </c>
      <c r="B107" s="307" t="s">
        <v>645</v>
      </c>
      <c r="C107" s="307" t="s">
        <v>646</v>
      </c>
      <c r="D107" s="308">
        <v>44243</v>
      </c>
      <c r="E107" s="308">
        <v>44967</v>
      </c>
      <c r="F107" s="309">
        <v>0</v>
      </c>
      <c r="G107" s="309">
        <v>-802880.31</v>
      </c>
      <c r="H107" s="309">
        <v>0</v>
      </c>
      <c r="I107" s="309">
        <v>0</v>
      </c>
      <c r="J107" s="309">
        <v>0</v>
      </c>
      <c r="K107" s="309">
        <v>0</v>
      </c>
      <c r="L107" s="307" t="s">
        <v>647</v>
      </c>
      <c r="M107" s="307"/>
      <c r="N107"/>
    </row>
    <row r="108" spans="1:14" ht="15">
      <c r="A108" s="306" t="s">
        <v>638</v>
      </c>
      <c r="B108" s="306"/>
      <c r="C108" s="306"/>
      <c r="D108" s="306"/>
      <c r="E108" s="306"/>
      <c r="F108" s="306">
        <v>0</v>
      </c>
      <c r="G108" s="306">
        <v>-802880.31</v>
      </c>
      <c r="H108" s="306">
        <v>0</v>
      </c>
      <c r="I108" s="306">
        <v>0</v>
      </c>
      <c r="J108" s="306">
        <v>0</v>
      </c>
      <c r="K108" s="306">
        <v>0</v>
      </c>
      <c r="L108" s="306" t="s">
        <v>647</v>
      </c>
      <c r="M108" s="306"/>
      <c r="N108"/>
    </row>
    <row r="109" spans="1:14" ht="15">
      <c r="A109" s="307" t="s">
        <v>639</v>
      </c>
      <c r="B109" s="307" t="s">
        <v>25</v>
      </c>
      <c r="C109" s="307" t="s">
        <v>26</v>
      </c>
      <c r="D109" s="308">
        <v>44243</v>
      </c>
      <c r="E109" s="308">
        <v>44967</v>
      </c>
      <c r="F109" s="309">
        <v>152151.6</v>
      </c>
      <c r="G109" s="309">
        <v>0</v>
      </c>
      <c r="H109" s="309">
        <v>135885.13</v>
      </c>
      <c r="I109" s="309">
        <v>0</v>
      </c>
      <c r="J109" s="309">
        <v>135885.13</v>
      </c>
      <c r="K109" s="309">
        <v>16266.47</v>
      </c>
      <c r="L109" s="307" t="s">
        <v>647</v>
      </c>
      <c r="M109" s="307" t="s">
        <v>648</v>
      </c>
      <c r="N109"/>
    </row>
    <row r="110" spans="1:14" ht="15">
      <c r="A110" s="307" t="s">
        <v>639</v>
      </c>
      <c r="B110" s="307" t="s">
        <v>46</v>
      </c>
      <c r="C110" s="307" t="s">
        <v>47</v>
      </c>
      <c r="D110" s="308">
        <v>44243</v>
      </c>
      <c r="E110" s="308">
        <v>44967</v>
      </c>
      <c r="F110" s="309">
        <v>31134.02</v>
      </c>
      <c r="G110" s="309">
        <v>0</v>
      </c>
      <c r="H110" s="309">
        <v>35893.44</v>
      </c>
      <c r="I110" s="309">
        <v>0</v>
      </c>
      <c r="J110" s="309">
        <v>35893.44</v>
      </c>
      <c r="K110" s="309">
        <v>-4759.42</v>
      </c>
      <c r="L110" s="307" t="s">
        <v>647</v>
      </c>
      <c r="M110" s="307" t="s">
        <v>649</v>
      </c>
      <c r="N110"/>
    </row>
    <row r="111" spans="1:14" ht="15">
      <c r="A111" s="307" t="s">
        <v>639</v>
      </c>
      <c r="B111" s="307" t="s">
        <v>92</v>
      </c>
      <c r="C111" s="307" t="s">
        <v>93</v>
      </c>
      <c r="D111" s="308">
        <v>44243</v>
      </c>
      <c r="E111" s="308">
        <v>44967</v>
      </c>
      <c r="F111" s="309">
        <v>71373.82</v>
      </c>
      <c r="G111" s="309">
        <v>0</v>
      </c>
      <c r="H111" s="309">
        <v>36846</v>
      </c>
      <c r="I111" s="309">
        <v>0</v>
      </c>
      <c r="J111" s="309">
        <v>36846</v>
      </c>
      <c r="K111" s="309">
        <v>34527.82</v>
      </c>
      <c r="L111" s="307" t="s">
        <v>647</v>
      </c>
      <c r="M111" s="307" t="s">
        <v>650</v>
      </c>
      <c r="N111"/>
    </row>
    <row r="112" spans="1:14" ht="15">
      <c r="A112" s="307" t="s">
        <v>639</v>
      </c>
      <c r="B112" s="307" t="s">
        <v>63</v>
      </c>
      <c r="C112" s="307" t="s">
        <v>64</v>
      </c>
      <c r="D112" s="308">
        <v>44243</v>
      </c>
      <c r="E112" s="308">
        <v>44967</v>
      </c>
      <c r="F112" s="309">
        <v>260000.01</v>
      </c>
      <c r="G112" s="309">
        <v>0</v>
      </c>
      <c r="H112" s="309">
        <v>203095.7</v>
      </c>
      <c r="I112" s="309">
        <v>18936.26</v>
      </c>
      <c r="J112" s="309">
        <v>222031.96</v>
      </c>
      <c r="K112" s="309">
        <v>37968.05</v>
      </c>
      <c r="L112" s="307" t="s">
        <v>647</v>
      </c>
      <c r="M112" s="307" t="s">
        <v>651</v>
      </c>
      <c r="N112"/>
    </row>
    <row r="113" spans="1:14" ht="15">
      <c r="A113" s="307" t="s">
        <v>639</v>
      </c>
      <c r="B113" s="307" t="s">
        <v>87</v>
      </c>
      <c r="C113" s="307" t="s">
        <v>88</v>
      </c>
      <c r="D113" s="308">
        <v>44243</v>
      </c>
      <c r="E113" s="308">
        <v>44967</v>
      </c>
      <c r="F113" s="309">
        <v>9840</v>
      </c>
      <c r="G113" s="309">
        <v>0</v>
      </c>
      <c r="H113" s="309">
        <v>10624.27</v>
      </c>
      <c r="I113" s="309">
        <v>84.9</v>
      </c>
      <c r="J113" s="309">
        <v>10709.17</v>
      </c>
      <c r="K113" s="309">
        <v>-869.17</v>
      </c>
      <c r="L113" s="307" t="s">
        <v>647</v>
      </c>
      <c r="M113" s="307" t="s">
        <v>652</v>
      </c>
      <c r="N113"/>
    </row>
    <row r="114" spans="1:14" ht="15">
      <c r="A114" s="307" t="s">
        <v>639</v>
      </c>
      <c r="B114" s="307" t="s">
        <v>69</v>
      </c>
      <c r="C114" s="307" t="s">
        <v>70</v>
      </c>
      <c r="D114" s="308">
        <v>44243</v>
      </c>
      <c r="E114" s="308">
        <v>44967</v>
      </c>
      <c r="F114" s="309">
        <v>225855.98</v>
      </c>
      <c r="G114" s="309">
        <v>0</v>
      </c>
      <c r="H114" s="309">
        <v>221469.14</v>
      </c>
      <c r="I114" s="309">
        <v>0</v>
      </c>
      <c r="J114" s="309">
        <v>221469.14</v>
      </c>
      <c r="K114" s="309">
        <v>4386.84</v>
      </c>
      <c r="L114" s="307" t="s">
        <v>647</v>
      </c>
      <c r="M114" s="307" t="s">
        <v>653</v>
      </c>
      <c r="N114"/>
    </row>
    <row r="115" spans="1:14" ht="15">
      <c r="A115" s="307" t="s">
        <v>639</v>
      </c>
      <c r="B115" s="307" t="s">
        <v>654</v>
      </c>
      <c r="C115" s="307" t="s">
        <v>655</v>
      </c>
      <c r="D115" s="308">
        <v>44243</v>
      </c>
      <c r="E115" s="308">
        <v>44967</v>
      </c>
      <c r="F115" s="309">
        <v>52524.82</v>
      </c>
      <c r="G115" s="309">
        <v>0</v>
      </c>
      <c r="H115" s="309">
        <v>45067</v>
      </c>
      <c r="I115" s="309">
        <v>1331.48</v>
      </c>
      <c r="J115" s="309">
        <v>46398.48</v>
      </c>
      <c r="K115" s="309">
        <v>6126.34</v>
      </c>
      <c r="L115" s="307" t="s">
        <v>647</v>
      </c>
      <c r="M115" s="307" t="s">
        <v>656</v>
      </c>
      <c r="N115"/>
    </row>
    <row r="116" spans="1:14" ht="15">
      <c r="A116" s="307" t="s">
        <v>639</v>
      </c>
      <c r="B116" s="307"/>
      <c r="C116" s="307" t="s">
        <v>657</v>
      </c>
      <c r="D116" s="308"/>
      <c r="E116" s="308"/>
      <c r="F116" s="309">
        <v>0</v>
      </c>
      <c r="G116" s="309">
        <v>0</v>
      </c>
      <c r="H116" s="309">
        <v>0</v>
      </c>
      <c r="I116" s="309">
        <v>0</v>
      </c>
      <c r="J116" s="309">
        <v>0</v>
      </c>
      <c r="K116" s="309">
        <v>0</v>
      </c>
      <c r="L116" s="307"/>
      <c r="M116" s="307" t="s">
        <v>656</v>
      </c>
      <c r="N116"/>
    </row>
    <row r="117" spans="1:14" ht="15">
      <c r="A117" s="310" t="s">
        <v>639</v>
      </c>
      <c r="B117" s="310"/>
      <c r="C117" s="310"/>
      <c r="D117" s="310"/>
      <c r="E117" s="310"/>
      <c r="F117" s="311">
        <v>802880.25</v>
      </c>
      <c r="G117" s="311">
        <v>0</v>
      </c>
      <c r="H117" s="311">
        <v>688880.68</v>
      </c>
      <c r="I117" s="311">
        <v>20352.64</v>
      </c>
      <c r="J117" s="311">
        <v>709233.32</v>
      </c>
      <c r="K117" s="311">
        <v>93646.93</v>
      </c>
      <c r="L117" s="306" t="s">
        <v>647</v>
      </c>
      <c r="M117" s="306"/>
      <c r="N117"/>
    </row>
    <row r="118" spans="1:14" ht="15">
      <c r="A118" s="306"/>
      <c r="B118" s="306"/>
      <c r="C118" s="306"/>
      <c r="D118" s="306"/>
      <c r="E118" s="306"/>
      <c r="F118" s="312">
        <v>802880.25</v>
      </c>
      <c r="G118" s="312">
        <v>-802880.31</v>
      </c>
      <c r="H118" s="312">
        <v>688880.68</v>
      </c>
      <c r="I118" s="312">
        <v>20352.64</v>
      </c>
      <c r="J118" s="312">
        <v>709233.32</v>
      </c>
      <c r="K118" s="312">
        <v>93646.93</v>
      </c>
      <c r="L118" s="310" t="s">
        <v>647</v>
      </c>
      <c r="M118" s="310"/>
      <c r="N118"/>
    </row>
    <row r="119" spans="7:14" ht="15">
      <c r="G119" s="304">
        <f>G118-G102</f>
        <v>0</v>
      </c>
      <c r="H119" s="304">
        <f>H118-H102</f>
        <v>0</v>
      </c>
      <c r="I119" s="304">
        <f>I118-I102</f>
        <v>1331.4799999999996</v>
      </c>
      <c r="J119" s="304">
        <f>J118-J102</f>
        <v>1331.4799999999814</v>
      </c>
      <c r="K119" s="304">
        <f>K118-K102</f>
        <v>-1331.4800000000105</v>
      </c>
      <c r="N119"/>
    </row>
    <row r="120" spans="8:12" ht="15">
      <c r="H120" s="304"/>
      <c r="J120" s="304"/>
      <c r="L120" s="304"/>
    </row>
    <row r="121" spans="1:10" ht="15">
      <c r="A121" s="146" t="s">
        <v>658</v>
      </c>
      <c r="H121" s="304">
        <f>H118-H115</f>
        <v>643813.68</v>
      </c>
      <c r="I121" s="304">
        <f>I118-I115</f>
        <v>19021.16</v>
      </c>
      <c r="J121" s="313">
        <f>H121+I121</f>
        <v>662834.8400000001</v>
      </c>
    </row>
    <row r="122" ht="15">
      <c r="J122" s="304"/>
    </row>
  </sheetData>
  <printOptions/>
  <pageMargins left="0.7" right="0.7" top="0.75" bottom="0.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a630059c-039e-4018-aef3-ddacf8f61495">
      <Terms xmlns="http://schemas.microsoft.com/office/infopath/2007/PartnerControls"/>
    </lcf76f155ced4ddcb4097134ff3c332f>
    <TaxCatchAll xmlns="9585bde6-52e0-445a-a051-7c41887a56d1" xsi:nil="true"/>
    <SharedWithUsers xmlns="9585bde6-52e0-445a-a051-7c41887a56d1">
      <UserInfo>
        <DisplayName>GARCIA Victor</DisplayName>
        <AccountId>55</AccountId>
        <AccountType/>
      </UserInfo>
      <UserInfo>
        <DisplayName>OSORIO Daniela</DisplayName>
        <AccountId>49</AccountId>
        <AccountType/>
      </UserInfo>
      <UserInfo>
        <DisplayName>SANCHEZ Javier</DisplayName>
        <AccountId>131</AccountId>
        <AccountType/>
      </UserInfo>
      <UserInfo>
        <DisplayName>ESCALANTE Josselyn Lisbeth</DisplayName>
        <AccountId>12</AccountId>
        <AccountType/>
      </UserInfo>
      <UserInfo>
        <DisplayName>AMAYA Yesenia</DisplayName>
        <AccountId>102</AccountId>
        <AccountType/>
      </UserInfo>
      <UserInfo>
        <DisplayName>VACA Vanesa</DisplayName>
        <AccountId>144</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DDB468780F7704885F08AE72CE72C16" ma:contentTypeVersion="16" ma:contentTypeDescription="Create a new document." ma:contentTypeScope="" ma:versionID="40039a777c0cb391287c680574f1fab6">
  <xsd:schema xmlns:xsd="http://www.w3.org/2001/XMLSchema" xmlns:xs="http://www.w3.org/2001/XMLSchema" xmlns:p="http://schemas.microsoft.com/office/2006/metadata/properties" xmlns:ns2="a630059c-039e-4018-aef3-ddacf8f61495" xmlns:ns3="9585bde6-52e0-445a-a051-7c41887a56d1" targetNamespace="http://schemas.microsoft.com/office/2006/metadata/properties" ma:root="true" ma:fieldsID="cc150f3c7fc6b77bdc63cd655fe99a7e" ns2:_="" ns3:_="">
    <xsd:import namespace="a630059c-039e-4018-aef3-ddacf8f61495"/>
    <xsd:import namespace="9585bde6-52e0-445a-a051-7c41887a56d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LengthInSeconds" minOccurs="0"/>
                <xsd:element ref="ns2:MediaServiceLocation" minOccurs="0"/>
                <xsd:element ref="ns2:MediaServiceAutoKeyPoints" minOccurs="0"/>
                <xsd:element ref="ns2:MediaServiceKeyPoint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630059c-039e-4018-aef3-ddacf8f6149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553f610b-9ee9-4302-9a9e-eaae0f0c7bdb"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585bde6-52e0-445a-a051-7c41887a56d1"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457d7691-0a16-48f8-9a8a-005353cf939a}" ma:internalName="TaxCatchAll" ma:showField="CatchAllData" ma:web="9585bde6-52e0-445a-a051-7c41887a56d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710F683-3ED7-4623-ADFA-8921435CC572}">
  <ds:schemaRefs>
    <ds:schemaRef ds:uri="http://schemas.microsoft.com/office/2006/metadata/properties"/>
    <ds:schemaRef ds:uri="http://schemas.microsoft.com/office/infopath/2007/PartnerControls"/>
    <ds:schemaRef ds:uri="a630059c-039e-4018-aef3-ddacf8f61495"/>
    <ds:schemaRef ds:uri="9585bde6-52e0-445a-a051-7c41887a56d1"/>
  </ds:schemaRefs>
</ds:datastoreItem>
</file>

<file path=customXml/itemProps2.xml><?xml version="1.0" encoding="utf-8"?>
<ds:datastoreItem xmlns:ds="http://schemas.openxmlformats.org/officeDocument/2006/customXml" ds:itemID="{704D02A0-2D3A-4F8D-9A49-583B07354C9A}">
  <ds:schemaRefs>
    <ds:schemaRef ds:uri="http://schemas.microsoft.com/sharepoint/v3/contenttype/forms"/>
  </ds:schemaRefs>
</ds:datastoreItem>
</file>

<file path=customXml/itemProps3.xml><?xml version="1.0" encoding="utf-8"?>
<ds:datastoreItem xmlns:ds="http://schemas.openxmlformats.org/officeDocument/2006/customXml" ds:itemID="{5C1A027A-992A-4A26-B8A6-A9B9B69931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630059c-039e-4018-aef3-ddacf8f61495"/>
    <ds:schemaRef ds:uri="9585bde6-52e0-445a-a051-7c41887a56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Jelena Zelenovic</dc:creator>
  <cp:keywords/>
  <dc:description/>
  <cp:lastModifiedBy>ESCALANTE Josselyn Lisbeth</cp:lastModifiedBy>
  <dcterms:created xsi:type="dcterms:W3CDTF">2017-11-15T21:17:43Z</dcterms:created>
  <dcterms:modified xsi:type="dcterms:W3CDTF">2023-07-10T23:14:08Z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0x010100CDDB468780F7704885F08AE72CE72C16</vt:lpwstr>
  </property>
  <property fmtid="{D5CDD505-2E9C-101B-9397-08002B2CF9AE}" pid="3" name="MSIP_Label_2a3a108f-898d-4589-9ebc-7ee3b46df9b8_Enabled">
    <vt:lpwstr>true</vt:lpwstr>
  </property>
  <property fmtid="{D5CDD505-2E9C-101B-9397-08002B2CF9AE}" pid="4" name="MSIP_Label_2a3a108f-898d-4589-9ebc-7ee3b46df9b8_SetDate">
    <vt:lpwstr>2020-09-07T14:52:06Z</vt:lpwstr>
  </property>
  <property fmtid="{D5CDD505-2E9C-101B-9397-08002B2CF9AE}" pid="5" name="MSIP_Label_2a3a108f-898d-4589-9ebc-7ee3b46df9b8_Method">
    <vt:lpwstr>Standard</vt:lpwstr>
  </property>
  <property fmtid="{D5CDD505-2E9C-101B-9397-08002B2CF9AE}" pid="6" name="MSIP_Label_2a3a108f-898d-4589-9ebc-7ee3b46df9b8_Name">
    <vt:lpwstr>Official use only</vt:lpwstr>
  </property>
  <property fmtid="{D5CDD505-2E9C-101B-9397-08002B2CF9AE}" pid="7" name="MSIP_Label_2a3a108f-898d-4589-9ebc-7ee3b46df9b8_SiteId">
    <vt:lpwstr>462ad9ae-d7d9-4206-b874-71b1e079776f</vt:lpwstr>
  </property>
  <property fmtid="{D5CDD505-2E9C-101B-9397-08002B2CF9AE}" pid="8" name="MSIP_Label_2a3a108f-898d-4589-9ebc-7ee3b46df9b8_ActionId">
    <vt:lpwstr>262e98b9-e532-4b27-9c43-9cbcf6c75acb</vt:lpwstr>
  </property>
  <property fmtid="{D5CDD505-2E9C-101B-9397-08002B2CF9AE}" pid="9" name="MSIP_Label_2a3a108f-898d-4589-9ebc-7ee3b46df9b8_ContentBits">
    <vt:lpwstr>0</vt:lpwstr>
  </property>
  <property fmtid="{D5CDD505-2E9C-101B-9397-08002B2CF9AE}" pid="10" name="MSIP_Label_2059aa38-f392-4105-be92-628035578272_Enabled">
    <vt:lpwstr>true</vt:lpwstr>
  </property>
  <property fmtid="{D5CDD505-2E9C-101B-9397-08002B2CF9AE}" pid="11" name="MSIP_Label_2059aa38-f392-4105-be92-628035578272_SetDate">
    <vt:lpwstr>2020-09-07T20:51:30Z</vt:lpwstr>
  </property>
  <property fmtid="{D5CDD505-2E9C-101B-9397-08002B2CF9AE}" pid="12" name="MSIP_Label_2059aa38-f392-4105-be92-628035578272_Method">
    <vt:lpwstr>Standard</vt:lpwstr>
  </property>
  <property fmtid="{D5CDD505-2E9C-101B-9397-08002B2CF9AE}" pid="13" name="MSIP_Label_2059aa38-f392-4105-be92-628035578272_Name">
    <vt:lpwstr>IOMLb0020IN123173</vt:lpwstr>
  </property>
  <property fmtid="{D5CDD505-2E9C-101B-9397-08002B2CF9AE}" pid="14" name="MSIP_Label_2059aa38-f392-4105-be92-628035578272_SiteId">
    <vt:lpwstr>1588262d-23fb-43b4-bd6e-bce49c8e6186</vt:lpwstr>
  </property>
  <property fmtid="{D5CDD505-2E9C-101B-9397-08002B2CF9AE}" pid="15" name="MSIP_Label_2059aa38-f392-4105-be92-628035578272_ActionId">
    <vt:lpwstr>c47637a6-9922-428e-911d-946cc63bddd0</vt:lpwstr>
  </property>
  <property fmtid="{D5CDD505-2E9C-101B-9397-08002B2CF9AE}" pid="16" name="MSIP_Label_2059aa38-f392-4105-be92-628035578272_ContentBits">
    <vt:lpwstr>0</vt:lpwstr>
  </property>
  <property fmtid="{D5CDD505-2E9C-101B-9397-08002B2CF9AE}" pid="17" name="MediaServiceImageTags">
    <vt:lpwstr/>
  </property>
</Properties>
</file>