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mc:AlternateContent xmlns:mc="http://schemas.openxmlformats.org/markup-compatibility/2006">
    <mc:Choice Requires="x15">
      <x15ac:absPath xmlns:x15ac="http://schemas.microsoft.com/office/spreadsheetml/2010/11/ac" url="C:\Users\Heks-eper\Documents\HEKS\2024\MUDA WA AMANI\Rapport Janvier 2024\"/>
    </mc:Choice>
  </mc:AlternateContent>
  <xr:revisionPtr revIDLastSave="0" documentId="13_ncr:1_{16C9F5B8-9584-4303-8CF8-FAC75D048495}" xr6:coauthVersionLast="47" xr6:coauthVersionMax="47" xr10:uidLastSave="{00000000-0000-0000-0000-000000000000}"/>
  <bookViews>
    <workbookView xWindow="-108" yWindow="-108" windowWidth="23256" windowHeight="12456" activeTab="1" xr2:uid="{00000000-000D-0000-FFFF-FFFF00000000}"/>
  </bookViews>
  <sheets>
    <sheet name="Drop down list" sheetId="3" r:id="rId1"/>
    <sheet name="Budget_Detaillé_HEKS" sheetId="6" r:id="rId2"/>
  </sheets>
  <definedNames>
    <definedName name="_xlnm._FilterDatabase" localSheetId="1" hidden="1">Budget_Detaillé_HEKS!$B$8:$T$186</definedName>
    <definedName name="categories" localSheetId="1">Budget_Detaillé_HEKS!#REF!</definedName>
    <definedName name="categories">#REF!</definedName>
    <definedName name="options" localSheetId="1">Budget_Detaillé_HEKS!#REF!</definedName>
    <definedName name="op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7" i="6" l="1"/>
  <c r="U173" i="6"/>
  <c r="U91" i="6" l="1"/>
  <c r="U176" i="6"/>
  <c r="U146" i="6" l="1"/>
  <c r="U111" i="6"/>
  <c r="U60" i="6"/>
  <c r="U52" i="6"/>
  <c r="U25" i="6"/>
  <c r="U17" i="6"/>
  <c r="U11" i="6"/>
  <c r="U95" i="6" l="1"/>
  <c r="U90" i="6"/>
  <c r="U83" i="6"/>
  <c r="U166" i="6"/>
  <c r="U161" i="6"/>
  <c r="U74" i="6"/>
  <c r="U68" i="6"/>
  <c r="U32" i="6"/>
  <c r="U38" i="6" s="1"/>
  <c r="U114" i="6" l="1"/>
  <c r="U138" i="6"/>
  <c r="U157" i="6"/>
  <c r="U41" i="6"/>
  <c r="U80" i="6" s="1"/>
  <c r="U100" i="6"/>
  <c r="U102" i="6" l="1"/>
  <c r="U183" i="6" s="1"/>
  <c r="U179" i="6"/>
  <c r="U184" i="6" s="1"/>
  <c r="N140" i="6"/>
  <c r="U182" i="6" l="1"/>
  <c r="U186" i="6" s="1"/>
  <c r="N51" i="6"/>
  <c r="N118" i="6"/>
  <c r="R99" i="6" l="1"/>
  <c r="P99" i="6" s="1"/>
  <c r="J99" i="6"/>
  <c r="R98" i="6"/>
  <c r="P98" i="6" s="1"/>
  <c r="J98" i="6"/>
  <c r="R51" i="6"/>
  <c r="P51" i="6" s="1"/>
  <c r="J51" i="6"/>
  <c r="H51" i="6" s="1"/>
  <c r="N43" i="6"/>
  <c r="F47" i="6"/>
  <c r="N46" i="6"/>
  <c r="N73" i="6"/>
  <c r="N71" i="6"/>
  <c r="J121" i="6"/>
  <c r="N121" i="6"/>
  <c r="O121" i="6"/>
  <c r="T99" i="6" l="1"/>
  <c r="V99" i="6" s="1"/>
  <c r="H99" i="6"/>
  <c r="T51" i="6"/>
  <c r="V51" i="6" s="1"/>
  <c r="T98" i="6"/>
  <c r="V98" i="6" s="1"/>
  <c r="H98" i="6"/>
  <c r="R121" i="6"/>
  <c r="T121" i="6" s="1"/>
  <c r="V121" i="6" s="1"/>
  <c r="N168" i="6" l="1"/>
  <c r="N167" i="6"/>
  <c r="N170" i="6"/>
  <c r="N107" i="6"/>
  <c r="R107" i="6" s="1"/>
  <c r="P107" i="6" s="1"/>
  <c r="J107" i="6"/>
  <c r="H107" i="6" l="1"/>
  <c r="T107" i="6"/>
  <c r="V107" i="6" s="1"/>
  <c r="N47" i="6" l="1"/>
  <c r="R151" i="6" l="1"/>
  <c r="J151" i="6"/>
  <c r="J152" i="6"/>
  <c r="R152" i="6"/>
  <c r="R109" i="6"/>
  <c r="P109" i="6" s="1"/>
  <c r="J109" i="6"/>
  <c r="H109" i="6" s="1"/>
  <c r="R77" i="6"/>
  <c r="P77" i="6" s="1"/>
  <c r="J29" i="6"/>
  <c r="J19" i="6"/>
  <c r="H19" i="6" s="1"/>
  <c r="J63" i="6"/>
  <c r="J66" i="6"/>
  <c r="H66" i="6" s="1"/>
  <c r="J75" i="6"/>
  <c r="H75" i="6" s="1"/>
  <c r="R75" i="6"/>
  <c r="P75" i="6" s="1"/>
  <c r="J45" i="6"/>
  <c r="H45" i="6" s="1"/>
  <c r="R45" i="6"/>
  <c r="J42" i="6"/>
  <c r="J43" i="6"/>
  <c r="J44" i="6"/>
  <c r="H44" i="6" s="1"/>
  <c r="J46" i="6"/>
  <c r="J47" i="6"/>
  <c r="H47" i="6" s="1"/>
  <c r="J48" i="6"/>
  <c r="J49" i="6"/>
  <c r="J50" i="6"/>
  <c r="H50" i="6" s="1"/>
  <c r="J53" i="6"/>
  <c r="H53" i="6" s="1"/>
  <c r="J54" i="6"/>
  <c r="J55" i="6"/>
  <c r="H55" i="6" s="1"/>
  <c r="J56" i="6"/>
  <c r="J57" i="6"/>
  <c r="T57" i="6" s="1"/>
  <c r="V57" i="6" s="1"/>
  <c r="J58" i="6"/>
  <c r="J59" i="6"/>
  <c r="H59" i="6" s="1"/>
  <c r="J61" i="6"/>
  <c r="J62" i="6"/>
  <c r="H62" i="6" s="1"/>
  <c r="J64" i="6"/>
  <c r="H64" i="6" s="1"/>
  <c r="J65" i="6"/>
  <c r="J67" i="6"/>
  <c r="H67" i="6" s="1"/>
  <c r="J70" i="6"/>
  <c r="H70" i="6" s="1"/>
  <c r="J71" i="6"/>
  <c r="H71" i="6" s="1"/>
  <c r="J72" i="6"/>
  <c r="H72" i="6" s="1"/>
  <c r="J73" i="6"/>
  <c r="H73" i="6" s="1"/>
  <c r="J76" i="6"/>
  <c r="H76" i="6" s="1"/>
  <c r="J77" i="6"/>
  <c r="J78" i="6"/>
  <c r="H78" i="6" s="1"/>
  <c r="J79" i="6"/>
  <c r="H79" i="6" s="1"/>
  <c r="R58" i="6"/>
  <c r="R43" i="6"/>
  <c r="R42" i="6"/>
  <c r="R44" i="6"/>
  <c r="P44" i="6" s="1"/>
  <c r="R46" i="6"/>
  <c r="P46" i="6" s="1"/>
  <c r="R47" i="6"/>
  <c r="P47" i="6" s="1"/>
  <c r="R48" i="6"/>
  <c r="P48" i="6" s="1"/>
  <c r="R49" i="6"/>
  <c r="P49" i="6" s="1"/>
  <c r="R50" i="6"/>
  <c r="P50" i="6" s="1"/>
  <c r="R53" i="6"/>
  <c r="P53" i="6" s="1"/>
  <c r="R54" i="6"/>
  <c r="P54" i="6" s="1"/>
  <c r="R55" i="6"/>
  <c r="R56" i="6"/>
  <c r="P56" i="6" s="1"/>
  <c r="R59" i="6"/>
  <c r="N61" i="6"/>
  <c r="R61" i="6" s="1"/>
  <c r="R62" i="6"/>
  <c r="P62" i="6" s="1"/>
  <c r="N63" i="6"/>
  <c r="R63" i="6" s="1"/>
  <c r="P63" i="6" s="1"/>
  <c r="R64" i="6"/>
  <c r="P64" i="6" s="1"/>
  <c r="R65" i="6"/>
  <c r="P65" i="6" s="1"/>
  <c r="R66" i="6"/>
  <c r="P66" i="6" s="1"/>
  <c r="R67" i="6"/>
  <c r="P67" i="6" s="1"/>
  <c r="R70" i="6"/>
  <c r="P70" i="6" s="1"/>
  <c r="R71" i="6"/>
  <c r="R72" i="6"/>
  <c r="P72" i="6" s="1"/>
  <c r="R73" i="6"/>
  <c r="P73" i="6" s="1"/>
  <c r="R76" i="6"/>
  <c r="R78" i="6"/>
  <c r="R79" i="6"/>
  <c r="P79" i="6" s="1"/>
  <c r="J33" i="6"/>
  <c r="H33" i="6" s="1"/>
  <c r="R29" i="6"/>
  <c r="P29" i="6" s="1"/>
  <c r="J28" i="6"/>
  <c r="H28" i="6" s="1"/>
  <c r="J12" i="6"/>
  <c r="H12" i="6" s="1"/>
  <c r="J15" i="6"/>
  <c r="J16" i="6"/>
  <c r="H16" i="6" s="1"/>
  <c r="J23" i="6"/>
  <c r="H23" i="6" s="1"/>
  <c r="J13" i="6"/>
  <c r="H13" i="6" s="1"/>
  <c r="J14" i="6"/>
  <c r="H14" i="6" s="1"/>
  <c r="J18" i="6"/>
  <c r="T18" i="6" s="1"/>
  <c r="J20" i="6"/>
  <c r="J21" i="6"/>
  <c r="J22" i="6"/>
  <c r="H22" i="6" s="1"/>
  <c r="J24" i="6"/>
  <c r="H24" i="6" s="1"/>
  <c r="J26" i="6"/>
  <c r="J27" i="6"/>
  <c r="J30" i="6"/>
  <c r="H30" i="6" s="1"/>
  <c r="J31" i="6"/>
  <c r="H31" i="6" s="1"/>
  <c r="J34" i="6"/>
  <c r="J35" i="6"/>
  <c r="J36" i="6"/>
  <c r="H36" i="6" s="1"/>
  <c r="J37" i="6"/>
  <c r="H37" i="6" s="1"/>
  <c r="R28" i="6"/>
  <c r="R31" i="6"/>
  <c r="R15" i="6"/>
  <c r="P15" i="6" s="1"/>
  <c r="R16" i="6"/>
  <c r="P16" i="6" s="1"/>
  <c r="R23" i="6"/>
  <c r="P23" i="6" s="1"/>
  <c r="R37" i="6"/>
  <c r="R14" i="6"/>
  <c r="P14" i="6" s="1"/>
  <c r="R21" i="6"/>
  <c r="P21" i="6" s="1"/>
  <c r="N22" i="6"/>
  <c r="R22" i="6" s="1"/>
  <c r="R24" i="6"/>
  <c r="P24" i="6" s="1"/>
  <c r="R27" i="6"/>
  <c r="P27" i="6" s="1"/>
  <c r="R30" i="6"/>
  <c r="P30" i="6" s="1"/>
  <c r="R33" i="6"/>
  <c r="R34" i="6"/>
  <c r="P34" i="6" s="1"/>
  <c r="R35" i="6"/>
  <c r="P35" i="6" s="1"/>
  <c r="R36" i="6"/>
  <c r="P36" i="6" s="1"/>
  <c r="J144" i="6"/>
  <c r="R144" i="6"/>
  <c r="J132" i="6"/>
  <c r="N132" i="6"/>
  <c r="R132" i="6" s="1"/>
  <c r="J133" i="6"/>
  <c r="N133" i="6"/>
  <c r="R133" i="6" s="1"/>
  <c r="J134" i="6"/>
  <c r="N134" i="6"/>
  <c r="R134" i="6" s="1"/>
  <c r="J135" i="6"/>
  <c r="N135" i="6"/>
  <c r="R135" i="6" s="1"/>
  <c r="J136" i="6"/>
  <c r="N136" i="6"/>
  <c r="R136" i="6" s="1"/>
  <c r="J137" i="6"/>
  <c r="N137" i="6"/>
  <c r="R137" i="6" s="1"/>
  <c r="J145" i="6"/>
  <c r="R145" i="6"/>
  <c r="J155" i="6"/>
  <c r="R155" i="6"/>
  <c r="J156" i="6"/>
  <c r="R156" i="6"/>
  <c r="J160" i="6"/>
  <c r="R160" i="6"/>
  <c r="J177" i="6"/>
  <c r="M177" i="6"/>
  <c r="N177" i="6"/>
  <c r="O177" i="6"/>
  <c r="F115" i="6"/>
  <c r="O115" i="6"/>
  <c r="M115" i="6"/>
  <c r="F116" i="6"/>
  <c r="O116" i="6"/>
  <c r="M116" i="6"/>
  <c r="F117" i="6"/>
  <c r="O117" i="6"/>
  <c r="J118" i="6"/>
  <c r="O118" i="6"/>
  <c r="J119" i="6"/>
  <c r="O119" i="6"/>
  <c r="N119" i="6"/>
  <c r="J120" i="6"/>
  <c r="O120" i="6"/>
  <c r="N120" i="6"/>
  <c r="J122" i="6"/>
  <c r="J123" i="6"/>
  <c r="O123" i="6"/>
  <c r="N123" i="6"/>
  <c r="J124" i="6"/>
  <c r="O124" i="6"/>
  <c r="N124" i="6"/>
  <c r="J168" i="6"/>
  <c r="R168" i="6"/>
  <c r="J139" i="6"/>
  <c r="R139" i="6"/>
  <c r="J140" i="6"/>
  <c r="R140" i="6"/>
  <c r="J147" i="6"/>
  <c r="R147" i="6"/>
  <c r="J148" i="6"/>
  <c r="N148" i="6"/>
  <c r="R148" i="6" s="1"/>
  <c r="J149" i="6"/>
  <c r="R149" i="6"/>
  <c r="J158" i="6"/>
  <c r="R158" i="6"/>
  <c r="J162" i="6"/>
  <c r="R162" i="6"/>
  <c r="J163" i="6"/>
  <c r="R163" i="6"/>
  <c r="J167" i="6"/>
  <c r="R167" i="6"/>
  <c r="J169" i="6"/>
  <c r="N169" i="6"/>
  <c r="R169" i="6" s="1"/>
  <c r="J170" i="6"/>
  <c r="R170" i="6"/>
  <c r="J171" i="6"/>
  <c r="R171" i="6"/>
  <c r="J172" i="6"/>
  <c r="R172" i="6"/>
  <c r="J173" i="6"/>
  <c r="R173" i="6"/>
  <c r="J174" i="6"/>
  <c r="R174" i="6"/>
  <c r="J175" i="6"/>
  <c r="M175" i="6"/>
  <c r="N175" i="6"/>
  <c r="O175" i="6"/>
  <c r="J141" i="6"/>
  <c r="R141" i="6"/>
  <c r="J125" i="6"/>
  <c r="N125" i="6"/>
  <c r="R125" i="6" s="1"/>
  <c r="J126" i="6"/>
  <c r="N126" i="6"/>
  <c r="R126" i="6" s="1"/>
  <c r="J127" i="6"/>
  <c r="N127" i="6"/>
  <c r="R127" i="6" s="1"/>
  <c r="J128" i="6"/>
  <c r="N128" i="6"/>
  <c r="R128" i="6" s="1"/>
  <c r="J129" i="6"/>
  <c r="N129" i="6"/>
  <c r="R129" i="6" s="1"/>
  <c r="J130" i="6"/>
  <c r="N130" i="6"/>
  <c r="R130" i="6" s="1"/>
  <c r="J131" i="6"/>
  <c r="N131" i="6"/>
  <c r="R131" i="6" s="1"/>
  <c r="J142" i="6"/>
  <c r="R142" i="6"/>
  <c r="J143" i="6"/>
  <c r="R143" i="6"/>
  <c r="J153" i="6"/>
  <c r="R153" i="6"/>
  <c r="J154" i="6"/>
  <c r="R154" i="6"/>
  <c r="J159" i="6"/>
  <c r="R159" i="6"/>
  <c r="J176" i="6"/>
  <c r="M176" i="6"/>
  <c r="N176" i="6"/>
  <c r="O176" i="6"/>
  <c r="J105" i="6"/>
  <c r="R105" i="6"/>
  <c r="P105" i="6" s="1"/>
  <c r="J106" i="6"/>
  <c r="R106" i="6"/>
  <c r="P106" i="6" s="1"/>
  <c r="J108" i="6"/>
  <c r="H108" i="6" s="1"/>
  <c r="R108" i="6"/>
  <c r="P108" i="6" s="1"/>
  <c r="J110" i="6"/>
  <c r="H110" i="6" s="1"/>
  <c r="R110" i="6"/>
  <c r="T69" i="6"/>
  <c r="J84" i="6"/>
  <c r="J85" i="6"/>
  <c r="J86" i="6"/>
  <c r="T86" i="6" s="1"/>
  <c r="V86" i="6" s="1"/>
  <c r="J87" i="6"/>
  <c r="R87" i="6"/>
  <c r="J88" i="6"/>
  <c r="H88" i="6" s="1"/>
  <c r="R88" i="6"/>
  <c r="J89" i="6"/>
  <c r="T89" i="6" s="1"/>
  <c r="V89" i="6" s="1"/>
  <c r="J91" i="6"/>
  <c r="H91" i="6" s="1"/>
  <c r="R91" i="6"/>
  <c r="P91" i="6" s="1"/>
  <c r="J92" i="6"/>
  <c r="H92" i="6" s="1"/>
  <c r="R92" i="6"/>
  <c r="P92" i="6" s="1"/>
  <c r="J93" i="6"/>
  <c r="H93" i="6" s="1"/>
  <c r="R93" i="6"/>
  <c r="P93" i="6" s="1"/>
  <c r="J94" i="6"/>
  <c r="R94" i="6"/>
  <c r="P94" i="6" s="1"/>
  <c r="J96" i="6"/>
  <c r="H96" i="6" s="1"/>
  <c r="R96" i="6"/>
  <c r="P96" i="6" s="1"/>
  <c r="J97" i="6"/>
  <c r="H97" i="6" s="1"/>
  <c r="R97" i="6"/>
  <c r="J150" i="6"/>
  <c r="Q166" i="6"/>
  <c r="S157" i="6"/>
  <c r="R150" i="6"/>
  <c r="Q102" i="6"/>
  <c r="H34" i="6" l="1"/>
  <c r="T34" i="6"/>
  <c r="V18" i="6"/>
  <c r="H54" i="6"/>
  <c r="T54" i="6"/>
  <c r="T19" i="6"/>
  <c r="V19" i="6" s="1"/>
  <c r="T59" i="6"/>
  <c r="V59" i="6" s="1"/>
  <c r="P87" i="6"/>
  <c r="R100" i="6"/>
  <c r="T84" i="6"/>
  <c r="J100" i="6"/>
  <c r="H61" i="6"/>
  <c r="J80" i="6"/>
  <c r="P61" i="6"/>
  <c r="R80" i="6"/>
  <c r="T43" i="6"/>
  <c r="V43" i="6" s="1"/>
  <c r="T151" i="6"/>
  <c r="V151" i="6" s="1"/>
  <c r="H42" i="6"/>
  <c r="P42" i="6"/>
  <c r="T14" i="6"/>
  <c r="V14" i="6" s="1"/>
  <c r="T72" i="6"/>
  <c r="V72" i="6" s="1"/>
  <c r="T67" i="6"/>
  <c r="V67" i="6" s="1"/>
  <c r="T78" i="6"/>
  <c r="V78" i="6" s="1"/>
  <c r="T55" i="6"/>
  <c r="V55" i="6" s="1"/>
  <c r="R176" i="6"/>
  <c r="T176" i="6" s="1"/>
  <c r="V176" i="6" s="1"/>
  <c r="T159" i="6"/>
  <c r="V159" i="6" s="1"/>
  <c r="R175" i="6"/>
  <c r="T175" i="6" s="1"/>
  <c r="V175" i="6" s="1"/>
  <c r="R123" i="6"/>
  <c r="R118" i="6"/>
  <c r="T118" i="6" s="1"/>
  <c r="V118" i="6" s="1"/>
  <c r="T155" i="6"/>
  <c r="V155" i="6" s="1"/>
  <c r="T33" i="6"/>
  <c r="R119" i="6"/>
  <c r="T50" i="6"/>
  <c r="V50" i="6" s="1"/>
  <c r="T66" i="6"/>
  <c r="V66" i="6" s="1"/>
  <c r="J161" i="6"/>
  <c r="T148" i="6"/>
  <c r="V148" i="6" s="1"/>
  <c r="T135" i="6"/>
  <c r="V135" i="6" s="1"/>
  <c r="T163" i="6"/>
  <c r="V163" i="6" s="1"/>
  <c r="T70" i="6"/>
  <c r="V70" i="6" s="1"/>
  <c r="H86" i="6"/>
  <c r="T62" i="6"/>
  <c r="V62" i="6" s="1"/>
  <c r="H161" i="6"/>
  <c r="T168" i="6"/>
  <c r="V168" i="6" s="1"/>
  <c r="R120" i="6"/>
  <c r="T120" i="6" s="1"/>
  <c r="V120" i="6" s="1"/>
  <c r="T24" i="6"/>
  <c r="V24" i="6" s="1"/>
  <c r="T31" i="6"/>
  <c r="V31" i="6" s="1"/>
  <c r="V34" i="6"/>
  <c r="T144" i="6"/>
  <c r="V144" i="6" s="1"/>
  <c r="P55" i="6"/>
  <c r="T53" i="6"/>
  <c r="R161" i="6"/>
  <c r="J111" i="6"/>
  <c r="R124" i="6"/>
  <c r="T124" i="6" s="1"/>
  <c r="V124" i="6" s="1"/>
  <c r="T133" i="6"/>
  <c r="V133" i="6" s="1"/>
  <c r="T29" i="6"/>
  <c r="V29" i="6" s="1"/>
  <c r="T27" i="6"/>
  <c r="V27" i="6" s="1"/>
  <c r="J138" i="6"/>
  <c r="T170" i="6"/>
  <c r="V170" i="6" s="1"/>
  <c r="T73" i="6"/>
  <c r="V73" i="6" s="1"/>
  <c r="T167" i="6"/>
  <c r="V167" i="6" s="1"/>
  <c r="T79" i="6"/>
  <c r="V79" i="6" s="1"/>
  <c r="H18" i="6"/>
  <c r="T75" i="6"/>
  <c r="H27" i="6"/>
  <c r="P78" i="6"/>
  <c r="H57" i="6"/>
  <c r="T49" i="6"/>
  <c r="P161" i="6"/>
  <c r="H157" i="6"/>
  <c r="P157" i="6"/>
  <c r="T16" i="6"/>
  <c r="V16" i="6" s="1"/>
  <c r="T64" i="6"/>
  <c r="V64" i="6" s="1"/>
  <c r="T158" i="6"/>
  <c r="V158" i="6" s="1"/>
  <c r="P33" i="6"/>
  <c r="T152" i="6"/>
  <c r="V152" i="6" s="1"/>
  <c r="P31" i="6"/>
  <c r="T94" i="6"/>
  <c r="V94" i="6" s="1"/>
  <c r="T141" i="6"/>
  <c r="V141" i="6" s="1"/>
  <c r="T153" i="6"/>
  <c r="V153" i="6" s="1"/>
  <c r="T162" i="6"/>
  <c r="V162" i="6" s="1"/>
  <c r="T42" i="6"/>
  <c r="T93" i="6"/>
  <c r="V93" i="6" s="1"/>
  <c r="T105" i="6"/>
  <c r="V105" i="6" s="1"/>
  <c r="R177" i="6"/>
  <c r="V54" i="6"/>
  <c r="T134" i="6"/>
  <c r="V134" i="6" s="1"/>
  <c r="T132" i="6"/>
  <c r="V132" i="6" s="1"/>
  <c r="T128" i="6"/>
  <c r="V128" i="6" s="1"/>
  <c r="P22" i="6"/>
  <c r="R38" i="6"/>
  <c r="T131" i="6"/>
  <c r="V131" i="6" s="1"/>
  <c r="T109" i="6"/>
  <c r="V109" i="6" s="1"/>
  <c r="T172" i="6"/>
  <c r="V172" i="6" s="1"/>
  <c r="R122" i="6"/>
  <c r="J157" i="6"/>
  <c r="J166" i="6"/>
  <c r="T13" i="6"/>
  <c r="V13" i="6" s="1"/>
  <c r="T23" i="6"/>
  <c r="V23" i="6" s="1"/>
  <c r="R157" i="6"/>
  <c r="H94" i="6"/>
  <c r="T91" i="6"/>
  <c r="T92" i="6"/>
  <c r="V92" i="6" s="1"/>
  <c r="H49" i="6"/>
  <c r="T47" i="6"/>
  <c r="V47" i="6" s="1"/>
  <c r="T30" i="6"/>
  <c r="V30" i="6" s="1"/>
  <c r="T137" i="6"/>
  <c r="V137" i="6" s="1"/>
  <c r="T143" i="6"/>
  <c r="V143" i="6" s="1"/>
  <c r="T145" i="6"/>
  <c r="V145" i="6" s="1"/>
  <c r="P59" i="6"/>
  <c r="H89" i="6"/>
  <c r="T136" i="6"/>
  <c r="V136" i="6" s="1"/>
  <c r="T160" i="6"/>
  <c r="V160" i="6" s="1"/>
  <c r="T44" i="6"/>
  <c r="V44" i="6" s="1"/>
  <c r="T96" i="6"/>
  <c r="H84" i="6"/>
  <c r="T173" i="6"/>
  <c r="V173" i="6" s="1"/>
  <c r="T108" i="6"/>
  <c r="V108" i="6" s="1"/>
  <c r="T156" i="6"/>
  <c r="V156" i="6" s="1"/>
  <c r="T154" i="6"/>
  <c r="V154" i="6" s="1"/>
  <c r="T126" i="6"/>
  <c r="V126" i="6" s="1"/>
  <c r="T15" i="6"/>
  <c r="V15" i="6" s="1"/>
  <c r="T150" i="6"/>
  <c r="V150" i="6" s="1"/>
  <c r="T85" i="6"/>
  <c r="V85" i="6" s="1"/>
  <c r="H105" i="6"/>
  <c r="T22" i="6"/>
  <c r="V22" i="6" s="1"/>
  <c r="T36" i="6"/>
  <c r="V36" i="6" s="1"/>
  <c r="H85" i="6"/>
  <c r="T171" i="6"/>
  <c r="V171" i="6" s="1"/>
  <c r="T147" i="6"/>
  <c r="V147" i="6" s="1"/>
  <c r="J146" i="6"/>
  <c r="T139" i="6"/>
  <c r="V139" i="6" s="1"/>
  <c r="J116" i="6"/>
  <c r="N116" i="6"/>
  <c r="R116" i="6" s="1"/>
  <c r="R138" i="6"/>
  <c r="H48" i="6"/>
  <c r="T48" i="6"/>
  <c r="V48" i="6" s="1"/>
  <c r="H43" i="6"/>
  <c r="T130" i="6"/>
  <c r="V130" i="6" s="1"/>
  <c r="T125" i="6"/>
  <c r="V125" i="6" s="1"/>
  <c r="N115" i="6"/>
  <c r="R115" i="6" s="1"/>
  <c r="J115" i="6"/>
  <c r="P28" i="6"/>
  <c r="T28" i="6"/>
  <c r="V28" i="6" s="1"/>
  <c r="T35" i="6"/>
  <c r="V35" i="6" s="1"/>
  <c r="H35" i="6"/>
  <c r="T20" i="6"/>
  <c r="V20" i="6" s="1"/>
  <c r="H20" i="6"/>
  <c r="P76" i="6"/>
  <c r="T76" i="6"/>
  <c r="V76" i="6" s="1"/>
  <c r="P71" i="6"/>
  <c r="T71" i="6"/>
  <c r="V71" i="6" s="1"/>
  <c r="H58" i="6"/>
  <c r="T58" i="6"/>
  <c r="V58" i="6" s="1"/>
  <c r="H63" i="6"/>
  <c r="T63" i="6"/>
  <c r="V63" i="6" s="1"/>
  <c r="T61" i="6"/>
  <c r="T127" i="6"/>
  <c r="V127" i="6" s="1"/>
  <c r="P88" i="6"/>
  <c r="T88" i="6"/>
  <c r="V88" i="6" s="1"/>
  <c r="H87" i="6"/>
  <c r="T87" i="6"/>
  <c r="V87" i="6" s="1"/>
  <c r="P110" i="6"/>
  <c r="P111" i="6" s="1"/>
  <c r="R111" i="6"/>
  <c r="T110" i="6"/>
  <c r="V110" i="6" s="1"/>
  <c r="T106" i="6"/>
  <c r="V106" i="6" s="1"/>
  <c r="H106" i="6"/>
  <c r="T129" i="6"/>
  <c r="R146" i="6"/>
  <c r="T149" i="6"/>
  <c r="V149" i="6" s="1"/>
  <c r="N117" i="6"/>
  <c r="R117" i="6" s="1"/>
  <c r="J117" i="6"/>
  <c r="P37" i="6"/>
  <c r="T37" i="6"/>
  <c r="V37" i="6" s="1"/>
  <c r="T26" i="6"/>
  <c r="H26" i="6"/>
  <c r="H21" i="6"/>
  <c r="T21" i="6"/>
  <c r="V21" i="6" s="1"/>
  <c r="P43" i="6"/>
  <c r="H65" i="6"/>
  <c r="T65" i="6"/>
  <c r="V65" i="6" s="1"/>
  <c r="H56" i="6"/>
  <c r="T56" i="6"/>
  <c r="V56" i="6" s="1"/>
  <c r="P97" i="6"/>
  <c r="T97" i="6"/>
  <c r="T142" i="6"/>
  <c r="V142" i="6" s="1"/>
  <c r="T174" i="6"/>
  <c r="V174" i="6" s="1"/>
  <c r="T169" i="6"/>
  <c r="V169" i="6" s="1"/>
  <c r="T140" i="6"/>
  <c r="V140" i="6" s="1"/>
  <c r="H15" i="6"/>
  <c r="J38" i="6"/>
  <c r="P58" i="6"/>
  <c r="H77" i="6"/>
  <c r="T77" i="6"/>
  <c r="V77" i="6" s="1"/>
  <c r="H46" i="6"/>
  <c r="T46" i="6"/>
  <c r="V46" i="6" s="1"/>
  <c r="P45" i="6"/>
  <c r="T45" i="6"/>
  <c r="V45" i="6" s="1"/>
  <c r="T12" i="6"/>
  <c r="T52" i="6" l="1"/>
  <c r="V52" i="6" s="1"/>
  <c r="T32" i="6"/>
  <c r="V32" i="6" s="1"/>
  <c r="V96" i="6"/>
  <c r="T95" i="6"/>
  <c r="V95" i="6" s="1"/>
  <c r="T41" i="6"/>
  <c r="V41" i="6" s="1"/>
  <c r="T68" i="6"/>
  <c r="V68" i="6" s="1"/>
  <c r="T25" i="6"/>
  <c r="V25" i="6" s="1"/>
  <c r="V91" i="6"/>
  <c r="T90" i="6"/>
  <c r="V90" i="6" s="1"/>
  <c r="V84" i="6"/>
  <c r="T83" i="6"/>
  <c r="V83" i="6" s="1"/>
  <c r="V75" i="6"/>
  <c r="T74" i="6"/>
  <c r="V74" i="6" s="1"/>
  <c r="V33" i="6"/>
  <c r="V12" i="6"/>
  <c r="T11" i="6"/>
  <c r="V11" i="6" s="1"/>
  <c r="V26" i="6"/>
  <c r="V53" i="6"/>
  <c r="V61" i="6"/>
  <c r="T60" i="6"/>
  <c r="V60" i="6" s="1"/>
  <c r="V42" i="6"/>
  <c r="T17" i="6"/>
  <c r="V17" i="6" s="1"/>
  <c r="T100" i="6"/>
  <c r="V100" i="6" s="1"/>
  <c r="P80" i="6"/>
  <c r="J102" i="6"/>
  <c r="J183" i="6" s="1"/>
  <c r="H100" i="6"/>
  <c r="P100" i="6"/>
  <c r="T80" i="6"/>
  <c r="V80" i="6" s="1"/>
  <c r="H80" i="6"/>
  <c r="R114" i="6"/>
  <c r="P146" i="6"/>
  <c r="T161" i="6"/>
  <c r="V161" i="6" s="1"/>
  <c r="T119" i="6"/>
  <c r="V119" i="6" s="1"/>
  <c r="P38" i="6"/>
  <c r="T123" i="6"/>
  <c r="V123" i="6" s="1"/>
  <c r="T177" i="6"/>
  <c r="V177" i="6" s="1"/>
  <c r="R102" i="6"/>
  <c r="R183" i="6" s="1"/>
  <c r="T138" i="6"/>
  <c r="V138" i="6" s="1"/>
  <c r="T111" i="6"/>
  <c r="V111" i="6" s="1"/>
  <c r="H166" i="6"/>
  <c r="P166" i="6"/>
  <c r="R166" i="6"/>
  <c r="T166" i="6" s="1"/>
  <c r="V166" i="6" s="1"/>
  <c r="T38" i="6"/>
  <c r="V38" i="6" s="1"/>
  <c r="H138" i="6"/>
  <c r="H146" i="6"/>
  <c r="T157" i="6"/>
  <c r="V157" i="6" s="1"/>
  <c r="H38" i="6"/>
  <c r="T122" i="6"/>
  <c r="V122" i="6" s="1"/>
  <c r="T146" i="6"/>
  <c r="V146" i="6" s="1"/>
  <c r="H111" i="6"/>
  <c r="T116" i="6"/>
  <c r="V116" i="6" s="1"/>
  <c r="T117" i="6"/>
  <c r="J114" i="6"/>
  <c r="J179" i="6" s="1"/>
  <c r="J184" i="6" s="1"/>
  <c r="T115" i="6"/>
  <c r="V115" i="6" s="1"/>
  <c r="J182" i="6" l="1"/>
  <c r="J185" i="6" s="1"/>
  <c r="T183" i="6"/>
  <c r="V183" i="6" s="1"/>
  <c r="T114" i="6"/>
  <c r="P102" i="6"/>
  <c r="P183" i="6" s="1"/>
  <c r="T102" i="6"/>
  <c r="V102" i="6" s="1"/>
  <c r="H114" i="6"/>
  <c r="H179" i="6" s="1"/>
  <c r="H184" i="6" s="1"/>
  <c r="H102" i="6"/>
  <c r="H183" i="6" s="1"/>
  <c r="P114" i="6"/>
  <c r="P179" i="6" s="1"/>
  <c r="P184" i="6" s="1"/>
  <c r="R179" i="6"/>
  <c r="R184" i="6" s="1"/>
  <c r="R182" i="6" s="1"/>
  <c r="R185" i="6" s="1"/>
  <c r="T182" i="6" l="1"/>
  <c r="V182" i="6" s="1"/>
  <c r="T179" i="6"/>
  <c r="V179" i="6" s="1"/>
  <c r="V114" i="6"/>
  <c r="R186" i="6"/>
  <c r="T184" i="6"/>
  <c r="V184" i="6" s="1"/>
  <c r="J186" i="6" l="1"/>
  <c r="T186" i="6" s="1"/>
  <c r="V186" i="6" s="1"/>
  <c r="T185" i="6"/>
  <c r="V185" i="6" l="1"/>
</calcChain>
</file>

<file path=xl/sharedStrings.xml><?xml version="1.0" encoding="utf-8"?>
<sst xmlns="http://schemas.openxmlformats.org/spreadsheetml/2006/main" count="643" uniqueCount="309">
  <si>
    <t>Personnel et autres employés</t>
  </si>
  <si>
    <t>Fournitures, produits de base, matériels</t>
  </si>
  <si>
    <t>Equipements et mobilier</t>
  </si>
  <si>
    <t>Services Contractuels</t>
  </si>
  <si>
    <t>Frais de déplacement</t>
  </si>
  <si>
    <t>Transferts et subventions</t>
  </si>
  <si>
    <t>Activités directes</t>
  </si>
  <si>
    <t>Frais généraux de fonctionnement et autres coûts directs</t>
  </si>
  <si>
    <t xml:space="preserve">Fonds de Cohérence pour la Stabilisation: Budget par Activité </t>
  </si>
  <si>
    <t>(c) Pour la Periode: 24 mois</t>
  </si>
  <si>
    <t>(d) Total du Budget (USD): 2.700.000,00 USD</t>
  </si>
  <si>
    <t xml:space="preserve">(g) Budget TOTAL </t>
  </si>
  <si>
    <t>DEPENSES</t>
  </si>
  <si>
    <t>CATEGORIES DE DEPENSE*</t>
  </si>
  <si>
    <t>Organisation Lead</t>
  </si>
  <si>
    <t>Quantité</t>
  </si>
  <si>
    <t>Coût Unitaire</t>
  </si>
  <si>
    <t>Durée/           Fréquence</t>
  </si>
  <si>
    <t>Budget sensible au genre: coût</t>
  </si>
  <si>
    <t xml:space="preserve">Budget sensible au genre % </t>
  </si>
  <si>
    <t xml:space="preserve"> Budget Année 1</t>
  </si>
  <si>
    <t>Budget narratif y compris le budget sensible au genre</t>
  </si>
  <si>
    <t>Budget sensible au genre %</t>
  </si>
  <si>
    <t>Budget Année 2</t>
  </si>
  <si>
    <t>Budget Narratif y compris le budget sensible au genre</t>
  </si>
  <si>
    <t>BUDGET TOTAL</t>
  </si>
  <si>
    <t xml:space="preserve">COUTS DIRECTS LIES AUX ACTIVITES </t>
  </si>
  <si>
    <t xml:space="preserve">OBJECTIVE SPECIFIQUE 1: Les populations (leaders communautaires, hommes, femmes et jeunes issus des différentes couches sociales) et les autorités locales de Lubero Sud, de Bwito Nord et de Ikobo s’accordent de façon globale sur les causes motrices des conflits et d’insécurité et ils s’engagent à y trouver des solutions communes de paix communautaires. </t>
  </si>
  <si>
    <t>RESULTAT 1.1 Les mécanismes de gestion alternative de conflits sont fonctionnels (redynamisés et/ou mises en place lorsqu’elles font défaut) et capables de soutenir la population pour réduire les tensions et les conflits violents.</t>
  </si>
  <si>
    <t>1.1.1 : Identification de tous les mécanismes alternatifs de transformation des conflits dans la zone et réalisation d'un processus d'évaluation participative du mécanisme existant (forces/faiblesses/gaps).</t>
  </si>
  <si>
    <t>ASP</t>
  </si>
  <si>
    <t>y compris des mécanismes spécifiques pour sauvegarder les besoins et les intérêts spécifiques des femmes</t>
  </si>
  <si>
    <t>1.1.2. Elaborer avec les autorités locales et les communautés des stratégies locales pour établir/redynamiser les mécanismes de transformation des conflits dans les communautés</t>
  </si>
  <si>
    <t xml:space="preserve"> au travers 1 atélier par site réunissant 35 participants pendant 2 jours chacun.
y compris des mécanismes spécifiques pour sauvegarder les besoins et les intérêts spécifiques des femmes</t>
  </si>
  <si>
    <t>1.1.3. Faciliter les échanges entre les différents mécanismes de transformation des conflits et assurer le renforcement des capacités des membres des structures de transformation des conflits sur diverses questions relatives à la paix et aux droits des femmes</t>
  </si>
  <si>
    <t>Au moins 30% de thématiques lors des ateliers portent essentiellement sur les droits de femmes.</t>
  </si>
  <si>
    <t>Ce soutien est soit une AGR soit l'équipement (ordinateur, mobilier) pour le fonctionnement durable du mécanisme.</t>
  </si>
  <si>
    <t>8 mécanismes locaux (y compris les structures de la CPAP) et 3 CCRCC</t>
  </si>
  <si>
    <t xml:space="preserve">1.1.5. Faciliter une analyse régulière, participative et conjointe du contexte de conflit et de sécurité
</t>
  </si>
  <si>
    <t>RESULTAT 1.2 Des efforts dans la consolidation de la paix précédemment fournis sont identifiés, évalués et mis à profit.</t>
  </si>
  <si>
    <t xml:space="preserve">1.2.1 : Identification et documentation de tous les actes d’engagement et les plans d’actions dans la zone. </t>
  </si>
  <si>
    <t>y compris des mécanismes spécifiques pour l'engagement des femmes</t>
  </si>
  <si>
    <t>1.2.2 : Tenue des ateliers (mini tables rondes) d’évaluation et actualisation « des feuilles de route »  dans les axes (Lubero Sud - Kirumba, Bwito Nord - Kikuku et Ikobo - Buleusa).</t>
  </si>
  <si>
    <t>dans les axes (Lubero Sud, Bwito Nord et Ikobo) dans chaque site réunissant 35 participants.
Cet activité cible une participation de 40% des femmes</t>
  </si>
  <si>
    <t xml:space="preserve">1.2.3. Organiser des ateliers participatifs avec les autorités locales et les communautés pour élaborer des stratégies de paix communautaires et des plans de mise en œuvre au niveau local à (Musindi, Luenge, Ikobo) </t>
  </si>
  <si>
    <t>Des ateliers regroupant 35 participants pendant 2 jours chacun. Cette activité cible une participation de 40% des femmes</t>
  </si>
  <si>
    <t xml:space="preserve">1.2.4 : Organiser une table ronde (dialogue multi acteurs) au niveau de toute la zone du projet (livrables : Acte d’engagements consolidé et plan d’action pour la zone, mécanisme de suivi des engagements) </t>
  </si>
  <si>
    <t>Cette activité cible une participation de 40% des femmes. pendant 3 jours réunissant 80 participants</t>
  </si>
  <si>
    <t>1.2.5 : Recherche/étude approfondie sur les problématiques clés spécifiques identifiés à l’issue de la table ronde.</t>
  </si>
  <si>
    <t>HEKS/EPER</t>
  </si>
  <si>
    <t>L'étude à conduire est sensible au genre et fait ressortir les préoccupations des femmes, filles, hommes et garçons.</t>
  </si>
  <si>
    <t>1.2.6: Vulgariser les plans et engagements issus de différentes rencontres de dialogues (à différents niveaux et auprès des différents acteurs nécessaires) au travers 3 forums par axes</t>
  </si>
  <si>
    <t>y compris des activités de vulgarisation au profit des femmes</t>
  </si>
  <si>
    <t>Vulgarisation et mis a jour des engagements</t>
  </si>
  <si>
    <r>
      <t xml:space="preserve">1.2.7 : Appuyer les actions (horizontales) issues de "feuilles de route" consolidées </t>
    </r>
    <r>
      <rPr>
        <b/>
        <sz val="11"/>
        <rFont val="Times New Roman"/>
        <family val="1"/>
      </rPr>
      <t>(fonds flexibles)</t>
    </r>
    <r>
      <rPr>
        <sz val="11"/>
        <rFont val="Times New Roman"/>
        <family val="1"/>
      </rPr>
      <t xml:space="preserve">. </t>
    </r>
  </si>
  <si>
    <t>Y compris des actions pour le bénéfice des femmes</t>
  </si>
  <si>
    <t>RESULTAT 1.3 Les acteurs politiques sont engagés dans le processus de Dialogue Démocratique de manière formelle</t>
  </si>
  <si>
    <t>L'atelier réunissant 35 participants pendant 1 jour à goma. Cette activité cible une participation d'au moins 25% pour les femmes</t>
  </si>
  <si>
    <t xml:space="preserve">1.3.2 : Elaborer de façon participative de stratégies de plaidoyer locales, provinciales et nationales pour renforcer la paix, le développement et les droits des femmes </t>
  </si>
  <si>
    <t>AU moins 40% sont de femmes pendant l'élaboration de stratégies. Aussi, les stratégies élaborées prennent en compte les besoins de tous les sexes.</t>
  </si>
  <si>
    <t xml:space="preserve">1.3.3 : Appuyer les réunions du Conseil Consultatif Provincial (CCP) et ses descentes de suivi des activités du projet (visite d’itinérance des autorités) au travers des réunions trimestrielles                         </t>
  </si>
  <si>
    <t>Les hommes et les femmes (1/3) prennent part aux missions du CCP, les rapports du CCP adressent également des recommandations visant l'égalité des sexes</t>
  </si>
  <si>
    <t>1.3.4 : Appuyer le CCP dans la mise en place d’une activité génératrice de revenus (pour son autonomie financière).</t>
  </si>
  <si>
    <t>Fonds pour le demarrage d'une AGR, les femmes et les hommes sont membres du CCP, aussi des emplois sont crées pour les femmes dans l'AGR (35% de la main d'œuvre)</t>
  </si>
  <si>
    <t xml:space="preserve"> 1.3.5 : Soutenir techniquement et financièrement les missions/descentes de plaidoyer au niveau provincial et national                                  </t>
  </si>
  <si>
    <t>Au moins 50% de revendications introduites portent sur les droits et besoins de groupes spécifiques dont les femmes, les jeunes ex combattants et AGM)</t>
  </si>
  <si>
    <t xml:space="preserve"> 1.3.6 : Forum provincial de présentation et validation des plans communautaires de paix et des contrats sociaux signés par les membres des communautés locales auprès du parlement et gouvernement provinciaux</t>
  </si>
  <si>
    <t xml:space="preserve"> au travers 1 atélier d'un jour réunissant 40 personnes (au moins 12 sont de femmes) à Goma
le projet va appuyer la représentation des femmes au sein du Forum provincial</t>
  </si>
  <si>
    <t>RESULTAT 1.4 Un Plan de communication formulé et fonctionnel.</t>
  </si>
  <si>
    <t>1.4.1 : Élaborer le plan de communication/sensibilisation sur la paix, les R1325/R2250 et le RRR</t>
  </si>
  <si>
    <t>AAP</t>
  </si>
  <si>
    <t>A travers un atélier de 3 jours réunissant 20 journalistes et l'équipe du projet à Kanyabayonga
Le plan doit contenir des stratégies spécifiques pour cibler les femmes et jeunes</t>
  </si>
  <si>
    <t>1.4.2 : Former les organes de la presse locale sur a) ce qu’est l’I4S, les objectifs et les limites du projet, ainsi que la gestion de rumeurs b) les techniques de vérification des informations c) la prévention des conflits, le genre et la sensibilité aux conflits.</t>
  </si>
  <si>
    <t>y compris des activités de formation et d'appui destinées aux femmes/intérêts des femmes</t>
  </si>
  <si>
    <t xml:space="preserve">1.4.3 : Produire et diffuser de spots et émissions sur les radios émettant de Kinshasa, Goma et au niveau local. </t>
  </si>
  <si>
    <t>Soit 108 émissions pour 75$ par émission en moyenne. 60% d'émissions produites sensibilisent sur l'inclusion et l'égalité entre les sexes.</t>
  </si>
  <si>
    <t>1.4.4 : Soutenir les médias locaux pour l’organisation de reportages, des événements du projet.</t>
  </si>
  <si>
    <t>Les reportages adressent aussi les question relatives à l'égalité entre les sexes, l'inclusion</t>
  </si>
  <si>
    <t>1.4.5 : Former les organisations membres en techniques de « Récolte des Effets », une méthodologie de suivi-évaluation participatif</t>
  </si>
  <si>
    <t>A travers d'un atélier de renforcement des capacités réunissant 30 personnes pendant 1 jour
La formation contendra des élements spécifiques pour mésurer des effets sur les femmes</t>
  </si>
  <si>
    <t>Sous-total Objective Specifique 1</t>
  </si>
  <si>
    <t>OBJECTIVE SPECIFIQUE 2 La cohésion sociale inter-intracommunautaire est renforcée et le risque que des jeunes défavorisés rejoignent des groupes armés est réduit</t>
  </si>
  <si>
    <t>RESULTAT 2.1 : Les conditions socio-économiques des bénéficiaires (ex-combattants, jeunes à risques, femmes, retournés et déplacés &amp; communautés hôtes) sont améliorées.</t>
  </si>
  <si>
    <t>2.1.1 : Conduire une étude de marché portant sur les filières et Chaines de Valeurs Agricoles porteuses (identification de points d’entrée pour la réinsertion socioprofessionnelle) au travers 1 atélier réunissant 35 participants pendant 3 jours dans 3sites</t>
  </si>
  <si>
    <t xml:space="preserve"> y compris l'analyse sur des effets, besoins et des intérêts spécifiques des femmes
</t>
  </si>
  <si>
    <t>2.1.2 : Organiser les formations en faveur des ex-combattants, jeunes à risque, des femmes, refugiés, déplacés et communautés hôtes sur les filières porteuses identifiées dans les centres de formation professionnelle.</t>
  </si>
  <si>
    <t>HEKS/EPER (CEDERU)</t>
  </si>
  <si>
    <t>Cet activité cible une participation de 40% des femmes</t>
  </si>
  <si>
    <t>2.1.3 : Initier /ou organiser des OP et AVEC en tenant compte de l’inclusion sociale (genre, ethnie)</t>
  </si>
  <si>
    <t xml:space="preserve">2.1.4: Accompagner les petits exploitants agricoles (ex-combattants, jeunes à risques, femmes, retournés et déplacés &amp; communautés hôtes) dans la production et l’accès au marché pour les chaînes de valeurs retenues (Semenciers, producteurs, transformateurs et commerçants) </t>
  </si>
  <si>
    <t>y compris des activités d'appui spécifique aux femmes et autres groupes marginalisés</t>
  </si>
  <si>
    <t>Les moniteurs et veterinaires étant majoritairement des hommes, des efforts seront fournis pour qu'au moins 20% de participants soient de femmes.</t>
  </si>
  <si>
    <t>2.1.6: Appuyer les activités génératrices de revenus (AGR Collectives ou individuelles) en faveur des ex-combattants, jeunes à risques, femmes, retournés et déplacés &amp; communautés hôtes.</t>
  </si>
  <si>
    <t xml:space="preserve">2.1.7: Former les jeunes sur l’entreprenariat/leadership et la gestion de micro, petites et moyennes entreprises. </t>
  </si>
  <si>
    <t>3 ateliers de formations, 60% de participants sont de femmes. Les modules de formation intègrent également des aspacts relatifs aux droits de femmes.</t>
  </si>
  <si>
    <t>2.1.8 : Assurer l’accompagnement technique des bénéficiaires dans le processus de gestion de leurs AGRs et des AVECs.</t>
  </si>
  <si>
    <t>Activités sans coûts, Suivi regulier des AGR et AVEC</t>
  </si>
  <si>
    <t>Suivi regulier des AGR et AVEC</t>
  </si>
  <si>
    <t>2.1.9 : Organisation 6 actions de plaidoyer pour accès et sécurisation des terres, l’environnement économique, l’accès aux services.</t>
  </si>
  <si>
    <t xml:space="preserve">y compris des activités spécifiques aux besoins et intérêts des femmes, </t>
  </si>
  <si>
    <t>y compris des activités spécifiques aux besoins et intérêts des femmes</t>
  </si>
  <si>
    <t>RESULTAT 2.2   Des infrastructures de base pour la connexion intercommunautaire (marchés, ponts, routes, centre de jeunes) sont construites ou réhabilitées et utilisées par les communautés en place.</t>
  </si>
  <si>
    <t>Identification des constraints d'acèss des certaines infrastructures aux femmes et autres groupes marginalisés</t>
  </si>
  <si>
    <t>2.2.2 : Construction/réhabilitation des infrastructures de base (marchés, centre socioprofessionnel de jeunes, stades, …).</t>
  </si>
  <si>
    <t>Les infrastructures sont adaptés pour tous les groupes, y compris les handicapés. Les femmes et jeunes filles participent également aux travaux</t>
  </si>
  <si>
    <t>2.2.3: Equiper les infrastructures construites/réhabilitées (aux centres de jeunes existants et/ou mis en place).</t>
  </si>
  <si>
    <t>Les équipements fournis tiennent comptent également de besoins de tous les sexes et des groupes marginalisés spécifiques (handicapés, jeunes filles, …).</t>
  </si>
  <si>
    <t>2.2.4 : Organiser les réunions d’identification des sites pour les travaux HIMO (Routes de desserte agricole) en collaboration avec les autorités locales et leaders communautaires et les responsables des associations des jeunes et femmes.</t>
  </si>
  <si>
    <t>Les jeunes et femmes, aux cotés des autorités, prennent part active dans l'identifications des infrastructures à rehabiliter.</t>
  </si>
  <si>
    <t>2.2.5: Conduire une étude de faisabilité pour les travaux HIMO dans les sites identifiés.</t>
  </si>
  <si>
    <t>paiement de 22 jours x 4 dollars x 100 personnes (soit 8’800$ - dont 50% femmes); 5 superviseurs x 6 dollars x 22 jours (soit 660$); en moyenne 2740$ pour le matériel (outils aratoires) et quelques locations (camions, etc.) et achat de quelques matériaux (moellons, latérites, sables, ciment, …).</t>
  </si>
  <si>
    <t>1 atélier de 2 jours réunissant 20 personnes (rafraichissement et transport) dont 40% sont au moins de femmes.</t>
  </si>
  <si>
    <t>1 atélier de 2 jours réunissant 20 personnes, dont 40% sont au moins de femmes.</t>
  </si>
  <si>
    <t>RESULTAT 2.3 Les déplacés, refugiés, retournés, anciens combattants et jeunes ont accès aux services de soutiens (d’appui psycho-social et réconciliation)</t>
  </si>
  <si>
    <t>Les facilitateurs indentifiés sont des hommes et de femmes (à hauteur de 30%), les jeunes ex combattants (majoritairement de garçons) seront beneficaires de thérapie de groupe.</t>
  </si>
  <si>
    <t>Soit 10 groupes X 15 séances X 20$ (paiement de 2 facilitateurs par groupe; au moins 30% de facilitateurs de séances sont de femmes.</t>
  </si>
  <si>
    <t xml:space="preserve">Suivi aux domiciles, organisations de réunions pour les groupes suivis dans leurs milieux. </t>
  </si>
  <si>
    <t>80% du kit est orienté vers les plus nécessiteux (y compris les femmes et jeunes majoritairement).</t>
  </si>
  <si>
    <t>80% du kit est orienté vers les plus nécessiteux (et les femmes majoritairement).</t>
  </si>
  <si>
    <t>Les modules pour ces séances intégrent des aspects relatifs à l'égalité de droits; aussi la participation de filles sera recherchée à hauteur de 50%</t>
  </si>
  <si>
    <t>RESULTAT 2.4   Les activités conviviales pour le renforcement de la cohésion sociale entre les communautés sont organisées</t>
  </si>
  <si>
    <t xml:space="preserve">2.4.1 : identifier les associations culturelles existantes (y compris troupes théâtrales, danseurs, griots/troubadours, poètes, slameurs, …) existantes dans la zone du projet et les regrouper dans une structure mixte organisatrice des activités conviviales (ballet interculturel) ;   </t>
  </si>
  <si>
    <t>Aussi bien les femmes que les hommes artistes seront identifiés au sein de groupes spécifiques; une attention particulière sera accordée aux femmes artistes</t>
  </si>
  <si>
    <t>2.4.2 : Renforcer les capacités des acteurs de la structure des jeunes et des femmes sur les thématiques de la paix et sur la communication non violente au travers</t>
  </si>
  <si>
    <t xml:space="preserve"> 1 atélier de 3 jours réunissant 30 personnes, la participation de 50% de femmes sera recherchée</t>
  </si>
  <si>
    <t>2.4.3 : Appuyer la réalisation des activités  conviviales (dense interculturelle, poème, théâtre, sketch, …)</t>
  </si>
  <si>
    <t>Ces activités promeuvent également les droits de femmes et les valeus d'équité.</t>
  </si>
  <si>
    <t xml:space="preserve">2.4.4 : Organiser un concours public sur la paix et les résolutions RCSNU -1325 et 2250.  </t>
  </si>
  <si>
    <t>Activités orientés vers les groupes de jeunes et autres associations militantes (de femmes) pour la promotion des RCSNU 1325 et 2250</t>
  </si>
  <si>
    <t>Activités orientés vers les groupes de jeunes et autres associations militantes pour la promotion des RCSNU 1325 et 2250</t>
  </si>
  <si>
    <t>Les jeunes filles et garçons sont plus concernés, la participation est égale entre les deux sexes.</t>
  </si>
  <si>
    <t>RESULTAT 2.5  Les droits d’exploitation des terres pour les groupes des bénéficiaires sont garantis</t>
  </si>
  <si>
    <t xml:space="preserve">2.5.1. Vulgarisation de lois (y compris le P3I-FAT) et principes coutumiers sur l’accès à la terre </t>
  </si>
  <si>
    <t>Les texteset  lois à vulgariser comprennent aussi le code de la famille et les principes reletifs à la succession en droit congolais (principes égalitaires entre les sexes).</t>
  </si>
  <si>
    <t>2.5.2. Facilitation des réunions d’échange et négociation entre concessionnaires et petits exploitants agricoles en vue de la sécurisation des droits fonciers d’exploitation, particulièrement les femmes, les jeunes et autres groupes marginalisés.</t>
  </si>
  <si>
    <t>les femmes sont bien representées lors de toutes ces négociations, aussi elles jouent un grand rôle dans la mise en valeur de terres par l'agriculture.</t>
  </si>
  <si>
    <t xml:space="preserve"> 2.5.3: Identification et documentation de principes coutumiers là où c’est encore orale.</t>
  </si>
  <si>
    <t xml:space="preserve">De séances de consultations avec les gardiens de coutumes et autres membres de la communauté, de séances  de discussion et validation de resultats issus de consultation, </t>
  </si>
  <si>
    <t>2.5.4. Identification de défis et entraves pour l’accès à la terre pour les femmes, jeunes et AGM</t>
  </si>
  <si>
    <t>Ateliers avec les groupes specifiques identifiés dont les femmes, jeunes filles et autres groupes marginalisés.</t>
  </si>
  <si>
    <t xml:space="preserve">2.5.5: Accompagnement des groupes de bénéficiaire du projet, particulièrement les femmes, jeunes et AGM, afin de sécuriser leurs droits fonciers  </t>
  </si>
  <si>
    <t>Appui pour l'accès aux droits foncier d'exploitation aux seuls groupes de béneficiares du projets; les femmes et les autres groupes marginalisés particulièrement.</t>
  </si>
  <si>
    <t>Appui pour l'accès aux titres fonciers aux seuls groupes de béneficiares du projets; les femmes et les autres groupes marginalisés particulièrement.</t>
  </si>
  <si>
    <t>Sous-total Objective Specifique 2</t>
  </si>
  <si>
    <t>OBJECTIVE SPECIFIQUE 3: Les femmes influencent et participent à toutes les étapes du processus de stabilisation et de consolidation de la paix, et sont reconnues comme actrices du développement dans leurs communautés.</t>
  </si>
  <si>
    <t xml:space="preserve">RESULTAT 3.1 Les autorités locales et provinciales sont tenues responsables de la mise en place et la réalisation des politiques et lois qui protègent les droits de femmes. </t>
  </si>
  <si>
    <t xml:space="preserve">3.1.1 : Former les autorités et autres leaders communautaires sur le Genre transformatif, les droits de femmes et les lois qui les protègent. </t>
  </si>
  <si>
    <t>Au travers 8 atéliers de 3 jours regroupant 20 participants  (Mutanda, Kanyabayonga, Itala, Musindi, Tama, Luenge, Utwe et Ikobo)</t>
  </si>
  <si>
    <t>3.1.2 : Conduire une étude sur les rôles et la participation de la femme dans la prise de décision, dans la négociation de paix et la sécurité.</t>
  </si>
  <si>
    <t xml:space="preserve">L'étude est conduite par une personne/cabinet indépendant, </t>
  </si>
  <si>
    <t xml:space="preserve">3.1.3 : Atelier de validation de l’étude et mise en place de mesures concrètes pour l'inclusion et la participation des femmes dans le processus de la paix et du développement par les autorités locales (et feuilles de routes des autorités) </t>
  </si>
  <si>
    <t>au travers 1 atélier de 3 jours regroupant 50 participants</t>
  </si>
  <si>
    <t xml:space="preserve">3.1.4 : Mettre en place, lorsqu’ils font défaut ou redynamiser et appuyer (matériel et techniques) les comités provincial et locaux 1325 en vue de présenter les desideratas et besoins spécifiques de femmes (appui aux plans d’action) </t>
  </si>
  <si>
    <t>Organiser la mise en place du comité 1325 de Lubero; et Doter 3 comités (Goma, Lubero et Rutshuru) de matériels (mobilier et informatique) pour leur bon fonctionnement</t>
  </si>
  <si>
    <t>un appui de 1000$ par comité pour la mise en œuvre de leurs plans opérationnels.</t>
  </si>
  <si>
    <t>3.1.5 : Organiser les tribunes d’expression populaire entre les femmes et les acteurs de sécurité, autorités politiques et administratives et représentants de communautés ethniques</t>
  </si>
  <si>
    <t>Ces tribunes portent essentiellement sur les droits de femmes et leur participation dans le processus de paix, aux instances de prise de décisions.</t>
  </si>
  <si>
    <t>Evaluation des engagements de tribunes de l'an 1, soumissions de nouvelles revendications.</t>
  </si>
  <si>
    <t xml:space="preserve">3.1.6 : Plaidoyer : Influencer la prise des arrêtés, des édits, des circulaires locaux en faveur de la participation politique de la femme 
</t>
  </si>
  <si>
    <t>au travers 1 atélier provincial de 3 jours regroupant 50 participants à GOMA</t>
  </si>
  <si>
    <t>RESULTAT 3.2 :  Les femmes participent effectivement à la prise de décision sur les questions autour de la prévention, la gestion et la transformation des conflits et leurs besoins spécifiques sont pris en compte.</t>
  </si>
  <si>
    <t xml:space="preserve">3.2.1. Renforcer les capacités des femmes intéressées à participer au mécanisme de transformation des conflits, à l'analyse des conflits, au plaidoyer et/ou à l'élaboration et à la mise en œuvre de plans d'action pour la paix sur le leadership transformationnel </t>
  </si>
  <si>
    <t>au travers 1 atelier de 2 jours regroupant 50 participants respectivement à Mutanda, Kanyabayonga, Itala, Musindi, Tama, Luenge; Utwe et Ikobo</t>
  </si>
  <si>
    <t xml:space="preserve">3.2.2 : Mettre en place un réseau des femmes médiatrices (soutien entre pairs des femmes leaders locales pour le renforcement mutuel et partage d’expériences) </t>
  </si>
  <si>
    <t>3.2.3 : Accompagner les femmes leaders locales pour qu'elles participent au CCP ou s'y portent candidates.</t>
  </si>
  <si>
    <t>Suivi, coaching et mentorat de femmes au niveau par d'autres femmes déjà en position de leadership</t>
  </si>
  <si>
    <t xml:space="preserve">3.2.4 : Sensibiliser les coopératives locales (minières et autres ressources naturelles) sur l’intégration des femmes dans les postes de prises de décisions </t>
  </si>
  <si>
    <t>au travers 1 atelier de 1 jour regoupant 50 personnes à Bwito, Lubero et Ikobo</t>
  </si>
  <si>
    <t>RESULTAT 3.3 :  Normes et attitudes communautaires inclusives promues.</t>
  </si>
  <si>
    <t>3.3.1 : Organiser de Foras (inter-femmes et mixtes sur problèmes sécuritaires) et appui aux plans (engagements) issus des foras à Bwito, Lubero et Ikobo</t>
  </si>
  <si>
    <t>Ces foras portent sur les problématiques spécifiques identifiées dans l'étude, act3.2.1, soutien aux autorités pour la mise en œuvre des engagements</t>
  </si>
  <si>
    <t xml:space="preserve"> 3.3.2 : Référencement des cas de victimes d’abus de droits vers les structures de prise en charge holistique.</t>
  </si>
  <si>
    <t>Activités de routine pour les bureaux et antennes de AAP</t>
  </si>
  <si>
    <t xml:space="preserve">3.3.3 : Organiser de séances de dialogue de couples sur les masculinités positives (développement du curriculum et tenue de groupe de discussions) </t>
  </si>
  <si>
    <t>Sous-total Objective Specifique 3</t>
  </si>
  <si>
    <t>SOUS-TOTAL COUTS DIRECTS LIES AUX ACTIVITES (au minimum 58% du budget total)</t>
  </si>
  <si>
    <t>Suivi et Evaluation</t>
  </si>
  <si>
    <t>Frais de collecte de données pour l'étude de base</t>
  </si>
  <si>
    <t>Activités de lancement et cloture du projet</t>
  </si>
  <si>
    <t>1 atelier de lancement à Goma, deux autres ateliers de lancement organisés à Bwito et au Sud de Lubero</t>
  </si>
  <si>
    <t>1 atelier de cloture du projet à Goma, deux autres ateliers de cloture sont organisés à Bwito et au Sud de Lubero</t>
  </si>
  <si>
    <t>Collecte semestrielle des données</t>
  </si>
  <si>
    <t>collecte de données pour le rapportage semestriel et annuel (2 fois par an), organisation de focus groupes et autres entreteiens. Les aspects Genre et inclusion sont pris en compte</t>
  </si>
  <si>
    <t>Réunion (trimestrielles) de redevabilité avec les différentes parties prenantes (y compris les autorités et autres représentants de béneficaires).</t>
  </si>
  <si>
    <t>Aucune réunion ne sera tenu le premier trimestre de l'an 1, les 3 ateliers seront organisés à tour de rôles dans les differents axes (Ikobo, Bwito, Sud Lubero).</t>
  </si>
  <si>
    <t>Aucune réunion ne sera tenu le dernier trimestre de l'an 2, les 3 ateliers seront organisés à tour de rôles dans les differents axes (Ikobo, Bwito, Sud Lubero).</t>
  </si>
  <si>
    <t>Evaluation finale du projet</t>
  </si>
  <si>
    <t>Mission conduite par de consultats (personnes ou cabinet).</t>
  </si>
  <si>
    <t>Sous-total Suivi et Evaluation</t>
  </si>
  <si>
    <t xml:space="preserve">COUTS DIRECTS DE SOUTIEN </t>
  </si>
  <si>
    <t xml:space="preserve"> 1) Personnel et autres employés (lies au soutien)</t>
  </si>
  <si>
    <t xml:space="preserve">Directeur pays </t>
  </si>
  <si>
    <t>Chargé de l'Administration et Finance</t>
  </si>
  <si>
    <t>Expert National Paix et Transformation des Conflits</t>
  </si>
  <si>
    <t>Coordonnateur projet (team leader)</t>
  </si>
  <si>
    <t>Officier Suivi et evatuation (MEAL)</t>
  </si>
  <si>
    <t>Officier  Genre et inclusion</t>
  </si>
  <si>
    <t>Officier Génie civile</t>
  </si>
  <si>
    <t>Officier Administrative et Financière</t>
  </si>
  <si>
    <t>Assistant Admin - Logisticien (ne)</t>
  </si>
  <si>
    <t>Coordonnateur national</t>
  </si>
  <si>
    <t>Secretaire-caissière</t>
  </si>
  <si>
    <t>Chargé de projet</t>
  </si>
  <si>
    <t>Superviseur terrain</t>
  </si>
  <si>
    <t>Animateur terrain</t>
  </si>
  <si>
    <t>50% affecté au projet</t>
  </si>
  <si>
    <t>Secretaire exécutif</t>
  </si>
  <si>
    <t>Chargé de Suivi et Evaluation</t>
  </si>
  <si>
    <t>50% du temps au projet</t>
  </si>
  <si>
    <t>Animateurs de terrain</t>
  </si>
  <si>
    <t xml:space="preserve"> 2) Fournitures, produits de base, materiels (lies au soutien)</t>
  </si>
  <si>
    <t>Materiel et fournitures bureaux</t>
  </si>
  <si>
    <t>Coomunication (cartes de crédits)</t>
  </si>
  <si>
    <t>Carburant générateur</t>
  </si>
  <si>
    <t>Coomunication agents</t>
  </si>
  <si>
    <t>3) Equipements et mobilier (lies au soutien)</t>
  </si>
  <si>
    <t>Ordinateur</t>
  </si>
  <si>
    <t xml:space="preserve">Logiciels informatiques </t>
  </si>
  <si>
    <t>y compris les antivirus</t>
  </si>
  <si>
    <t>Imprimante</t>
  </si>
  <si>
    <t>Mobilier de bureau pour nouveau staff</t>
  </si>
  <si>
    <t>Achat de chaises, tables, armoires métaliques, porte - documents, etc. pour les nouveaux staffs</t>
  </si>
  <si>
    <t>Telephone/tablet</t>
  </si>
  <si>
    <t>Groupe électrogene</t>
  </si>
  <si>
    <t xml:space="preserve"> 4) Services Contractuels (lies au soutien)</t>
  </si>
  <si>
    <t>Internet</t>
  </si>
  <si>
    <t>5) Frais de deplacement (lies au soutien)</t>
  </si>
  <si>
    <t>Location véhicule</t>
  </si>
  <si>
    <t>Voyages/missions sur terrain</t>
  </si>
  <si>
    <t xml:space="preserve">Le logement et perdiems pour le staff </t>
  </si>
  <si>
    <t xml:space="preserve"> 6) Transferts et subventions (lies au soutien)</t>
  </si>
  <si>
    <t>7) Frais généraux de fonctionnement et autres couts directs (lies au soutien)</t>
  </si>
  <si>
    <t>Contribution au loyer de Goma</t>
  </si>
  <si>
    <t>Soit 25% du loyer</t>
  </si>
  <si>
    <t>Contribution au loyer Base de Katwe</t>
  </si>
  <si>
    <t>soit 60% du loyer</t>
  </si>
  <si>
    <t xml:space="preserve">Entretien des bureaux </t>
  </si>
  <si>
    <t>Contibutions aux soins médicaux de staff</t>
  </si>
  <si>
    <t>Contributions au loyer de Goma</t>
  </si>
  <si>
    <t>40% pour AAP</t>
  </si>
  <si>
    <t>Contribution au loyer de l'antenne de Bwito</t>
  </si>
  <si>
    <t>Contribution au loyer de l'antenne de Lubero</t>
  </si>
  <si>
    <t>frais généraux de fonctionnement et autres coûts directs</t>
  </si>
  <si>
    <t>Frais bancaires</t>
  </si>
  <si>
    <t>SOUS-TOTAL COUTS DIRECTS DE SOUTIEN (ne peuvent représentés plus de 35% du budget total)</t>
  </si>
  <si>
    <t>Cout Total Programme</t>
  </si>
  <si>
    <t>Year 1</t>
  </si>
  <si>
    <t>Year 2</t>
  </si>
  <si>
    <t>Couts Indirects (7%)**</t>
  </si>
  <si>
    <t>Couts directs liés aux activités</t>
  </si>
  <si>
    <t xml:space="preserve">Couts soutien liés aux activités </t>
  </si>
  <si>
    <t>Couts des activités d’assurance financiere d’AG (1%)</t>
  </si>
  <si>
    <t>Total Global</t>
  </si>
  <si>
    <t>Budget programmatique: Budget total/1.07</t>
  </si>
  <si>
    <t>SGG:  budget total/1.07*0.07</t>
  </si>
  <si>
    <t xml:space="preserve">2.1.5: Former les moniteurs/agronomes et vétérinaires sur les techniques et pratiques agricoles/culturales et zootechnies (pastorale) </t>
  </si>
  <si>
    <t xml:space="preserve">2.2.7 : Former les gestionnaires des infrastructures en vue d’une gestion saine et durable autravers </t>
  </si>
  <si>
    <t>2.4.5 : Organiser un concours interscolaire (Génies en herbe, poème et dessins ; orthographe) sur la cohabitation pacifique.</t>
  </si>
  <si>
    <t>Etude de base</t>
  </si>
  <si>
    <t>Soit 5 AGR collectives de 5000$/AGR et 96 AGR individuelles de 200$/AGR; 60% des AGR sont portées par les femmes</t>
  </si>
  <si>
    <t xml:space="preserve">Les texteset  lois à vulgariser comprennent aussi le code de la famille et les principes reletifs à la succession en droit congolais (principes égalitaires entre les sexes). Les couts concerne: Transport local des animateurs (mobilité dans les axes), Traduction (en swahili) des principes fonciers et principes de code de la famille,  impression de lois (format d'imprimerie); Organisation de rencontres/focus groupes avec les groupes spécifiques (rafraichissement) </t>
  </si>
  <si>
    <t xml:space="preserve">1.3.1 : Organiser des ateliers de redynamisation du Conseil Consultatif Provincial (CCP) et du GPPM (Groupe de Plaidoyer au niveau national) </t>
  </si>
  <si>
    <t>Appui aux réunions et descentes de commissions Planification, Suivi et Evaluation de CLPD (rôle de comité local de pilotage).</t>
  </si>
  <si>
    <t>Réunion entre le consortium et  les membres de CLPD (Comité Local de Pilotage), pour le suivi et les orientations sur le projet.</t>
  </si>
  <si>
    <t xml:space="preserve">2.2.6 : Organiser et appuyer les travaux HIMO en faveur des jeunes à risque, les femmes/filles et les Autres groupes marginalisés (y compris les Pygmées) </t>
  </si>
  <si>
    <t>Pour financer les recommandations prioritaires (microprojets) issus de la table ronde et approuvé par la SSU, y compris des intitiatives portées par les femmes. Un manuel pour l'utilisation de ces fonds sera développé</t>
  </si>
  <si>
    <t>1.1.4. Soutenir 8 mécanismes locaux et 4 CCRCC dans la mise en œuvre de leurs stratégies pour garantir le fonctionnement durable et efficace des structures de transformation des conflits.</t>
  </si>
  <si>
    <t xml:space="preserve"> Il s'agit des atelirs participatifs d'analyse de conflits, y compris l'analyse de l'évolution des besoins et des intérêts spécifiques des femmes, une fois tous les 6 mois dans chaque groupement.
</t>
  </si>
  <si>
    <t>2.2.1 : Atelier participatif d’identification et validation des infrastructures à construire/réhabiliter.</t>
  </si>
  <si>
    <t>De coûts de prise en charge de cas individuels particuliers; y compris de soins dans les centres de santé memntale ou psychiatrique</t>
  </si>
  <si>
    <t>Réunion entre le consortium et  les membres de CLPD (Comité Local de Pilotage), pour le suivi et les orientations sur le projet. Lors de la première rencontre;  les membres seront formés/informés sur les notions de stabilisation.</t>
  </si>
  <si>
    <t>De séaces communautaires pour la réintégration de jeunes ex combattants et autres dans la communauté,  (de jeunes filles y sont aussi béneficaire, à hauteur de 40%)</t>
  </si>
  <si>
    <t>Y compris l'assemblée générale, la formation sur les notion de médiation et le developpement des outils de travail</t>
  </si>
  <si>
    <t>affecté au projet à 10%</t>
  </si>
  <si>
    <t>affecté au projet à 15%</t>
  </si>
  <si>
    <t>affecté au projet à 100%</t>
  </si>
  <si>
    <t>affecté au projet 20%</t>
  </si>
  <si>
    <t>affecté au projet 100%</t>
  </si>
  <si>
    <t>affecté au projet à 70%</t>
  </si>
  <si>
    <t>affecté au projet à 60%</t>
  </si>
  <si>
    <t>affecté au projet à 50%</t>
  </si>
  <si>
    <t>Rames de paiers, tonneres imprimantes, stylos; post-its, agraffeuses, classeurs, …</t>
  </si>
  <si>
    <t>Psychologue</t>
  </si>
  <si>
    <t>Pour la collecte mobile de données, à utiliser par les MEAL de Heks et de partenaires</t>
  </si>
  <si>
    <t>Soit 20% du loyer</t>
  </si>
  <si>
    <t>soit 30% du loyer</t>
  </si>
  <si>
    <t>y compris des activités d'appui aux participations des femmes et autres groupes marginalisés et la prime de formateur et structuration paysanne</t>
  </si>
  <si>
    <t>Essentiellement pour la prime de formateur et la structuration paysanne</t>
  </si>
  <si>
    <t xml:space="preserve">2.3.1: Ateliers de recyclage sur la prise en charge psychosociale et des séances de débriefing émotionnel en faveur des facilitateurs de groupes (minimum 2 ateliers).
</t>
  </si>
  <si>
    <t xml:space="preserve">2.3.2: Organiser des séances d’accompagnement psychosocial (selon le cas individuels).
</t>
  </si>
  <si>
    <t xml:space="preserve">2.3.3: Organiser des 12-16 séances de renforcement de compétences socio-émotionnelles dans les groupes (par groupe)
</t>
  </si>
  <si>
    <t xml:space="preserve">2.3.4: Organiser de séances de sociothérapie 
</t>
  </si>
  <si>
    <t xml:space="preserve">2.3.5: Assurer le suivi psychosocial à domicile individuel et collectif de proximité
</t>
  </si>
  <si>
    <t xml:space="preserve">2.3.6: Provision d’un kit de dignité (pour les plus nécessiteux)  </t>
  </si>
  <si>
    <t>2.3.7 : Organiser les séances de formation sur les compétences de vie quotidienne (life skills, y compris civisme, résolution non-violente des différends) tenant compte de la dimension de genre.</t>
  </si>
  <si>
    <t>Pour la mise en œuvre des questions émergentes du RRR, de problématiques spécifiques du P-DDRCS au lancement des activités</t>
  </si>
  <si>
    <t>Mise en œuvre des problématiques émergentes liées au Genre et FPS</t>
  </si>
  <si>
    <t>De réunions de couples sur les normes du genre; le groupe de couples (environ 8) participent à 6 séances par groupement.</t>
  </si>
  <si>
    <t>De réunions de couples sur les normes du genre; le groupe de couples (environ 10) participent à 6 séances par groupement + developpement du curriculum pour la 1ere année</t>
  </si>
  <si>
    <t>Pour l'organisations de réunions d'affaires entre intervenants de chaines de valeurs ciblées</t>
  </si>
  <si>
    <t>2.1.10 : Fonds flexibles pour le pilier RRR (Retour, Réintégration et Relance socio-économique)</t>
  </si>
  <si>
    <t>3.3.4: Fonds flexibles pour le pilier Femmes, Paix et Securité (y compris le Genre comme thématique transversale du projet)</t>
  </si>
  <si>
    <t>Depenses réelles</t>
  </si>
  <si>
    <t>% de réalisation</t>
  </si>
  <si>
    <t>(a) Nom de l'organisation: HEKS EPER</t>
  </si>
  <si>
    <t>(b) Titre du Projet: MUDA WA AMANI "Le Temps pour la Paix"</t>
  </si>
  <si>
    <t>Commentaires</t>
  </si>
  <si>
    <t>Budget révisé</t>
  </si>
  <si>
    <t xml:space="preserve">Activité en cours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</si>
</sst>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 #,##0.00_ ;_ * \-#,##0.00_ ;_ * &quot;-&quot;??_ ;_ @_ "/>
    <numFmt numFmtId="166" formatCode="_-[$$-409]* #,##0.00_ ;_-[$$-409]* \-#,##0.00\ ;_-[$$-409]* &quot;-&quot;??_ ;_-@_ "/>
    <numFmt numFmtId="167" formatCode="#,##0.00_ ;\-#,##0.00\ "/>
    <numFmt numFmtId="168" formatCode="0.0%"/>
  </numFmts>
  <fonts count="35" x14ac:knownFonts="1">
    <font>
      <sz val="10"/>
      <name val="Arial"/>
    </font>
    <font>
      <sz val="10"/>
      <name val="Arial"/>
      <family val="2"/>
    </font>
    <font>
      <sz val="10"/>
      <name val="Arial"/>
      <family val="2"/>
    </font>
    <font>
      <sz val="10"/>
      <name val="Arial Narrow"/>
      <family val="2"/>
    </font>
    <font>
      <b/>
      <sz val="10"/>
      <name val="Arial"/>
      <family val="2"/>
    </font>
    <font>
      <sz val="10"/>
      <name val="Times New Roman"/>
      <family val="1"/>
    </font>
    <font>
      <b/>
      <sz val="10"/>
      <name val="Times New Roman"/>
      <family val="1"/>
    </font>
    <font>
      <b/>
      <sz val="11"/>
      <name val="Times New Roman"/>
      <family val="1"/>
    </font>
    <font>
      <sz val="11"/>
      <name val="Times New Roman"/>
      <family val="1"/>
    </font>
    <font>
      <b/>
      <u/>
      <sz val="11"/>
      <name val="Times New Roman"/>
      <family val="1"/>
    </font>
    <font>
      <b/>
      <i/>
      <sz val="11"/>
      <name val="Times New Roman"/>
      <family val="1"/>
    </font>
    <font>
      <sz val="11"/>
      <color theme="1"/>
      <name val="Calibri"/>
      <family val="2"/>
      <scheme val="minor"/>
    </font>
    <font>
      <sz val="10"/>
      <name val="Calibri"/>
      <family val="2"/>
      <scheme val="minor"/>
    </font>
    <font>
      <b/>
      <sz val="10"/>
      <name val="Calibri"/>
      <family val="2"/>
      <scheme val="minor"/>
    </font>
    <font>
      <b/>
      <sz val="10"/>
      <color rgb="FFFF0000"/>
      <name val="Arial Narrow"/>
      <family val="2"/>
    </font>
    <font>
      <b/>
      <sz val="14"/>
      <name val="Calibri"/>
      <family val="2"/>
      <scheme val="minor"/>
    </font>
    <font>
      <b/>
      <i/>
      <sz val="10"/>
      <name val="Calibri"/>
      <family val="2"/>
      <scheme val="minor"/>
    </font>
    <font>
      <b/>
      <sz val="10"/>
      <color rgb="FFFF0000"/>
      <name val="Calibri"/>
      <family val="2"/>
      <scheme val="minor"/>
    </font>
    <font>
      <b/>
      <sz val="11"/>
      <color theme="1"/>
      <name val="Times New Roman"/>
      <family val="1"/>
    </font>
    <font>
      <b/>
      <sz val="11"/>
      <color rgb="FFFF0000"/>
      <name val="Times New Roman"/>
      <family val="1"/>
    </font>
    <font>
      <sz val="11"/>
      <color theme="1"/>
      <name val="Times New Roman"/>
      <family val="1"/>
    </font>
    <font>
      <b/>
      <sz val="11"/>
      <color theme="0"/>
      <name val="Times New Roman"/>
      <family val="1"/>
    </font>
    <font>
      <sz val="11"/>
      <color rgb="FFFF0000"/>
      <name val="Times New Roman"/>
      <family val="1"/>
    </font>
    <font>
      <b/>
      <u/>
      <sz val="10"/>
      <name val="Calibri"/>
      <family val="2"/>
      <scheme val="minor"/>
    </font>
    <font>
      <b/>
      <sz val="14"/>
      <name val="Times New Roman"/>
      <family val="1"/>
    </font>
    <font>
      <b/>
      <sz val="11"/>
      <color theme="3"/>
      <name val="Times New Roman"/>
      <family val="1"/>
    </font>
    <font>
      <b/>
      <sz val="10"/>
      <color theme="3"/>
      <name val="Times New Roman"/>
      <family val="1"/>
    </font>
    <font>
      <b/>
      <u/>
      <sz val="10"/>
      <color rgb="FF002060"/>
      <name val="Calibri"/>
      <family val="2"/>
      <scheme val="minor"/>
    </font>
    <font>
      <b/>
      <sz val="10"/>
      <color rgb="FF002060"/>
      <name val="Times New Roman"/>
      <family val="1"/>
    </font>
    <font>
      <b/>
      <sz val="11"/>
      <color rgb="FF002060"/>
      <name val="Times New Roman"/>
      <family val="1"/>
    </font>
    <font>
      <b/>
      <i/>
      <sz val="12"/>
      <name val="Calibri"/>
      <family val="2"/>
      <scheme val="minor"/>
    </font>
    <font>
      <b/>
      <sz val="12"/>
      <name val="Times New Roman"/>
      <family val="1"/>
    </font>
    <font>
      <b/>
      <sz val="12"/>
      <name val="Calibri"/>
      <family val="2"/>
      <scheme val="minor"/>
    </font>
    <font>
      <sz val="10"/>
      <color rgb="FF002060"/>
      <name val="Times New Roman"/>
      <family val="1"/>
    </font>
    <font>
      <sz val="11"/>
      <color rgb="FF002060"/>
      <name val="Times New Roman"/>
      <family val="1"/>
    </font>
  </fonts>
  <fills count="19">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9"/>
        <bgColor indexed="64"/>
      </patternFill>
    </fill>
    <fill>
      <patternFill patternType="solid">
        <fgColor rgb="FFFFC00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theme="9" tint="-0.249977111117893"/>
        <bgColor indexed="64"/>
      </patternFill>
    </fill>
    <fill>
      <patternFill patternType="solid">
        <fgColor rgb="FFFFCCFF"/>
        <bgColor indexed="64"/>
      </patternFill>
    </fill>
    <fill>
      <patternFill patternType="solid">
        <fgColor rgb="FFCCFF99"/>
        <bgColor indexed="64"/>
      </patternFill>
    </fill>
    <fill>
      <patternFill patternType="solid">
        <fgColor rgb="FF66CCFF"/>
        <bgColor indexed="64"/>
      </patternFill>
    </fill>
    <fill>
      <patternFill patternType="solid">
        <fgColor rgb="FFCCECFF"/>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tint="-0.249977111117893"/>
        <bgColor indexed="64"/>
      </patternFill>
    </fill>
  </fills>
  <borders count="15">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5">
    <xf numFmtId="0" fontId="0" fillId="0" borderId="0"/>
    <xf numFmtId="165" fontId="1" fillId="0" borderId="0" applyFont="0" applyFill="0" applyBorder="0" applyAlignment="0" applyProtection="0"/>
    <xf numFmtId="164" fontId="2" fillId="0" borderId="0" applyFont="0" applyFill="0" applyBorder="0" applyAlignment="0" applyProtection="0"/>
    <xf numFmtId="0" fontId="11" fillId="0" borderId="0"/>
    <xf numFmtId="9" fontId="1" fillId="0" borderId="0" applyFont="0" applyFill="0" applyBorder="0" applyAlignment="0" applyProtection="0"/>
  </cellStyleXfs>
  <cellXfs count="343">
    <xf numFmtId="0" fontId="0" fillId="0" borderId="0" xfId="0"/>
    <xf numFmtId="0" fontId="12" fillId="0" borderId="0" xfId="0" applyFont="1"/>
    <xf numFmtId="0" fontId="13" fillId="0" borderId="0" xfId="0" applyFont="1"/>
    <xf numFmtId="0" fontId="3" fillId="0" borderId="0" xfId="0" applyFont="1"/>
    <xf numFmtId="0" fontId="14" fillId="0" borderId="0" xfId="0" applyFont="1" applyAlignment="1">
      <alignment horizontal="center"/>
    </xf>
    <xf numFmtId="0" fontId="15" fillId="0" borderId="0" xfId="0" applyFont="1"/>
    <xf numFmtId="0" fontId="12" fillId="0" borderId="1" xfId="0" applyFont="1" applyBorder="1"/>
    <xf numFmtId="0" fontId="12" fillId="0" borderId="2" xfId="0" applyFont="1" applyBorder="1"/>
    <xf numFmtId="0" fontId="12" fillId="0" borderId="3" xfId="0" applyFont="1" applyBorder="1"/>
    <xf numFmtId="0" fontId="13" fillId="0" borderId="4" xfId="0" applyFont="1" applyBorder="1"/>
    <xf numFmtId="0" fontId="13" fillId="0" borderId="5" xfId="0" applyFont="1" applyBorder="1"/>
    <xf numFmtId="0" fontId="16" fillId="2" borderId="6" xfId="0" applyFont="1" applyFill="1" applyBorder="1" applyAlignment="1">
      <alignment vertical="top" wrapText="1"/>
    </xf>
    <xf numFmtId="39" fontId="16" fillId="2" borderId="6" xfId="1" applyNumberFormat="1" applyFont="1" applyFill="1" applyBorder="1"/>
    <xf numFmtId="0" fontId="12" fillId="0" borderId="4" xfId="0" applyFont="1" applyBorder="1"/>
    <xf numFmtId="0" fontId="12" fillId="0" borderId="5" xfId="0" applyFont="1" applyBorder="1"/>
    <xf numFmtId="0" fontId="13" fillId="2" borderId="7" xfId="0" applyFont="1" applyFill="1" applyBorder="1" applyAlignment="1">
      <alignment horizontal="right" vertical="center"/>
    </xf>
    <xf numFmtId="0" fontId="13" fillId="3" borderId="0" xfId="0" applyFont="1" applyFill="1"/>
    <xf numFmtId="0" fontId="17" fillId="0" borderId="0" xfId="0" applyFont="1" applyAlignment="1">
      <alignment horizontal="center"/>
    </xf>
    <xf numFmtId="0" fontId="4" fillId="3" borderId="2" xfId="0" applyFont="1" applyFill="1" applyBorder="1" applyAlignment="1">
      <alignment vertical="center" wrapText="1"/>
    </xf>
    <xf numFmtId="0" fontId="4" fillId="3" borderId="8" xfId="0" applyFont="1" applyFill="1" applyBorder="1" applyAlignment="1">
      <alignment vertical="center" wrapText="1"/>
    </xf>
    <xf numFmtId="0" fontId="4" fillId="4" borderId="7"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wrapText="1"/>
    </xf>
    <xf numFmtId="0" fontId="5" fillId="0" borderId="0" xfId="0" applyFont="1"/>
    <xf numFmtId="0" fontId="6" fillId="0" borderId="0" xfId="0" applyFont="1" applyAlignment="1">
      <alignment wrapText="1"/>
    </xf>
    <xf numFmtId="0" fontId="13" fillId="0" borderId="0" xfId="0" applyFont="1" applyAlignment="1">
      <alignment wrapText="1"/>
    </xf>
    <xf numFmtId="0" fontId="12" fillId="0" borderId="0" xfId="0" applyFont="1" applyAlignment="1">
      <alignment wrapText="1"/>
    </xf>
    <xf numFmtId="0" fontId="13" fillId="2" borderId="10" xfId="0" applyFont="1" applyFill="1" applyBorder="1" applyAlignment="1">
      <alignment horizontal="left" vertical="center" wrapText="1"/>
    </xf>
    <xf numFmtId="0" fontId="13" fillId="3" borderId="0" xfId="0" applyFont="1" applyFill="1" applyAlignment="1">
      <alignment wrapText="1"/>
    </xf>
    <xf numFmtId="0" fontId="13" fillId="0" borderId="4" xfId="0" applyFont="1" applyBorder="1" applyAlignment="1">
      <alignment wrapText="1"/>
    </xf>
    <xf numFmtId="0" fontId="12" fillId="0" borderId="4" xfId="0" applyFont="1" applyBorder="1" applyAlignment="1">
      <alignment wrapText="1"/>
    </xf>
    <xf numFmtId="0" fontId="12" fillId="0" borderId="2" xfId="0" applyFont="1" applyBorder="1" applyAlignment="1">
      <alignment wrapText="1"/>
    </xf>
    <xf numFmtId="39" fontId="16" fillId="2" borderId="6" xfId="1" applyNumberFormat="1" applyFont="1" applyFill="1" applyBorder="1" applyAlignment="1">
      <alignment wrapText="1"/>
    </xf>
    <xf numFmtId="0" fontId="13" fillId="0" borderId="0" xfId="0" applyFont="1" applyAlignment="1">
      <alignment vertical="center"/>
    </xf>
    <xf numFmtId="0" fontId="12" fillId="0" borderId="0" xfId="0" applyFont="1" applyAlignment="1">
      <alignment vertical="center"/>
    </xf>
    <xf numFmtId="0" fontId="19" fillId="0" borderId="0" xfId="0" applyFont="1" applyAlignment="1">
      <alignment horizontal="center"/>
    </xf>
    <xf numFmtId="0" fontId="7" fillId="4" borderId="7" xfId="0" applyFont="1" applyFill="1" applyBorder="1" applyAlignment="1">
      <alignment horizontal="left" vertical="center" wrapText="1"/>
    </xf>
    <xf numFmtId="0" fontId="7" fillId="4" borderId="9" xfId="0" applyFont="1" applyFill="1" applyBorder="1" applyAlignment="1">
      <alignment horizontal="left" vertical="center" wrapText="1"/>
    </xf>
    <xf numFmtId="0" fontId="8" fillId="0" borderId="0" xfId="0" applyFont="1"/>
    <xf numFmtId="0" fontId="19" fillId="0" borderId="0" xfId="0" applyFont="1" applyAlignment="1">
      <alignment horizontal="center" vertical="center"/>
    </xf>
    <xf numFmtId="0" fontId="7" fillId="0" borderId="0" xfId="0" applyFont="1"/>
    <xf numFmtId="0" fontId="7" fillId="2" borderId="10" xfId="0" applyFont="1" applyFill="1" applyBorder="1" applyAlignment="1">
      <alignment horizontal="left" vertical="center" wrapText="1"/>
    </xf>
    <xf numFmtId="0" fontId="7" fillId="2" borderId="7" xfId="0" applyFont="1" applyFill="1" applyBorder="1" applyAlignment="1">
      <alignment horizontal="left" vertical="center"/>
    </xf>
    <xf numFmtId="0" fontId="10" fillId="2" borderId="6" xfId="0" applyFont="1" applyFill="1" applyBorder="1" applyAlignment="1">
      <alignment horizontal="left" vertical="top" wrapText="1"/>
    </xf>
    <xf numFmtId="39" fontId="10" fillId="2" borderId="6" xfId="1" applyNumberFormat="1" applyFont="1" applyFill="1" applyBorder="1" applyAlignment="1">
      <alignment horizontal="left"/>
    </xf>
    <xf numFmtId="39" fontId="10" fillId="2" borderId="6" xfId="1" applyNumberFormat="1" applyFont="1" applyFill="1" applyBorder="1" applyAlignment="1">
      <alignment horizontal="left" wrapText="1"/>
    </xf>
    <xf numFmtId="0" fontId="21" fillId="6" borderId="12" xfId="0" applyFont="1" applyFill="1" applyBorder="1" applyAlignment="1">
      <alignment horizontal="center" vertical="center" wrapText="1"/>
    </xf>
    <xf numFmtId="0" fontId="21" fillId="6" borderId="12" xfId="3" applyFont="1" applyFill="1" applyBorder="1" applyAlignment="1">
      <alignment horizontal="center" vertical="center" wrapText="1"/>
    </xf>
    <xf numFmtId="0" fontId="7" fillId="7" borderId="10" xfId="0" applyFont="1" applyFill="1" applyBorder="1" applyAlignment="1">
      <alignment horizontal="left" vertical="center" wrapText="1"/>
    </xf>
    <xf numFmtId="0" fontId="7" fillId="7" borderId="7" xfId="0" applyFont="1" applyFill="1" applyBorder="1" applyAlignment="1">
      <alignment horizontal="left" vertical="center" wrapText="1"/>
    </xf>
    <xf numFmtId="0" fontId="7" fillId="7" borderId="9" xfId="0" applyFont="1" applyFill="1" applyBorder="1" applyAlignment="1">
      <alignment horizontal="left" vertical="center" wrapText="1"/>
    </xf>
    <xf numFmtId="0" fontId="10" fillId="2" borderId="6" xfId="0" applyFont="1" applyFill="1" applyBorder="1" applyAlignment="1">
      <alignment horizontal="left" vertical="center" wrapText="1"/>
    </xf>
    <xf numFmtId="39" fontId="10" fillId="2" borderId="6" xfId="1" applyNumberFormat="1" applyFont="1" applyFill="1" applyBorder="1" applyAlignment="1">
      <alignment horizontal="left" vertical="center"/>
    </xf>
    <xf numFmtId="39" fontId="10" fillId="2" borderId="6" xfId="1" applyNumberFormat="1" applyFont="1" applyFill="1" applyBorder="1" applyAlignment="1">
      <alignment horizontal="left" vertical="center" wrapText="1"/>
    </xf>
    <xf numFmtId="9" fontId="8" fillId="0" borderId="6" xfId="4" applyFont="1" applyFill="1" applyBorder="1" applyAlignment="1">
      <alignment horizontal="center" vertical="center" wrapText="1"/>
    </xf>
    <xf numFmtId="0" fontId="7" fillId="3" borderId="0" xfId="0" applyFont="1" applyFill="1"/>
    <xf numFmtId="0" fontId="21" fillId="7" borderId="10" xfId="0" applyFont="1" applyFill="1" applyBorder="1" applyAlignment="1">
      <alignment vertical="center" wrapText="1"/>
    </xf>
    <xf numFmtId="0" fontId="21" fillId="7" borderId="0" xfId="0" applyFont="1" applyFill="1" applyAlignment="1">
      <alignment vertical="center" wrapText="1"/>
    </xf>
    <xf numFmtId="0" fontId="21" fillId="7" borderId="1" xfId="0" applyFont="1" applyFill="1" applyBorder="1" applyAlignment="1">
      <alignment vertical="center" wrapText="1"/>
    </xf>
    <xf numFmtId="0" fontId="21" fillId="3" borderId="0" xfId="0" applyFont="1" applyFill="1" applyAlignment="1">
      <alignment vertical="center" wrapText="1"/>
    </xf>
    <xf numFmtId="0" fontId="21" fillId="7" borderId="2" xfId="0" applyFont="1" applyFill="1" applyBorder="1" applyAlignment="1">
      <alignment vertical="center" wrapText="1"/>
    </xf>
    <xf numFmtId="0" fontId="21" fillId="7" borderId="8" xfId="0" applyFont="1" applyFill="1" applyBorder="1" applyAlignment="1">
      <alignment vertical="center" wrapText="1"/>
    </xf>
    <xf numFmtId="0" fontId="7" fillId="5" borderId="10" xfId="0" applyFont="1" applyFill="1" applyBorder="1" applyAlignment="1">
      <alignment vertical="center" wrapText="1"/>
    </xf>
    <xf numFmtId="0" fontId="7" fillId="5" borderId="7" xfId="0" applyFont="1" applyFill="1" applyBorder="1" applyAlignment="1">
      <alignment vertical="center" wrapText="1"/>
    </xf>
    <xf numFmtId="0" fontId="7" fillId="5" borderId="9" xfId="0" applyFont="1" applyFill="1" applyBorder="1" applyAlignment="1">
      <alignment vertical="center" wrapText="1"/>
    </xf>
    <xf numFmtId="0" fontId="7" fillId="0" borderId="0" xfId="0" applyFont="1" applyAlignment="1">
      <alignment vertical="center" wrapText="1"/>
    </xf>
    <xf numFmtId="0" fontId="7" fillId="0" borderId="4" xfId="0" applyFont="1" applyBorder="1" applyAlignment="1">
      <alignment vertical="center" wrapText="1"/>
    </xf>
    <xf numFmtId="0" fontId="7" fillId="0" borderId="13" xfId="0" applyFont="1" applyBorder="1" applyAlignment="1">
      <alignment vertical="center" wrapText="1"/>
    </xf>
    <xf numFmtId="0" fontId="22" fillId="0" borderId="6" xfId="0" applyFont="1" applyBorder="1" applyAlignment="1">
      <alignment vertical="top" wrapText="1"/>
    </xf>
    <xf numFmtId="0" fontId="7" fillId="0" borderId="5" xfId="0" applyFont="1" applyBorder="1" applyAlignment="1">
      <alignment horizontal="right" vertical="center"/>
    </xf>
    <xf numFmtId="0" fontId="19" fillId="0" borderId="6" xfId="0" applyFont="1" applyBorder="1" applyAlignment="1">
      <alignment vertical="center" wrapText="1"/>
    </xf>
    <xf numFmtId="9" fontId="19" fillId="0" borderId="6" xfId="4" applyFont="1" applyBorder="1" applyAlignment="1">
      <alignment vertical="center" wrapText="1"/>
    </xf>
    <xf numFmtId="39" fontId="19" fillId="0" borderId="6" xfId="1" applyNumberFormat="1" applyFont="1" applyFill="1" applyBorder="1" applyAlignment="1">
      <alignment vertical="center"/>
    </xf>
    <xf numFmtId="0" fontId="7" fillId="0" borderId="5" xfId="0" applyFont="1" applyBorder="1" applyAlignment="1">
      <alignment horizontal="right" vertical="center" wrapText="1"/>
    </xf>
    <xf numFmtId="0" fontId="7" fillId="5" borderId="10" xfId="0" applyFont="1" applyFill="1" applyBorder="1" applyAlignment="1">
      <alignment horizontal="left" vertical="center" wrapText="1"/>
    </xf>
    <xf numFmtId="0" fontId="7" fillId="5" borderId="7" xfId="0" applyFont="1" applyFill="1" applyBorder="1" applyAlignment="1">
      <alignment horizontal="left" vertical="center"/>
    </xf>
    <xf numFmtId="39" fontId="7" fillId="5" borderId="7" xfId="0" applyNumberFormat="1" applyFont="1" applyFill="1" applyBorder="1" applyAlignment="1">
      <alignment horizontal="left" vertical="center"/>
    </xf>
    <xf numFmtId="0" fontId="7" fillId="5" borderId="9" xfId="0" applyFont="1" applyFill="1" applyBorder="1" applyAlignment="1">
      <alignment horizontal="left" vertical="center" wrapText="1"/>
    </xf>
    <xf numFmtId="0" fontId="7" fillId="5" borderId="9" xfId="0" applyFont="1" applyFill="1" applyBorder="1" applyAlignment="1">
      <alignment horizontal="left" vertical="center"/>
    </xf>
    <xf numFmtId="0" fontId="7" fillId="3" borderId="0" xfId="0" applyFont="1" applyFill="1" applyAlignment="1">
      <alignment horizontal="left"/>
    </xf>
    <xf numFmtId="0" fontId="7" fillId="2" borderId="9" xfId="0" applyFont="1" applyFill="1" applyBorder="1" applyAlignment="1">
      <alignment horizontal="left" vertical="center"/>
    </xf>
    <xf numFmtId="167" fontId="10" fillId="2" borderId="6" xfId="0" applyNumberFormat="1" applyFont="1" applyFill="1" applyBorder="1" applyAlignment="1">
      <alignment horizontal="left" vertical="top" wrapText="1"/>
    </xf>
    <xf numFmtId="0" fontId="7" fillId="8" borderId="6" xfId="0" applyFont="1" applyFill="1" applyBorder="1" applyAlignment="1">
      <alignment horizontal="left" vertical="center"/>
    </xf>
    <xf numFmtId="0" fontId="7" fillId="8" borderId="6" xfId="0" applyFont="1" applyFill="1" applyBorder="1" applyAlignment="1">
      <alignment vertical="center" wrapText="1"/>
    </xf>
    <xf numFmtId="0" fontId="7" fillId="8" borderId="6" xfId="0" applyFont="1" applyFill="1" applyBorder="1" applyAlignment="1">
      <alignment horizontal="center" vertical="center" wrapText="1"/>
    </xf>
    <xf numFmtId="0" fontId="8" fillId="9" borderId="6" xfId="0" applyFont="1" applyFill="1" applyBorder="1" applyAlignment="1">
      <alignment vertical="top" wrapText="1"/>
    </xf>
    <xf numFmtId="39" fontId="7" fillId="9" borderId="6" xfId="0" applyNumberFormat="1" applyFont="1" applyFill="1" applyBorder="1"/>
    <xf numFmtId="0" fontId="8" fillId="0" borderId="0" xfId="0" applyFont="1" applyAlignment="1">
      <alignment wrapText="1"/>
    </xf>
    <xf numFmtId="0" fontId="7" fillId="9" borderId="7" xfId="0" applyFont="1" applyFill="1" applyBorder="1" applyAlignment="1">
      <alignment horizontal="right" wrapText="1"/>
    </xf>
    <xf numFmtId="0" fontId="7" fillId="9" borderId="9" xfId="0" applyFont="1" applyFill="1" applyBorder="1" applyAlignment="1">
      <alignment horizontal="right" vertical="center"/>
    </xf>
    <xf numFmtId="0" fontId="7" fillId="9" borderId="6" xfId="0" applyFont="1" applyFill="1" applyBorder="1" applyAlignment="1">
      <alignment horizontal="left" vertical="center"/>
    </xf>
    <xf numFmtId="0" fontId="8" fillId="0" borderId="5" xfId="0" applyFont="1" applyBorder="1" applyAlignment="1">
      <alignment horizontal="right" vertical="center"/>
    </xf>
    <xf numFmtId="166" fontId="7" fillId="5" borderId="7" xfId="0" applyNumberFormat="1" applyFont="1" applyFill="1" applyBorder="1" applyAlignment="1">
      <alignment vertical="center" wrapText="1"/>
    </xf>
    <xf numFmtId="0" fontId="8" fillId="0" borderId="5" xfId="0" applyFont="1" applyBorder="1" applyAlignment="1">
      <alignment horizontal="left" vertical="center" wrapText="1"/>
    </xf>
    <xf numFmtId="0" fontId="8" fillId="0" borderId="0" xfId="0" applyFont="1" applyAlignment="1">
      <alignment horizontal="center" vertical="center" wrapText="1"/>
    </xf>
    <xf numFmtId="0" fontId="20" fillId="0" borderId="0" xfId="0" applyFont="1" applyAlignment="1">
      <alignment horizontal="center" vertical="center" wrapText="1"/>
    </xf>
    <xf numFmtId="9" fontId="8" fillId="0" borderId="0" xfId="4" applyFont="1" applyFill="1" applyBorder="1" applyAlignment="1">
      <alignment horizontal="center" vertical="center" wrapText="1"/>
    </xf>
    <xf numFmtId="166" fontId="8" fillId="0" borderId="0" xfId="1" applyNumberFormat="1" applyFont="1" applyFill="1" applyBorder="1" applyAlignment="1">
      <alignment horizontal="center" vertical="center"/>
    </xf>
    <xf numFmtId="39" fontId="10" fillId="0" borderId="0" xfId="1" applyNumberFormat="1" applyFont="1" applyFill="1" applyBorder="1" applyAlignment="1">
      <alignment vertical="center"/>
    </xf>
    <xf numFmtId="0" fontId="7" fillId="9" borderId="7" xfId="0" applyFont="1" applyFill="1" applyBorder="1" applyAlignment="1">
      <alignment horizontal="right"/>
    </xf>
    <xf numFmtId="166" fontId="10" fillId="2" borderId="6" xfId="1" applyNumberFormat="1" applyFont="1" applyFill="1" applyBorder="1" applyAlignment="1">
      <alignment horizontal="left" vertical="center"/>
    </xf>
    <xf numFmtId="167" fontId="10" fillId="2" borderId="6" xfId="1" applyNumberFormat="1" applyFont="1" applyFill="1" applyBorder="1" applyAlignment="1">
      <alignment horizontal="left"/>
    </xf>
    <xf numFmtId="0" fontId="24" fillId="10" borderId="0" xfId="0" applyFont="1" applyFill="1" applyAlignment="1">
      <alignment horizontal="left" vertical="center" wrapText="1"/>
    </xf>
    <xf numFmtId="0" fontId="8" fillId="11" borderId="6" xfId="0" applyFont="1" applyFill="1" applyBorder="1" applyAlignment="1">
      <alignment vertical="center" wrapText="1"/>
    </xf>
    <xf numFmtId="0" fontId="8" fillId="11" borderId="6" xfId="0" applyFont="1" applyFill="1" applyBorder="1" applyAlignment="1">
      <alignment horizontal="center" vertical="center" wrapText="1"/>
    </xf>
    <xf numFmtId="0" fontId="20" fillId="11" borderId="6" xfId="0" applyFont="1" applyFill="1" applyBorder="1" applyAlignment="1">
      <alignment horizontal="center" vertical="center" wrapText="1"/>
    </xf>
    <xf numFmtId="39" fontId="8" fillId="11" borderId="6" xfId="1" applyNumberFormat="1" applyFont="1" applyFill="1" applyBorder="1" applyAlignment="1">
      <alignment horizontal="center" vertical="center"/>
    </xf>
    <xf numFmtId="9" fontId="8" fillId="11" borderId="6" xfId="4" applyFont="1" applyFill="1" applyBorder="1" applyAlignment="1">
      <alignment horizontal="center" vertical="center" wrapText="1"/>
    </xf>
    <xf numFmtId="0" fontId="19" fillId="11" borderId="0" xfId="0" applyFont="1" applyFill="1" applyAlignment="1">
      <alignment horizontal="center" vertical="center"/>
    </xf>
    <xf numFmtId="39" fontId="7" fillId="11" borderId="6" xfId="1" applyNumberFormat="1" applyFont="1" applyFill="1" applyBorder="1" applyAlignment="1">
      <alignment vertical="center"/>
    </xf>
    <xf numFmtId="0" fontId="18" fillId="11" borderId="6" xfId="0" applyFont="1" applyFill="1" applyBorder="1" applyAlignment="1">
      <alignment vertical="center" wrapText="1"/>
    </xf>
    <xf numFmtId="0" fontId="7" fillId="11" borderId="6" xfId="0" applyFont="1" applyFill="1" applyBorder="1" applyAlignment="1">
      <alignment vertical="center"/>
    </xf>
    <xf numFmtId="166" fontId="8" fillId="11" borderId="6" xfId="1" applyNumberFormat="1" applyFont="1" applyFill="1" applyBorder="1" applyAlignment="1">
      <alignment horizontal="center" vertical="center"/>
    </xf>
    <xf numFmtId="39" fontId="8" fillId="11" borderId="6" xfId="1" applyNumberFormat="1" applyFont="1" applyFill="1" applyBorder="1" applyAlignment="1">
      <alignment vertical="center"/>
    </xf>
    <xf numFmtId="0" fontId="8" fillId="11" borderId="6" xfId="0" applyFont="1" applyFill="1" applyBorder="1" applyAlignment="1">
      <alignment vertical="center"/>
    </xf>
    <xf numFmtId="0" fontId="8" fillId="11" borderId="6" xfId="0" applyFont="1" applyFill="1" applyBorder="1" applyAlignment="1">
      <alignment vertical="top" wrapText="1"/>
    </xf>
    <xf numFmtId="0" fontId="8" fillId="11" borderId="6" xfId="0" applyFont="1" applyFill="1" applyBorder="1" applyAlignment="1">
      <alignment wrapText="1"/>
    </xf>
    <xf numFmtId="0" fontId="19" fillId="11" borderId="0" xfId="0" applyFont="1" applyFill="1" applyAlignment="1">
      <alignment horizontal="center"/>
    </xf>
    <xf numFmtId="166" fontId="7" fillId="11" borderId="6" xfId="1" applyNumberFormat="1" applyFont="1" applyFill="1" applyBorder="1" applyAlignment="1">
      <alignment vertical="center"/>
    </xf>
    <xf numFmtId="9" fontId="8" fillId="11" borderId="6" xfId="4" applyFont="1" applyFill="1" applyBorder="1" applyAlignment="1">
      <alignment vertical="center" wrapText="1"/>
    </xf>
    <xf numFmtId="0" fontId="18" fillId="11" borderId="6" xfId="0" applyFont="1" applyFill="1" applyBorder="1" applyAlignment="1">
      <alignment vertical="top" wrapText="1"/>
    </xf>
    <xf numFmtId="39" fontId="8" fillId="11" borderId="6" xfId="1" applyNumberFormat="1" applyFont="1" applyFill="1" applyBorder="1"/>
    <xf numFmtId="9" fontId="8" fillId="11" borderId="6" xfId="4" applyFont="1" applyFill="1" applyBorder="1" applyAlignment="1">
      <alignment vertical="top" wrapText="1"/>
    </xf>
    <xf numFmtId="0" fontId="8" fillId="11" borderId="6" xfId="0" applyFont="1" applyFill="1" applyBorder="1" applyAlignment="1">
      <alignment horizontal="left" vertical="center" wrapText="1"/>
    </xf>
    <xf numFmtId="0" fontId="8" fillId="11" borderId="4" xfId="0" applyFont="1" applyFill="1" applyBorder="1" applyAlignment="1">
      <alignment horizontal="left" vertical="center" wrapText="1"/>
    </xf>
    <xf numFmtId="0" fontId="13" fillId="11" borderId="0" xfId="0" applyFont="1" applyFill="1" applyAlignment="1">
      <alignment vertical="center"/>
    </xf>
    <xf numFmtId="0" fontId="7" fillId="11" borderId="0" xfId="0" applyFont="1" applyFill="1" applyAlignment="1">
      <alignment horizontal="center" vertical="center"/>
    </xf>
    <xf numFmtId="0" fontId="7" fillId="11" borderId="6" xfId="0" applyFont="1" applyFill="1" applyBorder="1"/>
    <xf numFmtId="39" fontId="7" fillId="11" borderId="6" xfId="1" applyNumberFormat="1" applyFont="1" applyFill="1" applyBorder="1"/>
    <xf numFmtId="0" fontId="7" fillId="11" borderId="6" xfId="0" applyFont="1" applyFill="1" applyBorder="1" applyAlignment="1">
      <alignment vertical="center" wrapText="1"/>
    </xf>
    <xf numFmtId="9" fontId="7" fillId="11" borderId="6" xfId="4" applyFont="1" applyFill="1" applyBorder="1" applyAlignment="1">
      <alignment vertical="center" wrapText="1"/>
    </xf>
    <xf numFmtId="0" fontId="8" fillId="11" borderId="5" xfId="0" applyFont="1" applyFill="1" applyBorder="1" applyAlignment="1">
      <alignment horizontal="left" vertical="center" wrapText="1"/>
    </xf>
    <xf numFmtId="0" fontId="22" fillId="11" borderId="6" xfId="0" applyFont="1" applyFill="1" applyBorder="1" applyAlignment="1">
      <alignment vertical="top" wrapText="1"/>
    </xf>
    <xf numFmtId="0" fontId="8" fillId="11" borderId="5" xfId="0" applyFont="1" applyFill="1" applyBorder="1" applyAlignment="1">
      <alignment horizontal="right" vertical="center"/>
    </xf>
    <xf numFmtId="9" fontId="8" fillId="11" borderId="5" xfId="0" applyNumberFormat="1" applyFont="1" applyFill="1" applyBorder="1" applyAlignment="1">
      <alignment horizontal="right" vertical="center" wrapText="1"/>
    </xf>
    <xf numFmtId="0" fontId="8" fillId="11" borderId="5" xfId="0" applyFont="1" applyFill="1" applyBorder="1" applyAlignment="1">
      <alignment horizontal="right" vertical="center" wrapText="1"/>
    </xf>
    <xf numFmtId="0" fontId="7" fillId="11" borderId="5" xfId="0" applyFont="1" applyFill="1" applyBorder="1" applyAlignment="1">
      <alignment horizontal="right" vertical="center" wrapText="1"/>
    </xf>
    <xf numFmtId="0" fontId="7" fillId="11" borderId="5" xfId="0" applyFont="1" applyFill="1" applyBorder="1" applyAlignment="1">
      <alignment horizontal="right" vertical="center"/>
    </xf>
    <xf numFmtId="0" fontId="8" fillId="12" borderId="6" xfId="0" applyFont="1" applyFill="1" applyBorder="1" applyAlignment="1">
      <alignment vertical="center" wrapText="1"/>
    </xf>
    <xf numFmtId="0" fontId="20" fillId="12" borderId="6" xfId="0" applyFont="1" applyFill="1" applyBorder="1" applyAlignment="1">
      <alignment vertical="center" wrapText="1"/>
    </xf>
    <xf numFmtId="166" fontId="20" fillId="12" borderId="6" xfId="0" applyNumberFormat="1" applyFont="1" applyFill="1" applyBorder="1" applyAlignment="1">
      <alignment vertical="center" wrapText="1"/>
    </xf>
    <xf numFmtId="9" fontId="20" fillId="12" borderId="6" xfId="4" applyFont="1" applyFill="1" applyBorder="1" applyAlignment="1">
      <alignment vertical="center" wrapText="1"/>
    </xf>
    <xf numFmtId="166" fontId="8" fillId="12" borderId="6" xfId="1" applyNumberFormat="1" applyFont="1" applyFill="1" applyBorder="1" applyAlignment="1">
      <alignment vertical="center"/>
    </xf>
    <xf numFmtId="0" fontId="19" fillId="12" borderId="0" xfId="0" applyFont="1" applyFill="1" applyAlignment="1">
      <alignment horizontal="center" vertical="center"/>
    </xf>
    <xf numFmtId="39" fontId="7" fillId="12" borderId="6" xfId="1" applyNumberFormat="1" applyFont="1" applyFill="1" applyBorder="1" applyAlignment="1">
      <alignment vertical="center"/>
    </xf>
    <xf numFmtId="0" fontId="7" fillId="12" borderId="6" xfId="0" applyFont="1" applyFill="1" applyBorder="1" applyAlignment="1">
      <alignment vertical="center"/>
    </xf>
    <xf numFmtId="39" fontId="8" fillId="12" borderId="6" xfId="1" applyNumberFormat="1" applyFont="1" applyFill="1" applyBorder="1" applyAlignment="1">
      <alignment vertical="center"/>
    </xf>
    <xf numFmtId="0" fontId="8" fillId="12" borderId="6" xfId="0" applyFont="1" applyFill="1" applyBorder="1" applyAlignment="1">
      <alignment vertical="center"/>
    </xf>
    <xf numFmtId="9" fontId="8" fillId="12" borderId="6" xfId="4" applyFont="1" applyFill="1" applyBorder="1" applyAlignment="1">
      <alignment vertical="center" wrapText="1"/>
    </xf>
    <xf numFmtId="0" fontId="8" fillId="12" borderId="6" xfId="0" applyFont="1" applyFill="1" applyBorder="1" applyAlignment="1">
      <alignment horizontal="center" vertical="center" wrapText="1"/>
    </xf>
    <xf numFmtId="0" fontId="20" fillId="12" borderId="6" xfId="0" applyFont="1" applyFill="1" applyBorder="1" applyAlignment="1">
      <alignment horizontal="center" vertical="center" wrapText="1"/>
    </xf>
    <xf numFmtId="166" fontId="20" fillId="12" borderId="6" xfId="0" applyNumberFormat="1" applyFont="1" applyFill="1" applyBorder="1" applyAlignment="1">
      <alignment horizontal="center" vertical="center" wrapText="1"/>
    </xf>
    <xf numFmtId="9" fontId="8" fillId="12" borderId="6" xfId="4" applyFont="1" applyFill="1" applyBorder="1" applyAlignment="1">
      <alignment horizontal="center" vertical="center" wrapText="1"/>
    </xf>
    <xf numFmtId="166" fontId="8" fillId="12" borderId="6" xfId="1" applyNumberFormat="1" applyFont="1" applyFill="1" applyBorder="1" applyAlignment="1">
      <alignment horizontal="center" vertical="center"/>
    </xf>
    <xf numFmtId="0" fontId="18" fillId="12" borderId="6" xfId="0" applyFont="1" applyFill="1" applyBorder="1" applyAlignment="1">
      <alignment vertical="center" wrapText="1"/>
    </xf>
    <xf numFmtId="0" fontId="8" fillId="12" borderId="4" xfId="0" applyFont="1" applyFill="1" applyBorder="1" applyAlignment="1">
      <alignment horizontal="left" vertical="center" wrapText="1"/>
    </xf>
    <xf numFmtId="0" fontId="7" fillId="12" borderId="6" xfId="0" applyFont="1" applyFill="1" applyBorder="1" applyAlignment="1">
      <alignment vertical="center" wrapText="1"/>
    </xf>
    <xf numFmtId="0" fontId="8" fillId="12" borderId="5" xfId="0" applyFont="1" applyFill="1" applyBorder="1" applyAlignment="1">
      <alignment horizontal="left" vertical="center" wrapText="1"/>
    </xf>
    <xf numFmtId="0" fontId="22" fillId="12" borderId="6" xfId="0" applyFont="1" applyFill="1" applyBorder="1" applyAlignment="1">
      <alignment vertical="top" wrapText="1"/>
    </xf>
    <xf numFmtId="0" fontId="8" fillId="12" borderId="5" xfId="0" applyFont="1" applyFill="1" applyBorder="1" applyAlignment="1">
      <alignment horizontal="right" vertical="center"/>
    </xf>
    <xf numFmtId="9" fontId="8" fillId="12" borderId="5" xfId="0" applyNumberFormat="1" applyFont="1" applyFill="1" applyBorder="1" applyAlignment="1">
      <alignment horizontal="right" vertical="center" wrapText="1"/>
    </xf>
    <xf numFmtId="0" fontId="8" fillId="12" borderId="4" xfId="0" applyFont="1" applyFill="1" applyBorder="1" applyAlignment="1">
      <alignment horizontal="right" vertical="center"/>
    </xf>
    <xf numFmtId="0" fontId="8" fillId="12" borderId="11" xfId="0" applyFont="1" applyFill="1" applyBorder="1" applyAlignment="1">
      <alignment horizontal="right" vertical="center"/>
    </xf>
    <xf numFmtId="0" fontId="8" fillId="12" borderId="0" xfId="0" applyFont="1" applyFill="1" applyAlignment="1">
      <alignment horizontal="right" vertical="center"/>
    </xf>
    <xf numFmtId="0" fontId="8" fillId="12" borderId="5" xfId="0" applyFont="1" applyFill="1" applyBorder="1" applyAlignment="1">
      <alignment horizontal="right" vertical="center" wrapText="1"/>
    </xf>
    <xf numFmtId="0" fontId="8" fillId="12" borderId="6" xfId="0" applyFont="1" applyFill="1" applyBorder="1" applyAlignment="1">
      <alignment horizontal="right" vertical="center"/>
    </xf>
    <xf numFmtId="0" fontId="7" fillId="12" borderId="5" xfId="0" applyFont="1" applyFill="1" applyBorder="1" applyAlignment="1">
      <alignment horizontal="right" vertical="center" wrapText="1"/>
    </xf>
    <xf numFmtId="0" fontId="7" fillId="12" borderId="5" xfId="0" applyFont="1" applyFill="1" applyBorder="1" applyAlignment="1">
      <alignment horizontal="right" vertical="center"/>
    </xf>
    <xf numFmtId="0" fontId="8" fillId="12" borderId="6" xfId="0" applyFont="1" applyFill="1" applyBorder="1" applyAlignment="1">
      <alignment horizontal="left" vertical="center" wrapText="1"/>
    </xf>
    <xf numFmtId="0" fontId="8" fillId="12" borderId="9" xfId="0" applyFont="1" applyFill="1" applyBorder="1" applyAlignment="1">
      <alignment horizontal="left" vertical="center" wrapText="1"/>
    </xf>
    <xf numFmtId="0" fontId="8" fillId="12" borderId="9" xfId="0" applyFont="1" applyFill="1" applyBorder="1" applyAlignment="1">
      <alignment horizontal="right" vertical="center"/>
    </xf>
    <xf numFmtId="0" fontId="7" fillId="12" borderId="9" xfId="0" applyFont="1" applyFill="1" applyBorder="1" applyAlignment="1">
      <alignment horizontal="right" vertical="center"/>
    </xf>
    <xf numFmtId="0" fontId="8" fillId="13" borderId="4" xfId="0" applyFont="1" applyFill="1" applyBorder="1" applyAlignment="1">
      <alignment horizontal="left" vertical="center" wrapText="1"/>
    </xf>
    <xf numFmtId="0" fontId="8" fillId="13" borderId="6" xfId="0" applyFont="1" applyFill="1" applyBorder="1" applyAlignment="1">
      <alignment horizontal="center" vertical="center" wrapText="1"/>
    </xf>
    <xf numFmtId="0" fontId="8" fillId="13" borderId="6" xfId="0" applyFont="1" applyFill="1" applyBorder="1" applyAlignment="1">
      <alignment vertical="center" wrapText="1"/>
    </xf>
    <xf numFmtId="0" fontId="20" fillId="13" borderId="6" xfId="0" applyFont="1" applyFill="1" applyBorder="1" applyAlignment="1">
      <alignment vertical="center" wrapText="1"/>
    </xf>
    <xf numFmtId="166" fontId="20" fillId="13" borderId="6" xfId="0" applyNumberFormat="1" applyFont="1" applyFill="1" applyBorder="1" applyAlignment="1">
      <alignment vertical="center" wrapText="1"/>
    </xf>
    <xf numFmtId="9" fontId="8" fillId="13" borderId="6" xfId="4" applyFont="1" applyFill="1" applyBorder="1" applyAlignment="1">
      <alignment vertical="center" wrapText="1"/>
    </xf>
    <xf numFmtId="166" fontId="8" fillId="13" borderId="6" xfId="1" applyNumberFormat="1" applyFont="1" applyFill="1" applyBorder="1" applyAlignment="1">
      <alignment vertical="center"/>
    </xf>
    <xf numFmtId="0" fontId="19" fillId="13" borderId="0" xfId="0" applyFont="1" applyFill="1" applyAlignment="1">
      <alignment horizontal="center" vertical="center"/>
    </xf>
    <xf numFmtId="39" fontId="7" fillId="13" borderId="6" xfId="1" applyNumberFormat="1" applyFont="1" applyFill="1" applyBorder="1" applyAlignment="1">
      <alignment vertical="center"/>
    </xf>
    <xf numFmtId="0" fontId="18" fillId="13" borderId="6" xfId="0" applyFont="1" applyFill="1" applyBorder="1" applyAlignment="1">
      <alignment vertical="center" wrapText="1"/>
    </xf>
    <xf numFmtId="9" fontId="7" fillId="13" borderId="6" xfId="4" applyFont="1" applyFill="1" applyBorder="1" applyAlignment="1">
      <alignment vertical="center" wrapText="1"/>
    </xf>
    <xf numFmtId="0" fontId="20" fillId="13" borderId="6" xfId="0" applyFont="1" applyFill="1" applyBorder="1" applyAlignment="1">
      <alignment horizontal="center" vertical="center" wrapText="1"/>
    </xf>
    <xf numFmtId="39" fontId="8" fillId="13" borderId="6" xfId="1" applyNumberFormat="1" applyFont="1" applyFill="1" applyBorder="1" applyAlignment="1">
      <alignment horizontal="center" vertical="center"/>
    </xf>
    <xf numFmtId="9" fontId="8" fillId="13" borderId="6" xfId="4" applyFont="1" applyFill="1" applyBorder="1" applyAlignment="1">
      <alignment horizontal="center" vertical="center" wrapText="1"/>
    </xf>
    <xf numFmtId="166" fontId="8" fillId="13" borderId="6" xfId="1" applyNumberFormat="1" applyFont="1" applyFill="1" applyBorder="1" applyAlignment="1">
      <alignment horizontal="center" vertical="center"/>
    </xf>
    <xf numFmtId="0" fontId="7" fillId="13" borderId="6" xfId="1" applyNumberFormat="1" applyFont="1" applyFill="1" applyBorder="1" applyAlignment="1">
      <alignment vertical="center"/>
    </xf>
    <xf numFmtId="0" fontId="7" fillId="13" borderId="6" xfId="0" applyFont="1" applyFill="1" applyBorder="1" applyAlignment="1">
      <alignment vertical="center"/>
    </xf>
    <xf numFmtId="0" fontId="8" fillId="13" borderId="6" xfId="0" applyFont="1" applyFill="1" applyBorder="1" applyAlignment="1">
      <alignment horizontal="left" vertical="center" wrapText="1"/>
    </xf>
    <xf numFmtId="0" fontId="8" fillId="13" borderId="6" xfId="0" applyFont="1" applyFill="1" applyBorder="1" applyAlignment="1">
      <alignment horizontal="center" vertical="top" wrapText="1"/>
    </xf>
    <xf numFmtId="39" fontId="8" fillId="13" borderId="6" xfId="1" applyNumberFormat="1" applyFont="1" applyFill="1" applyBorder="1" applyAlignment="1">
      <alignment horizontal="center"/>
    </xf>
    <xf numFmtId="9" fontId="8" fillId="13" borderId="6" xfId="4" applyFont="1" applyFill="1" applyBorder="1" applyAlignment="1">
      <alignment horizontal="center" vertical="top" wrapText="1"/>
    </xf>
    <xf numFmtId="0" fontId="7" fillId="13" borderId="6" xfId="0" applyFont="1" applyFill="1" applyBorder="1" applyAlignment="1">
      <alignment vertical="center" wrapText="1"/>
    </xf>
    <xf numFmtId="0" fontId="8" fillId="13" borderId="6" xfId="0" applyFont="1" applyFill="1" applyBorder="1" applyAlignment="1">
      <alignment horizontal="left" vertical="top" wrapText="1"/>
    </xf>
    <xf numFmtId="0" fontId="20" fillId="13" borderId="6" xfId="0" applyFont="1" applyFill="1" applyBorder="1" applyAlignment="1">
      <alignment horizontal="left" vertical="center" wrapText="1"/>
    </xf>
    <xf numFmtId="39" fontId="8" fillId="13" borderId="6" xfId="1" applyNumberFormat="1" applyFont="1" applyFill="1" applyBorder="1" applyAlignment="1">
      <alignment horizontal="left" vertical="center"/>
    </xf>
    <xf numFmtId="9" fontId="8" fillId="13" borderId="6" xfId="4" applyFont="1" applyFill="1" applyBorder="1" applyAlignment="1">
      <alignment horizontal="left" vertical="center" wrapText="1"/>
    </xf>
    <xf numFmtId="166" fontId="8" fillId="13" borderId="6" xfId="1" applyNumberFormat="1" applyFont="1" applyFill="1" applyBorder="1" applyAlignment="1">
      <alignment horizontal="left" vertical="center"/>
    </xf>
    <xf numFmtId="0" fontId="19" fillId="13" borderId="0" xfId="0" applyFont="1" applyFill="1" applyAlignment="1">
      <alignment horizontal="center"/>
    </xf>
    <xf numFmtId="0" fontId="7" fillId="13" borderId="6" xfId="0" applyFont="1" applyFill="1" applyBorder="1"/>
    <xf numFmtId="0" fontId="8" fillId="13" borderId="6" xfId="0" applyFont="1" applyFill="1" applyBorder="1" applyAlignment="1">
      <alignment wrapText="1"/>
    </xf>
    <xf numFmtId="0" fontId="13" fillId="13" borderId="6" xfId="0" applyFont="1" applyFill="1" applyBorder="1"/>
    <xf numFmtId="0" fontId="8" fillId="13" borderId="5" xfId="0" applyFont="1" applyFill="1" applyBorder="1" applyAlignment="1">
      <alignment horizontal="left" vertical="center" wrapText="1"/>
    </xf>
    <xf numFmtId="0" fontId="22" fillId="13" borderId="6" xfId="0" applyFont="1" applyFill="1" applyBorder="1" applyAlignment="1">
      <alignment vertical="top" wrapText="1"/>
    </xf>
    <xf numFmtId="0" fontId="8" fillId="13" borderId="5" xfId="0" applyFont="1" applyFill="1" applyBorder="1" applyAlignment="1">
      <alignment horizontal="right" vertical="center"/>
    </xf>
    <xf numFmtId="9" fontId="8" fillId="13" borderId="5" xfId="0" applyNumberFormat="1" applyFont="1" applyFill="1" applyBorder="1" applyAlignment="1">
      <alignment horizontal="right" vertical="center" wrapText="1"/>
    </xf>
    <xf numFmtId="167" fontId="8" fillId="13" borderId="5" xfId="0" applyNumberFormat="1" applyFont="1" applyFill="1" applyBorder="1" applyAlignment="1">
      <alignment horizontal="right" vertical="center"/>
    </xf>
    <xf numFmtId="0" fontId="7" fillId="13" borderId="5" xfId="0" applyFont="1" applyFill="1" applyBorder="1" applyAlignment="1">
      <alignment horizontal="right" vertical="center" wrapText="1"/>
    </xf>
    <xf numFmtId="0" fontId="7" fillId="13" borderId="5" xfId="0" applyFont="1" applyFill="1" applyBorder="1" applyAlignment="1">
      <alignment horizontal="right" vertical="center"/>
    </xf>
    <xf numFmtId="0" fontId="8" fillId="13" borderId="5" xfId="0" applyFont="1" applyFill="1" applyBorder="1" applyAlignment="1">
      <alignment horizontal="left" wrapText="1"/>
    </xf>
    <xf numFmtId="0" fontId="20" fillId="13" borderId="5" xfId="0" applyFont="1" applyFill="1" applyBorder="1" applyAlignment="1">
      <alignment horizontal="center" vertical="center" wrapText="1"/>
    </xf>
    <xf numFmtId="0" fontId="8" fillId="13" borderId="5" xfId="0" applyFont="1" applyFill="1" applyBorder="1" applyAlignment="1">
      <alignment horizontal="right" vertical="center" wrapText="1"/>
    </xf>
    <xf numFmtId="0" fontId="8" fillId="14" borderId="6" xfId="0" applyFont="1" applyFill="1" applyBorder="1" applyAlignment="1">
      <alignment vertical="center" wrapText="1"/>
    </xf>
    <xf numFmtId="0" fontId="8" fillId="14" borderId="6" xfId="0" applyFont="1" applyFill="1" applyBorder="1" applyAlignment="1">
      <alignment horizontal="center" vertical="center" wrapText="1"/>
    </xf>
    <xf numFmtId="0" fontId="20" fillId="14" borderId="6" xfId="0" applyFont="1" applyFill="1" applyBorder="1" applyAlignment="1">
      <alignment horizontal="center" vertical="center" wrapText="1"/>
    </xf>
    <xf numFmtId="39" fontId="8" fillId="14" borderId="6" xfId="1" applyNumberFormat="1" applyFont="1" applyFill="1" applyBorder="1" applyAlignment="1">
      <alignment horizontal="center" vertical="center"/>
    </xf>
    <xf numFmtId="9" fontId="8" fillId="14" borderId="6" xfId="4" applyFont="1" applyFill="1" applyBorder="1" applyAlignment="1">
      <alignment horizontal="center" vertical="center" wrapText="1"/>
    </xf>
    <xf numFmtId="166" fontId="8" fillId="14" borderId="6" xfId="1" applyNumberFormat="1" applyFont="1" applyFill="1" applyBorder="1" applyAlignment="1">
      <alignment horizontal="center" vertical="center"/>
    </xf>
    <xf numFmtId="0" fontId="19" fillId="14" borderId="0" xfId="0" applyFont="1" applyFill="1" applyAlignment="1">
      <alignment horizontal="center" vertical="center"/>
    </xf>
    <xf numFmtId="39" fontId="7" fillId="14" borderId="6" xfId="1" applyNumberFormat="1" applyFont="1" applyFill="1" applyBorder="1" applyAlignment="1">
      <alignment vertical="center"/>
    </xf>
    <xf numFmtId="0" fontId="8" fillId="14" borderId="6" xfId="0" applyFont="1" applyFill="1" applyBorder="1" applyAlignment="1">
      <alignment horizontal="left" vertical="center" wrapText="1"/>
    </xf>
    <xf numFmtId="0" fontId="18" fillId="14" borderId="6" xfId="0" applyFont="1" applyFill="1" applyBorder="1" applyAlignment="1">
      <alignment vertical="center" wrapText="1"/>
    </xf>
    <xf numFmtId="0" fontId="8" fillId="14" borderId="6" xfId="0" applyFont="1" applyFill="1" applyBorder="1" applyAlignment="1">
      <alignment horizontal="center" vertical="top" wrapText="1"/>
    </xf>
    <xf numFmtId="9" fontId="8" fillId="14" borderId="6" xfId="4" applyFont="1" applyFill="1" applyBorder="1" applyAlignment="1">
      <alignment horizontal="center" vertical="top" wrapText="1"/>
    </xf>
    <xf numFmtId="39" fontId="8" fillId="14" borderId="6" xfId="1" applyNumberFormat="1" applyFont="1" applyFill="1" applyBorder="1" applyAlignment="1">
      <alignment vertical="center"/>
    </xf>
    <xf numFmtId="39" fontId="18" fillId="11" borderId="6" xfId="0" applyNumberFormat="1" applyFont="1" applyFill="1" applyBorder="1" applyAlignment="1">
      <alignment vertical="center" wrapText="1"/>
    </xf>
    <xf numFmtId="39" fontId="10" fillId="12" borderId="10" xfId="1" applyNumberFormat="1" applyFont="1" applyFill="1" applyBorder="1" applyAlignment="1">
      <alignment vertical="center"/>
    </xf>
    <xf numFmtId="39" fontId="10" fillId="13" borderId="10" xfId="1" applyNumberFormat="1" applyFont="1" applyFill="1" applyBorder="1" applyAlignment="1">
      <alignment vertical="center"/>
    </xf>
    <xf numFmtId="39" fontId="10" fillId="11" borderId="10" xfId="1" applyNumberFormat="1" applyFont="1" applyFill="1" applyBorder="1" applyAlignment="1">
      <alignment vertical="center"/>
    </xf>
    <xf numFmtId="39" fontId="10" fillId="2" borderId="10" xfId="1" applyNumberFormat="1" applyFont="1" applyFill="1" applyBorder="1" applyAlignment="1">
      <alignment horizontal="left" vertical="center"/>
    </xf>
    <xf numFmtId="39" fontId="10" fillId="14" borderId="10" xfId="1" applyNumberFormat="1" applyFont="1" applyFill="1" applyBorder="1" applyAlignment="1">
      <alignment vertical="center"/>
    </xf>
    <xf numFmtId="167" fontId="10" fillId="2" borderId="10" xfId="1" applyNumberFormat="1" applyFont="1" applyFill="1" applyBorder="1" applyAlignment="1">
      <alignment horizontal="left"/>
    </xf>
    <xf numFmtId="39" fontId="16" fillId="2" borderId="10" xfId="1" applyNumberFormat="1" applyFont="1" applyFill="1" applyBorder="1"/>
    <xf numFmtId="167" fontId="8" fillId="13" borderId="4" xfId="0" applyNumberFormat="1" applyFont="1" applyFill="1" applyBorder="1" applyAlignment="1">
      <alignment horizontal="right" vertical="center"/>
    </xf>
    <xf numFmtId="167" fontId="8" fillId="11" borderId="4" xfId="0" applyNumberFormat="1" applyFont="1" applyFill="1" applyBorder="1" applyAlignment="1">
      <alignment horizontal="right" vertical="center"/>
    </xf>
    <xf numFmtId="167" fontId="8" fillId="12" borderId="4" xfId="0" applyNumberFormat="1" applyFont="1" applyFill="1" applyBorder="1" applyAlignment="1">
      <alignment horizontal="right" vertical="center"/>
    </xf>
    <xf numFmtId="167" fontId="7" fillId="0" borderId="4" xfId="0" applyNumberFormat="1" applyFont="1" applyBorder="1" applyAlignment="1">
      <alignment horizontal="right" vertical="center"/>
    </xf>
    <xf numFmtId="167" fontId="8" fillId="12" borderId="7" xfId="0" applyNumberFormat="1" applyFont="1" applyFill="1" applyBorder="1" applyAlignment="1">
      <alignment horizontal="right" vertical="center"/>
    </xf>
    <xf numFmtId="167" fontId="10" fillId="2" borderId="10" xfId="0" applyNumberFormat="1" applyFont="1" applyFill="1" applyBorder="1" applyAlignment="1">
      <alignment horizontal="left" vertical="top" wrapText="1"/>
    </xf>
    <xf numFmtId="0" fontId="7" fillId="8" borderId="10" xfId="0" applyFont="1" applyFill="1" applyBorder="1" applyAlignment="1">
      <alignment horizontal="center" vertical="center" wrapText="1"/>
    </xf>
    <xf numFmtId="167" fontId="7" fillId="9" borderId="10" xfId="0" applyNumberFormat="1" applyFont="1" applyFill="1" applyBorder="1" applyAlignment="1">
      <alignment horizontal="center" vertical="center" wrapText="1"/>
    </xf>
    <xf numFmtId="0" fontId="7" fillId="4" borderId="6" xfId="0" applyFont="1" applyFill="1" applyBorder="1" applyAlignment="1">
      <alignment horizontal="left" vertical="center" wrapText="1"/>
    </xf>
    <xf numFmtId="39" fontId="23" fillId="0" borderId="14" xfId="1" applyNumberFormat="1" applyFont="1" applyFill="1" applyBorder="1" applyAlignment="1">
      <alignment horizontal="left"/>
    </xf>
    <xf numFmtId="39" fontId="23" fillId="0" borderId="0" xfId="1" applyNumberFormat="1" applyFont="1" applyFill="1" applyBorder="1" applyAlignment="1">
      <alignment horizontal="left"/>
    </xf>
    <xf numFmtId="0" fontId="9" fillId="0" borderId="14" xfId="0" applyFont="1" applyBorder="1" applyAlignment="1">
      <alignment horizontal="left" vertical="top" wrapText="1"/>
    </xf>
    <xf numFmtId="0" fontId="9" fillId="0" borderId="0" xfId="0" applyFont="1" applyAlignment="1">
      <alignment horizontal="left" vertical="top" wrapText="1"/>
    </xf>
    <xf numFmtId="39" fontId="9" fillId="0" borderId="14" xfId="1" applyNumberFormat="1" applyFont="1" applyFill="1" applyBorder="1" applyAlignment="1">
      <alignment horizontal="left"/>
    </xf>
    <xf numFmtId="39" fontId="9" fillId="0" borderId="0" xfId="1" applyNumberFormat="1" applyFont="1" applyFill="1" applyBorder="1" applyAlignment="1">
      <alignment horizontal="left"/>
    </xf>
    <xf numFmtId="0" fontId="9" fillId="0" borderId="14" xfId="0" applyFont="1" applyBorder="1" applyAlignment="1">
      <alignment horizontal="left" vertical="center" wrapText="1"/>
    </xf>
    <xf numFmtId="0" fontId="9" fillId="0" borderId="0" xfId="0" applyFont="1" applyAlignment="1">
      <alignment horizontal="left" vertical="center" wrapText="1"/>
    </xf>
    <xf numFmtId="167" fontId="12" fillId="0" borderId="0" xfId="0" applyNumberFormat="1" applyFont="1"/>
    <xf numFmtId="0" fontId="9" fillId="0" borderId="14" xfId="0" applyFont="1" applyBorder="1" applyAlignment="1">
      <alignment vertical="center" wrapText="1"/>
    </xf>
    <xf numFmtId="0" fontId="9" fillId="0" borderId="0" xfId="0" applyFont="1" applyAlignment="1">
      <alignment vertical="center" wrapText="1"/>
    </xf>
    <xf numFmtId="0" fontId="7" fillId="4" borderId="10" xfId="0" applyFont="1" applyFill="1" applyBorder="1" applyAlignment="1">
      <alignment vertical="center" wrapText="1"/>
    </xf>
    <xf numFmtId="0" fontId="7" fillId="4" borderId="7" xfId="0" applyFont="1" applyFill="1" applyBorder="1" applyAlignment="1">
      <alignment vertical="center" wrapText="1"/>
    </xf>
    <xf numFmtId="0" fontId="7" fillId="4" borderId="9" xfId="0" applyFont="1" applyFill="1" applyBorder="1" applyAlignment="1">
      <alignment vertical="center" wrapText="1"/>
    </xf>
    <xf numFmtId="0" fontId="9" fillId="0" borderId="14" xfId="0" applyFont="1" applyBorder="1" applyAlignment="1">
      <alignment horizontal="center" vertical="center" wrapText="1"/>
    </xf>
    <xf numFmtId="0" fontId="7" fillId="0" borderId="6" xfId="0" applyFont="1" applyBorder="1" applyAlignment="1">
      <alignment horizontal="center" vertical="center"/>
    </xf>
    <xf numFmtId="167" fontId="7" fillId="0" borderId="6" xfId="0" applyNumberFormat="1" applyFont="1" applyBorder="1" applyAlignment="1">
      <alignment horizontal="center" vertical="center"/>
    </xf>
    <xf numFmtId="0" fontId="8" fillId="0" borderId="6" xfId="0" applyFont="1" applyBorder="1" applyAlignment="1">
      <alignment horizontal="center" vertical="center"/>
    </xf>
    <xf numFmtId="0" fontId="5" fillId="0" borderId="6" xfId="0" applyFont="1" applyBorder="1" applyAlignment="1">
      <alignment horizontal="center" vertical="center"/>
    </xf>
    <xf numFmtId="167" fontId="6" fillId="3" borderId="6" xfId="0" applyNumberFormat="1" applyFont="1" applyFill="1" applyBorder="1" applyAlignment="1">
      <alignment horizontal="center" vertical="center"/>
    </xf>
    <xf numFmtId="0" fontId="6" fillId="4" borderId="7"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6" fillId="0" borderId="6" xfId="0" applyFont="1" applyBorder="1" applyAlignment="1">
      <alignment horizontal="center" vertical="center"/>
    </xf>
    <xf numFmtId="0" fontId="6" fillId="3" borderId="6" xfId="0" applyFont="1" applyFill="1" applyBorder="1" applyAlignment="1">
      <alignment horizontal="center" vertical="center"/>
    </xf>
    <xf numFmtId="0" fontId="7" fillId="15" borderId="6" xfId="0" applyFont="1" applyFill="1" applyBorder="1" applyAlignment="1">
      <alignment horizontal="center" vertical="center"/>
    </xf>
    <xf numFmtId="0" fontId="25" fillId="0" borderId="6" xfId="0" applyFont="1" applyBorder="1" applyAlignment="1">
      <alignment vertical="center"/>
    </xf>
    <xf numFmtId="0" fontId="25" fillId="0" borderId="6" xfId="0" applyFont="1" applyBorder="1" applyAlignment="1">
      <alignment horizontal="center" vertical="center"/>
    </xf>
    <xf numFmtId="39" fontId="25" fillId="0" borderId="6" xfId="0" applyNumberFormat="1" applyFont="1" applyBorder="1" applyAlignment="1">
      <alignment vertical="center"/>
    </xf>
    <xf numFmtId="39" fontId="25" fillId="0" borderId="6" xfId="0" applyNumberFormat="1" applyFont="1" applyBorder="1" applyAlignment="1">
      <alignment horizontal="center" vertical="center"/>
    </xf>
    <xf numFmtId="166" fontId="25" fillId="0" borderId="6" xfId="0" applyNumberFormat="1" applyFont="1" applyBorder="1"/>
    <xf numFmtId="166" fontId="25" fillId="0" borderId="6" xfId="0" applyNumberFormat="1" applyFont="1" applyBorder="1" applyAlignment="1">
      <alignment horizontal="center" vertical="center"/>
    </xf>
    <xf numFmtId="39" fontId="25" fillId="0" borderId="6" xfId="0" applyNumberFormat="1" applyFont="1" applyBorder="1"/>
    <xf numFmtId="0" fontId="25" fillId="0" borderId="6" xfId="0" applyFont="1" applyBorder="1"/>
    <xf numFmtId="39" fontId="27" fillId="0" borderId="0" xfId="1" applyNumberFormat="1" applyFont="1" applyFill="1" applyBorder="1" applyAlignment="1">
      <alignment horizontal="center"/>
    </xf>
    <xf numFmtId="0" fontId="28" fillId="0" borderId="6" xfId="0" applyFont="1" applyBorder="1" applyAlignment="1">
      <alignment horizontal="center" vertical="center"/>
    </xf>
    <xf numFmtId="39" fontId="29" fillId="0" borderId="0" xfId="0" applyNumberFormat="1" applyFont="1" applyAlignment="1">
      <alignment horizontal="center" vertical="center" wrapText="1"/>
    </xf>
    <xf numFmtId="0" fontId="29" fillId="0" borderId="6" xfId="0" applyFont="1" applyBorder="1" applyAlignment="1">
      <alignment horizontal="center" vertical="center"/>
    </xf>
    <xf numFmtId="39" fontId="13" fillId="2" borderId="10" xfId="1" applyNumberFormat="1" applyFont="1" applyFill="1" applyBorder="1" applyAlignment="1">
      <alignment horizontal="center" vertical="center"/>
    </xf>
    <xf numFmtId="39" fontId="30" fillId="2" borderId="10" xfId="1" applyNumberFormat="1" applyFont="1" applyFill="1" applyBorder="1" applyAlignment="1">
      <alignment horizontal="center" vertical="center"/>
    </xf>
    <xf numFmtId="167" fontId="31" fillId="3" borderId="6" xfId="0" applyNumberFormat="1" applyFont="1" applyFill="1" applyBorder="1" applyAlignment="1">
      <alignment horizontal="center" vertical="center"/>
    </xf>
    <xf numFmtId="39" fontId="32" fillId="2" borderId="10" xfId="1" applyNumberFormat="1" applyFont="1" applyFill="1" applyBorder="1" applyAlignment="1">
      <alignment horizontal="center" vertical="center"/>
    </xf>
    <xf numFmtId="167" fontId="8" fillId="0" borderId="6" xfId="0" applyNumberFormat="1" applyFont="1" applyBorder="1" applyAlignment="1">
      <alignment horizontal="center" vertical="center"/>
    </xf>
    <xf numFmtId="39" fontId="7" fillId="9" borderId="6" xfId="0" applyNumberFormat="1" applyFont="1" applyFill="1" applyBorder="1" applyAlignment="1">
      <alignment horizontal="center" vertical="center"/>
    </xf>
    <xf numFmtId="0" fontId="22" fillId="9" borderId="6" xfId="0" applyFont="1" applyFill="1" applyBorder="1" applyAlignment="1">
      <alignment horizontal="center" vertical="center" wrapText="1"/>
    </xf>
    <xf numFmtId="0" fontId="19" fillId="9" borderId="9" xfId="0" applyFont="1" applyFill="1" applyBorder="1" applyAlignment="1">
      <alignment horizontal="center" vertical="center"/>
    </xf>
    <xf numFmtId="9" fontId="12" fillId="0" borderId="0" xfId="4" applyFont="1"/>
    <xf numFmtId="166" fontId="25" fillId="5" borderId="7" xfId="0" applyNumberFormat="1" applyFont="1" applyFill="1" applyBorder="1" applyAlignment="1">
      <alignment vertical="center" wrapText="1"/>
    </xf>
    <xf numFmtId="0" fontId="25" fillId="15" borderId="6" xfId="0" applyFont="1" applyFill="1" applyBorder="1" applyAlignment="1">
      <alignment horizontal="center" vertical="center"/>
    </xf>
    <xf numFmtId="166" fontId="25" fillId="5" borderId="7" xfId="0" applyNumberFormat="1" applyFont="1" applyFill="1" applyBorder="1" applyAlignment="1">
      <alignment horizontal="center" vertical="center" wrapText="1"/>
    </xf>
    <xf numFmtId="0" fontId="34" fillId="0" borderId="6" xfId="0" applyFont="1" applyBorder="1" applyAlignment="1">
      <alignment horizontal="center" vertical="center"/>
    </xf>
    <xf numFmtId="39" fontId="8" fillId="16" borderId="6" xfId="0" applyNumberFormat="1" applyFont="1" applyFill="1" applyBorder="1" applyAlignment="1">
      <alignment horizontal="center" vertical="center"/>
    </xf>
    <xf numFmtId="0" fontId="8" fillId="3" borderId="6" xfId="0" applyFont="1" applyFill="1" applyBorder="1" applyAlignment="1">
      <alignment horizontal="center" vertical="center"/>
    </xf>
    <xf numFmtId="0" fontId="34" fillId="3" borderId="6" xfId="0" applyFont="1" applyFill="1" applyBorder="1" applyAlignment="1">
      <alignment horizontal="center" vertical="center"/>
    </xf>
    <xf numFmtId="4" fontId="8" fillId="0" borderId="6" xfId="0" applyNumberFormat="1" applyFont="1" applyBorder="1" applyAlignment="1">
      <alignment horizontal="center" vertical="center"/>
    </xf>
    <xf numFmtId="4" fontId="8" fillId="3" borderId="6" xfId="0" applyNumberFormat="1"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7" fillId="9" borderId="7" xfId="0" applyFont="1" applyFill="1" applyBorder="1" applyAlignment="1">
      <alignment horizontal="right" vertical="center"/>
    </xf>
    <xf numFmtId="0" fontId="7" fillId="4" borderId="10" xfId="0" applyFont="1" applyFill="1" applyBorder="1" applyAlignment="1">
      <alignment horizontal="left" vertical="center" wrapText="1"/>
    </xf>
    <xf numFmtId="0" fontId="7" fillId="4" borderId="7" xfId="0" applyFont="1" applyFill="1" applyBorder="1" applyAlignment="1">
      <alignment horizontal="left" vertical="center" wrapText="1"/>
    </xf>
    <xf numFmtId="0" fontId="12" fillId="0" borderId="2" xfId="0" applyFont="1" applyBorder="1" applyAlignment="1">
      <alignment horizontal="left" wrapText="1"/>
    </xf>
    <xf numFmtId="0" fontId="12" fillId="0" borderId="3" xfId="0" applyFont="1" applyBorder="1" applyAlignment="1">
      <alignment horizontal="left" wrapText="1"/>
    </xf>
    <xf numFmtId="0" fontId="7" fillId="8" borderId="4" xfId="0" applyFont="1" applyFill="1" applyBorder="1" applyAlignment="1">
      <alignment horizontal="right" vertical="center"/>
    </xf>
    <xf numFmtId="0" fontId="7" fillId="8" borderId="2" xfId="0" applyFont="1" applyFill="1" applyBorder="1" applyAlignment="1">
      <alignment horizontal="right" vertical="center"/>
    </xf>
    <xf numFmtId="0" fontId="7" fillId="9" borderId="7" xfId="0" applyFont="1" applyFill="1" applyBorder="1" applyAlignment="1">
      <alignment horizontal="right"/>
    </xf>
    <xf numFmtId="0" fontId="12" fillId="0" borderId="0" xfId="0" applyFont="1" applyAlignment="1">
      <alignment horizontal="left" wrapText="1"/>
    </xf>
    <xf numFmtId="0" fontId="12" fillId="0" borderId="1" xfId="0" applyFont="1" applyBorder="1" applyAlignment="1">
      <alignment horizontal="left" wrapText="1"/>
    </xf>
    <xf numFmtId="0" fontId="7" fillId="8" borderId="11" xfId="0" applyFont="1" applyFill="1" applyBorder="1" applyAlignment="1">
      <alignment horizontal="left" vertical="center"/>
    </xf>
    <xf numFmtId="0" fontId="7" fillId="8" borderId="12" xfId="0" applyFont="1" applyFill="1" applyBorder="1" applyAlignment="1">
      <alignment horizontal="left" vertical="center"/>
    </xf>
    <xf numFmtId="0" fontId="21" fillId="6" borderId="8" xfId="3" applyFont="1" applyFill="1" applyBorder="1" applyAlignment="1">
      <alignment horizontal="center" vertical="center" wrapText="1"/>
    </xf>
    <xf numFmtId="9" fontId="26" fillId="0" borderId="10" xfId="4" applyFont="1" applyBorder="1" applyAlignment="1">
      <alignment horizontal="center" vertical="center"/>
    </xf>
    <xf numFmtId="9" fontId="5" fillId="0" borderId="10" xfId="4" applyFont="1" applyBorder="1" applyAlignment="1">
      <alignment horizontal="center" vertical="center"/>
    </xf>
    <xf numFmtId="9" fontId="5" fillId="3" borderId="10" xfId="4" applyFont="1" applyFill="1" applyBorder="1" applyAlignment="1">
      <alignment horizontal="center" vertical="center"/>
    </xf>
    <xf numFmtId="9" fontId="5" fillId="17" borderId="10" xfId="4" applyFont="1" applyFill="1" applyBorder="1" applyAlignment="1">
      <alignment horizontal="center" vertical="center"/>
    </xf>
    <xf numFmtId="9" fontId="6" fillId="0" borderId="10" xfId="4" applyFont="1" applyBorder="1" applyAlignment="1">
      <alignment horizontal="center" vertical="center"/>
    </xf>
    <xf numFmtId="167" fontId="6" fillId="0" borderId="10" xfId="0" applyNumberFormat="1" applyFont="1" applyBorder="1" applyAlignment="1">
      <alignment horizontal="center" vertical="center"/>
    </xf>
    <xf numFmtId="9" fontId="28" fillId="0" borderId="10" xfId="4" applyFont="1" applyBorder="1" applyAlignment="1">
      <alignment horizontal="center" vertical="center"/>
    </xf>
    <xf numFmtId="9" fontId="33" fillId="3" borderId="10" xfId="4" applyFont="1" applyFill="1" applyBorder="1" applyAlignment="1">
      <alignment horizontal="center" vertical="center"/>
    </xf>
    <xf numFmtId="167" fontId="5" fillId="0" borderId="10" xfId="0" applyNumberFormat="1" applyFont="1" applyBorder="1" applyAlignment="1">
      <alignment horizontal="center" vertical="center"/>
    </xf>
    <xf numFmtId="9" fontId="31" fillId="0" borderId="10" xfId="4" applyFont="1" applyBorder="1" applyAlignment="1">
      <alignment horizontal="center" vertical="center"/>
    </xf>
    <xf numFmtId="168" fontId="33" fillId="3" borderId="10" xfId="4" applyNumberFormat="1" applyFont="1" applyFill="1" applyBorder="1" applyAlignment="1">
      <alignment horizontal="center" vertical="center"/>
    </xf>
    <xf numFmtId="167" fontId="5" fillId="3" borderId="10" xfId="0" applyNumberFormat="1" applyFont="1" applyFill="1" applyBorder="1" applyAlignment="1">
      <alignment horizontal="center" vertical="center"/>
    </xf>
    <xf numFmtId="9" fontId="33" fillId="0" borderId="10" xfId="4" applyFont="1" applyBorder="1" applyAlignment="1">
      <alignment horizontal="center" vertical="center"/>
    </xf>
    <xf numFmtId="0" fontId="13" fillId="0" borderId="6" xfId="0" applyFont="1" applyBorder="1"/>
    <xf numFmtId="0" fontId="4" fillId="3" borderId="6" xfId="0" applyFont="1" applyFill="1" applyBorder="1" applyAlignment="1">
      <alignment vertical="center" wrapText="1"/>
    </xf>
    <xf numFmtId="0" fontId="12" fillId="0" borderId="6" xfId="0" applyFont="1" applyBorder="1"/>
    <xf numFmtId="0" fontId="13" fillId="0" borderId="6" xfId="0" applyFont="1" applyBorder="1" applyAlignment="1">
      <alignment vertical="center"/>
    </xf>
    <xf numFmtId="0" fontId="15" fillId="0" borderId="6" xfId="0" applyFont="1" applyBorder="1"/>
    <xf numFmtId="0" fontId="12" fillId="0" borderId="6" xfId="0" applyFont="1" applyBorder="1" applyAlignment="1">
      <alignment vertical="center"/>
    </xf>
    <xf numFmtId="0" fontId="13" fillId="3" borderId="6" xfId="0" applyFont="1" applyFill="1" applyBorder="1" applyAlignment="1">
      <alignment vertical="center"/>
    </xf>
    <xf numFmtId="0" fontId="8" fillId="0" borderId="6" xfId="0" applyFont="1" applyBorder="1"/>
    <xf numFmtId="0" fontId="13" fillId="3" borderId="6" xfId="0" applyFont="1" applyFill="1" applyBorder="1"/>
    <xf numFmtId="0" fontId="21" fillId="3" borderId="6" xfId="0" applyFont="1" applyFill="1" applyBorder="1" applyAlignment="1">
      <alignment vertical="center" wrapText="1"/>
    </xf>
    <xf numFmtId="0" fontId="7" fillId="0" borderId="6" xfId="0" applyFont="1" applyBorder="1" applyAlignment="1">
      <alignment vertical="center" wrapText="1"/>
    </xf>
    <xf numFmtId="0" fontId="7" fillId="0" borderId="6" xfId="0" applyFont="1" applyBorder="1"/>
    <xf numFmtId="0" fontId="7" fillId="3" borderId="6" xfId="0" applyFont="1" applyFill="1" applyBorder="1" applyAlignment="1">
      <alignment horizontal="left"/>
    </xf>
    <xf numFmtId="0" fontId="13" fillId="18" borderId="6" xfId="0" applyFont="1" applyFill="1" applyBorder="1"/>
  </cellXfs>
  <cellStyles count="5">
    <cellStyle name="Comma 3" xfId="2" xr:uid="{00000000-0005-0000-0000-000000000000}"/>
    <cellStyle name="Milliers" xfId="1" builtinId="3"/>
    <cellStyle name="Normal" xfId="0" builtinId="0"/>
    <cellStyle name="Normal 2" xfId="3" xr:uid="{00000000-0005-0000-0000-000003000000}"/>
    <cellStyle name="Pourcentage"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66CCFF"/>
      <color rgb="FFCC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6" sqref="A6"/>
    </sheetView>
  </sheetViews>
  <sheetFormatPr baseColWidth="10" defaultColWidth="10.88671875" defaultRowHeight="13.2" x14ac:dyDescent="0.25"/>
  <cols>
    <col min="1" max="1" width="41.44140625" style="24" bestFit="1" customWidth="1"/>
    <col min="2" max="16384" width="10.88671875" style="24"/>
  </cols>
  <sheetData>
    <row r="1" spans="1:1" x14ac:dyDescent="0.25">
      <c r="A1" s="24" t="s">
        <v>0</v>
      </c>
    </row>
    <row r="2" spans="1:1" x14ac:dyDescent="0.25">
      <c r="A2" s="24" t="s">
        <v>1</v>
      </c>
    </row>
    <row r="3" spans="1:1" x14ac:dyDescent="0.25">
      <c r="A3" s="24" t="s">
        <v>2</v>
      </c>
    </row>
    <row r="4" spans="1:1" x14ac:dyDescent="0.25">
      <c r="A4" s="24" t="s">
        <v>3</v>
      </c>
    </row>
    <row r="5" spans="1:1" x14ac:dyDescent="0.25">
      <c r="A5" s="24" t="s">
        <v>4</v>
      </c>
    </row>
    <row r="6" spans="1:1" x14ac:dyDescent="0.25">
      <c r="A6" s="24" t="s">
        <v>5</v>
      </c>
    </row>
    <row r="7" spans="1:1" x14ac:dyDescent="0.25">
      <c r="A7" s="24" t="s">
        <v>6</v>
      </c>
    </row>
    <row r="8" spans="1:1" x14ac:dyDescent="0.25">
      <c r="A8" s="24"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tabSelected="1" topLeftCell="A162" zoomScale="120" zoomScaleNormal="120" workbookViewId="0">
      <pane xSplit="2" topLeftCell="T1" activePane="topRight" state="frozen"/>
      <selection pane="topRight" activeCell="W173" sqref="W173"/>
    </sheetView>
  </sheetViews>
  <sheetFormatPr baseColWidth="10" defaultColWidth="9.109375" defaultRowHeight="13.8" x14ac:dyDescent="0.3"/>
  <cols>
    <col min="1" max="1" width="9.109375" style="1" customWidth="1"/>
    <col min="2" max="2" width="59.33203125" style="27" customWidth="1"/>
    <col min="3" max="3" width="27.88671875" style="1" customWidth="1"/>
    <col min="4" max="4" width="14.88671875" style="1" customWidth="1"/>
    <col min="5" max="5" width="10.5546875" style="1" customWidth="1"/>
    <col min="6" max="6" width="15" style="1" customWidth="1"/>
    <col min="7" max="7" width="13.88671875" style="1" customWidth="1"/>
    <col min="8" max="8" width="21.5546875" style="1" customWidth="1"/>
    <col min="9" max="9" width="10.5546875" style="1" customWidth="1"/>
    <col min="10" max="10" width="19.6640625" style="1" bestFit="1" customWidth="1"/>
    <col min="11" max="11" width="41.5546875" style="27" bestFit="1" customWidth="1"/>
    <col min="12" max="12" width="3.44140625" style="1" customWidth="1"/>
    <col min="13" max="13" width="10.5546875" style="1" customWidth="1"/>
    <col min="14" max="14" width="14.88671875" style="1" bestFit="1" customWidth="1"/>
    <col min="15" max="15" width="10.5546875" style="1" customWidth="1"/>
    <col min="16" max="16" width="17.33203125" style="1" customWidth="1"/>
    <col min="17" max="17" width="10.5546875" style="1" customWidth="1"/>
    <col min="18" max="18" width="17.88671875" style="1" bestFit="1" customWidth="1"/>
    <col min="19" max="19" width="39.109375" style="1" bestFit="1" customWidth="1"/>
    <col min="20" max="20" width="20.5546875" style="1" bestFit="1" customWidth="1"/>
    <col min="21" max="21" width="17.44140625" style="1" customWidth="1"/>
    <col min="22" max="22" width="14.109375" style="1" customWidth="1"/>
    <col min="23" max="23" width="17.77734375" style="1" customWidth="1"/>
    <col min="24" max="16384" width="9.109375" style="1"/>
  </cols>
  <sheetData>
    <row r="1" spans="2:24" ht="18" customHeight="1" x14ac:dyDescent="0.35">
      <c r="B1" s="25" t="s">
        <v>304</v>
      </c>
      <c r="D1" s="5" t="s">
        <v>8</v>
      </c>
      <c r="E1" s="5"/>
      <c r="F1" s="5"/>
      <c r="G1" s="5"/>
      <c r="H1" s="5"/>
      <c r="I1" s="5"/>
      <c r="P1" s="5"/>
    </row>
    <row r="2" spans="2:24" x14ac:dyDescent="0.3">
      <c r="B2" s="25" t="s">
        <v>305</v>
      </c>
      <c r="C2" s="3"/>
    </row>
    <row r="3" spans="2:24" x14ac:dyDescent="0.3">
      <c r="B3" s="25" t="s">
        <v>9</v>
      </c>
    </row>
    <row r="4" spans="2:24" ht="12.75" customHeight="1" x14ac:dyDescent="0.3">
      <c r="B4" s="25" t="s">
        <v>10</v>
      </c>
      <c r="D4" s="17"/>
      <c r="E4" s="17"/>
      <c r="F4" s="17"/>
      <c r="G4" s="17"/>
      <c r="H4" s="17"/>
      <c r="I4" s="17"/>
      <c r="J4" s="17"/>
      <c r="L4" s="17"/>
      <c r="M4" s="17"/>
      <c r="N4" s="17"/>
      <c r="O4" s="17"/>
      <c r="P4" s="17"/>
      <c r="Q4" s="17"/>
      <c r="R4" s="17"/>
      <c r="T4" s="17"/>
    </row>
    <row r="5" spans="2:24" ht="12.75" customHeight="1" x14ac:dyDescent="0.3">
      <c r="B5" s="25" t="s">
        <v>11</v>
      </c>
      <c r="C5" s="4"/>
      <c r="D5" s="17"/>
      <c r="E5" s="17"/>
      <c r="F5" s="17"/>
      <c r="G5" s="17"/>
      <c r="H5" s="17"/>
      <c r="I5" s="17"/>
      <c r="J5" s="17"/>
      <c r="L5" s="17"/>
      <c r="M5" s="17"/>
      <c r="N5" s="17"/>
      <c r="O5" s="17"/>
      <c r="P5" s="17"/>
      <c r="Q5" s="17"/>
      <c r="R5" s="17"/>
      <c r="T5" s="17"/>
    </row>
    <row r="6" spans="2:24" ht="12.75" customHeight="1" x14ac:dyDescent="0.3">
      <c r="B6" s="26"/>
      <c r="C6" s="4"/>
      <c r="D6" s="17"/>
      <c r="E6" s="17"/>
      <c r="F6" s="17"/>
      <c r="G6" s="17"/>
      <c r="H6" s="17"/>
      <c r="I6" s="17"/>
      <c r="J6" s="17"/>
      <c r="L6" s="17"/>
      <c r="M6" s="17"/>
      <c r="N6" s="17"/>
      <c r="O6" s="17"/>
      <c r="P6" s="17"/>
      <c r="Q6" s="17"/>
      <c r="R6" s="17"/>
      <c r="T6" s="17"/>
    </row>
    <row r="7" spans="2:24" ht="13.35" customHeight="1" x14ac:dyDescent="0.3">
      <c r="L7" s="17"/>
    </row>
    <row r="8" spans="2:24" ht="55.2" x14ac:dyDescent="0.3">
      <c r="B8" s="47" t="s">
        <v>12</v>
      </c>
      <c r="C8" s="47" t="s">
        <v>13</v>
      </c>
      <c r="D8" s="47" t="s">
        <v>14</v>
      </c>
      <c r="E8" s="47" t="s">
        <v>15</v>
      </c>
      <c r="F8" s="47" t="s">
        <v>16</v>
      </c>
      <c r="G8" s="47" t="s">
        <v>17</v>
      </c>
      <c r="H8" s="47" t="s">
        <v>18</v>
      </c>
      <c r="I8" s="47" t="s">
        <v>19</v>
      </c>
      <c r="J8" s="48" t="s">
        <v>20</v>
      </c>
      <c r="K8" s="48" t="s">
        <v>21</v>
      </c>
      <c r="L8" s="40"/>
      <c r="M8" s="47" t="s">
        <v>15</v>
      </c>
      <c r="N8" s="47" t="s">
        <v>16</v>
      </c>
      <c r="O8" s="47" t="s">
        <v>17</v>
      </c>
      <c r="P8" s="47" t="s">
        <v>18</v>
      </c>
      <c r="Q8" s="47" t="s">
        <v>22</v>
      </c>
      <c r="R8" s="48" t="s">
        <v>23</v>
      </c>
      <c r="S8" s="48" t="s">
        <v>24</v>
      </c>
      <c r="T8" s="48" t="s">
        <v>25</v>
      </c>
      <c r="U8" s="48" t="s">
        <v>302</v>
      </c>
      <c r="V8" s="315" t="s">
        <v>303</v>
      </c>
      <c r="W8" s="342" t="s">
        <v>306</v>
      </c>
    </row>
    <row r="9" spans="2:24" s="19" customFormat="1" ht="22.5" customHeight="1" x14ac:dyDescent="0.25">
      <c r="B9" s="49" t="s">
        <v>26</v>
      </c>
      <c r="C9" s="50"/>
      <c r="D9" s="50"/>
      <c r="E9" s="50"/>
      <c r="F9" s="50"/>
      <c r="G9" s="50"/>
      <c r="H9" s="50"/>
      <c r="I9" s="50"/>
      <c r="J9" s="50"/>
      <c r="K9" s="51"/>
      <c r="L9" s="40"/>
      <c r="M9" s="50"/>
      <c r="N9" s="50"/>
      <c r="O9" s="50"/>
      <c r="P9" s="50"/>
      <c r="Q9" s="50"/>
      <c r="R9" s="50"/>
      <c r="S9" s="51"/>
      <c r="T9" s="50"/>
      <c r="U9" s="50"/>
      <c r="V9" s="50"/>
      <c r="W9" s="330"/>
      <c r="X9" s="18"/>
    </row>
    <row r="10" spans="2:24" x14ac:dyDescent="0.3">
      <c r="B10" s="304" t="s">
        <v>27</v>
      </c>
      <c r="C10" s="305"/>
      <c r="D10" s="305"/>
      <c r="E10" s="305"/>
      <c r="F10" s="305"/>
      <c r="G10" s="305"/>
      <c r="H10" s="305"/>
      <c r="I10" s="305"/>
      <c r="J10" s="305"/>
      <c r="K10" s="38"/>
      <c r="L10" s="40"/>
      <c r="M10" s="37"/>
      <c r="N10" s="37"/>
      <c r="O10" s="37"/>
      <c r="P10" s="37"/>
      <c r="Q10" s="37"/>
      <c r="R10" s="37"/>
      <c r="S10" s="38"/>
      <c r="T10" s="37"/>
      <c r="U10" s="243"/>
      <c r="V10" s="37"/>
      <c r="W10" s="331"/>
    </row>
    <row r="11" spans="2:24" ht="12.75" customHeight="1" x14ac:dyDescent="0.3">
      <c r="B11" s="253" t="s">
        <v>28</v>
      </c>
      <c r="C11" s="254"/>
      <c r="D11" s="254"/>
      <c r="E11" s="254"/>
      <c r="F11" s="254"/>
      <c r="G11" s="254"/>
      <c r="H11" s="254"/>
      <c r="I11" s="254"/>
      <c r="J11" s="254"/>
      <c r="K11" s="254"/>
      <c r="L11" s="254"/>
      <c r="M11" s="254"/>
      <c r="N11" s="254"/>
      <c r="O11" s="254"/>
      <c r="P11" s="254"/>
      <c r="Q11" s="254"/>
      <c r="R11" s="254"/>
      <c r="S11" s="254"/>
      <c r="T11" s="270">
        <f>SUM(T12,T13:T16)</f>
        <v>59043</v>
      </c>
      <c r="U11" s="271">
        <f>SUM(U12:U16)</f>
        <v>49682</v>
      </c>
      <c r="V11" s="316">
        <f>+U11/T11</f>
        <v>0.84145453313686636</v>
      </c>
      <c r="W11" s="331"/>
    </row>
    <row r="12" spans="2:24" s="2" customFormat="1" ht="56.25" customHeight="1" x14ac:dyDescent="0.3">
      <c r="B12" s="139" t="s">
        <v>29</v>
      </c>
      <c r="C12" s="139" t="s">
        <v>5</v>
      </c>
      <c r="D12" s="140" t="s">
        <v>30</v>
      </c>
      <c r="E12" s="140">
        <v>1</v>
      </c>
      <c r="F12" s="140">
        <v>9463</v>
      </c>
      <c r="G12" s="140">
        <v>1</v>
      </c>
      <c r="H12" s="141">
        <f>J12*I12</f>
        <v>4731.5</v>
      </c>
      <c r="I12" s="142">
        <v>0.5</v>
      </c>
      <c r="J12" s="143">
        <f>E12*F12*G12</f>
        <v>9463</v>
      </c>
      <c r="K12" s="139" t="s">
        <v>31</v>
      </c>
      <c r="L12" s="144"/>
      <c r="M12" s="145"/>
      <c r="N12" s="145"/>
      <c r="O12" s="145"/>
      <c r="P12" s="141">
        <v>0</v>
      </c>
      <c r="Q12" s="145"/>
      <c r="R12" s="145">
        <v>0</v>
      </c>
      <c r="S12" s="146"/>
      <c r="T12" s="228">
        <f>J12+R12</f>
        <v>9463</v>
      </c>
      <c r="U12" s="261">
        <v>9942</v>
      </c>
      <c r="V12" s="317">
        <f>+U12/T12</f>
        <v>1.050618197189052</v>
      </c>
      <c r="W12" s="329"/>
    </row>
    <row r="13" spans="2:24" s="2" customFormat="1" ht="69" x14ac:dyDescent="0.3">
      <c r="B13" s="139" t="s">
        <v>32</v>
      </c>
      <c r="C13" s="139" t="s">
        <v>5</v>
      </c>
      <c r="D13" s="140" t="s">
        <v>30</v>
      </c>
      <c r="E13" s="140">
        <v>1</v>
      </c>
      <c r="F13" s="140">
        <v>3550</v>
      </c>
      <c r="G13" s="140">
        <v>3</v>
      </c>
      <c r="H13" s="141">
        <f>J13*I13</f>
        <v>4260</v>
      </c>
      <c r="I13" s="142">
        <v>0.4</v>
      </c>
      <c r="J13" s="143">
        <f>E13*F13*G13</f>
        <v>10650</v>
      </c>
      <c r="K13" s="139" t="s">
        <v>33</v>
      </c>
      <c r="L13" s="144"/>
      <c r="M13" s="147"/>
      <c r="N13" s="147"/>
      <c r="O13" s="147"/>
      <c r="P13" s="141">
        <v>0</v>
      </c>
      <c r="Q13" s="147"/>
      <c r="R13" s="147">
        <v>0</v>
      </c>
      <c r="S13" s="146"/>
      <c r="T13" s="228">
        <f t="shared" ref="T13:T37" si="0">J13+R13</f>
        <v>10650</v>
      </c>
      <c r="U13" s="261">
        <v>10650</v>
      </c>
      <c r="V13" s="317">
        <f t="shared" ref="V13:V38" si="1">+U13/T13</f>
        <v>1</v>
      </c>
      <c r="W13" s="329"/>
    </row>
    <row r="14" spans="2:24" s="2" customFormat="1" ht="74.25" customHeight="1" x14ac:dyDescent="0.3">
      <c r="B14" s="139" t="s">
        <v>34</v>
      </c>
      <c r="C14" s="139" t="s">
        <v>5</v>
      </c>
      <c r="D14" s="140" t="s">
        <v>30</v>
      </c>
      <c r="E14" s="140">
        <v>2</v>
      </c>
      <c r="F14" s="140">
        <v>3550</v>
      </c>
      <c r="G14" s="140">
        <v>1</v>
      </c>
      <c r="H14" s="141">
        <f>J14*I14</f>
        <v>2130</v>
      </c>
      <c r="I14" s="142">
        <v>0.3</v>
      </c>
      <c r="J14" s="143">
        <f>E14*F14*G14</f>
        <v>7100</v>
      </c>
      <c r="K14" s="139" t="s">
        <v>35</v>
      </c>
      <c r="L14" s="144"/>
      <c r="M14" s="147">
        <v>1</v>
      </c>
      <c r="N14" s="147">
        <v>3350</v>
      </c>
      <c r="O14" s="147">
        <v>1</v>
      </c>
      <c r="P14" s="141">
        <f>R14*Q14</f>
        <v>1340</v>
      </c>
      <c r="Q14" s="142">
        <v>0.4</v>
      </c>
      <c r="R14" s="143">
        <f>M14*N14*O14</f>
        <v>3350</v>
      </c>
      <c r="S14" s="139" t="s">
        <v>35</v>
      </c>
      <c r="T14" s="228">
        <f t="shared" si="0"/>
        <v>10450</v>
      </c>
      <c r="U14" s="261">
        <v>4610</v>
      </c>
      <c r="V14" s="317">
        <f t="shared" si="1"/>
        <v>0.44114832535885168</v>
      </c>
      <c r="W14" s="329"/>
    </row>
    <row r="15" spans="2:24" s="34" customFormat="1" ht="50.25" customHeight="1" x14ac:dyDescent="0.25">
      <c r="B15" s="139" t="s">
        <v>266</v>
      </c>
      <c r="C15" s="139" t="s">
        <v>5</v>
      </c>
      <c r="D15" s="140" t="s">
        <v>30</v>
      </c>
      <c r="E15" s="139">
        <v>6</v>
      </c>
      <c r="F15" s="140">
        <v>1040</v>
      </c>
      <c r="G15" s="140">
        <v>1</v>
      </c>
      <c r="H15" s="141">
        <f>J15*I15</f>
        <v>2496</v>
      </c>
      <c r="I15" s="142">
        <v>0.4</v>
      </c>
      <c r="J15" s="143">
        <f>E15*F15*G15</f>
        <v>6240</v>
      </c>
      <c r="K15" s="139" t="s">
        <v>36</v>
      </c>
      <c r="L15" s="144"/>
      <c r="M15" s="147">
        <v>6</v>
      </c>
      <c r="N15" s="147">
        <v>1040</v>
      </c>
      <c r="O15" s="147">
        <v>1</v>
      </c>
      <c r="P15" s="141">
        <f>R15*Q15</f>
        <v>2496</v>
      </c>
      <c r="Q15" s="142">
        <v>0.4</v>
      </c>
      <c r="R15" s="147">
        <f>M15*N15*O15</f>
        <v>6240</v>
      </c>
      <c r="S15" s="148" t="s">
        <v>37</v>
      </c>
      <c r="T15" s="228">
        <f>J15+R15</f>
        <v>12480</v>
      </c>
      <c r="U15" s="261">
        <v>11360</v>
      </c>
      <c r="V15" s="317">
        <f t="shared" si="1"/>
        <v>0.91025641025641024</v>
      </c>
      <c r="W15" s="332"/>
    </row>
    <row r="16" spans="2:24" s="34" customFormat="1" ht="82.8" x14ac:dyDescent="0.25">
      <c r="B16" s="139" t="s">
        <v>38</v>
      </c>
      <c r="C16" s="139" t="s">
        <v>5</v>
      </c>
      <c r="D16" s="140" t="s">
        <v>30</v>
      </c>
      <c r="E16" s="140">
        <v>8</v>
      </c>
      <c r="F16" s="140">
        <v>500</v>
      </c>
      <c r="G16" s="140">
        <v>2</v>
      </c>
      <c r="H16" s="141">
        <f>J16*I16</f>
        <v>3200</v>
      </c>
      <c r="I16" s="142">
        <v>0.4</v>
      </c>
      <c r="J16" s="143">
        <f>E16*F16*G16</f>
        <v>8000</v>
      </c>
      <c r="K16" s="139" t="s">
        <v>267</v>
      </c>
      <c r="L16" s="144"/>
      <c r="M16" s="140">
        <v>8</v>
      </c>
      <c r="N16" s="140">
        <v>500</v>
      </c>
      <c r="O16" s="140">
        <v>2</v>
      </c>
      <c r="P16" s="141">
        <f>R16*Q16</f>
        <v>3200</v>
      </c>
      <c r="Q16" s="142">
        <v>0.4</v>
      </c>
      <c r="R16" s="143">
        <f>M16*N16*O16</f>
        <v>8000</v>
      </c>
      <c r="S16" s="139" t="s">
        <v>267</v>
      </c>
      <c r="T16" s="228">
        <f t="shared" si="0"/>
        <v>16000</v>
      </c>
      <c r="U16" s="261">
        <v>13120</v>
      </c>
      <c r="V16" s="317">
        <f t="shared" si="1"/>
        <v>0.82</v>
      </c>
      <c r="W16" s="332"/>
    </row>
    <row r="17" spans="2:23" ht="13.5" customHeight="1" x14ac:dyDescent="0.3">
      <c r="B17" s="258" t="s">
        <v>39</v>
      </c>
      <c r="C17" s="251"/>
      <c r="D17" s="251"/>
      <c r="E17" s="251"/>
      <c r="F17" s="251"/>
      <c r="G17" s="251"/>
      <c r="H17" s="251"/>
      <c r="I17" s="251"/>
      <c r="J17" s="251"/>
      <c r="K17" s="251"/>
      <c r="L17" s="251"/>
      <c r="M17" s="251"/>
      <c r="N17" s="251"/>
      <c r="O17" s="251"/>
      <c r="P17" s="251"/>
      <c r="Q17" s="251"/>
      <c r="R17" s="251"/>
      <c r="S17" s="251"/>
      <c r="T17" s="270">
        <f>SUM(T18,T19:T21)</f>
        <v>69470</v>
      </c>
      <c r="U17" s="271">
        <f>SUM(U18:U24)</f>
        <v>172769.5</v>
      </c>
      <c r="V17" s="316">
        <f t="shared" si="1"/>
        <v>2.4869655966604292</v>
      </c>
      <c r="W17" s="331"/>
    </row>
    <row r="18" spans="2:23" s="34" customFormat="1" ht="33" customHeight="1" x14ac:dyDescent="0.25">
      <c r="B18" s="139" t="s">
        <v>40</v>
      </c>
      <c r="C18" s="139" t="s">
        <v>5</v>
      </c>
      <c r="D18" s="140" t="s">
        <v>30</v>
      </c>
      <c r="E18" s="140">
        <v>1</v>
      </c>
      <c r="F18" s="140">
        <v>1000</v>
      </c>
      <c r="G18" s="140">
        <v>1</v>
      </c>
      <c r="H18" s="141">
        <f t="shared" ref="H18:H24" si="2">J18*I18</f>
        <v>500</v>
      </c>
      <c r="I18" s="149">
        <v>0.5</v>
      </c>
      <c r="J18" s="143">
        <f t="shared" ref="J18:J24" si="3">E18*F18*G18</f>
        <v>1000</v>
      </c>
      <c r="K18" s="139" t="s">
        <v>41</v>
      </c>
      <c r="L18" s="144"/>
      <c r="M18" s="145"/>
      <c r="N18" s="145"/>
      <c r="O18" s="145"/>
      <c r="P18" s="141">
        <v>0</v>
      </c>
      <c r="Q18" s="145"/>
      <c r="R18" s="145"/>
      <c r="S18" s="146"/>
      <c r="T18" s="228">
        <f t="shared" si="0"/>
        <v>1000</v>
      </c>
      <c r="U18" s="261">
        <v>1000</v>
      </c>
      <c r="V18" s="317">
        <f t="shared" si="1"/>
        <v>1</v>
      </c>
      <c r="W18" s="332"/>
    </row>
    <row r="19" spans="2:23" s="34" customFormat="1" ht="72" customHeight="1" x14ac:dyDescent="0.25">
      <c r="B19" s="139" t="s">
        <v>42</v>
      </c>
      <c r="C19" s="139" t="s">
        <v>5</v>
      </c>
      <c r="D19" s="139" t="s">
        <v>30</v>
      </c>
      <c r="E19" s="139">
        <v>3</v>
      </c>
      <c r="F19" s="140">
        <v>6000</v>
      </c>
      <c r="G19" s="140">
        <v>1</v>
      </c>
      <c r="H19" s="141">
        <f t="shared" si="2"/>
        <v>7200</v>
      </c>
      <c r="I19" s="149">
        <v>0.4</v>
      </c>
      <c r="J19" s="143">
        <f t="shared" si="3"/>
        <v>18000</v>
      </c>
      <c r="K19" s="139" t="s">
        <v>43</v>
      </c>
      <c r="L19" s="144"/>
      <c r="M19" s="145"/>
      <c r="N19" s="145"/>
      <c r="O19" s="145"/>
      <c r="P19" s="141">
        <v>0</v>
      </c>
      <c r="Q19" s="145"/>
      <c r="R19" s="145">
        <v>0</v>
      </c>
      <c r="S19" s="146"/>
      <c r="T19" s="228">
        <f t="shared" si="0"/>
        <v>18000</v>
      </c>
      <c r="U19" s="261">
        <v>20146.5</v>
      </c>
      <c r="V19" s="318">
        <f t="shared" si="1"/>
        <v>1.1192500000000001</v>
      </c>
      <c r="W19" s="332"/>
    </row>
    <row r="20" spans="2:23" s="34" customFormat="1" ht="78.75" customHeight="1" x14ac:dyDescent="0.25">
      <c r="B20" s="139" t="s">
        <v>44</v>
      </c>
      <c r="C20" s="139" t="s">
        <v>5</v>
      </c>
      <c r="D20" s="139" t="s">
        <v>30</v>
      </c>
      <c r="E20" s="139">
        <v>1</v>
      </c>
      <c r="F20" s="140">
        <v>3490</v>
      </c>
      <c r="G20" s="140">
        <v>3</v>
      </c>
      <c r="H20" s="141">
        <f t="shared" si="2"/>
        <v>3141</v>
      </c>
      <c r="I20" s="149">
        <v>0.3</v>
      </c>
      <c r="J20" s="143">
        <f t="shared" si="3"/>
        <v>10470</v>
      </c>
      <c r="K20" s="139" t="s">
        <v>45</v>
      </c>
      <c r="L20" s="144"/>
      <c r="M20" s="145"/>
      <c r="N20" s="145"/>
      <c r="O20" s="145"/>
      <c r="P20" s="141">
        <v>0</v>
      </c>
      <c r="Q20" s="145"/>
      <c r="R20" s="145">
        <v>0</v>
      </c>
      <c r="S20" s="146"/>
      <c r="T20" s="228">
        <f t="shared" si="0"/>
        <v>10470</v>
      </c>
      <c r="U20" s="261">
        <v>10275</v>
      </c>
      <c r="V20" s="317">
        <f t="shared" si="1"/>
        <v>0.98137535816618915</v>
      </c>
      <c r="W20" s="332"/>
    </row>
    <row r="21" spans="2:23" s="34" customFormat="1" ht="60" customHeight="1" x14ac:dyDescent="0.25">
      <c r="B21" s="139" t="s">
        <v>46</v>
      </c>
      <c r="C21" s="139" t="s">
        <v>5</v>
      </c>
      <c r="D21" s="139" t="s">
        <v>30</v>
      </c>
      <c r="E21" s="139">
        <v>1</v>
      </c>
      <c r="F21" s="140">
        <v>40000</v>
      </c>
      <c r="G21" s="140">
        <v>1</v>
      </c>
      <c r="H21" s="141">
        <f t="shared" si="2"/>
        <v>16000</v>
      </c>
      <c r="I21" s="149">
        <v>0.4</v>
      </c>
      <c r="J21" s="143">
        <f t="shared" si="3"/>
        <v>40000</v>
      </c>
      <c r="K21" s="139" t="s">
        <v>47</v>
      </c>
      <c r="L21" s="144"/>
      <c r="M21" s="145">
        <v>1</v>
      </c>
      <c r="N21" s="145"/>
      <c r="O21" s="145">
        <v>1</v>
      </c>
      <c r="P21" s="141">
        <f>R21*Q21</f>
        <v>0</v>
      </c>
      <c r="Q21" s="149">
        <v>0.4</v>
      </c>
      <c r="R21" s="143">
        <f>M21*N21*O21</f>
        <v>0</v>
      </c>
      <c r="S21" s="139"/>
      <c r="T21" s="228">
        <f t="shared" si="0"/>
        <v>40000</v>
      </c>
      <c r="U21" s="261">
        <v>50542</v>
      </c>
      <c r="V21" s="319">
        <f t="shared" si="1"/>
        <v>1.26355</v>
      </c>
      <c r="W21" s="332"/>
    </row>
    <row r="22" spans="2:23" s="34" customFormat="1" ht="41.4" x14ac:dyDescent="0.25">
      <c r="B22" s="173" t="s">
        <v>48</v>
      </c>
      <c r="C22" s="174" t="s">
        <v>3</v>
      </c>
      <c r="D22" s="175" t="s">
        <v>49</v>
      </c>
      <c r="E22" s="175">
        <v>1</v>
      </c>
      <c r="F22" s="176">
        <v>8750</v>
      </c>
      <c r="G22" s="176">
        <v>1</v>
      </c>
      <c r="H22" s="177">
        <f t="shared" si="2"/>
        <v>3500</v>
      </c>
      <c r="I22" s="178">
        <v>0.4</v>
      </c>
      <c r="J22" s="179">
        <f t="shared" si="3"/>
        <v>8750</v>
      </c>
      <c r="K22" s="175" t="s">
        <v>50</v>
      </c>
      <c r="L22" s="180"/>
      <c r="M22" s="181">
        <v>1</v>
      </c>
      <c r="N22" s="181">
        <f>F22</f>
        <v>8750</v>
      </c>
      <c r="O22" s="181">
        <v>1</v>
      </c>
      <c r="P22" s="177">
        <f>R22*Q22</f>
        <v>3500</v>
      </c>
      <c r="Q22" s="178">
        <v>0.4</v>
      </c>
      <c r="R22" s="179">
        <f>M22*N22*O22</f>
        <v>8750</v>
      </c>
      <c r="S22" s="175"/>
      <c r="T22" s="229">
        <f t="shared" si="0"/>
        <v>17500</v>
      </c>
      <c r="U22" s="298">
        <v>17411</v>
      </c>
      <c r="V22" s="318">
        <f t="shared" si="1"/>
        <v>0.99491428571428575</v>
      </c>
      <c r="W22" s="332"/>
    </row>
    <row r="23" spans="2:23" s="2" customFormat="1" ht="41.4" x14ac:dyDescent="0.3">
      <c r="B23" s="139" t="s">
        <v>51</v>
      </c>
      <c r="C23" s="139" t="s">
        <v>5</v>
      </c>
      <c r="D23" s="139" t="s">
        <v>30</v>
      </c>
      <c r="E23" s="139">
        <v>3</v>
      </c>
      <c r="F23" s="140">
        <v>1500</v>
      </c>
      <c r="G23" s="140">
        <v>1</v>
      </c>
      <c r="H23" s="141">
        <f t="shared" si="2"/>
        <v>1800</v>
      </c>
      <c r="I23" s="149">
        <v>0.4</v>
      </c>
      <c r="J23" s="143">
        <f t="shared" si="3"/>
        <v>4500</v>
      </c>
      <c r="K23" s="139" t="s">
        <v>52</v>
      </c>
      <c r="L23" s="144"/>
      <c r="M23" s="145">
        <v>3</v>
      </c>
      <c r="N23" s="145">
        <v>1500</v>
      </c>
      <c r="O23" s="145">
        <v>1</v>
      </c>
      <c r="P23" s="141">
        <f>R23*Q23</f>
        <v>1800</v>
      </c>
      <c r="Q23" s="149">
        <v>0.4</v>
      </c>
      <c r="R23" s="143">
        <f>M23*N23*O23</f>
        <v>4500</v>
      </c>
      <c r="S23" s="148" t="s">
        <v>53</v>
      </c>
      <c r="T23" s="228">
        <f t="shared" si="0"/>
        <v>9000</v>
      </c>
      <c r="U23" s="261">
        <v>9000</v>
      </c>
      <c r="V23" s="317">
        <f t="shared" si="1"/>
        <v>1</v>
      </c>
      <c r="W23" s="329"/>
    </row>
    <row r="24" spans="2:23" s="34" customFormat="1" ht="69" x14ac:dyDescent="0.25">
      <c r="B24" s="139" t="s">
        <v>54</v>
      </c>
      <c r="C24" s="139" t="s">
        <v>5</v>
      </c>
      <c r="D24" s="139" t="s">
        <v>30</v>
      </c>
      <c r="E24" s="139">
        <v>1</v>
      </c>
      <c r="F24" s="140">
        <v>35000</v>
      </c>
      <c r="G24" s="140">
        <v>1</v>
      </c>
      <c r="H24" s="141">
        <f t="shared" si="2"/>
        <v>14000</v>
      </c>
      <c r="I24" s="149">
        <v>0.4</v>
      </c>
      <c r="J24" s="143">
        <f t="shared" si="3"/>
        <v>35000</v>
      </c>
      <c r="K24" s="139" t="s">
        <v>265</v>
      </c>
      <c r="L24" s="144"/>
      <c r="M24" s="145">
        <v>1</v>
      </c>
      <c r="N24" s="145">
        <v>35000</v>
      </c>
      <c r="O24" s="145">
        <v>1</v>
      </c>
      <c r="P24" s="141">
        <f>R24*Q24</f>
        <v>14000</v>
      </c>
      <c r="Q24" s="149">
        <v>0.4</v>
      </c>
      <c r="R24" s="143">
        <f>M24*N24*O24</f>
        <v>35000</v>
      </c>
      <c r="S24" s="148" t="s">
        <v>55</v>
      </c>
      <c r="T24" s="228">
        <f t="shared" si="0"/>
        <v>70000</v>
      </c>
      <c r="U24" s="286">
        <v>64395</v>
      </c>
      <c r="V24" s="317">
        <f t="shared" si="1"/>
        <v>0.91992857142857143</v>
      </c>
      <c r="W24" s="332"/>
    </row>
    <row r="25" spans="2:23" ht="13.5" customHeight="1" x14ac:dyDescent="0.3">
      <c r="B25" s="250" t="s">
        <v>56</v>
      </c>
      <c r="C25" s="251"/>
      <c r="D25" s="251"/>
      <c r="E25" s="251"/>
      <c r="F25" s="251"/>
      <c r="G25" s="251"/>
      <c r="H25" s="251"/>
      <c r="I25" s="251"/>
      <c r="J25" s="251"/>
      <c r="K25" s="251"/>
      <c r="L25" s="251"/>
      <c r="M25" s="251"/>
      <c r="N25" s="251"/>
      <c r="O25" s="251"/>
      <c r="P25" s="251"/>
      <c r="Q25" s="251"/>
      <c r="R25" s="251"/>
      <c r="S25" s="251"/>
      <c r="T25" s="272">
        <f>SUM(T26,T27:T31)</f>
        <v>67170</v>
      </c>
      <c r="U25" s="273">
        <f>SUM(U26:U31)</f>
        <v>44730.1</v>
      </c>
      <c r="V25" s="316">
        <f t="shared" si="1"/>
        <v>0.66592377549501258</v>
      </c>
      <c r="W25" s="331"/>
    </row>
    <row r="26" spans="2:23" s="34" customFormat="1" ht="51.75" customHeight="1" x14ac:dyDescent="0.25">
      <c r="B26" s="139" t="s">
        <v>261</v>
      </c>
      <c r="C26" s="150" t="s">
        <v>5</v>
      </c>
      <c r="D26" s="150" t="s">
        <v>30</v>
      </c>
      <c r="E26" s="151">
        <v>1</v>
      </c>
      <c r="F26" s="151">
        <v>7420</v>
      </c>
      <c r="G26" s="151">
        <v>1</v>
      </c>
      <c r="H26" s="152">
        <f>J26*I26</f>
        <v>1855</v>
      </c>
      <c r="I26" s="153">
        <v>0.25</v>
      </c>
      <c r="J26" s="154">
        <f t="shared" ref="J26:J31" si="4">E26*F26*G26</f>
        <v>7420</v>
      </c>
      <c r="K26" s="139" t="s">
        <v>57</v>
      </c>
      <c r="L26" s="144"/>
      <c r="M26" s="145"/>
      <c r="N26" s="145"/>
      <c r="O26" s="145"/>
      <c r="P26" s="155"/>
      <c r="Q26" s="145"/>
      <c r="R26" s="145">
        <v>0</v>
      </c>
      <c r="S26" s="146"/>
      <c r="T26" s="228">
        <f t="shared" si="0"/>
        <v>7420</v>
      </c>
      <c r="U26" s="296">
        <v>7420</v>
      </c>
      <c r="V26" s="318">
        <f t="shared" si="1"/>
        <v>1</v>
      </c>
      <c r="W26" s="332"/>
    </row>
    <row r="27" spans="2:23" s="34" customFormat="1" ht="55.2" x14ac:dyDescent="0.25">
      <c r="B27" s="139" t="s">
        <v>58</v>
      </c>
      <c r="C27" s="150" t="s">
        <v>5</v>
      </c>
      <c r="D27" s="150" t="s">
        <v>30</v>
      </c>
      <c r="E27" s="151">
        <v>3</v>
      </c>
      <c r="F27" s="151">
        <v>4250</v>
      </c>
      <c r="G27" s="151">
        <v>1</v>
      </c>
      <c r="H27" s="152">
        <f>J27*I27</f>
        <v>5100</v>
      </c>
      <c r="I27" s="153">
        <v>0.4</v>
      </c>
      <c r="J27" s="154">
        <f t="shared" si="4"/>
        <v>12750</v>
      </c>
      <c r="K27" s="139" t="s">
        <v>59</v>
      </c>
      <c r="L27" s="144"/>
      <c r="M27" s="145">
        <v>2</v>
      </c>
      <c r="N27" s="145">
        <v>5000</v>
      </c>
      <c r="O27" s="151">
        <v>1</v>
      </c>
      <c r="P27" s="152">
        <f>R27*Q27</f>
        <v>4000</v>
      </c>
      <c r="Q27" s="153">
        <v>0.4</v>
      </c>
      <c r="R27" s="154">
        <f>M27*N27*O27</f>
        <v>10000</v>
      </c>
      <c r="S27" s="145"/>
      <c r="T27" s="228">
        <f t="shared" si="0"/>
        <v>22750</v>
      </c>
      <c r="U27" s="261">
        <v>20835.599999999999</v>
      </c>
      <c r="V27" s="317">
        <f t="shared" si="1"/>
        <v>0.91585054945054933</v>
      </c>
      <c r="W27" s="332"/>
    </row>
    <row r="28" spans="2:23" s="2" customFormat="1" ht="56.25" customHeight="1" x14ac:dyDescent="0.3">
      <c r="B28" s="139" t="s">
        <v>60</v>
      </c>
      <c r="C28" s="150" t="s">
        <v>5</v>
      </c>
      <c r="D28" s="150" t="s">
        <v>30</v>
      </c>
      <c r="E28" s="151">
        <v>1</v>
      </c>
      <c r="F28" s="151">
        <v>2500</v>
      </c>
      <c r="G28" s="151">
        <v>1</v>
      </c>
      <c r="H28" s="152">
        <f>J28*I28</f>
        <v>875</v>
      </c>
      <c r="I28" s="153">
        <v>0.35</v>
      </c>
      <c r="J28" s="154">
        <f t="shared" si="4"/>
        <v>2500</v>
      </c>
      <c r="K28" s="139" t="s">
        <v>61</v>
      </c>
      <c r="L28" s="144"/>
      <c r="M28" s="145">
        <v>1</v>
      </c>
      <c r="N28" s="145">
        <v>2500</v>
      </c>
      <c r="O28" s="145">
        <v>1</v>
      </c>
      <c r="P28" s="152">
        <f>R28*Q28</f>
        <v>875</v>
      </c>
      <c r="Q28" s="153">
        <v>0.35</v>
      </c>
      <c r="R28" s="154">
        <f>M28*N28*O28</f>
        <v>2500</v>
      </c>
      <c r="S28" s="139" t="s">
        <v>61</v>
      </c>
      <c r="T28" s="228">
        <f t="shared" si="0"/>
        <v>5000</v>
      </c>
      <c r="U28" s="261">
        <v>2456</v>
      </c>
      <c r="V28" s="317">
        <f t="shared" si="1"/>
        <v>0.49120000000000003</v>
      </c>
      <c r="W28" s="329"/>
    </row>
    <row r="29" spans="2:23" s="2" customFormat="1" ht="42.75" customHeight="1" x14ac:dyDescent="0.3">
      <c r="B29" s="156" t="s">
        <v>62</v>
      </c>
      <c r="C29" s="150" t="s">
        <v>5</v>
      </c>
      <c r="D29" s="150" t="s">
        <v>30</v>
      </c>
      <c r="E29" s="151">
        <v>0</v>
      </c>
      <c r="F29" s="151">
        <v>0</v>
      </c>
      <c r="G29" s="151">
        <v>0</v>
      </c>
      <c r="H29" s="152">
        <v>0</v>
      </c>
      <c r="I29" s="153"/>
      <c r="J29" s="154">
        <f t="shared" si="4"/>
        <v>0</v>
      </c>
      <c r="K29" s="157"/>
      <c r="L29" s="144"/>
      <c r="M29" s="145">
        <v>1</v>
      </c>
      <c r="N29" s="145">
        <v>15000</v>
      </c>
      <c r="O29" s="145">
        <v>1</v>
      </c>
      <c r="P29" s="152">
        <f>R29*Q29</f>
        <v>5250</v>
      </c>
      <c r="Q29" s="153">
        <v>0.35</v>
      </c>
      <c r="R29" s="154">
        <f>M29*N29*O29</f>
        <v>15000</v>
      </c>
      <c r="S29" s="139" t="s">
        <v>63</v>
      </c>
      <c r="T29" s="228">
        <f t="shared" si="0"/>
        <v>15000</v>
      </c>
      <c r="U29" s="261">
        <v>0</v>
      </c>
      <c r="V29" s="317">
        <f t="shared" si="1"/>
        <v>0</v>
      </c>
      <c r="W29" s="329"/>
    </row>
    <row r="30" spans="2:23" s="2" customFormat="1" ht="60" customHeight="1" x14ac:dyDescent="0.3">
      <c r="B30" s="139" t="s">
        <v>64</v>
      </c>
      <c r="C30" s="150" t="s">
        <v>5</v>
      </c>
      <c r="D30" s="150" t="s">
        <v>30</v>
      </c>
      <c r="E30" s="151">
        <v>1</v>
      </c>
      <c r="F30" s="151">
        <v>5000</v>
      </c>
      <c r="G30" s="151">
        <v>1</v>
      </c>
      <c r="H30" s="152">
        <f>J30*I30</f>
        <v>2500</v>
      </c>
      <c r="I30" s="153">
        <v>0.5</v>
      </c>
      <c r="J30" s="154">
        <f t="shared" si="4"/>
        <v>5000</v>
      </c>
      <c r="K30" s="139" t="s">
        <v>65</v>
      </c>
      <c r="L30" s="144"/>
      <c r="M30" s="145">
        <v>1</v>
      </c>
      <c r="N30" s="145">
        <v>7500</v>
      </c>
      <c r="O30" s="145">
        <v>1</v>
      </c>
      <c r="P30" s="152">
        <f>R30*Q30</f>
        <v>3000</v>
      </c>
      <c r="Q30" s="153">
        <v>0.4</v>
      </c>
      <c r="R30" s="154">
        <f>M30*N30*O30</f>
        <v>7500</v>
      </c>
      <c r="S30" s="139" t="s">
        <v>65</v>
      </c>
      <c r="T30" s="228">
        <f t="shared" si="0"/>
        <v>12500</v>
      </c>
      <c r="U30" s="261">
        <v>14018.5</v>
      </c>
      <c r="V30" s="317">
        <f t="shared" si="1"/>
        <v>1.12148</v>
      </c>
      <c r="W30" s="329"/>
    </row>
    <row r="31" spans="2:23" s="2" customFormat="1" ht="59.25" customHeight="1" x14ac:dyDescent="0.3">
      <c r="B31" s="139" t="s">
        <v>66</v>
      </c>
      <c r="C31" s="150" t="s">
        <v>5</v>
      </c>
      <c r="D31" s="150" t="s">
        <v>30</v>
      </c>
      <c r="E31" s="151">
        <v>1</v>
      </c>
      <c r="F31" s="151">
        <v>0</v>
      </c>
      <c r="G31" s="151"/>
      <c r="H31" s="152">
        <f>J31*I31</f>
        <v>0</v>
      </c>
      <c r="I31" s="153">
        <v>0</v>
      </c>
      <c r="J31" s="154">
        <f t="shared" si="4"/>
        <v>0</v>
      </c>
      <c r="K31" s="139"/>
      <c r="L31" s="144"/>
      <c r="M31" s="145">
        <v>1</v>
      </c>
      <c r="N31" s="145">
        <v>4500</v>
      </c>
      <c r="O31" s="145">
        <v>1</v>
      </c>
      <c r="P31" s="152">
        <f>R31*Q31</f>
        <v>1350</v>
      </c>
      <c r="Q31" s="153">
        <v>0.3</v>
      </c>
      <c r="R31" s="154">
        <f>M31*N31*O31</f>
        <v>4500</v>
      </c>
      <c r="S31" s="139" t="s">
        <v>67</v>
      </c>
      <c r="T31" s="228">
        <f t="shared" si="0"/>
        <v>4500</v>
      </c>
      <c r="U31" s="261">
        <v>0</v>
      </c>
      <c r="V31" s="317">
        <f t="shared" si="1"/>
        <v>0</v>
      </c>
      <c r="W31" s="329" t="s">
        <v>307</v>
      </c>
    </row>
    <row r="32" spans="2:23" ht="24" customHeight="1" x14ac:dyDescent="0.3">
      <c r="B32" s="250" t="s">
        <v>68</v>
      </c>
      <c r="C32" s="251"/>
      <c r="D32" s="251"/>
      <c r="E32" s="251"/>
      <c r="F32" s="251"/>
      <c r="G32" s="251"/>
      <c r="H32" s="251"/>
      <c r="I32" s="251"/>
      <c r="J32" s="251"/>
      <c r="K32" s="251"/>
      <c r="L32" s="251"/>
      <c r="M32" s="251"/>
      <c r="N32" s="251"/>
      <c r="O32" s="251"/>
      <c r="P32" s="251"/>
      <c r="Q32" s="251"/>
      <c r="R32" s="251"/>
      <c r="S32" s="251"/>
      <c r="T32" s="272">
        <f>SUM(T33:T37)</f>
        <v>37250</v>
      </c>
      <c r="U32" s="271">
        <f>SUM(U33:U37)</f>
        <v>29172</v>
      </c>
      <c r="V32" s="316">
        <f t="shared" si="1"/>
        <v>0.78314093959731546</v>
      </c>
      <c r="W32" s="331"/>
    </row>
    <row r="33" spans="2:23" s="2" customFormat="1" ht="51.45" customHeight="1" x14ac:dyDescent="0.3">
      <c r="B33" s="104" t="s">
        <v>69</v>
      </c>
      <c r="C33" s="105" t="s">
        <v>5</v>
      </c>
      <c r="D33" s="106" t="s">
        <v>70</v>
      </c>
      <c r="E33" s="106">
        <v>1</v>
      </c>
      <c r="F33" s="106">
        <v>5000</v>
      </c>
      <c r="G33" s="106">
        <v>1</v>
      </c>
      <c r="H33" s="107">
        <f>J33*I33</f>
        <v>2500</v>
      </c>
      <c r="I33" s="108">
        <v>0.5</v>
      </c>
      <c r="J33" s="107">
        <f>E33*F33*G33</f>
        <v>5000</v>
      </c>
      <c r="K33" s="104" t="s">
        <v>71</v>
      </c>
      <c r="L33" s="109"/>
      <c r="M33" s="110">
        <v>1</v>
      </c>
      <c r="N33" s="110">
        <v>0</v>
      </c>
      <c r="O33" s="110">
        <v>1</v>
      </c>
      <c r="P33" s="111">
        <f>R33*Q33</f>
        <v>0</v>
      </c>
      <c r="Q33" s="108">
        <v>0.67</v>
      </c>
      <c r="R33" s="110">
        <f>M33*N33*O33</f>
        <v>0</v>
      </c>
      <c r="S33" s="112"/>
      <c r="T33" s="230">
        <f t="shared" si="0"/>
        <v>5000</v>
      </c>
      <c r="U33" s="261">
        <v>5000</v>
      </c>
      <c r="V33" s="317">
        <f t="shared" si="1"/>
        <v>1</v>
      </c>
      <c r="W33" s="329"/>
    </row>
    <row r="34" spans="2:23" s="2" customFormat="1" ht="66" customHeight="1" x14ac:dyDescent="0.3">
      <c r="B34" s="104" t="s">
        <v>72</v>
      </c>
      <c r="C34" s="105" t="s">
        <v>5</v>
      </c>
      <c r="D34" s="106" t="s">
        <v>70</v>
      </c>
      <c r="E34" s="106">
        <v>1</v>
      </c>
      <c r="F34" s="106">
        <v>3250</v>
      </c>
      <c r="G34" s="106">
        <v>1</v>
      </c>
      <c r="H34" s="107">
        <f>J34*I34</f>
        <v>1300</v>
      </c>
      <c r="I34" s="108">
        <v>0.4</v>
      </c>
      <c r="J34" s="107">
        <f>E34*F34*G34</f>
        <v>3250</v>
      </c>
      <c r="K34" s="104" t="s">
        <v>73</v>
      </c>
      <c r="L34" s="109"/>
      <c r="M34" s="110">
        <v>1</v>
      </c>
      <c r="N34" s="110">
        <v>3250</v>
      </c>
      <c r="O34" s="110">
        <v>1</v>
      </c>
      <c r="P34" s="107">
        <f>R34*Q34</f>
        <v>1300</v>
      </c>
      <c r="Q34" s="108">
        <v>0.4</v>
      </c>
      <c r="R34" s="107">
        <f>M34*N34*O34</f>
        <v>3250</v>
      </c>
      <c r="S34" s="104" t="s">
        <v>73</v>
      </c>
      <c r="T34" s="230">
        <f>J34+R34</f>
        <v>6500</v>
      </c>
      <c r="U34" s="261">
        <v>6800</v>
      </c>
      <c r="V34" s="317">
        <f t="shared" si="1"/>
        <v>1.0461538461538462</v>
      </c>
      <c r="W34" s="329"/>
    </row>
    <row r="35" spans="2:23" s="2" customFormat="1" ht="55.95" customHeight="1" x14ac:dyDescent="0.3">
      <c r="B35" s="104" t="s">
        <v>74</v>
      </c>
      <c r="C35" s="105" t="s">
        <v>5</v>
      </c>
      <c r="D35" s="106" t="s">
        <v>70</v>
      </c>
      <c r="E35" s="106">
        <v>84</v>
      </c>
      <c r="F35" s="106">
        <v>75</v>
      </c>
      <c r="G35" s="106">
        <v>1</v>
      </c>
      <c r="H35" s="107">
        <f>J35*I35</f>
        <v>3780</v>
      </c>
      <c r="I35" s="108">
        <v>0.6</v>
      </c>
      <c r="J35" s="107">
        <f>E35*F35*G35</f>
        <v>6300</v>
      </c>
      <c r="K35" s="104" t="s">
        <v>75</v>
      </c>
      <c r="L35" s="109"/>
      <c r="M35" s="110">
        <v>108</v>
      </c>
      <c r="N35" s="110">
        <v>75</v>
      </c>
      <c r="O35" s="110">
        <v>1</v>
      </c>
      <c r="P35" s="107">
        <f>R35*Q35</f>
        <v>4860</v>
      </c>
      <c r="Q35" s="108">
        <v>0.6</v>
      </c>
      <c r="R35" s="107">
        <f>M35*N35*O35</f>
        <v>8100</v>
      </c>
      <c r="S35" s="104" t="s">
        <v>75</v>
      </c>
      <c r="T35" s="230">
        <f t="shared" si="0"/>
        <v>14400</v>
      </c>
      <c r="U35" s="261">
        <v>8900</v>
      </c>
      <c r="V35" s="317">
        <f t="shared" si="1"/>
        <v>0.61805555555555558</v>
      </c>
      <c r="W35" s="329"/>
    </row>
    <row r="36" spans="2:23" s="2" customFormat="1" ht="46.5" customHeight="1" x14ac:dyDescent="0.3">
      <c r="B36" s="104" t="s">
        <v>76</v>
      </c>
      <c r="C36" s="105" t="s">
        <v>5</v>
      </c>
      <c r="D36" s="106" t="s">
        <v>70</v>
      </c>
      <c r="E36" s="106">
        <v>5</v>
      </c>
      <c r="F36" s="106">
        <v>1000</v>
      </c>
      <c r="G36" s="106">
        <v>1</v>
      </c>
      <c r="H36" s="107">
        <f>J36*I36</f>
        <v>2500</v>
      </c>
      <c r="I36" s="108">
        <v>0.5</v>
      </c>
      <c r="J36" s="107">
        <f>E36*F36*G36</f>
        <v>5000</v>
      </c>
      <c r="K36" s="104" t="s">
        <v>77</v>
      </c>
      <c r="L36" s="109"/>
      <c r="M36" s="110">
        <v>3</v>
      </c>
      <c r="N36" s="110">
        <v>150</v>
      </c>
      <c r="O36" s="110">
        <v>3</v>
      </c>
      <c r="P36" s="107">
        <f>R36*Q36</f>
        <v>675</v>
      </c>
      <c r="Q36" s="108">
        <v>0.5</v>
      </c>
      <c r="R36" s="107">
        <f>M36*N36*O36</f>
        <v>1350</v>
      </c>
      <c r="S36" s="104" t="s">
        <v>77</v>
      </c>
      <c r="T36" s="230">
        <f t="shared" si="0"/>
        <v>6350</v>
      </c>
      <c r="U36" s="261">
        <v>3472</v>
      </c>
      <c r="V36" s="317">
        <f t="shared" si="1"/>
        <v>0.54677165354330703</v>
      </c>
      <c r="W36" s="329"/>
    </row>
    <row r="37" spans="2:23" ht="61.5" customHeight="1" x14ac:dyDescent="0.3">
      <c r="B37" s="104" t="s">
        <v>78</v>
      </c>
      <c r="C37" s="105" t="s">
        <v>5</v>
      </c>
      <c r="D37" s="105" t="s">
        <v>70</v>
      </c>
      <c r="E37" s="106">
        <v>1</v>
      </c>
      <c r="F37" s="106">
        <v>2500</v>
      </c>
      <c r="G37" s="106">
        <v>2</v>
      </c>
      <c r="H37" s="107">
        <f>J37*I37</f>
        <v>2000</v>
      </c>
      <c r="I37" s="108">
        <v>0.4</v>
      </c>
      <c r="J37" s="113">
        <f>E37*F37*G37</f>
        <v>5000</v>
      </c>
      <c r="K37" s="104" t="s">
        <v>79</v>
      </c>
      <c r="L37" s="109"/>
      <c r="M37" s="114">
        <v>1</v>
      </c>
      <c r="N37" s="114">
        <v>0</v>
      </c>
      <c r="O37" s="114">
        <v>1</v>
      </c>
      <c r="P37" s="107">
        <f>R37*Q37</f>
        <v>0</v>
      </c>
      <c r="Q37" s="108">
        <v>0.4</v>
      </c>
      <c r="R37" s="107">
        <f>M37*N37*O37</f>
        <v>0</v>
      </c>
      <c r="S37" s="115"/>
      <c r="T37" s="230">
        <f t="shared" si="0"/>
        <v>5000</v>
      </c>
      <c r="U37" s="261">
        <v>5000</v>
      </c>
      <c r="V37" s="317">
        <f t="shared" si="1"/>
        <v>1</v>
      </c>
      <c r="W37" s="331"/>
    </row>
    <row r="38" spans="2:23" s="5" customFormat="1" ht="18" x14ac:dyDescent="0.35">
      <c r="B38" s="42" t="s">
        <v>80</v>
      </c>
      <c r="C38" s="43"/>
      <c r="D38" s="52"/>
      <c r="E38" s="52"/>
      <c r="F38" s="52"/>
      <c r="G38" s="52"/>
      <c r="H38" s="101">
        <f>SUM(H12:H37)</f>
        <v>85368.5</v>
      </c>
      <c r="I38" s="53"/>
      <c r="J38" s="53">
        <f>SUM(J12:J16)+SUM(J18:J24)+SUM(J26:J31)+SUM(J33:J37)</f>
        <v>211393</v>
      </c>
      <c r="K38" s="54"/>
      <c r="L38" s="40"/>
      <c r="M38" s="53"/>
      <c r="N38" s="53"/>
      <c r="O38" s="53"/>
      <c r="P38" s="53">
        <f>P37+P36+P35+P34+P33+P31+P30+P28+P27+P26+P24+P23+P21+P20+P19+P18+P16+P15+P14+P13+P12+P22</f>
        <v>42396</v>
      </c>
      <c r="Q38" s="53"/>
      <c r="R38" s="53">
        <f>SUM(R12:R16)+SUM(R18:R24)+SUM(R26:R31)+SUM(R33:R37)</f>
        <v>118040</v>
      </c>
      <c r="S38" s="53"/>
      <c r="T38" s="231">
        <f>J38+R38</f>
        <v>329433</v>
      </c>
      <c r="U38" s="260">
        <f>SUM(U11,U17,U25,U32)</f>
        <v>296353.59999999998</v>
      </c>
      <c r="V38" s="320">
        <f t="shared" si="1"/>
        <v>0.89958686591810766</v>
      </c>
      <c r="W38" s="333"/>
    </row>
    <row r="39" spans="2:23" s="2" customFormat="1" x14ac:dyDescent="0.3">
      <c r="B39" s="26"/>
      <c r="K39" s="26"/>
      <c r="U39" s="267"/>
      <c r="V39" s="321"/>
      <c r="W39" s="329"/>
    </row>
    <row r="40" spans="2:23" ht="23.1" customHeight="1" x14ac:dyDescent="0.3">
      <c r="B40" s="255" t="s">
        <v>81</v>
      </c>
      <c r="C40" s="256"/>
      <c r="D40" s="256"/>
      <c r="E40" s="256"/>
      <c r="F40" s="256"/>
      <c r="G40" s="256"/>
      <c r="H40" s="256"/>
      <c r="I40" s="256"/>
      <c r="J40" s="256"/>
      <c r="K40" s="257"/>
      <c r="L40" s="36"/>
      <c r="M40" s="37"/>
      <c r="N40" s="37"/>
      <c r="O40" s="37"/>
      <c r="P40" s="37"/>
      <c r="Q40" s="37"/>
      <c r="R40" s="37"/>
      <c r="S40" s="38"/>
      <c r="T40" s="37"/>
      <c r="U40" s="261"/>
      <c r="V40" s="321"/>
      <c r="W40" s="331"/>
    </row>
    <row r="41" spans="2:23" ht="14.4" x14ac:dyDescent="0.3">
      <c r="B41" s="248" t="s">
        <v>82</v>
      </c>
      <c r="C41" s="249"/>
      <c r="D41" s="249"/>
      <c r="E41" s="249"/>
      <c r="F41" s="249"/>
      <c r="G41" s="249"/>
      <c r="H41" s="249"/>
      <c r="I41" s="249"/>
      <c r="J41" s="249"/>
      <c r="K41" s="249"/>
      <c r="L41" s="249"/>
      <c r="M41" s="249"/>
      <c r="N41" s="249"/>
      <c r="O41" s="249"/>
      <c r="P41" s="249"/>
      <c r="Q41" s="249"/>
      <c r="R41" s="249"/>
      <c r="S41" s="249"/>
      <c r="T41" s="274">
        <f>SUM(T42,T43:T51)</f>
        <v>410386.016</v>
      </c>
      <c r="U41" s="275">
        <f>SUM(U42:U51)</f>
        <v>189249.72</v>
      </c>
      <c r="V41" s="316">
        <f t="shared" ref="V41:V67" si="5">+U41/T41</f>
        <v>0.4611505085982267</v>
      </c>
      <c r="W41" s="331"/>
    </row>
    <row r="42" spans="2:23" s="34" customFormat="1" ht="59.25" customHeight="1" x14ac:dyDescent="0.25">
      <c r="B42" s="175" t="s">
        <v>83</v>
      </c>
      <c r="C42" s="174" t="s">
        <v>3</v>
      </c>
      <c r="D42" s="184" t="s">
        <v>49</v>
      </c>
      <c r="E42" s="184">
        <v>1</v>
      </c>
      <c r="F42" s="174">
        <v>9000</v>
      </c>
      <c r="G42" s="184">
        <v>1</v>
      </c>
      <c r="H42" s="185">
        <f>J42*I42</f>
        <v>3600</v>
      </c>
      <c r="I42" s="186">
        <v>0.4</v>
      </c>
      <c r="J42" s="187">
        <f>E42*F42*G42</f>
        <v>9000</v>
      </c>
      <c r="K42" s="175" t="s">
        <v>84</v>
      </c>
      <c r="L42" s="180"/>
      <c r="M42" s="188">
        <v>1</v>
      </c>
      <c r="N42" s="181">
        <v>0</v>
      </c>
      <c r="O42" s="181">
        <v>0</v>
      </c>
      <c r="P42" s="185">
        <f t="shared" ref="P42:P49" si="6">R42*Q42</f>
        <v>0</v>
      </c>
      <c r="Q42" s="186">
        <v>0.4</v>
      </c>
      <c r="R42" s="187">
        <f t="shared" ref="R42:R49" si="7">M42*N42*O42</f>
        <v>0</v>
      </c>
      <c r="S42" s="189"/>
      <c r="T42" s="229">
        <f t="shared" ref="T42:T79" si="8">J42+R42</f>
        <v>9000</v>
      </c>
      <c r="U42" s="261">
        <v>8940</v>
      </c>
      <c r="V42" s="317">
        <f t="shared" si="5"/>
        <v>0.99333333333333329</v>
      </c>
      <c r="W42" s="332"/>
    </row>
    <row r="43" spans="2:23" s="34" customFormat="1" ht="60.75" customHeight="1" x14ac:dyDescent="0.25">
      <c r="B43" s="214" t="s">
        <v>85</v>
      </c>
      <c r="C43" s="215" t="s">
        <v>5</v>
      </c>
      <c r="D43" s="216" t="s">
        <v>86</v>
      </c>
      <c r="E43" s="216">
        <v>1</v>
      </c>
      <c r="F43" s="216">
        <v>25000</v>
      </c>
      <c r="G43" s="216">
        <v>1</v>
      </c>
      <c r="H43" s="217">
        <f t="shared" ref="H43:H48" si="9">J43*I43</f>
        <v>12500</v>
      </c>
      <c r="I43" s="218">
        <v>0.5</v>
      </c>
      <c r="J43" s="219">
        <f t="shared" ref="J43:J48" si="10">E43*F43*G43</f>
        <v>25000</v>
      </c>
      <c r="K43" s="214" t="s">
        <v>87</v>
      </c>
      <c r="L43" s="220"/>
      <c r="M43" s="221">
        <v>1</v>
      </c>
      <c r="N43" s="221">
        <f>F43</f>
        <v>25000</v>
      </c>
      <c r="O43" s="221">
        <v>1</v>
      </c>
      <c r="P43" s="217">
        <f t="shared" si="6"/>
        <v>12500</v>
      </c>
      <c r="Q43" s="218">
        <v>0.5</v>
      </c>
      <c r="R43" s="219">
        <f t="shared" si="7"/>
        <v>25000</v>
      </c>
      <c r="S43" s="214" t="s">
        <v>87</v>
      </c>
      <c r="T43" s="232">
        <f t="shared" si="8"/>
        <v>50000</v>
      </c>
      <c r="U43" s="261">
        <v>37537.370000000003</v>
      </c>
      <c r="V43" s="317">
        <f t="shared" si="5"/>
        <v>0.75074740000000006</v>
      </c>
      <c r="W43" s="332"/>
    </row>
    <row r="44" spans="2:23" s="34" customFormat="1" ht="41.4" x14ac:dyDescent="0.25">
      <c r="B44" s="214" t="s">
        <v>88</v>
      </c>
      <c r="C44" s="215" t="s">
        <v>5</v>
      </c>
      <c r="D44" s="216" t="s">
        <v>86</v>
      </c>
      <c r="E44" s="216">
        <v>24</v>
      </c>
      <c r="F44" s="216">
        <v>1050</v>
      </c>
      <c r="G44" s="216">
        <v>1</v>
      </c>
      <c r="H44" s="217">
        <f t="shared" si="9"/>
        <v>15120</v>
      </c>
      <c r="I44" s="218">
        <v>0.6</v>
      </c>
      <c r="J44" s="219">
        <f t="shared" si="10"/>
        <v>25200</v>
      </c>
      <c r="K44" s="214" t="s">
        <v>286</v>
      </c>
      <c r="L44" s="220"/>
      <c r="M44" s="221">
        <v>2</v>
      </c>
      <c r="N44" s="221">
        <v>550</v>
      </c>
      <c r="O44" s="221">
        <v>12</v>
      </c>
      <c r="P44" s="217">
        <f t="shared" si="6"/>
        <v>5280</v>
      </c>
      <c r="Q44" s="218">
        <v>0.4</v>
      </c>
      <c r="R44" s="219">
        <f t="shared" si="7"/>
        <v>13200</v>
      </c>
      <c r="S44" s="214" t="s">
        <v>287</v>
      </c>
      <c r="T44" s="232">
        <f t="shared" si="8"/>
        <v>38400</v>
      </c>
      <c r="U44" s="261">
        <v>31428.38</v>
      </c>
      <c r="V44" s="317">
        <f t="shared" si="5"/>
        <v>0.81844739583333337</v>
      </c>
      <c r="W44" s="332"/>
    </row>
    <row r="45" spans="2:23" s="34" customFormat="1" ht="70.5" customHeight="1" x14ac:dyDescent="0.25">
      <c r="B45" s="222" t="s">
        <v>89</v>
      </c>
      <c r="C45" s="215" t="s">
        <v>5</v>
      </c>
      <c r="D45" s="216" t="s">
        <v>86</v>
      </c>
      <c r="E45" s="216">
        <v>1</v>
      </c>
      <c r="F45" s="216">
        <v>65249</v>
      </c>
      <c r="G45" s="216">
        <v>1</v>
      </c>
      <c r="H45" s="217">
        <f t="shared" si="9"/>
        <v>32624.5</v>
      </c>
      <c r="I45" s="218">
        <v>0.5</v>
      </c>
      <c r="J45" s="219">
        <f t="shared" si="10"/>
        <v>65249</v>
      </c>
      <c r="K45" s="214" t="s">
        <v>90</v>
      </c>
      <c r="L45" s="220"/>
      <c r="M45" s="221">
        <v>3</v>
      </c>
      <c r="N45" s="221">
        <v>1000</v>
      </c>
      <c r="O45" s="221">
        <v>1</v>
      </c>
      <c r="P45" s="217">
        <f t="shared" si="6"/>
        <v>1200</v>
      </c>
      <c r="Q45" s="218">
        <v>0.4</v>
      </c>
      <c r="R45" s="219">
        <f t="shared" si="7"/>
        <v>3000</v>
      </c>
      <c r="S45" s="214" t="s">
        <v>299</v>
      </c>
      <c r="T45" s="232">
        <f>J45+R45</f>
        <v>68249</v>
      </c>
      <c r="U45" s="261">
        <v>63620.87</v>
      </c>
      <c r="V45" s="318">
        <f t="shared" si="5"/>
        <v>0.93218757783996842</v>
      </c>
      <c r="W45" s="332"/>
    </row>
    <row r="46" spans="2:23" s="34" customFormat="1" ht="56.25" customHeight="1" x14ac:dyDescent="0.25">
      <c r="B46" s="222" t="s">
        <v>255</v>
      </c>
      <c r="C46" s="215" t="s">
        <v>5</v>
      </c>
      <c r="D46" s="216" t="s">
        <v>86</v>
      </c>
      <c r="E46" s="215">
        <v>1</v>
      </c>
      <c r="F46" s="216">
        <v>1537</v>
      </c>
      <c r="G46" s="216">
        <v>12</v>
      </c>
      <c r="H46" s="217">
        <f t="shared" si="9"/>
        <v>3688.8</v>
      </c>
      <c r="I46" s="218">
        <v>0.2</v>
      </c>
      <c r="J46" s="219">
        <f t="shared" si="10"/>
        <v>18444</v>
      </c>
      <c r="K46" s="214" t="s">
        <v>91</v>
      </c>
      <c r="L46" s="220"/>
      <c r="M46" s="223">
        <v>1</v>
      </c>
      <c r="N46" s="223">
        <f>F46</f>
        <v>1537</v>
      </c>
      <c r="O46" s="223">
        <v>12</v>
      </c>
      <c r="P46" s="217">
        <f t="shared" si="6"/>
        <v>11066.4</v>
      </c>
      <c r="Q46" s="218">
        <v>0.6</v>
      </c>
      <c r="R46" s="219">
        <f t="shared" si="7"/>
        <v>18444</v>
      </c>
      <c r="S46" s="214" t="s">
        <v>91</v>
      </c>
      <c r="T46" s="232">
        <f t="shared" si="8"/>
        <v>36888</v>
      </c>
      <c r="U46" s="261">
        <v>32612.1</v>
      </c>
      <c r="V46" s="317">
        <f t="shared" si="5"/>
        <v>0.88408425504229016</v>
      </c>
      <c r="W46" s="332"/>
    </row>
    <row r="47" spans="2:23" s="34" customFormat="1" ht="56.25" customHeight="1" x14ac:dyDescent="0.25">
      <c r="B47" s="222" t="s">
        <v>92</v>
      </c>
      <c r="C47" s="215" t="s">
        <v>5</v>
      </c>
      <c r="D47" s="216" t="s">
        <v>86</v>
      </c>
      <c r="E47" s="215">
        <v>101</v>
      </c>
      <c r="F47" s="216">
        <f>531.708</f>
        <v>531.70799999999997</v>
      </c>
      <c r="G47" s="216">
        <v>1</v>
      </c>
      <c r="H47" s="217">
        <f t="shared" si="9"/>
        <v>32221.504799999995</v>
      </c>
      <c r="I47" s="218">
        <v>0.6</v>
      </c>
      <c r="J47" s="219">
        <f t="shared" si="10"/>
        <v>53702.507999999994</v>
      </c>
      <c r="K47" s="214" t="s">
        <v>259</v>
      </c>
      <c r="L47" s="220"/>
      <c r="M47" s="223">
        <v>101</v>
      </c>
      <c r="N47" s="223">
        <f>F47</f>
        <v>531.70799999999997</v>
      </c>
      <c r="O47" s="223">
        <v>1</v>
      </c>
      <c r="P47" s="217">
        <f t="shared" si="6"/>
        <v>32221.504799999995</v>
      </c>
      <c r="Q47" s="218">
        <v>0.6</v>
      </c>
      <c r="R47" s="219">
        <f t="shared" si="7"/>
        <v>53702.507999999994</v>
      </c>
      <c r="S47" s="214" t="s">
        <v>259</v>
      </c>
      <c r="T47" s="232">
        <f t="shared" si="8"/>
        <v>107405.01599999999</v>
      </c>
      <c r="U47" s="261">
        <v>2605</v>
      </c>
      <c r="V47" s="317">
        <f t="shared" si="5"/>
        <v>2.4253988286729554E-2</v>
      </c>
      <c r="W47" s="332" t="s">
        <v>308</v>
      </c>
    </row>
    <row r="48" spans="2:23" s="34" customFormat="1" ht="56.25" customHeight="1" x14ac:dyDescent="0.25">
      <c r="B48" s="222" t="s">
        <v>93</v>
      </c>
      <c r="C48" s="215" t="s">
        <v>5</v>
      </c>
      <c r="D48" s="216" t="s">
        <v>86</v>
      </c>
      <c r="E48" s="215">
        <v>1</v>
      </c>
      <c r="F48" s="216">
        <v>2000</v>
      </c>
      <c r="G48" s="216">
        <v>3</v>
      </c>
      <c r="H48" s="217">
        <f t="shared" si="9"/>
        <v>3600</v>
      </c>
      <c r="I48" s="218">
        <v>0.6</v>
      </c>
      <c r="J48" s="219">
        <f t="shared" si="10"/>
        <v>6000</v>
      </c>
      <c r="K48" s="214" t="s">
        <v>94</v>
      </c>
      <c r="L48" s="220"/>
      <c r="M48" s="223">
        <v>1</v>
      </c>
      <c r="N48" s="223">
        <v>2000</v>
      </c>
      <c r="O48" s="223">
        <v>3</v>
      </c>
      <c r="P48" s="217">
        <f t="shared" si="6"/>
        <v>3600</v>
      </c>
      <c r="Q48" s="218">
        <v>0.6</v>
      </c>
      <c r="R48" s="219">
        <f t="shared" si="7"/>
        <v>6000</v>
      </c>
      <c r="S48" s="214" t="s">
        <v>94</v>
      </c>
      <c r="T48" s="232">
        <f t="shared" si="8"/>
        <v>12000</v>
      </c>
      <c r="U48" s="261">
        <v>6390</v>
      </c>
      <c r="V48" s="317">
        <f t="shared" si="5"/>
        <v>0.53249999999999997</v>
      </c>
      <c r="W48" s="332"/>
    </row>
    <row r="49" spans="2:23" s="34" customFormat="1" ht="27.6" x14ac:dyDescent="0.25">
      <c r="B49" s="222" t="s">
        <v>95</v>
      </c>
      <c r="C49" s="215" t="s">
        <v>5</v>
      </c>
      <c r="D49" s="216" t="s">
        <v>86</v>
      </c>
      <c r="E49" s="224"/>
      <c r="F49" s="216"/>
      <c r="G49" s="216"/>
      <c r="H49" s="217">
        <f>J49*I49</f>
        <v>0</v>
      </c>
      <c r="I49" s="225">
        <v>0.67</v>
      </c>
      <c r="J49" s="219">
        <f>E49*F49*G49</f>
        <v>0</v>
      </c>
      <c r="K49" s="214" t="s">
        <v>96</v>
      </c>
      <c r="L49" s="220"/>
      <c r="M49" s="223"/>
      <c r="N49" s="223"/>
      <c r="O49" s="223"/>
      <c r="P49" s="217">
        <f t="shared" si="6"/>
        <v>0</v>
      </c>
      <c r="Q49" s="218">
        <v>0.6</v>
      </c>
      <c r="R49" s="219">
        <f t="shared" si="7"/>
        <v>0</v>
      </c>
      <c r="S49" s="214" t="s">
        <v>97</v>
      </c>
      <c r="T49" s="232">
        <f t="shared" si="8"/>
        <v>0</v>
      </c>
      <c r="U49" s="261">
        <v>0</v>
      </c>
      <c r="V49" s="317"/>
      <c r="W49" s="332"/>
    </row>
    <row r="50" spans="2:23" s="34" customFormat="1" ht="27.6" x14ac:dyDescent="0.25">
      <c r="B50" s="222" t="s">
        <v>98</v>
      </c>
      <c r="C50" s="215" t="s">
        <v>5</v>
      </c>
      <c r="D50" s="216" t="s">
        <v>86</v>
      </c>
      <c r="E50" s="216">
        <v>4</v>
      </c>
      <c r="F50" s="216">
        <v>1500</v>
      </c>
      <c r="G50" s="216">
        <v>1</v>
      </c>
      <c r="H50" s="217">
        <f t="shared" ref="H50:H51" si="11">J50*I50</f>
        <v>3000</v>
      </c>
      <c r="I50" s="218">
        <v>0.5</v>
      </c>
      <c r="J50" s="219">
        <f>E50*F50*G50</f>
        <v>6000</v>
      </c>
      <c r="K50" s="214" t="s">
        <v>99</v>
      </c>
      <c r="L50" s="220"/>
      <c r="M50" s="226">
        <v>2</v>
      </c>
      <c r="N50" s="226">
        <v>2500</v>
      </c>
      <c r="O50" s="226">
        <v>1</v>
      </c>
      <c r="P50" s="217">
        <f>R50*Q50</f>
        <v>3000</v>
      </c>
      <c r="Q50" s="218">
        <v>0.6</v>
      </c>
      <c r="R50" s="219">
        <f>M50*N50*O50</f>
        <v>5000</v>
      </c>
      <c r="S50" s="214" t="s">
        <v>100</v>
      </c>
      <c r="T50" s="232">
        <f>J50+R50</f>
        <v>11000</v>
      </c>
      <c r="U50" s="261">
        <v>6116</v>
      </c>
      <c r="V50" s="317">
        <f t="shared" si="5"/>
        <v>0.55600000000000005</v>
      </c>
      <c r="W50" s="332"/>
    </row>
    <row r="51" spans="2:23" s="35" customFormat="1" ht="39" customHeight="1" x14ac:dyDescent="0.25">
      <c r="B51" s="175" t="s">
        <v>300</v>
      </c>
      <c r="C51" s="174" t="s">
        <v>6</v>
      </c>
      <c r="D51" s="184" t="s">
        <v>49</v>
      </c>
      <c r="E51" s="184">
        <v>1</v>
      </c>
      <c r="F51" s="184">
        <v>38722</v>
      </c>
      <c r="G51" s="184">
        <v>1</v>
      </c>
      <c r="H51" s="185">
        <f t="shared" si="11"/>
        <v>19361</v>
      </c>
      <c r="I51" s="186">
        <v>0.5</v>
      </c>
      <c r="J51" s="187">
        <f>E51*F51*G51</f>
        <v>38722</v>
      </c>
      <c r="K51" s="175" t="s">
        <v>295</v>
      </c>
      <c r="L51" s="180"/>
      <c r="M51" s="184">
        <v>1</v>
      </c>
      <c r="N51" s="184">
        <f>F51</f>
        <v>38722</v>
      </c>
      <c r="O51" s="184">
        <v>1</v>
      </c>
      <c r="P51" s="185">
        <f t="shared" ref="P51" si="12">R51*Q51</f>
        <v>19361</v>
      </c>
      <c r="Q51" s="186">
        <v>0.5</v>
      </c>
      <c r="R51" s="187">
        <f>M51*N51*O51</f>
        <v>38722</v>
      </c>
      <c r="S51" s="175" t="s">
        <v>295</v>
      </c>
      <c r="T51" s="229">
        <f>J51+R51</f>
        <v>77444</v>
      </c>
      <c r="U51" s="261">
        <v>0</v>
      </c>
      <c r="V51" s="317">
        <f t="shared" si="5"/>
        <v>0</v>
      </c>
      <c r="W51" s="334" t="s">
        <v>307</v>
      </c>
    </row>
    <row r="52" spans="2:23" ht="15" customHeight="1" x14ac:dyDescent="0.3">
      <c r="B52" s="246" t="s">
        <v>101</v>
      </c>
      <c r="C52" s="247"/>
      <c r="D52" s="247"/>
      <c r="E52" s="247"/>
      <c r="F52" s="247"/>
      <c r="G52" s="247"/>
      <c r="H52" s="247"/>
      <c r="I52" s="247"/>
      <c r="J52" s="247"/>
      <c r="K52" s="247"/>
      <c r="L52" s="247"/>
      <c r="M52" s="247"/>
      <c r="N52" s="247"/>
      <c r="O52" s="247"/>
      <c r="P52" s="247"/>
      <c r="Q52" s="247"/>
      <c r="R52" s="247"/>
      <c r="S52" s="247"/>
      <c r="T52" s="276">
        <f>SUM(T53,T54:T59)</f>
        <v>501570</v>
      </c>
      <c r="U52" s="271">
        <f>SUM(U53:U59)</f>
        <v>519772.44</v>
      </c>
      <c r="V52" s="316">
        <f>+U52/T52</f>
        <v>1.0362909264908189</v>
      </c>
      <c r="W52" s="331"/>
    </row>
    <row r="53" spans="2:23" s="34" customFormat="1" ht="41.4" x14ac:dyDescent="0.25">
      <c r="B53" s="190" t="s">
        <v>268</v>
      </c>
      <c r="C53" s="174" t="s">
        <v>6</v>
      </c>
      <c r="D53" s="184" t="s">
        <v>49</v>
      </c>
      <c r="E53" s="191">
        <v>1</v>
      </c>
      <c r="F53" s="184">
        <v>3370</v>
      </c>
      <c r="G53" s="184">
        <v>1</v>
      </c>
      <c r="H53" s="185">
        <f t="shared" ref="H53:H59" si="13">J53*I53</f>
        <v>1516.5</v>
      </c>
      <c r="I53" s="186">
        <v>0.45</v>
      </c>
      <c r="J53" s="187">
        <f t="shared" ref="J53:J59" si="14">E53*F53*G53</f>
        <v>3370</v>
      </c>
      <c r="K53" s="175" t="s">
        <v>102</v>
      </c>
      <c r="L53" s="180"/>
      <c r="M53" s="182"/>
      <c r="N53" s="182"/>
      <c r="O53" s="182"/>
      <c r="P53" s="185">
        <f t="shared" ref="P53:P59" si="15">R53*Q53</f>
        <v>0</v>
      </c>
      <c r="Q53" s="186">
        <v>0</v>
      </c>
      <c r="R53" s="187">
        <f t="shared" ref="R53:R59" si="16">M53*N53*O53</f>
        <v>0</v>
      </c>
      <c r="S53" s="189"/>
      <c r="T53" s="229">
        <f t="shared" si="8"/>
        <v>3370</v>
      </c>
      <c r="U53" s="261">
        <v>3348.52</v>
      </c>
      <c r="V53" s="317">
        <f>+U53/T53</f>
        <v>0.99362611275964396</v>
      </c>
      <c r="W53" s="332"/>
    </row>
    <row r="54" spans="2:23" s="34" customFormat="1" ht="41.4" x14ac:dyDescent="0.25">
      <c r="B54" s="190" t="s">
        <v>103</v>
      </c>
      <c r="C54" s="174" t="s">
        <v>6</v>
      </c>
      <c r="D54" s="184" t="s">
        <v>49</v>
      </c>
      <c r="E54" s="191">
        <v>1</v>
      </c>
      <c r="F54" s="184">
        <v>150000</v>
      </c>
      <c r="G54" s="184">
        <v>1</v>
      </c>
      <c r="H54" s="192">
        <f t="shared" si="13"/>
        <v>75000</v>
      </c>
      <c r="I54" s="193">
        <v>0.5</v>
      </c>
      <c r="J54" s="187">
        <f t="shared" si="14"/>
        <v>150000</v>
      </c>
      <c r="K54" s="175" t="s">
        <v>104</v>
      </c>
      <c r="L54" s="180"/>
      <c r="M54" s="182">
        <v>1</v>
      </c>
      <c r="N54" s="182">
        <v>0</v>
      </c>
      <c r="O54" s="182">
        <v>1</v>
      </c>
      <c r="P54" s="185">
        <f t="shared" si="15"/>
        <v>0</v>
      </c>
      <c r="Q54" s="186">
        <v>0.5</v>
      </c>
      <c r="R54" s="187">
        <f t="shared" si="16"/>
        <v>0</v>
      </c>
      <c r="S54" s="189"/>
      <c r="T54" s="229">
        <f t="shared" si="8"/>
        <v>150000</v>
      </c>
      <c r="U54" s="298">
        <v>156467.01999999999</v>
      </c>
      <c r="V54" s="317">
        <f t="shared" si="5"/>
        <v>1.0431134666666666</v>
      </c>
      <c r="W54" s="332"/>
    </row>
    <row r="55" spans="2:23" s="34" customFormat="1" ht="55.2" x14ac:dyDescent="0.25">
      <c r="B55" s="190" t="s">
        <v>105</v>
      </c>
      <c r="C55" s="174" t="s">
        <v>6</v>
      </c>
      <c r="D55" s="184" t="s">
        <v>49</v>
      </c>
      <c r="E55" s="191">
        <v>1</v>
      </c>
      <c r="F55" s="184">
        <v>0</v>
      </c>
      <c r="G55" s="184">
        <v>1</v>
      </c>
      <c r="H55" s="192">
        <f t="shared" si="13"/>
        <v>0</v>
      </c>
      <c r="I55" s="193">
        <v>0</v>
      </c>
      <c r="J55" s="187">
        <f t="shared" si="14"/>
        <v>0</v>
      </c>
      <c r="K55" s="194"/>
      <c r="L55" s="180"/>
      <c r="M55" s="182">
        <v>2</v>
      </c>
      <c r="N55" s="182">
        <v>6000</v>
      </c>
      <c r="O55" s="182">
        <v>1</v>
      </c>
      <c r="P55" s="185">
        <f t="shared" si="15"/>
        <v>6000</v>
      </c>
      <c r="Q55" s="186">
        <v>0.5</v>
      </c>
      <c r="R55" s="187">
        <f t="shared" si="16"/>
        <v>12000</v>
      </c>
      <c r="S55" s="175" t="s">
        <v>106</v>
      </c>
      <c r="T55" s="229">
        <f t="shared" si="8"/>
        <v>12000</v>
      </c>
      <c r="U55" s="261">
        <v>0</v>
      </c>
      <c r="V55" s="317">
        <f t="shared" si="5"/>
        <v>0</v>
      </c>
      <c r="W55" s="332" t="s">
        <v>308</v>
      </c>
    </row>
    <row r="56" spans="2:23" s="34" customFormat="1" ht="56.25" customHeight="1" x14ac:dyDescent="0.25">
      <c r="B56" s="190" t="s">
        <v>107</v>
      </c>
      <c r="C56" s="174" t="s">
        <v>6</v>
      </c>
      <c r="D56" s="184" t="s">
        <v>49</v>
      </c>
      <c r="E56" s="191">
        <v>1</v>
      </c>
      <c r="F56" s="184">
        <v>500</v>
      </c>
      <c r="G56" s="184">
        <v>3</v>
      </c>
      <c r="H56" s="185">
        <f t="shared" si="13"/>
        <v>750</v>
      </c>
      <c r="I56" s="186">
        <v>0.5</v>
      </c>
      <c r="J56" s="187">
        <f t="shared" si="14"/>
        <v>1500</v>
      </c>
      <c r="K56" s="175" t="s">
        <v>108</v>
      </c>
      <c r="L56" s="180"/>
      <c r="M56" s="182"/>
      <c r="N56" s="182"/>
      <c r="O56" s="182"/>
      <c r="P56" s="185">
        <f t="shared" si="15"/>
        <v>0</v>
      </c>
      <c r="Q56" s="186">
        <v>0.6</v>
      </c>
      <c r="R56" s="187">
        <f t="shared" si="16"/>
        <v>0</v>
      </c>
      <c r="S56" s="189"/>
      <c r="T56" s="229">
        <f t="shared" si="8"/>
        <v>1500</v>
      </c>
      <c r="U56" s="261">
        <v>1306.75</v>
      </c>
      <c r="V56" s="317">
        <f t="shared" si="5"/>
        <v>0.87116666666666664</v>
      </c>
      <c r="W56" s="332"/>
    </row>
    <row r="57" spans="2:23" s="34" customFormat="1" ht="41.4" x14ac:dyDescent="0.25">
      <c r="B57" s="173" t="s">
        <v>109</v>
      </c>
      <c r="C57" s="174" t="s">
        <v>6</v>
      </c>
      <c r="D57" s="184" t="s">
        <v>49</v>
      </c>
      <c r="E57" s="191">
        <v>1</v>
      </c>
      <c r="F57" s="184">
        <v>9000</v>
      </c>
      <c r="G57" s="184">
        <v>1</v>
      </c>
      <c r="H57" s="185">
        <f>J57*I57</f>
        <v>4500</v>
      </c>
      <c r="I57" s="186">
        <v>0.5</v>
      </c>
      <c r="J57" s="187">
        <f>E57*F57*G57</f>
        <v>9000</v>
      </c>
      <c r="K57" s="175" t="s">
        <v>50</v>
      </c>
      <c r="L57" s="180"/>
      <c r="M57" s="182"/>
      <c r="N57" s="182"/>
      <c r="O57" s="182"/>
      <c r="P57" s="185"/>
      <c r="Q57" s="186"/>
      <c r="R57" s="187"/>
      <c r="S57" s="189"/>
      <c r="T57" s="229">
        <f t="shared" si="8"/>
        <v>9000</v>
      </c>
      <c r="U57" s="261">
        <v>9090</v>
      </c>
      <c r="V57" s="317">
        <f t="shared" si="5"/>
        <v>1.01</v>
      </c>
      <c r="W57" s="332"/>
    </row>
    <row r="58" spans="2:23" s="34" customFormat="1" ht="85.95" customHeight="1" x14ac:dyDescent="0.25">
      <c r="B58" s="190" t="s">
        <v>264</v>
      </c>
      <c r="C58" s="174" t="s">
        <v>6</v>
      </c>
      <c r="D58" s="184" t="s">
        <v>49</v>
      </c>
      <c r="E58" s="174">
        <v>26</v>
      </c>
      <c r="F58" s="184">
        <v>12200</v>
      </c>
      <c r="G58" s="184">
        <v>1</v>
      </c>
      <c r="H58" s="185">
        <f t="shared" si="13"/>
        <v>158600</v>
      </c>
      <c r="I58" s="186">
        <v>0.5</v>
      </c>
      <c r="J58" s="187">
        <f t="shared" si="14"/>
        <v>317200</v>
      </c>
      <c r="K58" s="175" t="s">
        <v>110</v>
      </c>
      <c r="L58" s="180"/>
      <c r="M58" s="182"/>
      <c r="N58" s="182"/>
      <c r="O58" s="182">
        <v>1</v>
      </c>
      <c r="P58" s="185">
        <f t="shared" si="15"/>
        <v>0</v>
      </c>
      <c r="Q58" s="186">
        <v>0.5</v>
      </c>
      <c r="R58" s="187">
        <f t="shared" si="16"/>
        <v>0</v>
      </c>
      <c r="S58" s="175"/>
      <c r="T58" s="229">
        <f t="shared" si="8"/>
        <v>317200</v>
      </c>
      <c r="U58" s="299">
        <v>341164.25</v>
      </c>
      <c r="V58" s="318">
        <f t="shared" si="5"/>
        <v>1.0755493379571248</v>
      </c>
      <c r="W58" s="335"/>
    </row>
    <row r="59" spans="2:23" s="34" customFormat="1" ht="41.4" x14ac:dyDescent="0.25">
      <c r="B59" s="190" t="s">
        <v>256</v>
      </c>
      <c r="C59" s="174" t="s">
        <v>6</v>
      </c>
      <c r="D59" s="184" t="s">
        <v>49</v>
      </c>
      <c r="E59" s="184">
        <v>2</v>
      </c>
      <c r="F59" s="184">
        <v>2000</v>
      </c>
      <c r="G59" s="184">
        <v>1</v>
      </c>
      <c r="H59" s="185">
        <f t="shared" si="13"/>
        <v>1600</v>
      </c>
      <c r="I59" s="186">
        <v>0.4</v>
      </c>
      <c r="J59" s="187">
        <f t="shared" si="14"/>
        <v>4000</v>
      </c>
      <c r="K59" s="175" t="s">
        <v>111</v>
      </c>
      <c r="L59" s="180"/>
      <c r="M59" s="181">
        <v>3</v>
      </c>
      <c r="N59" s="181">
        <v>1500</v>
      </c>
      <c r="O59" s="181">
        <v>1</v>
      </c>
      <c r="P59" s="185">
        <f t="shared" si="15"/>
        <v>1800</v>
      </c>
      <c r="Q59" s="186">
        <v>0.4</v>
      </c>
      <c r="R59" s="187">
        <f t="shared" si="16"/>
        <v>4500</v>
      </c>
      <c r="S59" s="175" t="s">
        <v>112</v>
      </c>
      <c r="T59" s="229">
        <f t="shared" si="8"/>
        <v>8500</v>
      </c>
      <c r="U59" s="261">
        <v>8395.9</v>
      </c>
      <c r="V59" s="317">
        <f t="shared" si="5"/>
        <v>0.9877529411764705</v>
      </c>
      <c r="W59" s="332"/>
    </row>
    <row r="60" spans="2:23" ht="15" customHeight="1" x14ac:dyDescent="0.3">
      <c r="B60" s="246" t="s">
        <v>113</v>
      </c>
      <c r="C60" s="247"/>
      <c r="D60" s="247"/>
      <c r="E60" s="247"/>
      <c r="F60" s="247"/>
      <c r="G60" s="247"/>
      <c r="H60" s="247"/>
      <c r="I60" s="247"/>
      <c r="J60" s="247"/>
      <c r="K60" s="247"/>
      <c r="L60" s="247"/>
      <c r="M60" s="247"/>
      <c r="N60" s="247"/>
      <c r="O60" s="247"/>
      <c r="P60" s="247"/>
      <c r="Q60" s="247"/>
      <c r="R60" s="247"/>
      <c r="S60" s="247"/>
      <c r="T60" s="277">
        <f>SUM(T61,T62:T67)</f>
        <v>60000</v>
      </c>
      <c r="U60" s="271">
        <f>SUM(U61:U67)</f>
        <v>31956.74</v>
      </c>
      <c r="V60" s="316">
        <f t="shared" si="5"/>
        <v>0.53261233333333335</v>
      </c>
      <c r="W60" s="331"/>
    </row>
    <row r="61" spans="2:23" s="34" customFormat="1" ht="69" x14ac:dyDescent="0.25">
      <c r="B61" s="195" t="s">
        <v>288</v>
      </c>
      <c r="C61" s="174" t="s">
        <v>6</v>
      </c>
      <c r="D61" s="184" t="s">
        <v>49</v>
      </c>
      <c r="E61" s="196">
        <v>1</v>
      </c>
      <c r="F61" s="196">
        <v>5000</v>
      </c>
      <c r="G61" s="196">
        <v>1</v>
      </c>
      <c r="H61" s="197">
        <f t="shared" ref="H61:H67" si="17">J61*I61</f>
        <v>1250</v>
      </c>
      <c r="I61" s="198">
        <v>0.25</v>
      </c>
      <c r="J61" s="199">
        <f t="shared" ref="J61:J67" si="18">E61*F61*G61</f>
        <v>5000</v>
      </c>
      <c r="K61" s="175" t="s">
        <v>114</v>
      </c>
      <c r="L61" s="180"/>
      <c r="M61" s="181">
        <v>1</v>
      </c>
      <c r="N61" s="181">
        <f>F61</f>
        <v>5000</v>
      </c>
      <c r="O61" s="181">
        <v>1</v>
      </c>
      <c r="P61" s="194">
        <f t="shared" ref="P61:P67" si="19">R61*Q61</f>
        <v>2000</v>
      </c>
      <c r="Q61" s="183">
        <v>0.4</v>
      </c>
      <c r="R61" s="181">
        <f t="shared" ref="R61:R67" si="20">M61*N61*O61</f>
        <v>5000</v>
      </c>
      <c r="S61" s="175" t="s">
        <v>114</v>
      </c>
      <c r="T61" s="229">
        <f t="shared" si="8"/>
        <v>10000</v>
      </c>
      <c r="U61" s="298">
        <v>8199.1</v>
      </c>
      <c r="V61" s="318">
        <f t="shared" si="5"/>
        <v>0.81991000000000003</v>
      </c>
      <c r="W61" s="332"/>
    </row>
    <row r="62" spans="2:23" s="34" customFormat="1" ht="41.4" x14ac:dyDescent="0.25">
      <c r="B62" s="190" t="s">
        <v>289</v>
      </c>
      <c r="C62" s="174" t="s">
        <v>6</v>
      </c>
      <c r="D62" s="184" t="s">
        <v>49</v>
      </c>
      <c r="E62" s="196">
        <v>10</v>
      </c>
      <c r="F62" s="196">
        <v>240</v>
      </c>
      <c r="G62" s="196">
        <v>1</v>
      </c>
      <c r="H62" s="197">
        <f t="shared" si="17"/>
        <v>960</v>
      </c>
      <c r="I62" s="198">
        <v>0.4</v>
      </c>
      <c r="J62" s="199">
        <f t="shared" si="18"/>
        <v>2400</v>
      </c>
      <c r="K62" s="175" t="s">
        <v>269</v>
      </c>
      <c r="L62" s="180"/>
      <c r="M62" s="181">
        <v>10</v>
      </c>
      <c r="N62" s="181">
        <v>240</v>
      </c>
      <c r="O62" s="181">
        <v>1</v>
      </c>
      <c r="P62" s="194">
        <f t="shared" si="19"/>
        <v>960</v>
      </c>
      <c r="Q62" s="183">
        <v>0.4</v>
      </c>
      <c r="R62" s="181">
        <f t="shared" si="20"/>
        <v>2400</v>
      </c>
      <c r="S62" s="175" t="s">
        <v>269</v>
      </c>
      <c r="T62" s="229">
        <f t="shared" si="8"/>
        <v>4800</v>
      </c>
      <c r="U62" s="261">
        <v>4753.5</v>
      </c>
      <c r="V62" s="317">
        <f t="shared" si="5"/>
        <v>0.99031250000000004</v>
      </c>
      <c r="W62" s="332"/>
    </row>
    <row r="63" spans="2:23" s="34" customFormat="1" ht="55.2" x14ac:dyDescent="0.25">
      <c r="B63" s="190" t="s">
        <v>290</v>
      </c>
      <c r="C63" s="174" t="s">
        <v>6</v>
      </c>
      <c r="D63" s="184" t="s">
        <v>49</v>
      </c>
      <c r="E63" s="196">
        <v>15</v>
      </c>
      <c r="F63" s="196">
        <v>20</v>
      </c>
      <c r="G63" s="196">
        <v>10</v>
      </c>
      <c r="H63" s="197">
        <f t="shared" si="17"/>
        <v>1050</v>
      </c>
      <c r="I63" s="198">
        <v>0.35</v>
      </c>
      <c r="J63" s="199">
        <f t="shared" si="18"/>
        <v>3000</v>
      </c>
      <c r="K63" s="175" t="s">
        <v>115</v>
      </c>
      <c r="L63" s="180"/>
      <c r="M63" s="181">
        <v>10</v>
      </c>
      <c r="N63" s="181">
        <f>F63</f>
        <v>20</v>
      </c>
      <c r="O63" s="181">
        <v>15</v>
      </c>
      <c r="P63" s="194">
        <f t="shared" si="19"/>
        <v>1050</v>
      </c>
      <c r="Q63" s="183">
        <v>0.35</v>
      </c>
      <c r="R63" s="181">
        <f t="shared" si="20"/>
        <v>3000</v>
      </c>
      <c r="S63" s="175" t="s">
        <v>115</v>
      </c>
      <c r="T63" s="229">
        <f t="shared" si="8"/>
        <v>6000</v>
      </c>
      <c r="U63" s="261">
        <v>1124.5999999999999</v>
      </c>
      <c r="V63" s="317">
        <f t="shared" si="5"/>
        <v>0.18743333333333331</v>
      </c>
      <c r="W63" s="332"/>
    </row>
    <row r="64" spans="2:23" s="34" customFormat="1" ht="55.2" x14ac:dyDescent="0.25">
      <c r="B64" s="190" t="s">
        <v>291</v>
      </c>
      <c r="C64" s="174" t="s">
        <v>6</v>
      </c>
      <c r="D64" s="184" t="s">
        <v>49</v>
      </c>
      <c r="E64" s="196">
        <v>27</v>
      </c>
      <c r="F64" s="196">
        <v>300</v>
      </c>
      <c r="G64" s="196">
        <v>1</v>
      </c>
      <c r="H64" s="197">
        <f t="shared" si="17"/>
        <v>3240</v>
      </c>
      <c r="I64" s="198">
        <v>0.4</v>
      </c>
      <c r="J64" s="199">
        <f t="shared" si="18"/>
        <v>8100</v>
      </c>
      <c r="K64" s="175" t="s">
        <v>271</v>
      </c>
      <c r="L64" s="180"/>
      <c r="M64" s="181">
        <v>27</v>
      </c>
      <c r="N64" s="181">
        <v>300</v>
      </c>
      <c r="O64" s="181">
        <v>1</v>
      </c>
      <c r="P64" s="194">
        <f t="shared" si="19"/>
        <v>2835</v>
      </c>
      <c r="Q64" s="183">
        <v>0.35</v>
      </c>
      <c r="R64" s="181">
        <f t="shared" si="20"/>
        <v>8100</v>
      </c>
      <c r="S64" s="175" t="s">
        <v>271</v>
      </c>
      <c r="T64" s="229">
        <f t="shared" si="8"/>
        <v>16200</v>
      </c>
      <c r="U64" s="261">
        <v>935.25</v>
      </c>
      <c r="V64" s="317">
        <f t="shared" si="5"/>
        <v>5.7731481481481481E-2</v>
      </c>
      <c r="W64" s="332" t="s">
        <v>307</v>
      </c>
    </row>
    <row r="65" spans="2:23" s="34" customFormat="1" ht="41.4" x14ac:dyDescent="0.25">
      <c r="B65" s="190" t="s">
        <v>292</v>
      </c>
      <c r="C65" s="174" t="s">
        <v>6</v>
      </c>
      <c r="D65" s="184" t="s">
        <v>49</v>
      </c>
      <c r="E65" s="196">
        <v>1</v>
      </c>
      <c r="F65" s="196">
        <v>2500</v>
      </c>
      <c r="G65" s="196">
        <v>1</v>
      </c>
      <c r="H65" s="197">
        <f t="shared" si="17"/>
        <v>1000</v>
      </c>
      <c r="I65" s="198">
        <v>0.4</v>
      </c>
      <c r="J65" s="199">
        <f t="shared" si="18"/>
        <v>2500</v>
      </c>
      <c r="K65" s="175" t="s">
        <v>116</v>
      </c>
      <c r="L65" s="180"/>
      <c r="M65" s="181">
        <v>1</v>
      </c>
      <c r="N65" s="181">
        <v>2500</v>
      </c>
      <c r="O65" s="181">
        <v>1</v>
      </c>
      <c r="P65" s="194">
        <f t="shared" si="19"/>
        <v>875</v>
      </c>
      <c r="Q65" s="183">
        <v>0.35</v>
      </c>
      <c r="R65" s="181">
        <f t="shared" si="20"/>
        <v>2500</v>
      </c>
      <c r="S65" s="175" t="s">
        <v>116</v>
      </c>
      <c r="T65" s="229">
        <f t="shared" si="8"/>
        <v>5000</v>
      </c>
      <c r="U65" s="298">
        <v>3183.5</v>
      </c>
      <c r="V65" s="317">
        <f t="shared" si="5"/>
        <v>0.63670000000000004</v>
      </c>
      <c r="W65" s="332"/>
    </row>
    <row r="66" spans="2:23" s="34" customFormat="1" ht="27.6" x14ac:dyDescent="0.25">
      <c r="B66" s="190" t="s">
        <v>293</v>
      </c>
      <c r="C66" s="174" t="s">
        <v>6</v>
      </c>
      <c r="D66" s="184" t="s">
        <v>49</v>
      </c>
      <c r="E66" s="196">
        <v>1</v>
      </c>
      <c r="F66" s="196">
        <v>5000</v>
      </c>
      <c r="G66" s="196">
        <v>1</v>
      </c>
      <c r="H66" s="197">
        <f t="shared" si="17"/>
        <v>4000</v>
      </c>
      <c r="I66" s="198">
        <v>0.8</v>
      </c>
      <c r="J66" s="199">
        <f t="shared" si="18"/>
        <v>5000</v>
      </c>
      <c r="K66" s="175" t="s">
        <v>117</v>
      </c>
      <c r="L66" s="180"/>
      <c r="M66" s="181">
        <v>1</v>
      </c>
      <c r="N66" s="181">
        <v>5000</v>
      </c>
      <c r="O66" s="181">
        <v>1</v>
      </c>
      <c r="P66" s="194">
        <f t="shared" si="19"/>
        <v>1750</v>
      </c>
      <c r="Q66" s="183">
        <v>0.35</v>
      </c>
      <c r="R66" s="181">
        <f t="shared" si="20"/>
        <v>5000</v>
      </c>
      <c r="S66" s="175" t="s">
        <v>118</v>
      </c>
      <c r="T66" s="229">
        <f t="shared" si="8"/>
        <v>10000</v>
      </c>
      <c r="U66" s="261">
        <v>9451.35</v>
      </c>
      <c r="V66" s="317">
        <f t="shared" si="5"/>
        <v>0.94513500000000006</v>
      </c>
      <c r="W66" s="332"/>
    </row>
    <row r="67" spans="2:23" s="34" customFormat="1" ht="55.2" x14ac:dyDescent="0.25">
      <c r="B67" s="190" t="s">
        <v>294</v>
      </c>
      <c r="C67" s="174" t="s">
        <v>6</v>
      </c>
      <c r="D67" s="184" t="s">
        <v>49</v>
      </c>
      <c r="E67" s="196">
        <v>10</v>
      </c>
      <c r="F67" s="196">
        <v>400</v>
      </c>
      <c r="G67" s="196">
        <v>1</v>
      </c>
      <c r="H67" s="197">
        <f t="shared" si="17"/>
        <v>2000</v>
      </c>
      <c r="I67" s="198">
        <v>0.5</v>
      </c>
      <c r="J67" s="199">
        <f t="shared" si="18"/>
        <v>4000</v>
      </c>
      <c r="K67" s="175" t="s">
        <v>119</v>
      </c>
      <c r="L67" s="180"/>
      <c r="M67" s="181">
        <v>10</v>
      </c>
      <c r="N67" s="181">
        <v>400</v>
      </c>
      <c r="O67" s="181">
        <v>1</v>
      </c>
      <c r="P67" s="194">
        <f t="shared" si="19"/>
        <v>2000</v>
      </c>
      <c r="Q67" s="183">
        <v>0.5</v>
      </c>
      <c r="R67" s="181">
        <f t="shared" si="20"/>
        <v>4000</v>
      </c>
      <c r="S67" s="175" t="s">
        <v>119</v>
      </c>
      <c r="T67" s="229">
        <f t="shared" si="8"/>
        <v>8000</v>
      </c>
      <c r="U67" s="261">
        <v>4309.4399999999996</v>
      </c>
      <c r="V67" s="317">
        <f t="shared" si="5"/>
        <v>0.53867999999999994</v>
      </c>
      <c r="W67" s="332"/>
    </row>
    <row r="68" spans="2:23" ht="15" customHeight="1" x14ac:dyDescent="0.3">
      <c r="B68" s="246" t="s">
        <v>120</v>
      </c>
      <c r="C68" s="247"/>
      <c r="D68" s="247"/>
      <c r="E68" s="247"/>
      <c r="F68" s="247"/>
      <c r="G68" s="247"/>
      <c r="H68" s="247"/>
      <c r="I68" s="247"/>
      <c r="J68" s="247"/>
      <c r="K68" s="247"/>
      <c r="L68" s="247"/>
      <c r="M68" s="247"/>
      <c r="N68" s="247"/>
      <c r="O68" s="247"/>
      <c r="P68" s="247"/>
      <c r="Q68" s="247"/>
      <c r="R68" s="247"/>
      <c r="S68" s="247"/>
      <c r="T68" s="276">
        <f>SUM(T69,T70:T73)</f>
        <v>49125</v>
      </c>
      <c r="U68" s="271">
        <f>SUM(U69:U73)</f>
        <v>41489</v>
      </c>
      <c r="V68" s="316">
        <f t="shared" ref="V68:V80" si="21">+U68/T68</f>
        <v>0.84455979643765899</v>
      </c>
      <c r="W68" s="331"/>
    </row>
    <row r="69" spans="2:23" s="34" customFormat="1" ht="59.25" customHeight="1" x14ac:dyDescent="0.25">
      <c r="B69" s="104" t="s">
        <v>121</v>
      </c>
      <c r="C69" s="105" t="s">
        <v>5</v>
      </c>
      <c r="D69" s="106" t="s">
        <v>70</v>
      </c>
      <c r="E69" s="106"/>
      <c r="F69" s="106"/>
      <c r="G69" s="106"/>
      <c r="H69" s="106">
        <v>0</v>
      </c>
      <c r="I69" s="106"/>
      <c r="J69" s="113">
        <v>0</v>
      </c>
      <c r="K69" s="104" t="s">
        <v>122</v>
      </c>
      <c r="L69" s="109"/>
      <c r="M69" s="110"/>
      <c r="N69" s="110"/>
      <c r="O69" s="110"/>
      <c r="P69" s="111">
        <v>0</v>
      </c>
      <c r="Q69" s="111"/>
      <c r="R69" s="110">
        <v>0</v>
      </c>
      <c r="S69" s="112"/>
      <c r="T69" s="230">
        <f t="shared" si="8"/>
        <v>0</v>
      </c>
      <c r="U69" s="261">
        <v>0</v>
      </c>
      <c r="V69" s="317">
        <v>0</v>
      </c>
      <c r="W69" s="332"/>
    </row>
    <row r="70" spans="2:23" s="2" customFormat="1" ht="43.95" customHeight="1" x14ac:dyDescent="0.3">
      <c r="B70" s="116" t="s">
        <v>123</v>
      </c>
      <c r="C70" s="105" t="s">
        <v>5</v>
      </c>
      <c r="D70" s="106" t="s">
        <v>70</v>
      </c>
      <c r="E70" s="106">
        <v>1</v>
      </c>
      <c r="F70" s="106">
        <v>4000</v>
      </c>
      <c r="G70" s="106">
        <v>1</v>
      </c>
      <c r="H70" s="107">
        <f>J70*I70</f>
        <v>2000</v>
      </c>
      <c r="I70" s="108">
        <v>0.5</v>
      </c>
      <c r="J70" s="113">
        <f>E70*F70*G70</f>
        <v>4000</v>
      </c>
      <c r="K70" s="117" t="s">
        <v>124</v>
      </c>
      <c r="L70" s="118"/>
      <c r="M70" s="110">
        <v>1</v>
      </c>
      <c r="N70" s="110">
        <v>3815</v>
      </c>
      <c r="O70" s="110">
        <v>1</v>
      </c>
      <c r="P70" s="114">
        <f>R70*Q70</f>
        <v>1526</v>
      </c>
      <c r="Q70" s="108">
        <v>0.4</v>
      </c>
      <c r="R70" s="119">
        <f>M70*N70*O70</f>
        <v>3815</v>
      </c>
      <c r="S70" s="117" t="s">
        <v>124</v>
      </c>
      <c r="T70" s="230">
        <f t="shared" si="8"/>
        <v>7815</v>
      </c>
      <c r="U70" s="261">
        <v>4009</v>
      </c>
      <c r="V70" s="317">
        <f t="shared" si="21"/>
        <v>0.51298784388995522</v>
      </c>
      <c r="W70" s="329"/>
    </row>
    <row r="71" spans="2:23" s="2" customFormat="1" ht="31.95" customHeight="1" x14ac:dyDescent="0.3">
      <c r="B71" s="116" t="s">
        <v>125</v>
      </c>
      <c r="C71" s="105" t="s">
        <v>5</v>
      </c>
      <c r="D71" s="106" t="s">
        <v>70</v>
      </c>
      <c r="E71" s="106">
        <v>1</v>
      </c>
      <c r="F71" s="106">
        <v>1413.125</v>
      </c>
      <c r="G71" s="106">
        <v>8</v>
      </c>
      <c r="H71" s="107">
        <f>J71*I71</f>
        <v>7574.35</v>
      </c>
      <c r="I71" s="108">
        <v>0.67</v>
      </c>
      <c r="J71" s="113">
        <f>E71*F71*G71</f>
        <v>11305</v>
      </c>
      <c r="K71" s="117" t="s">
        <v>126</v>
      </c>
      <c r="L71" s="118"/>
      <c r="M71" s="111">
        <v>1</v>
      </c>
      <c r="N71" s="227">
        <f>F71</f>
        <v>1413.125</v>
      </c>
      <c r="O71" s="111">
        <v>8</v>
      </c>
      <c r="P71" s="114">
        <f>R71*Q71</f>
        <v>7574.35</v>
      </c>
      <c r="Q71" s="120">
        <v>0.67</v>
      </c>
      <c r="R71" s="119">
        <f>M71*N71*O71</f>
        <v>11305</v>
      </c>
      <c r="S71" s="117" t="s">
        <v>126</v>
      </c>
      <c r="T71" s="230">
        <f t="shared" si="8"/>
        <v>22610</v>
      </c>
      <c r="U71" s="261">
        <v>23130</v>
      </c>
      <c r="V71" s="317">
        <f t="shared" si="21"/>
        <v>1.0229986731534719</v>
      </c>
      <c r="W71" s="329"/>
    </row>
    <row r="72" spans="2:23" s="2" customFormat="1" ht="42" x14ac:dyDescent="0.3">
      <c r="B72" s="116" t="s">
        <v>127</v>
      </c>
      <c r="C72" s="105" t="s">
        <v>5</v>
      </c>
      <c r="D72" s="106" t="s">
        <v>70</v>
      </c>
      <c r="E72" s="106">
        <v>1</v>
      </c>
      <c r="F72" s="106">
        <v>5000</v>
      </c>
      <c r="G72" s="106">
        <v>1</v>
      </c>
      <c r="H72" s="107">
        <f>J72*I72</f>
        <v>3000</v>
      </c>
      <c r="I72" s="108">
        <v>0.6</v>
      </c>
      <c r="J72" s="113">
        <f>E72*F72*G72</f>
        <v>5000</v>
      </c>
      <c r="K72" s="117" t="s">
        <v>128</v>
      </c>
      <c r="L72" s="118"/>
      <c r="M72" s="111">
        <v>1</v>
      </c>
      <c r="N72" s="111">
        <v>5000</v>
      </c>
      <c r="O72" s="111">
        <v>1</v>
      </c>
      <c r="P72" s="114">
        <f>R72*Q72</f>
        <v>3350</v>
      </c>
      <c r="Q72" s="120">
        <v>0.67</v>
      </c>
      <c r="R72" s="119">
        <f>M72*N72*O72</f>
        <v>5000</v>
      </c>
      <c r="S72" s="117" t="s">
        <v>129</v>
      </c>
      <c r="T72" s="230">
        <f t="shared" si="8"/>
        <v>10000</v>
      </c>
      <c r="U72" s="261">
        <v>10000</v>
      </c>
      <c r="V72" s="317">
        <f t="shared" si="21"/>
        <v>1</v>
      </c>
      <c r="W72" s="329"/>
    </row>
    <row r="73" spans="2:23" s="2" customFormat="1" ht="42" x14ac:dyDescent="0.3">
      <c r="B73" s="116" t="s">
        <v>257</v>
      </c>
      <c r="C73" s="105" t="s">
        <v>5</v>
      </c>
      <c r="D73" s="106" t="s">
        <v>70</v>
      </c>
      <c r="E73" s="106">
        <v>1</v>
      </c>
      <c r="F73" s="106">
        <v>4350</v>
      </c>
      <c r="G73" s="106">
        <v>1</v>
      </c>
      <c r="H73" s="107">
        <f>J73*I73</f>
        <v>2175</v>
      </c>
      <c r="I73" s="108">
        <v>0.5</v>
      </c>
      <c r="J73" s="113">
        <f>E73*F73*G73</f>
        <v>4350</v>
      </c>
      <c r="K73" s="117" t="s">
        <v>130</v>
      </c>
      <c r="L73" s="118"/>
      <c r="M73" s="121">
        <v>1</v>
      </c>
      <c r="N73" s="121">
        <f>F73</f>
        <v>4350</v>
      </c>
      <c r="O73" s="121">
        <v>1</v>
      </c>
      <c r="P73" s="122">
        <f>R73*Q73</f>
        <v>2914.5</v>
      </c>
      <c r="Q73" s="123">
        <v>0.67</v>
      </c>
      <c r="R73" s="119">
        <f>M73*N73*O73</f>
        <v>4350</v>
      </c>
      <c r="S73" s="117" t="s">
        <v>130</v>
      </c>
      <c r="T73" s="230">
        <f t="shared" si="8"/>
        <v>8700</v>
      </c>
      <c r="U73" s="261">
        <v>4350</v>
      </c>
      <c r="V73" s="317">
        <f t="shared" si="21"/>
        <v>0.5</v>
      </c>
      <c r="W73" s="329"/>
    </row>
    <row r="74" spans="2:23" ht="15" customHeight="1" x14ac:dyDescent="0.3">
      <c r="B74" s="246" t="s">
        <v>131</v>
      </c>
      <c r="C74" s="247"/>
      <c r="D74" s="247"/>
      <c r="E74" s="247"/>
      <c r="F74" s="247"/>
      <c r="G74" s="247"/>
      <c r="H74" s="247"/>
      <c r="I74" s="247"/>
      <c r="J74" s="247"/>
      <c r="K74" s="247"/>
      <c r="L74" s="247"/>
      <c r="M74" s="247"/>
      <c r="N74" s="247"/>
      <c r="O74" s="247"/>
      <c r="P74" s="247"/>
      <c r="Q74" s="247"/>
      <c r="R74" s="247"/>
      <c r="S74" s="247"/>
      <c r="T74" s="277">
        <f>SUM(T75,T76:T79)</f>
        <v>56900</v>
      </c>
      <c r="U74" s="271">
        <f>SUM(U75:U79)</f>
        <v>55372</v>
      </c>
      <c r="V74" s="316">
        <f t="shared" si="21"/>
        <v>0.97314586994727592</v>
      </c>
      <c r="W74" s="331"/>
    </row>
    <row r="75" spans="2:23" s="2" customFormat="1" ht="69.599999999999994" customHeight="1" x14ac:dyDescent="0.3">
      <c r="B75" s="124" t="s">
        <v>132</v>
      </c>
      <c r="C75" s="105" t="s">
        <v>5</v>
      </c>
      <c r="D75" s="106" t="s">
        <v>70</v>
      </c>
      <c r="E75" s="106">
        <v>8</v>
      </c>
      <c r="F75" s="106">
        <v>1500</v>
      </c>
      <c r="G75" s="106">
        <v>1</v>
      </c>
      <c r="H75" s="107">
        <f t="shared" ref="H75:H79" si="22">J75*I75</f>
        <v>6000</v>
      </c>
      <c r="I75" s="108">
        <v>0.5</v>
      </c>
      <c r="J75" s="113">
        <f t="shared" ref="J75:J79" si="23">E75*F75*G75</f>
        <v>12000</v>
      </c>
      <c r="K75" s="117" t="s">
        <v>260</v>
      </c>
      <c r="L75" s="118"/>
      <c r="M75" s="110">
        <v>8</v>
      </c>
      <c r="N75" s="110">
        <v>1500</v>
      </c>
      <c r="O75" s="110">
        <v>1</v>
      </c>
      <c r="P75" s="107">
        <f t="shared" ref="P75:P79" si="24">R75*Q75</f>
        <v>4800</v>
      </c>
      <c r="Q75" s="108">
        <v>0.4</v>
      </c>
      <c r="R75" s="113">
        <f t="shared" ref="R75:R79" si="25">M75*N75*O75</f>
        <v>12000</v>
      </c>
      <c r="S75" s="124" t="s">
        <v>133</v>
      </c>
      <c r="T75" s="230">
        <f t="shared" si="8"/>
        <v>24000</v>
      </c>
      <c r="U75" s="261">
        <v>21782</v>
      </c>
      <c r="V75" s="317">
        <f t="shared" si="21"/>
        <v>0.9075833333333333</v>
      </c>
      <c r="W75" s="329"/>
    </row>
    <row r="76" spans="2:23" s="34" customFormat="1" ht="55.2" x14ac:dyDescent="0.25">
      <c r="B76" s="124" t="s">
        <v>134</v>
      </c>
      <c r="C76" s="105" t="s">
        <v>5</v>
      </c>
      <c r="D76" s="106" t="s">
        <v>70</v>
      </c>
      <c r="E76" s="105">
        <v>1</v>
      </c>
      <c r="F76" s="105">
        <v>0</v>
      </c>
      <c r="G76" s="105">
        <v>8</v>
      </c>
      <c r="H76" s="107">
        <f t="shared" si="22"/>
        <v>0</v>
      </c>
      <c r="I76" s="108">
        <v>0</v>
      </c>
      <c r="J76" s="113">
        <f t="shared" si="23"/>
        <v>0</v>
      </c>
      <c r="K76" s="126"/>
      <c r="L76" s="127"/>
      <c r="M76" s="110">
        <v>1</v>
      </c>
      <c r="N76" s="110">
        <v>1250</v>
      </c>
      <c r="O76" s="110">
        <v>8</v>
      </c>
      <c r="P76" s="107">
        <f t="shared" si="24"/>
        <v>6500</v>
      </c>
      <c r="Q76" s="108">
        <v>0.65</v>
      </c>
      <c r="R76" s="113">
        <f t="shared" si="25"/>
        <v>10000</v>
      </c>
      <c r="S76" s="117" t="s">
        <v>135</v>
      </c>
      <c r="T76" s="230">
        <f t="shared" si="8"/>
        <v>10000</v>
      </c>
      <c r="U76" s="261">
        <v>10000</v>
      </c>
      <c r="V76" s="317">
        <f t="shared" si="21"/>
        <v>1</v>
      </c>
      <c r="W76" s="332"/>
    </row>
    <row r="77" spans="2:23" s="34" customFormat="1" ht="55.2" x14ac:dyDescent="0.25">
      <c r="B77" s="124" t="s">
        <v>136</v>
      </c>
      <c r="C77" s="105" t="s">
        <v>5</v>
      </c>
      <c r="D77" s="106" t="s">
        <v>70</v>
      </c>
      <c r="E77" s="105">
        <v>1</v>
      </c>
      <c r="F77" s="105">
        <v>1000</v>
      </c>
      <c r="G77" s="105">
        <v>8</v>
      </c>
      <c r="H77" s="107">
        <f t="shared" si="22"/>
        <v>2800</v>
      </c>
      <c r="I77" s="108">
        <v>0.35</v>
      </c>
      <c r="J77" s="113">
        <f t="shared" si="23"/>
        <v>8000</v>
      </c>
      <c r="K77" s="117" t="s">
        <v>137</v>
      </c>
      <c r="L77" s="127"/>
      <c r="M77" s="110">
        <v>0</v>
      </c>
      <c r="N77" s="110">
        <v>0</v>
      </c>
      <c r="O77" s="110">
        <v>0</v>
      </c>
      <c r="P77" s="107">
        <f t="shared" si="24"/>
        <v>0</v>
      </c>
      <c r="Q77" s="108">
        <v>0</v>
      </c>
      <c r="R77" s="113">
        <f t="shared" si="25"/>
        <v>0</v>
      </c>
      <c r="S77" s="112"/>
      <c r="T77" s="230">
        <f t="shared" si="8"/>
        <v>8000</v>
      </c>
      <c r="U77" s="261">
        <v>8400</v>
      </c>
      <c r="V77" s="317">
        <f t="shared" si="21"/>
        <v>1.05</v>
      </c>
      <c r="W77" s="332"/>
    </row>
    <row r="78" spans="2:23" s="2" customFormat="1" ht="42" x14ac:dyDescent="0.3">
      <c r="B78" s="124" t="s">
        <v>138</v>
      </c>
      <c r="C78" s="105" t="s">
        <v>5</v>
      </c>
      <c r="D78" s="106" t="s">
        <v>70</v>
      </c>
      <c r="E78" s="106">
        <v>1</v>
      </c>
      <c r="F78" s="106">
        <v>1500</v>
      </c>
      <c r="G78" s="106">
        <v>3</v>
      </c>
      <c r="H78" s="107">
        <f t="shared" si="22"/>
        <v>3600</v>
      </c>
      <c r="I78" s="108">
        <v>0.8</v>
      </c>
      <c r="J78" s="113">
        <f t="shared" si="23"/>
        <v>4500</v>
      </c>
      <c r="K78" s="117" t="s">
        <v>139</v>
      </c>
      <c r="L78" s="118"/>
      <c r="M78" s="110">
        <v>0</v>
      </c>
      <c r="N78" s="110">
        <v>0</v>
      </c>
      <c r="O78" s="110">
        <v>0</v>
      </c>
      <c r="P78" s="107">
        <f t="shared" si="24"/>
        <v>0</v>
      </c>
      <c r="Q78" s="108">
        <v>0.4</v>
      </c>
      <c r="R78" s="113">
        <f t="shared" si="25"/>
        <v>0</v>
      </c>
      <c r="S78" s="128"/>
      <c r="T78" s="230">
        <f t="shared" si="8"/>
        <v>4500</v>
      </c>
      <c r="U78" s="261">
        <v>4500</v>
      </c>
      <c r="V78" s="317">
        <f t="shared" si="21"/>
        <v>1</v>
      </c>
      <c r="W78" s="329"/>
    </row>
    <row r="79" spans="2:23" s="2" customFormat="1" ht="55.8" x14ac:dyDescent="0.3">
      <c r="B79" s="124" t="s">
        <v>140</v>
      </c>
      <c r="C79" s="105" t="s">
        <v>5</v>
      </c>
      <c r="D79" s="106" t="s">
        <v>70</v>
      </c>
      <c r="E79" s="106">
        <v>5</v>
      </c>
      <c r="F79" s="106">
        <v>1300</v>
      </c>
      <c r="G79" s="106">
        <v>1</v>
      </c>
      <c r="H79" s="107">
        <f t="shared" si="22"/>
        <v>5850</v>
      </c>
      <c r="I79" s="108">
        <v>0.9</v>
      </c>
      <c r="J79" s="113">
        <f t="shared" si="23"/>
        <v>6500</v>
      </c>
      <c r="K79" s="117" t="s">
        <v>141</v>
      </c>
      <c r="L79" s="118"/>
      <c r="M79" s="110">
        <v>3</v>
      </c>
      <c r="N79" s="110">
        <v>1300</v>
      </c>
      <c r="O79" s="110">
        <v>1</v>
      </c>
      <c r="P79" s="107">
        <f t="shared" si="24"/>
        <v>3510</v>
      </c>
      <c r="Q79" s="108">
        <v>0.9</v>
      </c>
      <c r="R79" s="113">
        <f t="shared" si="25"/>
        <v>3900</v>
      </c>
      <c r="S79" s="117" t="s">
        <v>142</v>
      </c>
      <c r="T79" s="230">
        <f t="shared" si="8"/>
        <v>10400</v>
      </c>
      <c r="U79" s="261">
        <v>10690</v>
      </c>
      <c r="V79" s="317">
        <f t="shared" si="21"/>
        <v>1.0278846153846153</v>
      </c>
      <c r="W79" s="329"/>
    </row>
    <row r="80" spans="2:23" s="2" customFormat="1" ht="14.4" x14ac:dyDescent="0.3">
      <c r="B80" s="42" t="s">
        <v>143</v>
      </c>
      <c r="C80" s="43"/>
      <c r="D80" s="44"/>
      <c r="E80" s="44"/>
      <c r="F80" s="44"/>
      <c r="G80" s="44"/>
      <c r="H80" s="102">
        <f>SUM(SUM(H75:H79)+SUM(H69:H73)+SUM(H61:H67)+SUM(H53:H59)+SUM(H42:H51))</f>
        <v>414181.65479999996</v>
      </c>
      <c r="I80" s="44"/>
      <c r="J80" s="102">
        <f>SUM(SUM(J75:J79)+SUM(J69:J73)+SUM(J61:J67)+SUM(J53:J59)+SUM(J42:J51))</f>
        <v>818042.50800000003</v>
      </c>
      <c r="K80" s="46"/>
      <c r="L80" s="36"/>
      <c r="M80" s="45"/>
      <c r="N80" s="45"/>
      <c r="O80" s="45"/>
      <c r="P80" s="102">
        <f>SUM(SUM(P75:P79)+SUM(P69:P73)+SUM(P61:P67)+SUM(P53:P59)+SUM(P42:P51))</f>
        <v>137673.7548</v>
      </c>
      <c r="Q80" s="45"/>
      <c r="R80" s="102">
        <f>SUM(SUM(R75:R79)+SUM(R69:R73)+SUM(R61:R67)+SUM(R53:R59)+SUM(R42:R51))</f>
        <v>259938.508</v>
      </c>
      <c r="S80" s="45"/>
      <c r="T80" s="233">
        <f>J80+R80</f>
        <v>1077981.0160000001</v>
      </c>
      <c r="U80" s="260">
        <f>SUM(U41,U52,U60,U68,U74)</f>
        <v>837839.9</v>
      </c>
      <c r="V80" s="320">
        <f t="shared" si="21"/>
        <v>0.77723066321605794</v>
      </c>
      <c r="W80" s="329"/>
    </row>
    <row r="81" spans="2:23" s="2" customFormat="1" x14ac:dyDescent="0.3">
      <c r="B81" s="26"/>
      <c r="K81" s="26"/>
      <c r="U81" s="267"/>
      <c r="V81" s="321"/>
      <c r="W81" s="329"/>
    </row>
    <row r="82" spans="2:23" ht="23.1" customHeight="1" x14ac:dyDescent="0.3">
      <c r="B82" s="300" t="s">
        <v>144</v>
      </c>
      <c r="C82" s="301"/>
      <c r="D82" s="301"/>
      <c r="E82" s="301"/>
      <c r="F82" s="301"/>
      <c r="G82" s="301"/>
      <c r="H82" s="301"/>
      <c r="I82" s="301"/>
      <c r="J82" s="301"/>
      <c r="K82" s="302"/>
      <c r="L82" s="17"/>
      <c r="M82" s="20"/>
      <c r="N82" s="20"/>
      <c r="O82" s="20"/>
      <c r="P82" s="20"/>
      <c r="Q82" s="20"/>
      <c r="R82" s="20"/>
      <c r="S82" s="21"/>
      <c r="T82" s="20"/>
      <c r="U82" s="264"/>
      <c r="V82" s="321"/>
      <c r="W82" s="331"/>
    </row>
    <row r="83" spans="2:23" x14ac:dyDescent="0.3">
      <c r="B83" s="244" t="s">
        <v>145</v>
      </c>
      <c r="C83" s="245"/>
      <c r="D83" s="245"/>
      <c r="E83" s="245"/>
      <c r="F83" s="245"/>
      <c r="G83" s="245"/>
      <c r="H83" s="245"/>
      <c r="I83" s="245"/>
      <c r="J83" s="245"/>
      <c r="K83" s="245"/>
      <c r="L83" s="245"/>
      <c r="M83" s="245"/>
      <c r="N83" s="245"/>
      <c r="O83" s="245"/>
      <c r="P83" s="245"/>
      <c r="Q83" s="245"/>
      <c r="R83" s="245"/>
      <c r="S83" s="245"/>
      <c r="T83" s="278">
        <f>SUM(T84,T85:T89)</f>
        <v>56500</v>
      </c>
      <c r="U83" s="279">
        <f>SUM(U84,U85:U89)</f>
        <v>48790</v>
      </c>
      <c r="V83" s="322">
        <f t="shared" ref="V83:V98" si="26">+U83/T83</f>
        <v>0.86353982300884957</v>
      </c>
      <c r="W83" s="331"/>
    </row>
    <row r="84" spans="2:23" s="2" customFormat="1" ht="42" x14ac:dyDescent="0.3">
      <c r="B84" s="124" t="s">
        <v>146</v>
      </c>
      <c r="C84" s="105" t="s">
        <v>5</v>
      </c>
      <c r="D84" s="106" t="s">
        <v>70</v>
      </c>
      <c r="E84" s="106">
        <v>1</v>
      </c>
      <c r="F84" s="106">
        <v>1000</v>
      </c>
      <c r="G84" s="106">
        <v>8</v>
      </c>
      <c r="H84" s="107">
        <f t="shared" ref="H84:H89" si="27">J84*I84</f>
        <v>8000</v>
      </c>
      <c r="I84" s="108">
        <v>1</v>
      </c>
      <c r="J84" s="113">
        <f t="shared" ref="J84:J89" si="28">E84*F84*G84</f>
        <v>8000</v>
      </c>
      <c r="K84" s="117" t="s">
        <v>147</v>
      </c>
      <c r="L84" s="118"/>
      <c r="M84" s="129"/>
      <c r="N84" s="129"/>
      <c r="O84" s="129"/>
      <c r="P84" s="130"/>
      <c r="Q84" s="131"/>
      <c r="R84" s="110">
        <v>0</v>
      </c>
      <c r="S84" s="128"/>
      <c r="T84" s="230">
        <f t="shared" ref="T84:T89" si="29">J84+R84</f>
        <v>8000</v>
      </c>
      <c r="U84" s="261">
        <v>8000</v>
      </c>
      <c r="V84" s="317">
        <f t="shared" si="26"/>
        <v>1</v>
      </c>
      <c r="W84" s="329"/>
    </row>
    <row r="85" spans="2:23" s="2" customFormat="1" ht="27.6" x14ac:dyDescent="0.3">
      <c r="B85" s="190" t="s">
        <v>148</v>
      </c>
      <c r="C85" s="174" t="s">
        <v>3</v>
      </c>
      <c r="D85" s="184" t="s">
        <v>49</v>
      </c>
      <c r="E85" s="184">
        <v>1</v>
      </c>
      <c r="F85" s="184">
        <v>9000</v>
      </c>
      <c r="G85" s="184">
        <v>1</v>
      </c>
      <c r="H85" s="185">
        <f t="shared" si="27"/>
        <v>9000</v>
      </c>
      <c r="I85" s="186">
        <v>1</v>
      </c>
      <c r="J85" s="187">
        <f t="shared" si="28"/>
        <v>9000</v>
      </c>
      <c r="K85" s="175" t="s">
        <v>149</v>
      </c>
      <c r="L85" s="200"/>
      <c r="M85" s="184"/>
      <c r="N85" s="184"/>
      <c r="O85" s="184"/>
      <c r="P85" s="185"/>
      <c r="Q85" s="186"/>
      <c r="R85" s="187">
        <v>0</v>
      </c>
      <c r="S85" s="201"/>
      <c r="T85" s="229">
        <f t="shared" si="29"/>
        <v>9000</v>
      </c>
      <c r="U85" s="297">
        <v>8790</v>
      </c>
      <c r="V85" s="323">
        <f t="shared" si="26"/>
        <v>0.97666666666666668</v>
      </c>
      <c r="W85" s="329"/>
    </row>
    <row r="86" spans="2:23" s="2" customFormat="1" ht="55.2" x14ac:dyDescent="0.3">
      <c r="B86" s="124" t="s">
        <v>150</v>
      </c>
      <c r="C86" s="105" t="s">
        <v>5</v>
      </c>
      <c r="D86" s="106" t="s">
        <v>70</v>
      </c>
      <c r="E86" s="106">
        <v>1</v>
      </c>
      <c r="F86" s="106">
        <v>7500</v>
      </c>
      <c r="G86" s="106">
        <v>1</v>
      </c>
      <c r="H86" s="107">
        <f t="shared" si="27"/>
        <v>7500</v>
      </c>
      <c r="I86" s="108">
        <v>1</v>
      </c>
      <c r="J86" s="113">
        <f t="shared" si="28"/>
        <v>7500</v>
      </c>
      <c r="K86" s="104" t="s">
        <v>151</v>
      </c>
      <c r="L86" s="118"/>
      <c r="M86" s="106"/>
      <c r="N86" s="106"/>
      <c r="O86" s="106"/>
      <c r="P86" s="107"/>
      <c r="Q86" s="108"/>
      <c r="R86" s="113">
        <v>0</v>
      </c>
      <c r="S86" s="128"/>
      <c r="T86" s="230">
        <f t="shared" si="29"/>
        <v>7500</v>
      </c>
      <c r="U86" s="261">
        <v>7500</v>
      </c>
      <c r="V86" s="317">
        <f t="shared" si="26"/>
        <v>1</v>
      </c>
      <c r="W86" s="329"/>
    </row>
    <row r="87" spans="2:23" s="2" customFormat="1" ht="55.2" x14ac:dyDescent="0.3">
      <c r="B87" s="124" t="s">
        <v>152</v>
      </c>
      <c r="C87" s="105" t="s">
        <v>5</v>
      </c>
      <c r="D87" s="106" t="s">
        <v>70</v>
      </c>
      <c r="E87" s="106">
        <v>4</v>
      </c>
      <c r="F87" s="106">
        <v>2000</v>
      </c>
      <c r="G87" s="106">
        <v>1</v>
      </c>
      <c r="H87" s="107">
        <f t="shared" si="27"/>
        <v>8000</v>
      </c>
      <c r="I87" s="108">
        <v>1</v>
      </c>
      <c r="J87" s="113">
        <f t="shared" si="28"/>
        <v>8000</v>
      </c>
      <c r="K87" s="104" t="s">
        <v>153</v>
      </c>
      <c r="L87" s="118"/>
      <c r="M87" s="106">
        <v>3</v>
      </c>
      <c r="N87" s="106">
        <v>1000</v>
      </c>
      <c r="O87" s="106">
        <v>1</v>
      </c>
      <c r="P87" s="107">
        <f>R87*Q87</f>
        <v>2250</v>
      </c>
      <c r="Q87" s="108">
        <v>0.75</v>
      </c>
      <c r="R87" s="113">
        <f>N87*O87*M87</f>
        <v>3000</v>
      </c>
      <c r="S87" s="104" t="s">
        <v>154</v>
      </c>
      <c r="T87" s="230">
        <f t="shared" si="29"/>
        <v>11000</v>
      </c>
      <c r="U87" s="294">
        <v>3500</v>
      </c>
      <c r="V87" s="317">
        <f t="shared" si="26"/>
        <v>0.31818181818181818</v>
      </c>
      <c r="W87" s="329"/>
    </row>
    <row r="88" spans="2:23" s="2" customFormat="1" ht="41.4" x14ac:dyDescent="0.3">
      <c r="B88" s="124" t="s">
        <v>155</v>
      </c>
      <c r="C88" s="105" t="s">
        <v>5</v>
      </c>
      <c r="D88" s="106" t="s">
        <v>70</v>
      </c>
      <c r="E88" s="106">
        <v>3</v>
      </c>
      <c r="F88" s="106">
        <v>2000</v>
      </c>
      <c r="G88" s="106">
        <v>1</v>
      </c>
      <c r="H88" s="107">
        <f t="shared" si="27"/>
        <v>5400</v>
      </c>
      <c r="I88" s="108">
        <v>0.9</v>
      </c>
      <c r="J88" s="113">
        <f t="shared" si="28"/>
        <v>6000</v>
      </c>
      <c r="K88" s="104" t="s">
        <v>156</v>
      </c>
      <c r="L88" s="118"/>
      <c r="M88" s="106">
        <v>3</v>
      </c>
      <c r="N88" s="106">
        <v>2000</v>
      </c>
      <c r="O88" s="106">
        <v>1</v>
      </c>
      <c r="P88" s="107">
        <f>R88*Q88</f>
        <v>5400</v>
      </c>
      <c r="Q88" s="108">
        <v>0.9</v>
      </c>
      <c r="R88" s="113">
        <f>N88*O88*M88</f>
        <v>6000</v>
      </c>
      <c r="S88" s="104" t="s">
        <v>157</v>
      </c>
      <c r="T88" s="230">
        <f t="shared" si="29"/>
        <v>12000</v>
      </c>
      <c r="U88" s="261">
        <v>12000</v>
      </c>
      <c r="V88" s="317">
        <f t="shared" si="26"/>
        <v>1</v>
      </c>
      <c r="W88" s="329"/>
    </row>
    <row r="89" spans="2:23" s="2" customFormat="1" ht="41.4" x14ac:dyDescent="0.3">
      <c r="B89" s="124" t="s">
        <v>158</v>
      </c>
      <c r="C89" s="105" t="s">
        <v>5</v>
      </c>
      <c r="D89" s="106" t="s">
        <v>70</v>
      </c>
      <c r="E89" s="106">
        <v>1</v>
      </c>
      <c r="F89" s="106">
        <v>9000</v>
      </c>
      <c r="G89" s="106">
        <v>1</v>
      </c>
      <c r="H89" s="107">
        <f t="shared" si="27"/>
        <v>8100</v>
      </c>
      <c r="I89" s="108">
        <v>0.9</v>
      </c>
      <c r="J89" s="113">
        <f t="shared" si="28"/>
        <v>9000</v>
      </c>
      <c r="K89" s="104" t="s">
        <v>159</v>
      </c>
      <c r="L89" s="118"/>
      <c r="M89" s="106"/>
      <c r="N89" s="106"/>
      <c r="O89" s="106"/>
      <c r="P89" s="107"/>
      <c r="Q89" s="108"/>
      <c r="R89" s="113">
        <v>0</v>
      </c>
      <c r="S89" s="128"/>
      <c r="T89" s="230">
        <f t="shared" si="29"/>
        <v>9000</v>
      </c>
      <c r="U89" s="261">
        <v>9000</v>
      </c>
      <c r="V89" s="317">
        <f t="shared" si="26"/>
        <v>1</v>
      </c>
      <c r="W89" s="329"/>
    </row>
    <row r="90" spans="2:23" s="39" customFormat="1" ht="15" customHeight="1" x14ac:dyDescent="0.25">
      <c r="B90" s="246" t="s">
        <v>160</v>
      </c>
      <c r="C90" s="247"/>
      <c r="D90" s="247"/>
      <c r="E90" s="247"/>
      <c r="F90" s="247"/>
      <c r="G90" s="247"/>
      <c r="H90" s="247"/>
      <c r="I90" s="247"/>
      <c r="J90" s="247"/>
      <c r="K90" s="247"/>
      <c r="L90" s="247"/>
      <c r="M90" s="247"/>
      <c r="N90" s="247"/>
      <c r="O90" s="247"/>
      <c r="P90" s="247"/>
      <c r="Q90" s="247"/>
      <c r="R90" s="247"/>
      <c r="S90" s="247"/>
      <c r="T90" s="280">
        <f>SUM(T91,T92:T94)</f>
        <v>39064</v>
      </c>
      <c r="U90" s="281">
        <f>SUM(U91,U92:U94)</f>
        <v>21000</v>
      </c>
      <c r="V90" s="322">
        <f t="shared" si="26"/>
        <v>0.53757935695269299</v>
      </c>
      <c r="W90" s="336"/>
    </row>
    <row r="91" spans="2:23" s="2" customFormat="1" ht="55.8" x14ac:dyDescent="0.3">
      <c r="B91" s="124" t="s">
        <v>161</v>
      </c>
      <c r="C91" s="105" t="s">
        <v>5</v>
      </c>
      <c r="D91" s="106" t="s">
        <v>70</v>
      </c>
      <c r="E91" s="106">
        <v>1</v>
      </c>
      <c r="F91" s="106">
        <v>2500</v>
      </c>
      <c r="G91" s="106">
        <v>4</v>
      </c>
      <c r="H91" s="105">
        <f>J91*I91</f>
        <v>6700</v>
      </c>
      <c r="I91" s="108">
        <v>0.67</v>
      </c>
      <c r="J91" s="113">
        <f>F91*G91*E91</f>
        <v>10000</v>
      </c>
      <c r="K91" s="117" t="s">
        <v>162</v>
      </c>
      <c r="L91" s="118"/>
      <c r="M91" s="106">
        <v>1</v>
      </c>
      <c r="N91" s="106">
        <v>2500</v>
      </c>
      <c r="O91" s="106">
        <v>4</v>
      </c>
      <c r="P91" s="105">
        <f>R91*Q91</f>
        <v>6700</v>
      </c>
      <c r="Q91" s="108">
        <v>0.67</v>
      </c>
      <c r="R91" s="113">
        <f>N91*O91*M91</f>
        <v>10000</v>
      </c>
      <c r="S91" s="128"/>
      <c r="T91" s="230">
        <f>J91+R91</f>
        <v>20000</v>
      </c>
      <c r="U91" s="296">
        <f>10000+3000</f>
        <v>13000</v>
      </c>
      <c r="V91" s="318">
        <f t="shared" si="26"/>
        <v>0.65</v>
      </c>
      <c r="W91" s="329"/>
    </row>
    <row r="92" spans="2:23" s="2" customFormat="1" ht="42" x14ac:dyDescent="0.3">
      <c r="B92" s="124" t="s">
        <v>163</v>
      </c>
      <c r="C92" s="105" t="s">
        <v>5</v>
      </c>
      <c r="D92" s="106" t="s">
        <v>70</v>
      </c>
      <c r="E92" s="106">
        <v>1</v>
      </c>
      <c r="F92" s="106"/>
      <c r="G92" s="106"/>
      <c r="H92" s="105">
        <f>J92*I92</f>
        <v>0</v>
      </c>
      <c r="I92" s="108"/>
      <c r="J92" s="113">
        <f>F92*G92*E92</f>
        <v>0</v>
      </c>
      <c r="K92" s="117"/>
      <c r="L92" s="118"/>
      <c r="M92" s="106">
        <v>1</v>
      </c>
      <c r="N92" s="106">
        <v>5000</v>
      </c>
      <c r="O92" s="106">
        <v>1</v>
      </c>
      <c r="P92" s="105">
        <f>R92*Q92</f>
        <v>2500</v>
      </c>
      <c r="Q92" s="108">
        <v>0.5</v>
      </c>
      <c r="R92" s="113">
        <f>N92*O92*M92</f>
        <v>5000</v>
      </c>
      <c r="S92" s="117" t="s">
        <v>272</v>
      </c>
      <c r="T92" s="230">
        <f>J92+R92</f>
        <v>5000</v>
      </c>
      <c r="U92" s="296">
        <v>5000</v>
      </c>
      <c r="V92" s="318">
        <f t="shared" si="26"/>
        <v>1</v>
      </c>
      <c r="W92" s="329"/>
    </row>
    <row r="93" spans="2:23" s="2" customFormat="1" ht="41.4" x14ac:dyDescent="0.3">
      <c r="B93" s="124" t="s">
        <v>164</v>
      </c>
      <c r="C93" s="105" t="s">
        <v>5</v>
      </c>
      <c r="D93" s="106" t="s">
        <v>70</v>
      </c>
      <c r="E93" s="106">
        <v>1</v>
      </c>
      <c r="F93" s="106">
        <v>3000</v>
      </c>
      <c r="G93" s="106">
        <v>1</v>
      </c>
      <c r="H93" s="105">
        <f>J93*I93</f>
        <v>2010.0000000000002</v>
      </c>
      <c r="I93" s="108">
        <v>0.67</v>
      </c>
      <c r="J93" s="113">
        <f>F93*G93*E93</f>
        <v>3000</v>
      </c>
      <c r="K93" s="104" t="s">
        <v>165</v>
      </c>
      <c r="L93" s="118"/>
      <c r="M93" s="106">
        <v>1</v>
      </c>
      <c r="N93" s="106">
        <v>0</v>
      </c>
      <c r="O93" s="106">
        <v>1</v>
      </c>
      <c r="P93" s="105">
        <f>R93*Q93</f>
        <v>0</v>
      </c>
      <c r="Q93" s="108">
        <v>0.67</v>
      </c>
      <c r="R93" s="113">
        <f>N93*O93*M93</f>
        <v>0</v>
      </c>
      <c r="S93" s="128"/>
      <c r="T93" s="230">
        <f>J93+R93</f>
        <v>3000</v>
      </c>
      <c r="U93" s="261">
        <v>3000</v>
      </c>
      <c r="V93" s="317">
        <f t="shared" si="26"/>
        <v>1</v>
      </c>
      <c r="W93" s="329"/>
    </row>
    <row r="94" spans="2:23" s="2" customFormat="1" ht="41.4" x14ac:dyDescent="0.3">
      <c r="B94" s="124" t="s">
        <v>166</v>
      </c>
      <c r="C94" s="105" t="s">
        <v>5</v>
      </c>
      <c r="D94" s="106" t="s">
        <v>70</v>
      </c>
      <c r="E94" s="106">
        <v>1</v>
      </c>
      <c r="F94" s="106">
        <v>1844</v>
      </c>
      <c r="G94" s="106">
        <v>3</v>
      </c>
      <c r="H94" s="105">
        <f>J94*I94</f>
        <v>3706.44</v>
      </c>
      <c r="I94" s="108">
        <v>0.67</v>
      </c>
      <c r="J94" s="113">
        <f>F94*G94*E94</f>
        <v>5532</v>
      </c>
      <c r="K94" s="104" t="s">
        <v>167</v>
      </c>
      <c r="L94" s="118"/>
      <c r="M94" s="106">
        <v>1</v>
      </c>
      <c r="N94" s="106">
        <v>1844</v>
      </c>
      <c r="O94" s="106">
        <v>3</v>
      </c>
      <c r="P94" s="105">
        <f>R94*Q94</f>
        <v>3706.44</v>
      </c>
      <c r="Q94" s="108">
        <v>0.67</v>
      </c>
      <c r="R94" s="113">
        <f>N94*O94*M94</f>
        <v>5532</v>
      </c>
      <c r="S94" s="104" t="s">
        <v>167</v>
      </c>
      <c r="T94" s="230">
        <f>J94+R94</f>
        <v>11064</v>
      </c>
      <c r="U94" s="261">
        <v>0</v>
      </c>
      <c r="V94" s="317">
        <f t="shared" si="26"/>
        <v>0</v>
      </c>
      <c r="W94" s="329" t="s">
        <v>307</v>
      </c>
    </row>
    <row r="95" spans="2:23" s="39" customFormat="1" ht="15" customHeight="1" x14ac:dyDescent="0.25">
      <c r="B95" s="246" t="s">
        <v>168</v>
      </c>
      <c r="C95" s="247"/>
      <c r="D95" s="247"/>
      <c r="E95" s="247"/>
      <c r="F95" s="247"/>
      <c r="G95" s="247"/>
      <c r="H95" s="247"/>
      <c r="I95" s="247"/>
      <c r="J95" s="247"/>
      <c r="K95" s="247"/>
      <c r="L95" s="247"/>
      <c r="M95" s="247"/>
      <c r="N95" s="247"/>
      <c r="O95" s="247"/>
      <c r="P95" s="247"/>
      <c r="Q95" s="247"/>
      <c r="R95" s="247"/>
      <c r="S95" s="247"/>
      <c r="T95" s="280">
        <f>SUM(T96,T97:T99)</f>
        <v>59657</v>
      </c>
      <c r="U95" s="281">
        <f>SUM(U96,U97:U99)</f>
        <v>19960</v>
      </c>
      <c r="V95" s="322">
        <f t="shared" si="26"/>
        <v>0.3345793452570528</v>
      </c>
      <c r="W95" s="336"/>
    </row>
    <row r="96" spans="2:23" s="2" customFormat="1" ht="55.8" x14ac:dyDescent="0.3">
      <c r="B96" s="124" t="s">
        <v>169</v>
      </c>
      <c r="C96" s="105" t="s">
        <v>5</v>
      </c>
      <c r="D96" s="106" t="s">
        <v>70</v>
      </c>
      <c r="E96" s="106">
        <v>3</v>
      </c>
      <c r="F96" s="106">
        <v>2500</v>
      </c>
      <c r="G96" s="106">
        <v>1</v>
      </c>
      <c r="H96" s="105">
        <f>J96*I96</f>
        <v>5625</v>
      </c>
      <c r="I96" s="108">
        <v>0.75</v>
      </c>
      <c r="J96" s="113">
        <f>F96*G96*E96</f>
        <v>7500</v>
      </c>
      <c r="K96" s="117" t="s">
        <v>170</v>
      </c>
      <c r="L96" s="118"/>
      <c r="M96" s="106">
        <v>3</v>
      </c>
      <c r="N96" s="106">
        <v>2500</v>
      </c>
      <c r="O96" s="106">
        <v>1</v>
      </c>
      <c r="P96" s="105">
        <f>R96*Q96</f>
        <v>5025</v>
      </c>
      <c r="Q96" s="108">
        <v>0.67</v>
      </c>
      <c r="R96" s="113">
        <f>N96*O96*M96</f>
        <v>7500</v>
      </c>
      <c r="S96" s="117" t="s">
        <v>170</v>
      </c>
      <c r="T96" s="230">
        <f>J96+R96</f>
        <v>15000</v>
      </c>
      <c r="U96" s="261">
        <v>8200</v>
      </c>
      <c r="V96" s="317">
        <f t="shared" si="26"/>
        <v>0.54666666666666663</v>
      </c>
      <c r="W96" s="329"/>
    </row>
    <row r="97" spans="2:23" s="2" customFormat="1" ht="28.2" x14ac:dyDescent="0.3">
      <c r="B97" s="124" t="s">
        <v>171</v>
      </c>
      <c r="C97" s="105" t="s">
        <v>5</v>
      </c>
      <c r="D97" s="106" t="s">
        <v>70</v>
      </c>
      <c r="E97" s="106"/>
      <c r="F97" s="106"/>
      <c r="G97" s="106"/>
      <c r="H97" s="105">
        <f>J97*I97</f>
        <v>0</v>
      </c>
      <c r="I97" s="108">
        <v>0.75</v>
      </c>
      <c r="J97" s="113">
        <f>F97*G97*E97</f>
        <v>0</v>
      </c>
      <c r="K97" s="117" t="s">
        <v>172</v>
      </c>
      <c r="L97" s="118"/>
      <c r="M97" s="106"/>
      <c r="N97" s="106"/>
      <c r="O97" s="106"/>
      <c r="P97" s="105">
        <f>R97*Q97</f>
        <v>0</v>
      </c>
      <c r="Q97" s="108">
        <v>0.67</v>
      </c>
      <c r="R97" s="113">
        <f>N97*O97*M97</f>
        <v>0</v>
      </c>
      <c r="S97" s="117" t="s">
        <v>172</v>
      </c>
      <c r="T97" s="230">
        <f>J97+R97</f>
        <v>0</v>
      </c>
      <c r="U97" s="261">
        <v>0</v>
      </c>
      <c r="V97" s="324"/>
      <c r="W97" s="329"/>
    </row>
    <row r="98" spans="2:23" s="2" customFormat="1" ht="55.8" x14ac:dyDescent="0.3">
      <c r="B98" s="124" t="s">
        <v>173</v>
      </c>
      <c r="C98" s="105" t="s">
        <v>5</v>
      </c>
      <c r="D98" s="106" t="s">
        <v>70</v>
      </c>
      <c r="E98" s="106">
        <v>6</v>
      </c>
      <c r="F98" s="106">
        <v>200</v>
      </c>
      <c r="G98" s="106">
        <v>8</v>
      </c>
      <c r="H98" s="105">
        <f>J98*I98</f>
        <v>9600</v>
      </c>
      <c r="I98" s="108">
        <v>1</v>
      </c>
      <c r="J98" s="113">
        <f>F98*G98*E98</f>
        <v>9600</v>
      </c>
      <c r="K98" s="117" t="s">
        <v>298</v>
      </c>
      <c r="L98" s="118"/>
      <c r="M98" s="106">
        <v>6</v>
      </c>
      <c r="N98" s="106">
        <v>150</v>
      </c>
      <c r="O98" s="106">
        <v>8</v>
      </c>
      <c r="P98" s="105">
        <f>R98*Q98</f>
        <v>7200</v>
      </c>
      <c r="Q98" s="108">
        <v>1</v>
      </c>
      <c r="R98" s="113">
        <f>N98*O98*M98</f>
        <v>7200</v>
      </c>
      <c r="S98" s="117" t="s">
        <v>297</v>
      </c>
      <c r="T98" s="230">
        <f>J98+R98</f>
        <v>16800</v>
      </c>
      <c r="U98" s="261">
        <v>11760</v>
      </c>
      <c r="V98" s="317">
        <f t="shared" si="26"/>
        <v>0.7</v>
      </c>
      <c r="W98" s="329"/>
    </row>
    <row r="99" spans="2:23" s="2" customFormat="1" ht="28.2" x14ac:dyDescent="0.3">
      <c r="B99" s="124" t="s">
        <v>301</v>
      </c>
      <c r="C99" s="105" t="s">
        <v>5</v>
      </c>
      <c r="D99" s="106" t="s">
        <v>70</v>
      </c>
      <c r="E99" s="106">
        <v>1</v>
      </c>
      <c r="F99" s="106">
        <v>16714.2</v>
      </c>
      <c r="G99" s="106">
        <v>1</v>
      </c>
      <c r="H99" s="105">
        <f>J99*I99</f>
        <v>16714.2</v>
      </c>
      <c r="I99" s="108">
        <v>1</v>
      </c>
      <c r="J99" s="113">
        <f>F99*G99*E99</f>
        <v>16714.2</v>
      </c>
      <c r="K99" s="117" t="s">
        <v>296</v>
      </c>
      <c r="L99" s="118"/>
      <c r="M99" s="106">
        <v>1</v>
      </c>
      <c r="N99" s="106">
        <v>11142.8</v>
      </c>
      <c r="O99" s="106">
        <v>1</v>
      </c>
      <c r="P99" s="105">
        <f>R99*Q99</f>
        <v>11142.8</v>
      </c>
      <c r="Q99" s="108">
        <v>1</v>
      </c>
      <c r="R99" s="113">
        <f>N99*O99*M99</f>
        <v>11142.8</v>
      </c>
      <c r="S99" s="117" t="s">
        <v>296</v>
      </c>
      <c r="T99" s="230">
        <f>J99+R99</f>
        <v>27857</v>
      </c>
      <c r="U99" s="261">
        <v>0</v>
      </c>
      <c r="V99" s="317">
        <f>+U99/T99</f>
        <v>0</v>
      </c>
      <c r="W99" s="329" t="s">
        <v>307</v>
      </c>
    </row>
    <row r="100" spans="2:23" s="16" customFormat="1" x14ac:dyDescent="0.3">
      <c r="B100" s="28" t="s">
        <v>174</v>
      </c>
      <c r="C100" s="15"/>
      <c r="D100" s="11"/>
      <c r="E100" s="11"/>
      <c r="F100" s="11"/>
      <c r="G100" s="11"/>
      <c r="H100" s="12">
        <f>SUM(H84:H89)+SUM(H91:H94)+SUM(H96:H99)</f>
        <v>90355.64</v>
      </c>
      <c r="I100" s="11"/>
      <c r="J100" s="12">
        <f>SUM(J84:J89)+SUM(J91:J94)+SUM(J96:J99)</f>
        <v>99846.2</v>
      </c>
      <c r="K100" s="33"/>
      <c r="L100" s="17"/>
      <c r="M100" s="12"/>
      <c r="N100" s="12"/>
      <c r="O100" s="12"/>
      <c r="P100" s="12">
        <f>SUM(P84:P89)+SUM(P91:P94)+SUM(P96:P99)</f>
        <v>43924.240000000005</v>
      </c>
      <c r="Q100" s="11"/>
      <c r="R100" s="12">
        <f>SUM(R84:R89)+SUM(R91:R94)+SUM(R96:R99)</f>
        <v>55374.8</v>
      </c>
      <c r="S100" s="12"/>
      <c r="T100" s="282">
        <f>J100+R100</f>
        <v>155221</v>
      </c>
      <c r="U100" s="263">
        <f>SUM(U83,U90,U95)</f>
        <v>89750</v>
      </c>
      <c r="V100" s="320">
        <f>+U100/T100</f>
        <v>0.57820784558790372</v>
      </c>
      <c r="W100" s="337"/>
    </row>
    <row r="101" spans="2:23" s="16" customFormat="1" x14ac:dyDescent="0.3">
      <c r="B101" s="29"/>
      <c r="K101" s="29"/>
      <c r="U101" s="268"/>
      <c r="V101" s="321"/>
      <c r="W101" s="337"/>
    </row>
    <row r="102" spans="2:23" s="16" customFormat="1" ht="27.6" x14ac:dyDescent="0.3">
      <c r="B102" s="23" t="s">
        <v>175</v>
      </c>
      <c r="C102" s="22"/>
      <c r="D102" s="11"/>
      <c r="E102" s="11"/>
      <c r="F102" s="11"/>
      <c r="G102" s="11"/>
      <c r="H102" s="12">
        <f>H100+H80+H38</f>
        <v>589905.79480000003</v>
      </c>
      <c r="I102" s="11"/>
      <c r="J102" s="12">
        <f>J100+J80+J38</f>
        <v>1129281.7080000001</v>
      </c>
      <c r="K102" s="33"/>
      <c r="L102" s="17"/>
      <c r="M102" s="12"/>
      <c r="N102" s="12"/>
      <c r="O102" s="12"/>
      <c r="P102" s="12">
        <f>P100+P80+P38</f>
        <v>223993.99479999999</v>
      </c>
      <c r="Q102" s="12">
        <f>Q100+Q80+Q38</f>
        <v>0</v>
      </c>
      <c r="R102" s="12">
        <f>R100+R80+R38</f>
        <v>433353.30800000002</v>
      </c>
      <c r="S102" s="12"/>
      <c r="T102" s="283">
        <f>J102+R102</f>
        <v>1562635.0160000001</v>
      </c>
      <c r="U102" s="284">
        <f>SUM(U38,U80,U100)</f>
        <v>1223943.5</v>
      </c>
      <c r="V102" s="325">
        <f>+U102/T102</f>
        <v>0.78325615864734977</v>
      </c>
      <c r="W102" s="337"/>
    </row>
    <row r="103" spans="2:23" s="16" customFormat="1" x14ac:dyDescent="0.3">
      <c r="B103" s="23"/>
      <c r="C103" s="22"/>
      <c r="D103" s="11"/>
      <c r="E103" s="11"/>
      <c r="F103" s="11"/>
      <c r="G103" s="11"/>
      <c r="H103" s="12"/>
      <c r="I103" s="11"/>
      <c r="J103" s="12"/>
      <c r="K103" s="33"/>
      <c r="L103" s="17"/>
      <c r="M103" s="12"/>
      <c r="N103" s="12"/>
      <c r="O103" s="12"/>
      <c r="P103" s="12"/>
      <c r="Q103" s="12"/>
      <c r="R103" s="12"/>
      <c r="S103" s="12"/>
      <c r="T103" s="234"/>
      <c r="U103" s="268"/>
      <c r="V103" s="321"/>
      <c r="W103" s="337"/>
    </row>
    <row r="104" spans="2:23" s="2" customFormat="1" ht="17.399999999999999" x14ac:dyDescent="0.3">
      <c r="B104" s="103" t="s">
        <v>176</v>
      </c>
      <c r="C104" s="95"/>
      <c r="D104" s="96"/>
      <c r="E104" s="96"/>
      <c r="F104" s="96"/>
      <c r="G104" s="96"/>
      <c r="H104" s="95"/>
      <c r="I104" s="97"/>
      <c r="J104" s="98"/>
      <c r="K104" s="88"/>
      <c r="L104" s="36"/>
      <c r="M104" s="96"/>
      <c r="N104" s="96"/>
      <c r="O104" s="96"/>
      <c r="P104" s="95"/>
      <c r="Q104" s="97"/>
      <c r="R104" s="98"/>
      <c r="S104" s="41"/>
      <c r="T104" s="99"/>
      <c r="U104" s="259"/>
      <c r="V104" s="321"/>
      <c r="W104" s="329"/>
    </row>
    <row r="105" spans="2:23" s="2" customFormat="1" ht="27.45" customHeight="1" x14ac:dyDescent="0.3">
      <c r="B105" s="190" t="s">
        <v>258</v>
      </c>
      <c r="C105" s="174" t="s">
        <v>6</v>
      </c>
      <c r="D105" s="184" t="s">
        <v>49</v>
      </c>
      <c r="E105" s="184">
        <v>1</v>
      </c>
      <c r="F105" s="184">
        <v>15000</v>
      </c>
      <c r="G105" s="184">
        <v>1</v>
      </c>
      <c r="H105" s="174">
        <f t="shared" ref="H105:H110" si="30">J105*I105</f>
        <v>7500</v>
      </c>
      <c r="I105" s="186">
        <v>0.5</v>
      </c>
      <c r="J105" s="187">
        <f t="shared" ref="J105:J110" si="31">F105*G105*E105</f>
        <v>15000</v>
      </c>
      <c r="K105" s="202" t="s">
        <v>177</v>
      </c>
      <c r="L105" s="200"/>
      <c r="M105" s="184">
        <v>1</v>
      </c>
      <c r="N105" s="184">
        <v>0</v>
      </c>
      <c r="O105" s="184">
        <v>1</v>
      </c>
      <c r="P105" s="174">
        <f t="shared" ref="P105:P110" si="32">R105*Q105</f>
        <v>0</v>
      </c>
      <c r="Q105" s="186">
        <v>0.5</v>
      </c>
      <c r="R105" s="187">
        <f t="shared" ref="R105:R110" si="33">N105*O105*M105</f>
        <v>0</v>
      </c>
      <c r="S105" s="201"/>
      <c r="T105" s="229">
        <f t="shared" ref="T105:T110" si="34">J105+R105</f>
        <v>15000</v>
      </c>
      <c r="U105" s="296">
        <v>16284.29</v>
      </c>
      <c r="V105" s="326">
        <f t="shared" ref="V105:V111" si="35">+U105/T105</f>
        <v>1.0856193333333335</v>
      </c>
      <c r="W105" s="329"/>
    </row>
    <row r="106" spans="2:23" s="2" customFormat="1" ht="42" x14ac:dyDescent="0.3">
      <c r="B106" s="190" t="s">
        <v>178</v>
      </c>
      <c r="C106" s="174" t="s">
        <v>6</v>
      </c>
      <c r="D106" s="184" t="s">
        <v>49</v>
      </c>
      <c r="E106" s="184">
        <v>1</v>
      </c>
      <c r="F106" s="184">
        <v>3000</v>
      </c>
      <c r="G106" s="184">
        <v>3</v>
      </c>
      <c r="H106" s="174">
        <f t="shared" si="30"/>
        <v>4500</v>
      </c>
      <c r="I106" s="186">
        <v>0.5</v>
      </c>
      <c r="J106" s="187">
        <f t="shared" si="31"/>
        <v>9000</v>
      </c>
      <c r="K106" s="202" t="s">
        <v>179</v>
      </c>
      <c r="L106" s="200"/>
      <c r="M106" s="184">
        <v>1</v>
      </c>
      <c r="N106" s="184">
        <v>3000</v>
      </c>
      <c r="O106" s="184">
        <v>3</v>
      </c>
      <c r="P106" s="174">
        <f t="shared" si="32"/>
        <v>4500</v>
      </c>
      <c r="Q106" s="186">
        <v>0.5</v>
      </c>
      <c r="R106" s="187">
        <f t="shared" si="33"/>
        <v>9000</v>
      </c>
      <c r="S106" s="202" t="s">
        <v>180</v>
      </c>
      <c r="T106" s="229">
        <f t="shared" si="34"/>
        <v>18000</v>
      </c>
      <c r="U106" s="261">
        <v>11062</v>
      </c>
      <c r="V106" s="317">
        <f t="shared" si="35"/>
        <v>0.61455555555555552</v>
      </c>
      <c r="W106" s="329"/>
    </row>
    <row r="107" spans="2:23" s="2" customFormat="1" ht="69.599999999999994" x14ac:dyDescent="0.3">
      <c r="B107" s="190" t="s">
        <v>262</v>
      </c>
      <c r="C107" s="174" t="s">
        <v>6</v>
      </c>
      <c r="D107" s="184" t="s">
        <v>49</v>
      </c>
      <c r="E107" s="184">
        <v>1</v>
      </c>
      <c r="F107" s="184">
        <v>1500</v>
      </c>
      <c r="G107" s="184">
        <v>2</v>
      </c>
      <c r="H107" s="174">
        <f t="shared" si="30"/>
        <v>900</v>
      </c>
      <c r="I107" s="186">
        <v>0.3</v>
      </c>
      <c r="J107" s="187">
        <f t="shared" si="31"/>
        <v>3000</v>
      </c>
      <c r="K107" s="202" t="s">
        <v>270</v>
      </c>
      <c r="L107" s="200"/>
      <c r="M107" s="184">
        <v>1</v>
      </c>
      <c r="N107" s="184">
        <f>F107</f>
        <v>1500</v>
      </c>
      <c r="O107" s="184">
        <v>2</v>
      </c>
      <c r="P107" s="174">
        <f t="shared" si="32"/>
        <v>4500</v>
      </c>
      <c r="Q107" s="186">
        <v>1.5</v>
      </c>
      <c r="R107" s="187">
        <f t="shared" si="33"/>
        <v>3000</v>
      </c>
      <c r="S107" s="202" t="s">
        <v>263</v>
      </c>
      <c r="T107" s="229">
        <f t="shared" si="34"/>
        <v>6000</v>
      </c>
      <c r="U107" s="299">
        <v>4869</v>
      </c>
      <c r="V107" s="317">
        <f t="shared" si="35"/>
        <v>0.8115</v>
      </c>
      <c r="W107" s="329"/>
    </row>
    <row r="108" spans="2:23" s="2" customFormat="1" ht="69" x14ac:dyDescent="0.3">
      <c r="B108" s="190" t="s">
        <v>181</v>
      </c>
      <c r="C108" s="174" t="s">
        <v>6</v>
      </c>
      <c r="D108" s="184" t="s">
        <v>49</v>
      </c>
      <c r="E108" s="184">
        <v>1</v>
      </c>
      <c r="F108" s="184">
        <v>4500</v>
      </c>
      <c r="G108" s="184">
        <v>2</v>
      </c>
      <c r="H108" s="174">
        <f t="shared" si="30"/>
        <v>4500</v>
      </c>
      <c r="I108" s="186">
        <v>0.5</v>
      </c>
      <c r="J108" s="187">
        <f t="shared" si="31"/>
        <v>9000</v>
      </c>
      <c r="K108" s="175" t="s">
        <v>182</v>
      </c>
      <c r="L108" s="200"/>
      <c r="M108" s="184">
        <v>1</v>
      </c>
      <c r="N108" s="184">
        <v>4500</v>
      </c>
      <c r="O108" s="184">
        <v>2</v>
      </c>
      <c r="P108" s="174">
        <f t="shared" si="32"/>
        <v>4500</v>
      </c>
      <c r="Q108" s="186">
        <v>0.5</v>
      </c>
      <c r="R108" s="187">
        <f t="shared" si="33"/>
        <v>9000</v>
      </c>
      <c r="S108" s="175" t="s">
        <v>182</v>
      </c>
      <c r="T108" s="229">
        <f t="shared" si="34"/>
        <v>18000</v>
      </c>
      <c r="U108" s="299">
        <v>18403.89</v>
      </c>
      <c r="V108" s="318">
        <f t="shared" si="35"/>
        <v>1.0224383333333333</v>
      </c>
      <c r="W108" s="329"/>
    </row>
    <row r="109" spans="2:23" s="2" customFormat="1" ht="55.2" x14ac:dyDescent="0.3">
      <c r="B109" s="190" t="s">
        <v>183</v>
      </c>
      <c r="C109" s="174" t="s">
        <v>6</v>
      </c>
      <c r="D109" s="184" t="s">
        <v>49</v>
      </c>
      <c r="E109" s="184">
        <v>3</v>
      </c>
      <c r="F109" s="184">
        <v>3000</v>
      </c>
      <c r="G109" s="184">
        <v>1</v>
      </c>
      <c r="H109" s="174">
        <f t="shared" si="30"/>
        <v>4500</v>
      </c>
      <c r="I109" s="186">
        <v>0.5</v>
      </c>
      <c r="J109" s="187">
        <f t="shared" si="31"/>
        <v>9000</v>
      </c>
      <c r="K109" s="175" t="s">
        <v>184</v>
      </c>
      <c r="L109" s="200"/>
      <c r="M109" s="184">
        <v>3</v>
      </c>
      <c r="N109" s="184">
        <v>3000</v>
      </c>
      <c r="O109" s="184">
        <v>1</v>
      </c>
      <c r="P109" s="174">
        <f t="shared" si="32"/>
        <v>4500</v>
      </c>
      <c r="Q109" s="186">
        <v>0.5</v>
      </c>
      <c r="R109" s="187">
        <f t="shared" si="33"/>
        <v>9000</v>
      </c>
      <c r="S109" s="175" t="s">
        <v>185</v>
      </c>
      <c r="T109" s="229">
        <f t="shared" si="34"/>
        <v>18000</v>
      </c>
      <c r="U109" s="298">
        <v>15766.06</v>
      </c>
      <c r="V109" s="317">
        <f t="shared" si="35"/>
        <v>0.87589222222222218</v>
      </c>
      <c r="W109" s="329"/>
    </row>
    <row r="110" spans="2:23" s="2" customFormat="1" ht="28.2" x14ac:dyDescent="0.3">
      <c r="B110" s="190" t="s">
        <v>186</v>
      </c>
      <c r="C110" s="174" t="s">
        <v>3</v>
      </c>
      <c r="D110" s="184" t="s">
        <v>49</v>
      </c>
      <c r="E110" s="184">
        <v>0</v>
      </c>
      <c r="F110" s="184">
        <v>0</v>
      </c>
      <c r="G110" s="184">
        <v>1</v>
      </c>
      <c r="H110" s="174">
        <f t="shared" si="30"/>
        <v>0</v>
      </c>
      <c r="I110" s="186">
        <v>0.5</v>
      </c>
      <c r="J110" s="187">
        <f t="shared" si="31"/>
        <v>0</v>
      </c>
      <c r="K110" s="203"/>
      <c r="L110" s="200"/>
      <c r="M110" s="184">
        <v>1</v>
      </c>
      <c r="N110" s="184">
        <v>25000</v>
      </c>
      <c r="O110" s="184">
        <v>1</v>
      </c>
      <c r="P110" s="174">
        <f t="shared" si="32"/>
        <v>12500</v>
      </c>
      <c r="Q110" s="186">
        <v>0.5</v>
      </c>
      <c r="R110" s="187">
        <f t="shared" si="33"/>
        <v>25000</v>
      </c>
      <c r="S110" s="202" t="s">
        <v>187</v>
      </c>
      <c r="T110" s="229">
        <f t="shared" si="34"/>
        <v>25000</v>
      </c>
      <c r="U110" s="261">
        <v>0</v>
      </c>
      <c r="V110" s="317">
        <f t="shared" si="35"/>
        <v>0</v>
      </c>
      <c r="W110" s="329"/>
    </row>
    <row r="111" spans="2:23" s="16" customFormat="1" ht="15.6" x14ac:dyDescent="0.3">
      <c r="B111" s="28" t="s">
        <v>188</v>
      </c>
      <c r="C111" s="15"/>
      <c r="D111" s="11"/>
      <c r="E111" s="11"/>
      <c r="F111" s="11"/>
      <c r="G111" s="11"/>
      <c r="H111" s="12">
        <f>SUM(H105:H110)</f>
        <v>21900</v>
      </c>
      <c r="I111" s="11"/>
      <c r="J111" s="12">
        <f>SUM(J105:J110)</f>
        <v>45000</v>
      </c>
      <c r="K111" s="33"/>
      <c r="L111" s="17"/>
      <c r="M111" s="12"/>
      <c r="N111" s="12"/>
      <c r="O111" s="12"/>
      <c r="P111" s="12">
        <f>SUM(P105:P110)</f>
        <v>30500</v>
      </c>
      <c r="Q111" s="11"/>
      <c r="R111" s="12">
        <f>SUM(R105:R110)</f>
        <v>55000</v>
      </c>
      <c r="S111" s="12"/>
      <c r="T111" s="285">
        <f>J111+R111</f>
        <v>100000</v>
      </c>
      <c r="U111" s="284">
        <f>SUM(U105:U110)</f>
        <v>66385.240000000005</v>
      </c>
      <c r="V111" s="325">
        <f t="shared" si="35"/>
        <v>0.66385240000000001</v>
      </c>
      <c r="W111" s="337"/>
    </row>
    <row r="112" spans="2:23" x14ac:dyDescent="0.3">
      <c r="U112" s="262"/>
      <c r="V112" s="321"/>
      <c r="W112" s="331"/>
    </row>
    <row r="113" spans="1:26" s="62" customFormat="1" ht="22.5" customHeight="1" x14ac:dyDescent="0.25">
      <c r="A113" s="56"/>
      <c r="B113" s="57" t="s">
        <v>189</v>
      </c>
      <c r="C113" s="58"/>
      <c r="D113" s="58"/>
      <c r="E113" s="58"/>
      <c r="F113" s="58"/>
      <c r="G113" s="58"/>
      <c r="H113" s="58"/>
      <c r="I113" s="58"/>
      <c r="J113" s="58"/>
      <c r="K113" s="59"/>
      <c r="L113" s="36"/>
      <c r="M113" s="58"/>
      <c r="N113" s="58"/>
      <c r="O113" s="58"/>
      <c r="P113" s="58"/>
      <c r="Q113" s="58"/>
      <c r="R113" s="58"/>
      <c r="S113" s="59"/>
      <c r="T113" s="58"/>
      <c r="U113" s="265">
        <v>-28</v>
      </c>
      <c r="V113" s="321"/>
      <c r="W113" s="338"/>
      <c r="X113" s="60"/>
      <c r="Y113" s="60"/>
      <c r="Z113" s="61"/>
    </row>
    <row r="114" spans="1:26" s="68" customFormat="1" ht="12.75" customHeight="1" x14ac:dyDescent="0.25">
      <c r="A114" s="56"/>
      <c r="B114" s="63" t="s">
        <v>190</v>
      </c>
      <c r="C114" s="64"/>
      <c r="D114" s="64"/>
      <c r="E114" s="64"/>
      <c r="F114" s="64"/>
      <c r="G114" s="64"/>
      <c r="H114" s="93">
        <f>SUM(H115:H137)</f>
        <v>0</v>
      </c>
      <c r="I114" s="64"/>
      <c r="J114" s="93">
        <f>SUM(J115:J137)</f>
        <v>256836</v>
      </c>
      <c r="K114" s="65"/>
      <c r="L114" s="36"/>
      <c r="M114" s="64"/>
      <c r="N114" s="64"/>
      <c r="O114" s="64"/>
      <c r="P114" s="93">
        <f>SUM(P115:P137)</f>
        <v>0</v>
      </c>
      <c r="Q114" s="64"/>
      <c r="R114" s="93">
        <f>SUM(R115:R137)</f>
        <v>242436</v>
      </c>
      <c r="S114" s="65"/>
      <c r="T114" s="93">
        <f>R114+J114</f>
        <v>499272</v>
      </c>
      <c r="U114" s="266">
        <f>SUM(U115:U137)</f>
        <v>399876.51</v>
      </c>
      <c r="V114" s="320">
        <f t="shared" ref="V114:V128" si="36">+U114/T114</f>
        <v>0.8009191582944768</v>
      </c>
      <c r="W114" s="339"/>
      <c r="X114" s="66"/>
      <c r="Y114" s="66"/>
      <c r="Z114" s="67"/>
    </row>
    <row r="115" spans="1:26" s="41" customFormat="1" x14ac:dyDescent="0.25">
      <c r="A115" s="56"/>
      <c r="B115" s="204" t="s">
        <v>191</v>
      </c>
      <c r="C115" s="205" t="s">
        <v>0</v>
      </c>
      <c r="D115" s="184" t="s">
        <v>49</v>
      </c>
      <c r="E115" s="206">
        <v>1</v>
      </c>
      <c r="F115" s="206">
        <f>4500*10%</f>
        <v>450</v>
      </c>
      <c r="G115" s="206">
        <v>12</v>
      </c>
      <c r="H115" s="174"/>
      <c r="I115" s="186"/>
      <c r="J115" s="187">
        <f t="shared" ref="J115:J122" si="37">F115*G115*E115</f>
        <v>5400</v>
      </c>
      <c r="K115" s="207" t="s">
        <v>273</v>
      </c>
      <c r="L115" s="206"/>
      <c r="M115" s="206">
        <f>E115</f>
        <v>1</v>
      </c>
      <c r="N115" s="206">
        <f>F115</f>
        <v>450</v>
      </c>
      <c r="O115" s="206">
        <f t="shared" ref="O115:O124" si="38">G115</f>
        <v>12</v>
      </c>
      <c r="P115" s="174"/>
      <c r="Q115" s="186"/>
      <c r="R115" s="187">
        <f>N115*O115*M115</f>
        <v>5400</v>
      </c>
      <c r="S115" s="208"/>
      <c r="T115" s="235">
        <f>J115+R115</f>
        <v>10800</v>
      </c>
      <c r="U115" s="299">
        <v>8550</v>
      </c>
      <c r="V115" s="317">
        <f t="shared" si="36"/>
        <v>0.79166666666666663</v>
      </c>
      <c r="W115" s="340"/>
    </row>
    <row r="116" spans="1:26" s="41" customFormat="1" x14ac:dyDescent="0.25">
      <c r="A116" s="56"/>
      <c r="B116" s="204" t="s">
        <v>192</v>
      </c>
      <c r="C116" s="205" t="s">
        <v>0</v>
      </c>
      <c r="D116" s="184" t="s">
        <v>49</v>
      </c>
      <c r="E116" s="206">
        <v>1</v>
      </c>
      <c r="F116" s="206">
        <f>1900*15%</f>
        <v>285</v>
      </c>
      <c r="G116" s="206">
        <v>12</v>
      </c>
      <c r="H116" s="174"/>
      <c r="I116" s="186"/>
      <c r="J116" s="187">
        <f t="shared" si="37"/>
        <v>3420</v>
      </c>
      <c r="K116" s="207" t="s">
        <v>274</v>
      </c>
      <c r="L116" s="206"/>
      <c r="M116" s="206">
        <f>E116</f>
        <v>1</v>
      </c>
      <c r="N116" s="206">
        <f>F116</f>
        <v>285</v>
      </c>
      <c r="O116" s="206">
        <f t="shared" si="38"/>
        <v>12</v>
      </c>
      <c r="P116" s="174"/>
      <c r="Q116" s="186"/>
      <c r="R116" s="187">
        <f>N116*O116*M116</f>
        <v>3420</v>
      </c>
      <c r="S116" s="206"/>
      <c r="T116" s="235">
        <f t="shared" ref="T116:T137" si="39">J116+R116</f>
        <v>6840</v>
      </c>
      <c r="U116" s="299">
        <v>6555</v>
      </c>
      <c r="V116" s="317">
        <f t="shared" si="36"/>
        <v>0.95833333333333337</v>
      </c>
      <c r="W116" s="340"/>
    </row>
    <row r="117" spans="1:26" s="41" customFormat="1" ht="18.75" customHeight="1" x14ac:dyDescent="0.25">
      <c r="A117" s="56"/>
      <c r="B117" s="204" t="s">
        <v>193</v>
      </c>
      <c r="C117" s="205" t="s">
        <v>0</v>
      </c>
      <c r="D117" s="184" t="s">
        <v>49</v>
      </c>
      <c r="E117" s="206">
        <v>1</v>
      </c>
      <c r="F117" s="206">
        <f>1900*20%</f>
        <v>380</v>
      </c>
      <c r="G117" s="206">
        <v>12</v>
      </c>
      <c r="H117" s="174"/>
      <c r="I117" s="186"/>
      <c r="J117" s="187">
        <f t="shared" si="37"/>
        <v>4560</v>
      </c>
      <c r="K117" s="207" t="s">
        <v>276</v>
      </c>
      <c r="L117" s="206"/>
      <c r="M117" s="206">
        <v>1</v>
      </c>
      <c r="N117" s="206">
        <f>F117</f>
        <v>380</v>
      </c>
      <c r="O117" s="206">
        <f t="shared" si="38"/>
        <v>12</v>
      </c>
      <c r="P117" s="174"/>
      <c r="Q117" s="186"/>
      <c r="R117" s="187">
        <f>N117*O117*M117</f>
        <v>4560</v>
      </c>
      <c r="S117" s="206"/>
      <c r="T117" s="235">
        <f t="shared" si="39"/>
        <v>9120</v>
      </c>
      <c r="U117" s="299">
        <v>5320</v>
      </c>
      <c r="V117" s="317">
        <f>+U117/T117</f>
        <v>0.58333333333333337</v>
      </c>
      <c r="W117" s="340"/>
    </row>
    <row r="118" spans="1:26" s="41" customFormat="1" x14ac:dyDescent="0.25">
      <c r="A118" s="56"/>
      <c r="B118" s="204" t="s">
        <v>194</v>
      </c>
      <c r="C118" s="205" t="s">
        <v>0</v>
      </c>
      <c r="D118" s="184" t="s">
        <v>49</v>
      </c>
      <c r="E118" s="206">
        <v>1</v>
      </c>
      <c r="F118" s="206">
        <v>2700</v>
      </c>
      <c r="G118" s="206">
        <v>12</v>
      </c>
      <c r="H118" s="174"/>
      <c r="I118" s="186"/>
      <c r="J118" s="187">
        <f t="shared" si="37"/>
        <v>32400</v>
      </c>
      <c r="K118" s="207" t="s">
        <v>277</v>
      </c>
      <c r="L118" s="206"/>
      <c r="M118" s="206">
        <v>1</v>
      </c>
      <c r="N118" s="206">
        <f>F118</f>
        <v>2700</v>
      </c>
      <c r="O118" s="206">
        <f t="shared" si="38"/>
        <v>12</v>
      </c>
      <c r="P118" s="174"/>
      <c r="Q118" s="186"/>
      <c r="R118" s="187">
        <f t="shared" ref="R118:R137" si="40">N118*O118*M118</f>
        <v>32400</v>
      </c>
      <c r="S118" s="206"/>
      <c r="T118" s="235">
        <f t="shared" si="39"/>
        <v>64800</v>
      </c>
      <c r="U118" s="299">
        <v>52271.61</v>
      </c>
      <c r="V118" s="317">
        <f t="shared" si="36"/>
        <v>0.8066606481481482</v>
      </c>
      <c r="W118" s="340"/>
    </row>
    <row r="119" spans="1:26" s="41" customFormat="1" x14ac:dyDescent="0.25">
      <c r="A119" s="56"/>
      <c r="B119" s="204" t="s">
        <v>195</v>
      </c>
      <c r="C119" s="205" t="s">
        <v>0</v>
      </c>
      <c r="D119" s="184" t="s">
        <v>49</v>
      </c>
      <c r="E119" s="206">
        <v>1</v>
      </c>
      <c r="F119" s="206">
        <v>1200</v>
      </c>
      <c r="G119" s="206">
        <v>12</v>
      </c>
      <c r="H119" s="174"/>
      <c r="I119" s="186"/>
      <c r="J119" s="187">
        <f t="shared" si="37"/>
        <v>14400</v>
      </c>
      <c r="K119" s="207" t="s">
        <v>277</v>
      </c>
      <c r="L119" s="206"/>
      <c r="M119" s="206">
        <v>1</v>
      </c>
      <c r="N119" s="206">
        <f t="shared" ref="N119:N137" si="41">F119</f>
        <v>1200</v>
      </c>
      <c r="O119" s="206">
        <f t="shared" si="38"/>
        <v>12</v>
      </c>
      <c r="P119" s="174"/>
      <c r="Q119" s="186"/>
      <c r="R119" s="187">
        <f t="shared" si="40"/>
        <v>14400</v>
      </c>
      <c r="S119" s="206"/>
      <c r="T119" s="235">
        <f t="shared" si="39"/>
        <v>28800</v>
      </c>
      <c r="U119" s="299">
        <v>23232</v>
      </c>
      <c r="V119" s="317">
        <f t="shared" si="36"/>
        <v>0.80666666666666664</v>
      </c>
      <c r="W119" s="340"/>
    </row>
    <row r="120" spans="1:26" s="41" customFormat="1" x14ac:dyDescent="0.25">
      <c r="A120" s="56"/>
      <c r="B120" s="204" t="s">
        <v>196</v>
      </c>
      <c r="C120" s="205" t="s">
        <v>0</v>
      </c>
      <c r="D120" s="184" t="s">
        <v>49</v>
      </c>
      <c r="E120" s="206">
        <v>1</v>
      </c>
      <c r="F120" s="206">
        <v>1200</v>
      </c>
      <c r="G120" s="206">
        <v>12</v>
      </c>
      <c r="H120" s="174"/>
      <c r="I120" s="186"/>
      <c r="J120" s="187">
        <f t="shared" si="37"/>
        <v>14400</v>
      </c>
      <c r="K120" s="207" t="s">
        <v>277</v>
      </c>
      <c r="L120" s="206"/>
      <c r="M120" s="206">
        <v>1</v>
      </c>
      <c r="N120" s="206">
        <f t="shared" si="41"/>
        <v>1200</v>
      </c>
      <c r="O120" s="206">
        <f t="shared" si="38"/>
        <v>12</v>
      </c>
      <c r="P120" s="174"/>
      <c r="Q120" s="186"/>
      <c r="R120" s="187">
        <f t="shared" si="40"/>
        <v>14400</v>
      </c>
      <c r="S120" s="206"/>
      <c r="T120" s="235">
        <f t="shared" si="39"/>
        <v>28800</v>
      </c>
      <c r="U120" s="299">
        <v>23232.01</v>
      </c>
      <c r="V120" s="317">
        <f t="shared" si="36"/>
        <v>0.80666701388888884</v>
      </c>
      <c r="W120" s="340"/>
    </row>
    <row r="121" spans="1:26" s="41" customFormat="1" x14ac:dyDescent="0.25">
      <c r="A121" s="56"/>
      <c r="B121" s="204" t="s">
        <v>282</v>
      </c>
      <c r="C121" s="205" t="s">
        <v>0</v>
      </c>
      <c r="D121" s="184" t="s">
        <v>49</v>
      </c>
      <c r="E121" s="206">
        <v>1</v>
      </c>
      <c r="F121" s="206">
        <v>1000</v>
      </c>
      <c r="G121" s="206">
        <v>12</v>
      </c>
      <c r="H121" s="174"/>
      <c r="I121" s="186"/>
      <c r="J121" s="187">
        <f t="shared" si="37"/>
        <v>12000</v>
      </c>
      <c r="K121" s="207" t="s">
        <v>277</v>
      </c>
      <c r="L121" s="206"/>
      <c r="M121" s="206">
        <v>1</v>
      </c>
      <c r="N121" s="206">
        <f t="shared" ref="N121" si="42">F121</f>
        <v>1000</v>
      </c>
      <c r="O121" s="206">
        <f t="shared" ref="O121" si="43">G121</f>
        <v>12</v>
      </c>
      <c r="P121" s="174"/>
      <c r="Q121" s="186"/>
      <c r="R121" s="187">
        <f t="shared" si="40"/>
        <v>12000</v>
      </c>
      <c r="S121" s="206"/>
      <c r="T121" s="235">
        <f t="shared" si="39"/>
        <v>24000</v>
      </c>
      <c r="U121" s="299">
        <v>19030.830000000002</v>
      </c>
      <c r="V121" s="317">
        <f t="shared" si="36"/>
        <v>0.79295125000000011</v>
      </c>
      <c r="W121" s="340"/>
    </row>
    <row r="122" spans="1:26" s="41" customFormat="1" x14ac:dyDescent="0.25">
      <c r="A122" s="56"/>
      <c r="B122" s="204" t="s">
        <v>197</v>
      </c>
      <c r="C122" s="205" t="s">
        <v>0</v>
      </c>
      <c r="D122" s="184" t="s">
        <v>49</v>
      </c>
      <c r="E122" s="206">
        <v>1</v>
      </c>
      <c r="F122" s="206">
        <v>1200</v>
      </c>
      <c r="G122" s="206">
        <v>12</v>
      </c>
      <c r="H122" s="174"/>
      <c r="I122" s="186"/>
      <c r="J122" s="187">
        <f t="shared" si="37"/>
        <v>14400</v>
      </c>
      <c r="K122" s="207" t="s">
        <v>277</v>
      </c>
      <c r="L122" s="206"/>
      <c r="M122" s="206">
        <v>1</v>
      </c>
      <c r="N122" s="206"/>
      <c r="O122" s="206"/>
      <c r="P122" s="174"/>
      <c r="Q122" s="186"/>
      <c r="R122" s="187">
        <f t="shared" si="40"/>
        <v>0</v>
      </c>
      <c r="S122" s="206"/>
      <c r="T122" s="235">
        <f t="shared" si="39"/>
        <v>14400</v>
      </c>
      <c r="U122" s="299">
        <v>14400</v>
      </c>
      <c r="V122" s="317">
        <f t="shared" si="36"/>
        <v>1</v>
      </c>
      <c r="W122" s="340"/>
    </row>
    <row r="123" spans="1:26" s="41" customFormat="1" x14ac:dyDescent="0.25">
      <c r="A123" s="56"/>
      <c r="B123" s="204" t="s">
        <v>198</v>
      </c>
      <c r="C123" s="205" t="s">
        <v>0</v>
      </c>
      <c r="D123" s="184" t="s">
        <v>49</v>
      </c>
      <c r="E123" s="206">
        <v>1</v>
      </c>
      <c r="F123" s="206">
        <v>1200</v>
      </c>
      <c r="G123" s="206">
        <v>12</v>
      </c>
      <c r="H123" s="174"/>
      <c r="I123" s="186"/>
      <c r="J123" s="187">
        <f>F123*G123*E123</f>
        <v>14400</v>
      </c>
      <c r="K123" s="207" t="s">
        <v>277</v>
      </c>
      <c r="L123" s="206"/>
      <c r="M123" s="206">
        <v>1</v>
      </c>
      <c r="N123" s="206">
        <f t="shared" si="41"/>
        <v>1200</v>
      </c>
      <c r="O123" s="206">
        <f t="shared" si="38"/>
        <v>12</v>
      </c>
      <c r="P123" s="174"/>
      <c r="Q123" s="186"/>
      <c r="R123" s="187">
        <f>N123*O123*M123</f>
        <v>14400</v>
      </c>
      <c r="S123" s="206"/>
      <c r="T123" s="235">
        <f t="shared" si="39"/>
        <v>28800</v>
      </c>
      <c r="U123" s="299">
        <v>22936.81</v>
      </c>
      <c r="V123" s="317">
        <f t="shared" si="36"/>
        <v>0.79641701388888897</v>
      </c>
      <c r="W123" s="340"/>
    </row>
    <row r="124" spans="1:26" s="41" customFormat="1" x14ac:dyDescent="0.25">
      <c r="A124" s="56"/>
      <c r="B124" s="204" t="s">
        <v>199</v>
      </c>
      <c r="C124" s="205" t="s">
        <v>0</v>
      </c>
      <c r="D124" s="184" t="s">
        <v>49</v>
      </c>
      <c r="E124" s="206">
        <v>1</v>
      </c>
      <c r="F124" s="206">
        <v>1000</v>
      </c>
      <c r="G124" s="206">
        <v>12</v>
      </c>
      <c r="H124" s="174"/>
      <c r="I124" s="186"/>
      <c r="J124" s="187">
        <f>F124*G124*E124</f>
        <v>12000</v>
      </c>
      <c r="K124" s="207" t="s">
        <v>277</v>
      </c>
      <c r="L124" s="206"/>
      <c r="M124" s="206">
        <v>1</v>
      </c>
      <c r="N124" s="206">
        <f t="shared" si="41"/>
        <v>1000</v>
      </c>
      <c r="O124" s="206">
        <f t="shared" si="38"/>
        <v>12</v>
      </c>
      <c r="P124" s="174"/>
      <c r="Q124" s="186"/>
      <c r="R124" s="187">
        <f>N124*O124*M124</f>
        <v>12000</v>
      </c>
      <c r="S124" s="206"/>
      <c r="T124" s="235">
        <f t="shared" si="39"/>
        <v>24000</v>
      </c>
      <c r="U124" s="299">
        <v>19376.25</v>
      </c>
      <c r="V124" s="317">
        <f t="shared" si="36"/>
        <v>0.80734375000000003</v>
      </c>
      <c r="W124" s="340"/>
    </row>
    <row r="125" spans="1:26" s="41" customFormat="1" x14ac:dyDescent="0.25">
      <c r="A125" s="56"/>
      <c r="B125" s="132" t="s">
        <v>200</v>
      </c>
      <c r="C125" s="133" t="s">
        <v>0</v>
      </c>
      <c r="D125" s="134" t="s">
        <v>70</v>
      </c>
      <c r="E125" s="134">
        <v>1</v>
      </c>
      <c r="F125" s="134">
        <v>1200</v>
      </c>
      <c r="G125" s="134">
        <v>12</v>
      </c>
      <c r="H125" s="105"/>
      <c r="I125" s="108"/>
      <c r="J125" s="113">
        <f t="shared" ref="J125:J137" si="44">F125*G125*E125</f>
        <v>14400</v>
      </c>
      <c r="K125" s="135" t="s">
        <v>280</v>
      </c>
      <c r="L125" s="134"/>
      <c r="M125" s="134">
        <v>1</v>
      </c>
      <c r="N125" s="134">
        <f t="shared" si="41"/>
        <v>1200</v>
      </c>
      <c r="O125" s="134">
        <v>12</v>
      </c>
      <c r="P125" s="105"/>
      <c r="Q125" s="108"/>
      <c r="R125" s="113">
        <f t="shared" si="40"/>
        <v>14400</v>
      </c>
      <c r="S125" s="134"/>
      <c r="T125" s="236">
        <f t="shared" si="39"/>
        <v>28800</v>
      </c>
      <c r="U125" s="296">
        <v>22800</v>
      </c>
      <c r="V125" s="318">
        <f t="shared" si="36"/>
        <v>0.79166666666666663</v>
      </c>
      <c r="W125" s="340"/>
    </row>
    <row r="126" spans="1:26" s="41" customFormat="1" x14ac:dyDescent="0.25">
      <c r="A126" s="56"/>
      <c r="B126" s="132" t="s">
        <v>192</v>
      </c>
      <c r="C126" s="133" t="s">
        <v>0</v>
      </c>
      <c r="D126" s="134" t="s">
        <v>70</v>
      </c>
      <c r="E126" s="134">
        <v>1</v>
      </c>
      <c r="F126" s="134">
        <v>900</v>
      </c>
      <c r="G126" s="134">
        <v>12</v>
      </c>
      <c r="H126" s="105"/>
      <c r="I126" s="108"/>
      <c r="J126" s="113">
        <f t="shared" si="44"/>
        <v>10800</v>
      </c>
      <c r="K126" s="135" t="s">
        <v>279</v>
      </c>
      <c r="L126" s="134"/>
      <c r="M126" s="134">
        <v>1</v>
      </c>
      <c r="N126" s="134">
        <f t="shared" si="41"/>
        <v>900</v>
      </c>
      <c r="O126" s="134">
        <v>12</v>
      </c>
      <c r="P126" s="105"/>
      <c r="Q126" s="108"/>
      <c r="R126" s="113">
        <f t="shared" si="40"/>
        <v>10800</v>
      </c>
      <c r="S126" s="134"/>
      <c r="T126" s="236">
        <f t="shared" si="39"/>
        <v>21600</v>
      </c>
      <c r="U126" s="296">
        <v>17100</v>
      </c>
      <c r="V126" s="318">
        <f t="shared" si="36"/>
        <v>0.79166666666666663</v>
      </c>
      <c r="W126" s="340"/>
    </row>
    <row r="127" spans="1:26" s="41" customFormat="1" x14ac:dyDescent="0.25">
      <c r="A127" s="56"/>
      <c r="B127" s="132" t="s">
        <v>201</v>
      </c>
      <c r="C127" s="133" t="s">
        <v>0</v>
      </c>
      <c r="D127" s="134" t="s">
        <v>70</v>
      </c>
      <c r="E127" s="134">
        <v>1</v>
      </c>
      <c r="F127" s="134">
        <v>450</v>
      </c>
      <c r="G127" s="134">
        <v>12</v>
      </c>
      <c r="H127" s="105"/>
      <c r="I127" s="108"/>
      <c r="J127" s="113">
        <f t="shared" si="44"/>
        <v>5400</v>
      </c>
      <c r="K127" s="135" t="s">
        <v>280</v>
      </c>
      <c r="L127" s="134"/>
      <c r="M127" s="134">
        <v>1</v>
      </c>
      <c r="N127" s="134">
        <f t="shared" si="41"/>
        <v>450</v>
      </c>
      <c r="O127" s="134">
        <v>12</v>
      </c>
      <c r="P127" s="105"/>
      <c r="Q127" s="108"/>
      <c r="R127" s="113">
        <f t="shared" si="40"/>
        <v>5400</v>
      </c>
      <c r="S127" s="134"/>
      <c r="T127" s="236">
        <f t="shared" si="39"/>
        <v>10800</v>
      </c>
      <c r="U127" s="296">
        <v>8550</v>
      </c>
      <c r="V127" s="318">
        <f t="shared" si="36"/>
        <v>0.79166666666666663</v>
      </c>
      <c r="W127" s="340"/>
    </row>
    <row r="128" spans="1:26" s="41" customFormat="1" x14ac:dyDescent="0.25">
      <c r="A128" s="56"/>
      <c r="B128" s="132" t="s">
        <v>202</v>
      </c>
      <c r="C128" s="133" t="s">
        <v>0</v>
      </c>
      <c r="D128" s="134" t="s">
        <v>70</v>
      </c>
      <c r="E128" s="134">
        <v>1</v>
      </c>
      <c r="F128" s="134">
        <v>1300</v>
      </c>
      <c r="G128" s="134">
        <v>12</v>
      </c>
      <c r="H128" s="105"/>
      <c r="I128" s="108"/>
      <c r="J128" s="113">
        <f t="shared" si="44"/>
        <v>15600</v>
      </c>
      <c r="K128" s="135" t="s">
        <v>275</v>
      </c>
      <c r="L128" s="134"/>
      <c r="M128" s="134">
        <v>1</v>
      </c>
      <c r="N128" s="134">
        <f t="shared" si="41"/>
        <v>1300</v>
      </c>
      <c r="O128" s="134">
        <v>12</v>
      </c>
      <c r="P128" s="105"/>
      <c r="Q128" s="108"/>
      <c r="R128" s="113">
        <f t="shared" si="40"/>
        <v>15600</v>
      </c>
      <c r="S128" s="134"/>
      <c r="T128" s="236">
        <f t="shared" si="39"/>
        <v>31200</v>
      </c>
      <c r="U128" s="296">
        <v>24700</v>
      </c>
      <c r="V128" s="318">
        <f t="shared" si="36"/>
        <v>0.79166666666666663</v>
      </c>
      <c r="W128" s="340"/>
    </row>
    <row r="129" spans="1:23" s="41" customFormat="1" x14ac:dyDescent="0.25">
      <c r="A129" s="56"/>
      <c r="B129" s="132" t="s">
        <v>203</v>
      </c>
      <c r="C129" s="133" t="s">
        <v>0</v>
      </c>
      <c r="D129" s="134" t="s">
        <v>70</v>
      </c>
      <c r="E129" s="134">
        <v>1</v>
      </c>
      <c r="F129" s="134">
        <v>0</v>
      </c>
      <c r="G129" s="134">
        <v>12</v>
      </c>
      <c r="H129" s="105"/>
      <c r="I129" s="108"/>
      <c r="J129" s="113">
        <f t="shared" si="44"/>
        <v>0</v>
      </c>
      <c r="K129" s="136"/>
      <c r="L129" s="134"/>
      <c r="M129" s="134">
        <v>1</v>
      </c>
      <c r="N129" s="134">
        <f t="shared" si="41"/>
        <v>0</v>
      </c>
      <c r="O129" s="134">
        <v>12</v>
      </c>
      <c r="P129" s="105"/>
      <c r="Q129" s="108"/>
      <c r="R129" s="113">
        <f t="shared" si="40"/>
        <v>0</v>
      </c>
      <c r="S129" s="134"/>
      <c r="T129" s="236">
        <f t="shared" si="39"/>
        <v>0</v>
      </c>
      <c r="U129" s="296"/>
      <c r="V129" s="327"/>
      <c r="W129" s="340"/>
    </row>
    <row r="130" spans="1:23" s="41" customFormat="1" x14ac:dyDescent="0.25">
      <c r="A130" s="56"/>
      <c r="B130" s="132" t="s">
        <v>204</v>
      </c>
      <c r="C130" s="133" t="s">
        <v>0</v>
      </c>
      <c r="D130" s="134" t="s">
        <v>70</v>
      </c>
      <c r="E130" s="134">
        <v>2</v>
      </c>
      <c r="F130" s="134">
        <v>522</v>
      </c>
      <c r="G130" s="134">
        <v>12</v>
      </c>
      <c r="H130" s="105"/>
      <c r="I130" s="108"/>
      <c r="J130" s="113">
        <f t="shared" si="44"/>
        <v>12528</v>
      </c>
      <c r="K130" s="135" t="s">
        <v>275</v>
      </c>
      <c r="L130" s="134"/>
      <c r="M130" s="134">
        <v>2</v>
      </c>
      <c r="N130" s="134">
        <f t="shared" si="41"/>
        <v>522</v>
      </c>
      <c r="O130" s="134">
        <v>12</v>
      </c>
      <c r="P130" s="105"/>
      <c r="Q130" s="108"/>
      <c r="R130" s="113">
        <f t="shared" si="40"/>
        <v>12528</v>
      </c>
      <c r="S130" s="134"/>
      <c r="T130" s="236">
        <f t="shared" si="39"/>
        <v>25056</v>
      </c>
      <c r="U130" s="296">
        <v>19836</v>
      </c>
      <c r="V130" s="318">
        <f t="shared" ref="V130:V152" si="45">+U130/T130</f>
        <v>0.79166666666666663</v>
      </c>
      <c r="W130" s="340"/>
    </row>
    <row r="131" spans="1:23" s="41" customFormat="1" x14ac:dyDescent="0.25">
      <c r="A131" s="56"/>
      <c r="B131" s="132" t="s">
        <v>207</v>
      </c>
      <c r="C131" s="133" t="s">
        <v>0</v>
      </c>
      <c r="D131" s="134" t="s">
        <v>70</v>
      </c>
      <c r="E131" s="134">
        <v>1</v>
      </c>
      <c r="F131" s="134">
        <v>500</v>
      </c>
      <c r="G131" s="134">
        <v>12</v>
      </c>
      <c r="H131" s="105"/>
      <c r="I131" s="108"/>
      <c r="J131" s="113">
        <f t="shared" si="44"/>
        <v>6000</v>
      </c>
      <c r="K131" s="135" t="s">
        <v>205</v>
      </c>
      <c r="L131" s="134"/>
      <c r="M131" s="134">
        <v>1</v>
      </c>
      <c r="N131" s="134">
        <f t="shared" si="41"/>
        <v>500</v>
      </c>
      <c r="O131" s="134">
        <v>12</v>
      </c>
      <c r="P131" s="105"/>
      <c r="Q131" s="108"/>
      <c r="R131" s="113">
        <f t="shared" si="40"/>
        <v>6000</v>
      </c>
      <c r="S131" s="134"/>
      <c r="T131" s="236">
        <f t="shared" si="39"/>
        <v>12000</v>
      </c>
      <c r="U131" s="296">
        <v>9500</v>
      </c>
      <c r="V131" s="318">
        <f t="shared" si="45"/>
        <v>0.79166666666666663</v>
      </c>
      <c r="W131" s="340"/>
    </row>
    <row r="132" spans="1:23" s="41" customFormat="1" x14ac:dyDescent="0.25">
      <c r="A132" s="56"/>
      <c r="B132" s="158" t="s">
        <v>206</v>
      </c>
      <c r="C132" s="159" t="s">
        <v>0</v>
      </c>
      <c r="D132" s="160" t="s">
        <v>30</v>
      </c>
      <c r="E132" s="160">
        <v>1</v>
      </c>
      <c r="F132" s="160">
        <v>1200</v>
      </c>
      <c r="G132" s="160">
        <v>12</v>
      </c>
      <c r="H132" s="150"/>
      <c r="I132" s="153"/>
      <c r="J132" s="154">
        <f t="shared" si="44"/>
        <v>14400</v>
      </c>
      <c r="K132" s="161" t="s">
        <v>278</v>
      </c>
      <c r="L132" s="160"/>
      <c r="M132" s="160">
        <v>1</v>
      </c>
      <c r="N132" s="160">
        <f t="shared" si="41"/>
        <v>1200</v>
      </c>
      <c r="O132" s="160">
        <v>12</v>
      </c>
      <c r="P132" s="150"/>
      <c r="Q132" s="153"/>
      <c r="R132" s="154">
        <f t="shared" si="40"/>
        <v>14400</v>
      </c>
      <c r="S132" s="160"/>
      <c r="T132" s="237">
        <f t="shared" si="39"/>
        <v>28800</v>
      </c>
      <c r="U132" s="261">
        <v>22800</v>
      </c>
      <c r="V132" s="317">
        <f t="shared" si="45"/>
        <v>0.79166666666666663</v>
      </c>
      <c r="W132" s="340"/>
    </row>
    <row r="133" spans="1:23" s="41" customFormat="1" x14ac:dyDescent="0.25">
      <c r="A133" s="56"/>
      <c r="B133" s="158" t="s">
        <v>192</v>
      </c>
      <c r="C133" s="159" t="s">
        <v>0</v>
      </c>
      <c r="D133" s="160" t="s">
        <v>30</v>
      </c>
      <c r="E133" s="160">
        <v>1</v>
      </c>
      <c r="F133" s="160">
        <v>900</v>
      </c>
      <c r="G133" s="160">
        <v>12</v>
      </c>
      <c r="H133" s="150"/>
      <c r="I133" s="153"/>
      <c r="J133" s="154">
        <f t="shared" si="44"/>
        <v>10800</v>
      </c>
      <c r="K133" s="161" t="s">
        <v>279</v>
      </c>
      <c r="L133" s="160"/>
      <c r="M133" s="160">
        <v>1</v>
      </c>
      <c r="N133" s="160">
        <f t="shared" si="41"/>
        <v>900</v>
      </c>
      <c r="O133" s="160">
        <v>12</v>
      </c>
      <c r="P133" s="150"/>
      <c r="Q133" s="153"/>
      <c r="R133" s="154">
        <f t="shared" si="40"/>
        <v>10800</v>
      </c>
      <c r="S133" s="160"/>
      <c r="T133" s="237">
        <f t="shared" si="39"/>
        <v>21600</v>
      </c>
      <c r="U133" s="261">
        <v>17100</v>
      </c>
      <c r="V133" s="317">
        <f t="shared" si="45"/>
        <v>0.79166666666666663</v>
      </c>
      <c r="W133" s="340"/>
    </row>
    <row r="134" spans="1:23" s="41" customFormat="1" x14ac:dyDescent="0.25">
      <c r="A134" s="56"/>
      <c r="B134" s="158" t="s">
        <v>201</v>
      </c>
      <c r="C134" s="159" t="s">
        <v>0</v>
      </c>
      <c r="D134" s="160" t="s">
        <v>30</v>
      </c>
      <c r="E134" s="162">
        <v>1</v>
      </c>
      <c r="F134" s="163">
        <v>450</v>
      </c>
      <c r="G134" s="160">
        <v>12</v>
      </c>
      <c r="H134" s="150"/>
      <c r="I134" s="153"/>
      <c r="J134" s="154">
        <f t="shared" si="44"/>
        <v>5400</v>
      </c>
      <c r="K134" s="161" t="s">
        <v>280</v>
      </c>
      <c r="L134" s="160"/>
      <c r="M134" s="160">
        <v>1</v>
      </c>
      <c r="N134" s="160">
        <f t="shared" si="41"/>
        <v>450</v>
      </c>
      <c r="O134" s="160">
        <v>12</v>
      </c>
      <c r="P134" s="150"/>
      <c r="Q134" s="153"/>
      <c r="R134" s="154">
        <f t="shared" si="40"/>
        <v>5400</v>
      </c>
      <c r="S134" s="160"/>
      <c r="T134" s="237">
        <f t="shared" si="39"/>
        <v>10800</v>
      </c>
      <c r="U134" s="261">
        <v>8550</v>
      </c>
      <c r="V134" s="317">
        <f t="shared" si="45"/>
        <v>0.79166666666666663</v>
      </c>
      <c r="W134" s="340"/>
    </row>
    <row r="135" spans="1:23" s="41" customFormat="1" x14ac:dyDescent="0.25">
      <c r="A135" s="56"/>
      <c r="B135" s="156" t="s">
        <v>202</v>
      </c>
      <c r="C135" s="159" t="s">
        <v>0</v>
      </c>
      <c r="D135" s="160" t="s">
        <v>30</v>
      </c>
      <c r="E135" s="162">
        <v>1</v>
      </c>
      <c r="F135" s="163">
        <v>1300</v>
      </c>
      <c r="G135" s="160">
        <v>12</v>
      </c>
      <c r="H135" s="150"/>
      <c r="I135" s="153"/>
      <c r="J135" s="154">
        <f t="shared" si="44"/>
        <v>15600</v>
      </c>
      <c r="K135" s="161" t="s">
        <v>275</v>
      </c>
      <c r="L135" s="164"/>
      <c r="M135" s="162">
        <v>1</v>
      </c>
      <c r="N135" s="160">
        <f t="shared" si="41"/>
        <v>1300</v>
      </c>
      <c r="O135" s="160">
        <v>12</v>
      </c>
      <c r="P135" s="150"/>
      <c r="Q135" s="153"/>
      <c r="R135" s="154">
        <f t="shared" si="40"/>
        <v>15600</v>
      </c>
      <c r="S135" s="160"/>
      <c r="T135" s="237">
        <f t="shared" si="39"/>
        <v>31200</v>
      </c>
      <c r="U135" s="261">
        <v>24700</v>
      </c>
      <c r="V135" s="317">
        <f t="shared" si="45"/>
        <v>0.79166666666666663</v>
      </c>
      <c r="W135" s="340"/>
    </row>
    <row r="136" spans="1:23" s="41" customFormat="1" x14ac:dyDescent="0.25">
      <c r="A136" s="56"/>
      <c r="B136" s="156" t="s">
        <v>207</v>
      </c>
      <c r="C136" s="159" t="s">
        <v>0</v>
      </c>
      <c r="D136" s="160" t="s">
        <v>30</v>
      </c>
      <c r="E136" s="162">
        <v>1</v>
      </c>
      <c r="F136" s="163">
        <v>500</v>
      </c>
      <c r="G136" s="160">
        <v>12</v>
      </c>
      <c r="H136" s="150"/>
      <c r="I136" s="153"/>
      <c r="J136" s="154">
        <f t="shared" si="44"/>
        <v>6000</v>
      </c>
      <c r="K136" s="165" t="s">
        <v>208</v>
      </c>
      <c r="L136" s="164"/>
      <c r="M136" s="162">
        <v>1</v>
      </c>
      <c r="N136" s="160">
        <f t="shared" si="41"/>
        <v>500</v>
      </c>
      <c r="O136" s="160">
        <v>12</v>
      </c>
      <c r="P136" s="150"/>
      <c r="Q136" s="153"/>
      <c r="R136" s="154">
        <f t="shared" si="40"/>
        <v>6000</v>
      </c>
      <c r="S136" s="160"/>
      <c r="T136" s="237">
        <f t="shared" si="39"/>
        <v>12000</v>
      </c>
      <c r="U136" s="261">
        <v>9500</v>
      </c>
      <c r="V136" s="317">
        <f t="shared" si="45"/>
        <v>0.79166666666666663</v>
      </c>
      <c r="W136" s="340"/>
    </row>
    <row r="137" spans="1:23" s="41" customFormat="1" x14ac:dyDescent="0.25">
      <c r="A137" s="56"/>
      <c r="B137" s="156" t="s">
        <v>209</v>
      </c>
      <c r="C137" s="159" t="s">
        <v>0</v>
      </c>
      <c r="D137" s="160" t="s">
        <v>30</v>
      </c>
      <c r="E137" s="162">
        <v>2</v>
      </c>
      <c r="F137" s="166">
        <v>522</v>
      </c>
      <c r="G137" s="160">
        <v>12</v>
      </c>
      <c r="H137" s="150"/>
      <c r="I137" s="153"/>
      <c r="J137" s="154">
        <f t="shared" si="44"/>
        <v>12528</v>
      </c>
      <c r="K137" s="161" t="s">
        <v>275</v>
      </c>
      <c r="L137" s="164"/>
      <c r="M137" s="162">
        <v>2</v>
      </c>
      <c r="N137" s="160">
        <f t="shared" si="41"/>
        <v>522</v>
      </c>
      <c r="O137" s="160">
        <v>12</v>
      </c>
      <c r="P137" s="150"/>
      <c r="Q137" s="153"/>
      <c r="R137" s="154">
        <f t="shared" si="40"/>
        <v>12528</v>
      </c>
      <c r="S137" s="160"/>
      <c r="T137" s="237">
        <f t="shared" si="39"/>
        <v>25056</v>
      </c>
      <c r="U137" s="261">
        <v>19836</v>
      </c>
      <c r="V137" s="317">
        <f t="shared" si="45"/>
        <v>0.79166666666666663</v>
      </c>
      <c r="W137" s="340"/>
    </row>
    <row r="138" spans="1:23" s="41" customFormat="1" x14ac:dyDescent="0.25">
      <c r="B138" s="75" t="s">
        <v>210</v>
      </c>
      <c r="C138" s="76"/>
      <c r="D138" s="76"/>
      <c r="E138" s="76"/>
      <c r="F138" s="76"/>
      <c r="G138" s="76"/>
      <c r="H138" s="77">
        <f>SUM(H139:H145)</f>
        <v>0</v>
      </c>
      <c r="I138" s="76"/>
      <c r="J138" s="77">
        <f>SUM(J139:J145)</f>
        <v>17002</v>
      </c>
      <c r="K138" s="78"/>
      <c r="L138" s="36"/>
      <c r="M138" s="76"/>
      <c r="N138" s="76"/>
      <c r="O138" s="76"/>
      <c r="P138" s="77"/>
      <c r="Q138" s="76"/>
      <c r="R138" s="77">
        <f>SUM(R139:R145)</f>
        <v>17052</v>
      </c>
      <c r="S138" s="79"/>
      <c r="T138" s="93">
        <f>J138+R138</f>
        <v>34054</v>
      </c>
      <c r="U138" s="269">
        <f>SUM(U139:U145)</f>
        <v>28716.85</v>
      </c>
      <c r="V138" s="320">
        <f t="shared" si="45"/>
        <v>0.84327391789510775</v>
      </c>
      <c r="W138" s="340"/>
    </row>
    <row r="139" spans="1:23" s="41" customFormat="1" ht="27.6" x14ac:dyDescent="0.25">
      <c r="B139" s="173" t="s">
        <v>211</v>
      </c>
      <c r="C139" s="205" t="s">
        <v>1</v>
      </c>
      <c r="D139" s="184" t="s">
        <v>49</v>
      </c>
      <c r="E139" s="206">
        <v>1</v>
      </c>
      <c r="F139" s="206">
        <v>250</v>
      </c>
      <c r="G139" s="206">
        <v>12</v>
      </c>
      <c r="H139" s="206"/>
      <c r="I139" s="186"/>
      <c r="J139" s="187">
        <f t="shared" ref="J139:J145" si="46">E139*F139*G139</f>
        <v>3000</v>
      </c>
      <c r="K139" s="204" t="s">
        <v>281</v>
      </c>
      <c r="L139" s="210"/>
      <c r="M139" s="206">
        <v>1</v>
      </c>
      <c r="N139" s="206">
        <v>250</v>
      </c>
      <c r="O139" s="206">
        <v>12</v>
      </c>
      <c r="P139" s="206"/>
      <c r="Q139" s="186"/>
      <c r="R139" s="187">
        <f t="shared" ref="R139:R145" si="47">M139*N139*O139</f>
        <v>3000</v>
      </c>
      <c r="S139" s="204" t="s">
        <v>281</v>
      </c>
      <c r="T139" s="235">
        <f>J139+R139</f>
        <v>6000</v>
      </c>
      <c r="U139" s="299">
        <v>5594.75</v>
      </c>
      <c r="V139" s="318">
        <f t="shared" si="45"/>
        <v>0.93245833333333328</v>
      </c>
      <c r="W139" s="340"/>
    </row>
    <row r="140" spans="1:23" s="41" customFormat="1" ht="18.75" customHeight="1" x14ac:dyDescent="0.25">
      <c r="B140" s="173" t="s">
        <v>212</v>
      </c>
      <c r="C140" s="205" t="s">
        <v>1</v>
      </c>
      <c r="D140" s="184" t="s">
        <v>49</v>
      </c>
      <c r="E140" s="206">
        <v>1</v>
      </c>
      <c r="F140" s="206">
        <v>421</v>
      </c>
      <c r="G140" s="206">
        <v>12</v>
      </c>
      <c r="H140" s="206"/>
      <c r="I140" s="186"/>
      <c r="J140" s="187">
        <f t="shared" si="46"/>
        <v>5052</v>
      </c>
      <c r="K140" s="209"/>
      <c r="L140" s="210"/>
      <c r="M140" s="206">
        <v>1</v>
      </c>
      <c r="N140" s="206">
        <f>F140</f>
        <v>421</v>
      </c>
      <c r="O140" s="206">
        <v>12</v>
      </c>
      <c r="P140" s="206"/>
      <c r="Q140" s="186"/>
      <c r="R140" s="187">
        <f t="shared" si="47"/>
        <v>5052</v>
      </c>
      <c r="S140" s="210"/>
      <c r="T140" s="235">
        <f t="shared" ref="T140:T145" si="48">J140+R140</f>
        <v>10104</v>
      </c>
      <c r="U140" s="299">
        <v>7656.1</v>
      </c>
      <c r="V140" s="318">
        <f t="shared" si="45"/>
        <v>0.75772961203483769</v>
      </c>
      <c r="W140" s="340"/>
    </row>
    <row r="141" spans="1:23" s="41" customFormat="1" ht="22.5" customHeight="1" x14ac:dyDescent="0.25">
      <c r="B141" s="125" t="s">
        <v>211</v>
      </c>
      <c r="C141" s="133" t="s">
        <v>1</v>
      </c>
      <c r="D141" s="134" t="s">
        <v>70</v>
      </c>
      <c r="E141" s="134">
        <v>1</v>
      </c>
      <c r="F141" s="134">
        <v>150</v>
      </c>
      <c r="G141" s="134">
        <v>12</v>
      </c>
      <c r="H141" s="134"/>
      <c r="I141" s="108"/>
      <c r="J141" s="113">
        <f t="shared" si="46"/>
        <v>1800</v>
      </c>
      <c r="K141" s="137"/>
      <c r="L141" s="138"/>
      <c r="M141" s="134">
        <v>1</v>
      </c>
      <c r="N141" s="134">
        <v>150</v>
      </c>
      <c r="O141" s="134">
        <v>12</v>
      </c>
      <c r="P141" s="134"/>
      <c r="Q141" s="108"/>
      <c r="R141" s="113">
        <f t="shared" si="47"/>
        <v>1800</v>
      </c>
      <c r="S141" s="138"/>
      <c r="T141" s="236">
        <f t="shared" si="48"/>
        <v>3600</v>
      </c>
      <c r="U141" s="296">
        <v>2850</v>
      </c>
      <c r="V141" s="318">
        <f t="shared" si="45"/>
        <v>0.79166666666666663</v>
      </c>
      <c r="W141" s="340"/>
    </row>
    <row r="142" spans="1:23" s="41" customFormat="1" ht="20.25" customHeight="1" x14ac:dyDescent="0.25">
      <c r="B142" s="125" t="s">
        <v>213</v>
      </c>
      <c r="C142" s="133" t="s">
        <v>1</v>
      </c>
      <c r="D142" s="134" t="s">
        <v>70</v>
      </c>
      <c r="E142" s="134">
        <v>1</v>
      </c>
      <c r="F142" s="134">
        <v>50</v>
      </c>
      <c r="G142" s="134">
        <v>11</v>
      </c>
      <c r="H142" s="134"/>
      <c r="I142" s="108"/>
      <c r="J142" s="113">
        <f t="shared" si="46"/>
        <v>550</v>
      </c>
      <c r="K142" s="137"/>
      <c r="L142" s="138"/>
      <c r="M142" s="134">
        <v>1</v>
      </c>
      <c r="N142" s="134">
        <v>50</v>
      </c>
      <c r="O142" s="134">
        <v>12</v>
      </c>
      <c r="P142" s="134"/>
      <c r="Q142" s="108"/>
      <c r="R142" s="113">
        <f t="shared" si="47"/>
        <v>600</v>
      </c>
      <c r="S142" s="138"/>
      <c r="T142" s="236">
        <f t="shared" si="48"/>
        <v>1150</v>
      </c>
      <c r="U142" s="296">
        <v>910</v>
      </c>
      <c r="V142" s="318">
        <f t="shared" si="45"/>
        <v>0.79130434782608694</v>
      </c>
      <c r="W142" s="340"/>
    </row>
    <row r="143" spans="1:23" s="41" customFormat="1" ht="18" customHeight="1" x14ac:dyDescent="0.25">
      <c r="B143" s="125" t="s">
        <v>214</v>
      </c>
      <c r="C143" s="133" t="s">
        <v>1</v>
      </c>
      <c r="D143" s="134" t="s">
        <v>70</v>
      </c>
      <c r="E143" s="134">
        <v>1</v>
      </c>
      <c r="F143" s="134">
        <v>200</v>
      </c>
      <c r="G143" s="134">
        <v>12</v>
      </c>
      <c r="H143" s="134"/>
      <c r="I143" s="108"/>
      <c r="J143" s="113">
        <f t="shared" si="46"/>
        <v>2400</v>
      </c>
      <c r="K143" s="137"/>
      <c r="L143" s="138"/>
      <c r="M143" s="134">
        <v>1</v>
      </c>
      <c r="N143" s="134">
        <v>200</v>
      </c>
      <c r="O143" s="134">
        <v>12</v>
      </c>
      <c r="P143" s="134"/>
      <c r="Q143" s="108"/>
      <c r="R143" s="113">
        <f t="shared" si="47"/>
        <v>2400</v>
      </c>
      <c r="S143" s="138"/>
      <c r="T143" s="236">
        <f t="shared" si="48"/>
        <v>4800</v>
      </c>
      <c r="U143" s="296">
        <v>3800</v>
      </c>
      <c r="V143" s="318">
        <f t="shared" si="45"/>
        <v>0.79166666666666663</v>
      </c>
      <c r="W143" s="340"/>
    </row>
    <row r="144" spans="1:23" s="41" customFormat="1" ht="14.25" customHeight="1" x14ac:dyDescent="0.25">
      <c r="B144" s="156" t="s">
        <v>211</v>
      </c>
      <c r="C144" s="159" t="s">
        <v>1</v>
      </c>
      <c r="D144" s="160" t="s">
        <v>30</v>
      </c>
      <c r="E144" s="160">
        <v>1</v>
      </c>
      <c r="F144" s="160">
        <v>150</v>
      </c>
      <c r="G144" s="160">
        <v>12</v>
      </c>
      <c r="H144" s="160"/>
      <c r="I144" s="153"/>
      <c r="J144" s="154">
        <f t="shared" si="46"/>
        <v>1800</v>
      </c>
      <c r="K144" s="167"/>
      <c r="L144" s="168"/>
      <c r="M144" s="160">
        <v>1</v>
      </c>
      <c r="N144" s="160">
        <v>150</v>
      </c>
      <c r="O144" s="160">
        <v>12</v>
      </c>
      <c r="P144" s="160"/>
      <c r="Q144" s="153"/>
      <c r="R144" s="154">
        <f t="shared" si="47"/>
        <v>1800</v>
      </c>
      <c r="S144" s="168"/>
      <c r="T144" s="237">
        <f t="shared" si="48"/>
        <v>3600</v>
      </c>
      <c r="U144" s="261">
        <v>3506</v>
      </c>
      <c r="V144" s="317">
        <f t="shared" si="45"/>
        <v>0.97388888888888892</v>
      </c>
      <c r="W144" s="340"/>
    </row>
    <row r="145" spans="2:23" s="41" customFormat="1" ht="20.25" customHeight="1" x14ac:dyDescent="0.25">
      <c r="B145" s="156" t="s">
        <v>214</v>
      </c>
      <c r="C145" s="159" t="s">
        <v>1</v>
      </c>
      <c r="D145" s="160" t="s">
        <v>30</v>
      </c>
      <c r="E145" s="160">
        <v>1</v>
      </c>
      <c r="F145" s="160">
        <v>200</v>
      </c>
      <c r="G145" s="160">
        <v>12</v>
      </c>
      <c r="H145" s="160"/>
      <c r="I145" s="153"/>
      <c r="J145" s="154">
        <f t="shared" si="46"/>
        <v>2400</v>
      </c>
      <c r="K145" s="167"/>
      <c r="L145" s="168"/>
      <c r="M145" s="160">
        <v>1</v>
      </c>
      <c r="N145" s="160">
        <v>200</v>
      </c>
      <c r="O145" s="160">
        <v>12</v>
      </c>
      <c r="P145" s="160"/>
      <c r="Q145" s="153"/>
      <c r="R145" s="154">
        <f t="shared" si="47"/>
        <v>2400</v>
      </c>
      <c r="S145" s="168"/>
      <c r="T145" s="237">
        <f t="shared" si="48"/>
        <v>4800</v>
      </c>
      <c r="U145" s="261">
        <v>4400</v>
      </c>
      <c r="V145" s="317">
        <f t="shared" si="45"/>
        <v>0.91666666666666663</v>
      </c>
      <c r="W145" s="340"/>
    </row>
    <row r="146" spans="2:23" s="41" customFormat="1" x14ac:dyDescent="0.25">
      <c r="B146" s="75" t="s">
        <v>215</v>
      </c>
      <c r="C146" s="76"/>
      <c r="D146" s="76"/>
      <c r="E146" s="76"/>
      <c r="F146" s="76"/>
      <c r="G146" s="76"/>
      <c r="H146" s="76">
        <f>SUM(H147:H156)</f>
        <v>0</v>
      </c>
      <c r="I146" s="76"/>
      <c r="J146" s="76">
        <f>SUM(J147:J156)</f>
        <v>18300</v>
      </c>
      <c r="K146" s="78"/>
      <c r="L146" s="36"/>
      <c r="M146" s="76"/>
      <c r="N146" s="76"/>
      <c r="O146" s="76"/>
      <c r="P146" s="76">
        <f>SUM(P147:P156)</f>
        <v>0</v>
      </c>
      <c r="Q146" s="76"/>
      <c r="R146" s="76">
        <f>SUM(R147:R156)</f>
        <v>600</v>
      </c>
      <c r="S146" s="79"/>
      <c r="T146" s="291">
        <f>J146+R146</f>
        <v>18900</v>
      </c>
      <c r="U146" s="292">
        <f>SUM(U147:U156)</f>
        <v>18540</v>
      </c>
      <c r="V146" s="316">
        <f t="shared" si="45"/>
        <v>0.98095238095238091</v>
      </c>
      <c r="W146" s="340"/>
    </row>
    <row r="147" spans="2:23" s="41" customFormat="1" x14ac:dyDescent="0.25">
      <c r="B147" s="190" t="s">
        <v>216</v>
      </c>
      <c r="C147" s="205" t="s">
        <v>2</v>
      </c>
      <c r="D147" s="184" t="s">
        <v>49</v>
      </c>
      <c r="E147" s="206">
        <v>4</v>
      </c>
      <c r="F147" s="206">
        <v>1200</v>
      </c>
      <c r="G147" s="206">
        <v>1</v>
      </c>
      <c r="H147" s="206"/>
      <c r="I147" s="186"/>
      <c r="J147" s="206">
        <f t="shared" ref="J147:J156" si="49">E147*F147*G147</f>
        <v>4800</v>
      </c>
      <c r="K147" s="209"/>
      <c r="L147" s="210"/>
      <c r="M147" s="206">
        <v>0</v>
      </c>
      <c r="N147" s="206">
        <v>0</v>
      </c>
      <c r="O147" s="206">
        <v>1</v>
      </c>
      <c r="P147" s="206"/>
      <c r="Q147" s="186"/>
      <c r="R147" s="206">
        <f t="shared" ref="R147:R156" si="50">M147*N147*O147</f>
        <v>0</v>
      </c>
      <c r="S147" s="210"/>
      <c r="T147" s="235">
        <f>J147+R147</f>
        <v>4800</v>
      </c>
      <c r="U147" s="261">
        <v>4800</v>
      </c>
      <c r="V147" s="317">
        <f t="shared" si="45"/>
        <v>1</v>
      </c>
      <c r="W147" s="340"/>
    </row>
    <row r="148" spans="2:23" s="41" customFormat="1" x14ac:dyDescent="0.25">
      <c r="B148" s="190" t="s">
        <v>217</v>
      </c>
      <c r="C148" s="205" t="s">
        <v>2</v>
      </c>
      <c r="D148" s="184" t="s">
        <v>49</v>
      </c>
      <c r="E148" s="206">
        <v>1</v>
      </c>
      <c r="F148" s="206">
        <v>50</v>
      </c>
      <c r="G148" s="206">
        <v>12</v>
      </c>
      <c r="H148" s="206"/>
      <c r="I148" s="186"/>
      <c r="J148" s="206">
        <f t="shared" si="49"/>
        <v>600</v>
      </c>
      <c r="K148" s="211" t="s">
        <v>218</v>
      </c>
      <c r="L148" s="210"/>
      <c r="M148" s="206">
        <v>1</v>
      </c>
      <c r="N148" s="206">
        <f>F148</f>
        <v>50</v>
      </c>
      <c r="O148" s="206">
        <v>12</v>
      </c>
      <c r="P148" s="206"/>
      <c r="Q148" s="186"/>
      <c r="R148" s="206">
        <f t="shared" si="50"/>
        <v>600</v>
      </c>
      <c r="S148" s="210"/>
      <c r="T148" s="235">
        <f>J148+R148</f>
        <v>1200</v>
      </c>
      <c r="U148" s="261">
        <v>485</v>
      </c>
      <c r="V148" s="317">
        <f t="shared" si="45"/>
        <v>0.40416666666666667</v>
      </c>
      <c r="W148" s="340"/>
    </row>
    <row r="149" spans="2:23" s="41" customFormat="1" x14ac:dyDescent="0.25">
      <c r="B149" s="190" t="s">
        <v>219</v>
      </c>
      <c r="C149" s="205" t="s">
        <v>2</v>
      </c>
      <c r="D149" s="184" t="s">
        <v>49</v>
      </c>
      <c r="E149" s="206">
        <v>1</v>
      </c>
      <c r="F149" s="206">
        <v>700</v>
      </c>
      <c r="G149" s="206">
        <v>1</v>
      </c>
      <c r="H149" s="206"/>
      <c r="I149" s="186"/>
      <c r="J149" s="206">
        <f t="shared" si="49"/>
        <v>700</v>
      </c>
      <c r="K149" s="209"/>
      <c r="L149" s="210"/>
      <c r="M149" s="206">
        <v>0</v>
      </c>
      <c r="N149" s="206">
        <v>0</v>
      </c>
      <c r="O149" s="206">
        <v>1</v>
      </c>
      <c r="P149" s="206"/>
      <c r="Q149" s="186"/>
      <c r="R149" s="206">
        <f t="shared" si="50"/>
        <v>0</v>
      </c>
      <c r="S149" s="210"/>
      <c r="T149" s="235">
        <f t="shared" ref="T149:T156" si="51">J149+R149</f>
        <v>700</v>
      </c>
      <c r="U149" s="261">
        <v>970</v>
      </c>
      <c r="V149" s="328">
        <f t="shared" si="45"/>
        <v>1.3857142857142857</v>
      </c>
      <c r="W149" s="340"/>
    </row>
    <row r="150" spans="2:23" s="41" customFormat="1" ht="15.45" customHeight="1" x14ac:dyDescent="0.25">
      <c r="B150" s="190" t="s">
        <v>220</v>
      </c>
      <c r="C150" s="205" t="s">
        <v>2</v>
      </c>
      <c r="D150" s="212" t="s">
        <v>49</v>
      </c>
      <c r="E150" s="206">
        <v>7</v>
      </c>
      <c r="F150" s="206">
        <v>700</v>
      </c>
      <c r="G150" s="206">
        <v>1</v>
      </c>
      <c r="H150" s="206"/>
      <c r="I150" s="186"/>
      <c r="J150" s="206">
        <f t="shared" si="49"/>
        <v>4900</v>
      </c>
      <c r="K150" s="211" t="s">
        <v>221</v>
      </c>
      <c r="L150" s="210"/>
      <c r="M150" s="206">
        <v>0</v>
      </c>
      <c r="N150" s="206">
        <v>0</v>
      </c>
      <c r="O150" s="206">
        <v>1</v>
      </c>
      <c r="P150" s="206"/>
      <c r="Q150" s="186"/>
      <c r="R150" s="206">
        <f t="shared" si="50"/>
        <v>0</v>
      </c>
      <c r="S150" s="210"/>
      <c r="T150" s="235">
        <f t="shared" si="51"/>
        <v>4900</v>
      </c>
      <c r="U150" s="261">
        <v>4785</v>
      </c>
      <c r="V150" s="317">
        <f t="shared" si="45"/>
        <v>0.97653061224489801</v>
      </c>
      <c r="W150" s="340"/>
    </row>
    <row r="151" spans="2:23" s="41" customFormat="1" ht="16.05" customHeight="1" x14ac:dyDescent="0.25">
      <c r="B151" s="190" t="s">
        <v>222</v>
      </c>
      <c r="C151" s="205" t="s">
        <v>2</v>
      </c>
      <c r="D151" s="212" t="s">
        <v>49</v>
      </c>
      <c r="E151" s="206">
        <v>4</v>
      </c>
      <c r="F151" s="206">
        <v>300</v>
      </c>
      <c r="G151" s="206">
        <v>1</v>
      </c>
      <c r="H151" s="206"/>
      <c r="I151" s="186"/>
      <c r="J151" s="206">
        <f t="shared" si="49"/>
        <v>1200</v>
      </c>
      <c r="K151" s="211" t="s">
        <v>283</v>
      </c>
      <c r="L151" s="210"/>
      <c r="M151" s="206">
        <v>0</v>
      </c>
      <c r="N151" s="206">
        <v>0</v>
      </c>
      <c r="O151" s="206">
        <v>0</v>
      </c>
      <c r="P151" s="206"/>
      <c r="Q151" s="186"/>
      <c r="R151" s="206">
        <f t="shared" si="50"/>
        <v>0</v>
      </c>
      <c r="S151" s="210"/>
      <c r="T151" s="235">
        <f t="shared" si="51"/>
        <v>1200</v>
      </c>
      <c r="U151" s="296">
        <v>1400</v>
      </c>
      <c r="V151" s="318">
        <f t="shared" si="45"/>
        <v>1.1666666666666667</v>
      </c>
      <c r="W151" s="340"/>
    </row>
    <row r="152" spans="2:23" s="41" customFormat="1" x14ac:dyDescent="0.25">
      <c r="B152" s="124" t="s">
        <v>216</v>
      </c>
      <c r="C152" s="133" t="s">
        <v>2</v>
      </c>
      <c r="D152" s="134" t="s">
        <v>70</v>
      </c>
      <c r="E152" s="134">
        <v>3</v>
      </c>
      <c r="F152" s="134">
        <v>800</v>
      </c>
      <c r="G152" s="134">
        <v>1</v>
      </c>
      <c r="H152" s="134"/>
      <c r="I152" s="108"/>
      <c r="J152" s="134">
        <f t="shared" si="49"/>
        <v>2400</v>
      </c>
      <c r="K152" s="137"/>
      <c r="L152" s="138"/>
      <c r="M152" s="134">
        <v>0</v>
      </c>
      <c r="N152" s="134">
        <v>0</v>
      </c>
      <c r="O152" s="134">
        <v>1</v>
      </c>
      <c r="P152" s="134"/>
      <c r="Q152" s="108"/>
      <c r="R152" s="134">
        <f t="shared" si="50"/>
        <v>0</v>
      </c>
      <c r="S152" s="138"/>
      <c r="T152" s="236">
        <f t="shared" si="51"/>
        <v>2400</v>
      </c>
      <c r="U152" s="296">
        <v>2400</v>
      </c>
      <c r="V152" s="318">
        <f t="shared" si="45"/>
        <v>1</v>
      </c>
      <c r="W152" s="340"/>
    </row>
    <row r="153" spans="2:23" s="41" customFormat="1" x14ac:dyDescent="0.25">
      <c r="B153" s="124" t="s">
        <v>219</v>
      </c>
      <c r="C153" s="133" t="s">
        <v>2</v>
      </c>
      <c r="D153" s="134" t="s">
        <v>70</v>
      </c>
      <c r="E153" s="134">
        <v>1</v>
      </c>
      <c r="F153" s="134">
        <v>500</v>
      </c>
      <c r="G153" s="134">
        <v>1</v>
      </c>
      <c r="H153" s="134"/>
      <c r="I153" s="108"/>
      <c r="J153" s="134">
        <f t="shared" si="49"/>
        <v>500</v>
      </c>
      <c r="K153" s="137"/>
      <c r="L153" s="138"/>
      <c r="M153" s="134">
        <v>0</v>
      </c>
      <c r="N153" s="134">
        <v>0</v>
      </c>
      <c r="O153" s="134">
        <v>1</v>
      </c>
      <c r="P153" s="134"/>
      <c r="Q153" s="108"/>
      <c r="R153" s="134">
        <f t="shared" si="50"/>
        <v>0</v>
      </c>
      <c r="S153" s="138"/>
      <c r="T153" s="236">
        <f t="shared" si="51"/>
        <v>500</v>
      </c>
      <c r="U153" s="296">
        <v>500</v>
      </c>
      <c r="V153" s="318">
        <f t="shared" ref="V153:V163" si="52">+U153/T153</f>
        <v>1</v>
      </c>
      <c r="W153" s="340"/>
    </row>
    <row r="154" spans="2:23" s="41" customFormat="1" x14ac:dyDescent="0.25">
      <c r="B154" s="124" t="s">
        <v>223</v>
      </c>
      <c r="C154" s="133" t="s">
        <v>2</v>
      </c>
      <c r="D154" s="134" t="s">
        <v>70</v>
      </c>
      <c r="E154" s="134">
        <v>1</v>
      </c>
      <c r="F154" s="134">
        <v>300</v>
      </c>
      <c r="G154" s="134">
        <v>1</v>
      </c>
      <c r="H154" s="134"/>
      <c r="I154" s="108"/>
      <c r="J154" s="134">
        <f t="shared" si="49"/>
        <v>300</v>
      </c>
      <c r="K154" s="137"/>
      <c r="L154" s="138"/>
      <c r="M154" s="134">
        <v>0</v>
      </c>
      <c r="N154" s="134">
        <v>0</v>
      </c>
      <c r="O154" s="134">
        <v>1</v>
      </c>
      <c r="P154" s="134"/>
      <c r="Q154" s="108"/>
      <c r="R154" s="134">
        <f t="shared" si="50"/>
        <v>0</v>
      </c>
      <c r="S154" s="138"/>
      <c r="T154" s="236">
        <f>J154+R154</f>
        <v>300</v>
      </c>
      <c r="U154" s="296">
        <v>300</v>
      </c>
      <c r="V154" s="318">
        <f t="shared" si="52"/>
        <v>1</v>
      </c>
      <c r="W154" s="340"/>
    </row>
    <row r="155" spans="2:23" s="41" customFormat="1" x14ac:dyDescent="0.25">
      <c r="B155" s="169" t="s">
        <v>216</v>
      </c>
      <c r="C155" s="159" t="s">
        <v>2</v>
      </c>
      <c r="D155" s="160" t="s">
        <v>30</v>
      </c>
      <c r="E155" s="160">
        <v>3</v>
      </c>
      <c r="F155" s="160">
        <v>800</v>
      </c>
      <c r="G155" s="160">
        <v>1</v>
      </c>
      <c r="H155" s="160"/>
      <c r="I155" s="153"/>
      <c r="J155" s="160">
        <f t="shared" si="49"/>
        <v>2400</v>
      </c>
      <c r="K155" s="167"/>
      <c r="L155" s="168"/>
      <c r="M155" s="160">
        <v>0</v>
      </c>
      <c r="N155" s="160">
        <v>0</v>
      </c>
      <c r="O155" s="160">
        <v>1</v>
      </c>
      <c r="P155" s="160"/>
      <c r="Q155" s="153"/>
      <c r="R155" s="160">
        <f t="shared" si="50"/>
        <v>0</v>
      </c>
      <c r="S155" s="168"/>
      <c r="T155" s="237">
        <f t="shared" si="51"/>
        <v>2400</v>
      </c>
      <c r="U155" s="261">
        <v>2400</v>
      </c>
      <c r="V155" s="317">
        <f t="shared" si="52"/>
        <v>1</v>
      </c>
      <c r="W155" s="340"/>
    </row>
    <row r="156" spans="2:23" s="41" customFormat="1" x14ac:dyDescent="0.25">
      <c r="B156" s="169" t="s">
        <v>219</v>
      </c>
      <c r="C156" s="159" t="s">
        <v>2</v>
      </c>
      <c r="D156" s="160" t="s">
        <v>30</v>
      </c>
      <c r="E156" s="160">
        <v>1</v>
      </c>
      <c r="F156" s="160">
        <v>500</v>
      </c>
      <c r="G156" s="160">
        <v>1</v>
      </c>
      <c r="H156" s="160"/>
      <c r="I156" s="153"/>
      <c r="J156" s="160">
        <f t="shared" si="49"/>
        <v>500</v>
      </c>
      <c r="K156" s="167"/>
      <c r="L156" s="168"/>
      <c r="M156" s="160">
        <v>0</v>
      </c>
      <c r="N156" s="160">
        <v>0</v>
      </c>
      <c r="O156" s="160">
        <v>1</v>
      </c>
      <c r="P156" s="160"/>
      <c r="Q156" s="153"/>
      <c r="R156" s="160">
        <f t="shared" si="50"/>
        <v>0</v>
      </c>
      <c r="S156" s="168"/>
      <c r="T156" s="237">
        <f t="shared" si="51"/>
        <v>500</v>
      </c>
      <c r="U156" s="261">
        <v>500</v>
      </c>
      <c r="V156" s="317">
        <f t="shared" si="52"/>
        <v>1</v>
      </c>
      <c r="W156" s="340"/>
    </row>
    <row r="157" spans="2:23" s="41" customFormat="1" ht="14.25" customHeight="1" x14ac:dyDescent="0.25">
      <c r="B157" s="75" t="s">
        <v>224</v>
      </c>
      <c r="C157" s="76"/>
      <c r="D157" s="76"/>
      <c r="E157" s="76"/>
      <c r="F157" s="76"/>
      <c r="G157" s="76"/>
      <c r="H157" s="76">
        <f>SUM(H158:H160)</f>
        <v>0</v>
      </c>
      <c r="I157" s="76"/>
      <c r="J157" s="76">
        <f>SUM(J158:J160)</f>
        <v>6600</v>
      </c>
      <c r="K157" s="78"/>
      <c r="L157" s="36"/>
      <c r="M157" s="76"/>
      <c r="N157" s="76"/>
      <c r="O157" s="76"/>
      <c r="P157" s="76">
        <f>SUM(P158:P160)</f>
        <v>0</v>
      </c>
      <c r="Q157" s="76"/>
      <c r="R157" s="76">
        <f>SUM(R158:R160)</f>
        <v>6600</v>
      </c>
      <c r="S157" s="76">
        <f>SUM(S147:S156)</f>
        <v>0</v>
      </c>
      <c r="T157" s="293">
        <f t="shared" ref="T157:T163" si="53">J157+R157</f>
        <v>13200</v>
      </c>
      <c r="U157" s="292">
        <f>SUM(U158:U160)</f>
        <v>10190</v>
      </c>
      <c r="V157" s="316">
        <f t="shared" si="52"/>
        <v>0.77196969696969697</v>
      </c>
      <c r="W157" s="340"/>
    </row>
    <row r="158" spans="2:23" s="41" customFormat="1" ht="14.25" customHeight="1" x14ac:dyDescent="0.25">
      <c r="B158" s="204" t="s">
        <v>225</v>
      </c>
      <c r="C158" s="205" t="s">
        <v>3</v>
      </c>
      <c r="D158" s="184" t="s">
        <v>49</v>
      </c>
      <c r="E158" s="206">
        <v>1</v>
      </c>
      <c r="F158" s="206">
        <v>300</v>
      </c>
      <c r="G158" s="206">
        <v>12</v>
      </c>
      <c r="H158" s="206"/>
      <c r="I158" s="186"/>
      <c r="J158" s="206">
        <f>E158*F158*G158</f>
        <v>3600</v>
      </c>
      <c r="K158" s="209"/>
      <c r="L158" s="210"/>
      <c r="M158" s="206">
        <v>1</v>
      </c>
      <c r="N158" s="206">
        <v>300</v>
      </c>
      <c r="O158" s="206">
        <v>12</v>
      </c>
      <c r="P158" s="206"/>
      <c r="Q158" s="186"/>
      <c r="R158" s="206">
        <f>M158*N158*O158</f>
        <v>3600</v>
      </c>
      <c r="S158" s="210"/>
      <c r="T158" s="235">
        <f t="shared" si="53"/>
        <v>7200</v>
      </c>
      <c r="U158" s="261">
        <v>5700</v>
      </c>
      <c r="V158" s="317">
        <f t="shared" si="52"/>
        <v>0.79166666666666663</v>
      </c>
      <c r="W158" s="340"/>
    </row>
    <row r="159" spans="2:23" s="41" customFormat="1" ht="14.25" customHeight="1" x14ac:dyDescent="0.25">
      <c r="B159" s="132" t="s">
        <v>225</v>
      </c>
      <c r="C159" s="133" t="s">
        <v>3</v>
      </c>
      <c r="D159" s="134" t="s">
        <v>70</v>
      </c>
      <c r="E159" s="134">
        <v>1</v>
      </c>
      <c r="F159" s="134">
        <v>125</v>
      </c>
      <c r="G159" s="134">
        <v>12</v>
      </c>
      <c r="H159" s="134"/>
      <c r="I159" s="108"/>
      <c r="J159" s="134">
        <f>E159*F159*G159</f>
        <v>1500</v>
      </c>
      <c r="K159" s="137"/>
      <c r="L159" s="138"/>
      <c r="M159" s="134">
        <v>1</v>
      </c>
      <c r="N159" s="134">
        <v>125</v>
      </c>
      <c r="O159" s="134">
        <v>12</v>
      </c>
      <c r="P159" s="134"/>
      <c r="Q159" s="108"/>
      <c r="R159" s="134">
        <f>M159*N159*O159</f>
        <v>1500</v>
      </c>
      <c r="S159" s="138"/>
      <c r="T159" s="236">
        <f t="shared" si="53"/>
        <v>3000</v>
      </c>
      <c r="U159" s="296">
        <v>2375</v>
      </c>
      <c r="V159" s="318">
        <f t="shared" si="52"/>
        <v>0.79166666666666663</v>
      </c>
      <c r="W159" s="340"/>
    </row>
    <row r="160" spans="2:23" s="41" customFormat="1" ht="14.25" customHeight="1" x14ac:dyDescent="0.25">
      <c r="B160" s="158" t="s">
        <v>225</v>
      </c>
      <c r="C160" s="159" t="s">
        <v>3</v>
      </c>
      <c r="D160" s="160" t="s">
        <v>30</v>
      </c>
      <c r="E160" s="160">
        <v>1</v>
      </c>
      <c r="F160" s="160">
        <v>125</v>
      </c>
      <c r="G160" s="160">
        <v>12</v>
      </c>
      <c r="H160" s="160"/>
      <c r="I160" s="153"/>
      <c r="J160" s="160">
        <f>E160*F160*G160</f>
        <v>1500</v>
      </c>
      <c r="K160" s="167"/>
      <c r="L160" s="168"/>
      <c r="M160" s="160">
        <v>1</v>
      </c>
      <c r="N160" s="160">
        <v>125</v>
      </c>
      <c r="O160" s="160">
        <v>12</v>
      </c>
      <c r="P160" s="160"/>
      <c r="Q160" s="153"/>
      <c r="R160" s="160">
        <f>M160*N160*O160</f>
        <v>1500</v>
      </c>
      <c r="S160" s="168"/>
      <c r="T160" s="237">
        <f t="shared" si="53"/>
        <v>3000</v>
      </c>
      <c r="U160" s="261">
        <v>2115</v>
      </c>
      <c r="V160" s="317">
        <f t="shared" si="52"/>
        <v>0.70499999999999996</v>
      </c>
      <c r="W160" s="340"/>
    </row>
    <row r="161" spans="2:23" s="41" customFormat="1" ht="14.25" customHeight="1" x14ac:dyDescent="0.25">
      <c r="B161" s="75" t="s">
        <v>226</v>
      </c>
      <c r="C161" s="76"/>
      <c r="D161" s="76"/>
      <c r="E161" s="76"/>
      <c r="F161" s="76"/>
      <c r="G161" s="76"/>
      <c r="H161" s="76">
        <f>SUM(H162:H163)</f>
        <v>0</v>
      </c>
      <c r="I161" s="76"/>
      <c r="J161" s="76">
        <f>SUM(J162:J163)</f>
        <v>27000</v>
      </c>
      <c r="K161" s="78"/>
      <c r="L161" s="36"/>
      <c r="M161" s="76"/>
      <c r="N161" s="76"/>
      <c r="O161" s="76"/>
      <c r="P161" s="76">
        <f>SUM(P162:P163)</f>
        <v>0</v>
      </c>
      <c r="Q161" s="76"/>
      <c r="R161" s="76">
        <f>SUM(R162:R163)</f>
        <v>27000</v>
      </c>
      <c r="S161" s="79"/>
      <c r="T161" s="93">
        <f t="shared" si="53"/>
        <v>54000</v>
      </c>
      <c r="U161" s="292">
        <f>SUM(U162:U163)</f>
        <v>49433.119999999995</v>
      </c>
      <c r="V161" s="316">
        <f t="shared" si="52"/>
        <v>0.9154281481481481</v>
      </c>
      <c r="W161" s="340"/>
    </row>
    <row r="162" spans="2:23" s="41" customFormat="1" ht="14.25" customHeight="1" x14ac:dyDescent="0.25">
      <c r="B162" s="204" t="s">
        <v>227</v>
      </c>
      <c r="C162" s="205" t="s">
        <v>4</v>
      </c>
      <c r="D162" s="184" t="s">
        <v>49</v>
      </c>
      <c r="E162" s="206">
        <v>1</v>
      </c>
      <c r="F162" s="206">
        <v>1200</v>
      </c>
      <c r="G162" s="206">
        <v>10</v>
      </c>
      <c r="H162" s="206"/>
      <c r="I162" s="186"/>
      <c r="J162" s="206">
        <f>E162*F162*G162</f>
        <v>12000</v>
      </c>
      <c r="K162" s="209"/>
      <c r="L162" s="210"/>
      <c r="M162" s="206">
        <v>1</v>
      </c>
      <c r="N162" s="206">
        <v>1200</v>
      </c>
      <c r="O162" s="206">
        <v>10</v>
      </c>
      <c r="P162" s="206"/>
      <c r="Q162" s="186"/>
      <c r="R162" s="206">
        <f>M162*N162*O162</f>
        <v>12000</v>
      </c>
      <c r="S162" s="210"/>
      <c r="T162" s="235">
        <f t="shared" si="53"/>
        <v>24000</v>
      </c>
      <c r="U162" s="299">
        <v>22088.12</v>
      </c>
      <c r="V162" s="317">
        <f t="shared" si="52"/>
        <v>0.92033833333333326</v>
      </c>
      <c r="W162" s="340"/>
    </row>
    <row r="163" spans="2:23" s="41" customFormat="1" ht="14.25" customHeight="1" x14ac:dyDescent="0.25">
      <c r="B163" s="204" t="s">
        <v>228</v>
      </c>
      <c r="C163" s="205" t="s">
        <v>4</v>
      </c>
      <c r="D163" s="184" t="s">
        <v>49</v>
      </c>
      <c r="E163" s="206">
        <v>1</v>
      </c>
      <c r="F163" s="206">
        <v>1500</v>
      </c>
      <c r="G163" s="206">
        <v>10</v>
      </c>
      <c r="H163" s="206"/>
      <c r="I163" s="186"/>
      <c r="J163" s="206">
        <f>E163*F163*G163</f>
        <v>15000</v>
      </c>
      <c r="K163" s="211" t="s">
        <v>229</v>
      </c>
      <c r="L163" s="210"/>
      <c r="M163" s="206">
        <v>1</v>
      </c>
      <c r="N163" s="206">
        <v>1500</v>
      </c>
      <c r="O163" s="206">
        <v>10</v>
      </c>
      <c r="P163" s="206"/>
      <c r="Q163" s="186"/>
      <c r="R163" s="206">
        <f>M163*N163*O163</f>
        <v>15000</v>
      </c>
      <c r="S163" s="210"/>
      <c r="T163" s="235">
        <f t="shared" si="53"/>
        <v>30000</v>
      </c>
      <c r="U163" s="298">
        <v>27345</v>
      </c>
      <c r="V163" s="317">
        <f t="shared" si="52"/>
        <v>0.91149999999999998</v>
      </c>
      <c r="W163" s="340"/>
    </row>
    <row r="164" spans="2:23" s="41" customFormat="1" ht="14.25" customHeight="1" x14ac:dyDescent="0.25">
      <c r="B164" s="75" t="s">
        <v>230</v>
      </c>
      <c r="C164" s="76"/>
      <c r="D164" s="76"/>
      <c r="E164" s="76"/>
      <c r="F164" s="76"/>
      <c r="G164" s="76"/>
      <c r="H164" s="76"/>
      <c r="I164" s="76"/>
      <c r="J164" s="76"/>
      <c r="K164" s="78"/>
      <c r="L164" s="36"/>
      <c r="M164" s="76"/>
      <c r="N164" s="76"/>
      <c r="O164" s="76"/>
      <c r="P164" s="76"/>
      <c r="Q164" s="76"/>
      <c r="R164" s="76"/>
      <c r="S164" s="79"/>
      <c r="T164" s="76"/>
      <c r="U164" s="269"/>
      <c r="V164" s="321"/>
      <c r="W164" s="340"/>
    </row>
    <row r="165" spans="2:23" s="41" customFormat="1" ht="14.25" customHeight="1" x14ac:dyDescent="0.25">
      <c r="B165" s="94"/>
      <c r="C165" s="69"/>
      <c r="D165" s="92"/>
      <c r="E165" s="92"/>
      <c r="F165" s="92"/>
      <c r="G165" s="92"/>
      <c r="H165" s="92"/>
      <c r="I165" s="55"/>
      <c r="J165" s="92"/>
      <c r="K165" s="74"/>
      <c r="L165" s="70"/>
      <c r="M165" s="70"/>
      <c r="N165" s="70"/>
      <c r="O165" s="70"/>
      <c r="P165" s="71"/>
      <c r="Q165" s="72"/>
      <c r="R165" s="73"/>
      <c r="S165" s="70"/>
      <c r="T165" s="238"/>
      <c r="U165" s="259"/>
      <c r="V165" s="321"/>
      <c r="W165" s="340"/>
    </row>
    <row r="166" spans="2:23" s="41" customFormat="1" ht="28.2" customHeight="1" x14ac:dyDescent="0.25">
      <c r="B166" s="75" t="s">
        <v>231</v>
      </c>
      <c r="C166" s="76"/>
      <c r="D166" s="76"/>
      <c r="E166" s="76"/>
      <c r="F166" s="76"/>
      <c r="G166" s="76"/>
      <c r="H166" s="76">
        <f>SUM(H167:H178)</f>
        <v>0</v>
      </c>
      <c r="I166" s="76"/>
      <c r="J166" s="76">
        <f>SUM(J167:J177)</f>
        <v>27064</v>
      </c>
      <c r="K166" s="78"/>
      <c r="L166" s="36"/>
      <c r="M166" s="76"/>
      <c r="N166" s="76"/>
      <c r="O166" s="76"/>
      <c r="P166" s="76">
        <f>SUM(P167:P178)</f>
        <v>0</v>
      </c>
      <c r="Q166" s="76">
        <f>SUM(Q167:Q178)</f>
        <v>0</v>
      </c>
      <c r="R166" s="76">
        <f>SUM(R167:R177)</f>
        <v>27124</v>
      </c>
      <c r="S166" s="79"/>
      <c r="T166" s="93">
        <f>J166+R166</f>
        <v>54188</v>
      </c>
      <c r="U166" s="292">
        <f>SUM(U167:U177)</f>
        <v>51573.399999999994</v>
      </c>
      <c r="V166" s="316">
        <f>+(U166/T166)</f>
        <v>0.95174946482616063</v>
      </c>
      <c r="W166" s="340"/>
    </row>
    <row r="167" spans="2:23" s="41" customFormat="1" ht="14.25" customHeight="1" x14ac:dyDescent="0.25">
      <c r="B167" s="204" t="s">
        <v>232</v>
      </c>
      <c r="C167" s="205" t="s">
        <v>7</v>
      </c>
      <c r="D167" s="184" t="s">
        <v>49</v>
      </c>
      <c r="E167" s="206">
        <v>1</v>
      </c>
      <c r="F167" s="206">
        <v>200</v>
      </c>
      <c r="G167" s="206">
        <v>12</v>
      </c>
      <c r="H167" s="206"/>
      <c r="I167" s="186"/>
      <c r="J167" s="206">
        <f t="shared" ref="J167:J177" si="54">E167*F167*G167</f>
        <v>2400</v>
      </c>
      <c r="K167" s="213" t="s">
        <v>284</v>
      </c>
      <c r="L167" s="210"/>
      <c r="M167" s="206">
        <v>1</v>
      </c>
      <c r="N167" s="206">
        <f>F167</f>
        <v>200</v>
      </c>
      <c r="O167" s="206">
        <v>12</v>
      </c>
      <c r="P167" s="206"/>
      <c r="Q167" s="186"/>
      <c r="R167" s="206">
        <f t="shared" ref="R167:R177" si="55">M167*N167*O167</f>
        <v>2400</v>
      </c>
      <c r="S167" s="204" t="s">
        <v>233</v>
      </c>
      <c r="T167" s="235">
        <f t="shared" ref="T167:T177" si="56">J167+R167</f>
        <v>4800</v>
      </c>
      <c r="U167" s="298">
        <v>3800</v>
      </c>
      <c r="V167" s="317">
        <f>+U167/T167</f>
        <v>0.79166666666666663</v>
      </c>
      <c r="W167" s="340"/>
    </row>
    <row r="168" spans="2:23" s="41" customFormat="1" ht="14.25" customHeight="1" x14ac:dyDescent="0.25">
      <c r="B168" s="204" t="s">
        <v>234</v>
      </c>
      <c r="C168" s="205" t="s">
        <v>7</v>
      </c>
      <c r="D168" s="184" t="s">
        <v>49</v>
      </c>
      <c r="E168" s="206">
        <v>1</v>
      </c>
      <c r="F168" s="206">
        <v>150</v>
      </c>
      <c r="G168" s="206">
        <v>12</v>
      </c>
      <c r="H168" s="206"/>
      <c r="I168" s="186"/>
      <c r="J168" s="206">
        <f t="shared" si="54"/>
        <v>1800</v>
      </c>
      <c r="K168" s="213" t="s">
        <v>285</v>
      </c>
      <c r="L168" s="210"/>
      <c r="M168" s="206">
        <v>1</v>
      </c>
      <c r="N168" s="206">
        <f>F168</f>
        <v>150</v>
      </c>
      <c r="O168" s="206">
        <v>12</v>
      </c>
      <c r="P168" s="206"/>
      <c r="Q168" s="186"/>
      <c r="R168" s="206">
        <f t="shared" si="55"/>
        <v>1800</v>
      </c>
      <c r="S168" s="204" t="s">
        <v>235</v>
      </c>
      <c r="T168" s="235">
        <f t="shared" si="56"/>
        <v>3600</v>
      </c>
      <c r="U168" s="299">
        <v>3285.3</v>
      </c>
      <c r="V168" s="317">
        <f t="shared" ref="V168:V177" si="57">+U168/T168</f>
        <v>0.91258333333333341</v>
      </c>
      <c r="W168" s="340"/>
    </row>
    <row r="169" spans="2:23" s="41" customFormat="1" ht="14.25" customHeight="1" x14ac:dyDescent="0.25">
      <c r="B169" s="190" t="s">
        <v>236</v>
      </c>
      <c r="C169" s="205" t="s">
        <v>7</v>
      </c>
      <c r="D169" s="184" t="s">
        <v>49</v>
      </c>
      <c r="E169" s="206">
        <v>1</v>
      </c>
      <c r="F169" s="206">
        <v>50</v>
      </c>
      <c r="G169" s="206">
        <v>12</v>
      </c>
      <c r="H169" s="206"/>
      <c r="I169" s="186"/>
      <c r="J169" s="206">
        <f t="shared" si="54"/>
        <v>600</v>
      </c>
      <c r="K169" s="204"/>
      <c r="L169" s="210"/>
      <c r="M169" s="206">
        <v>1</v>
      </c>
      <c r="N169" s="206">
        <f>F169</f>
        <v>50</v>
      </c>
      <c r="O169" s="206">
        <v>12</v>
      </c>
      <c r="P169" s="206"/>
      <c r="Q169" s="186"/>
      <c r="R169" s="206">
        <f t="shared" si="55"/>
        <v>600</v>
      </c>
      <c r="S169" s="204"/>
      <c r="T169" s="235">
        <f t="shared" si="56"/>
        <v>1200</v>
      </c>
      <c r="U169" s="296">
        <v>1180.4000000000001</v>
      </c>
      <c r="V169" s="317">
        <f t="shared" si="57"/>
        <v>0.98366666666666669</v>
      </c>
      <c r="W169" s="340"/>
    </row>
    <row r="170" spans="2:23" s="41" customFormat="1" ht="14.25" customHeight="1" x14ac:dyDescent="0.25">
      <c r="B170" s="190" t="s">
        <v>237</v>
      </c>
      <c r="C170" s="205" t="s">
        <v>7</v>
      </c>
      <c r="D170" s="184" t="s">
        <v>49</v>
      </c>
      <c r="E170" s="206">
        <v>7</v>
      </c>
      <c r="F170" s="206">
        <v>66</v>
      </c>
      <c r="G170" s="206">
        <v>12</v>
      </c>
      <c r="H170" s="206"/>
      <c r="I170" s="186"/>
      <c r="J170" s="206">
        <f t="shared" si="54"/>
        <v>5544</v>
      </c>
      <c r="K170" s="204"/>
      <c r="L170" s="210"/>
      <c r="M170" s="206">
        <v>7</v>
      </c>
      <c r="N170" s="206">
        <f>F170</f>
        <v>66</v>
      </c>
      <c r="O170" s="206">
        <v>12</v>
      </c>
      <c r="P170" s="206"/>
      <c r="Q170" s="186"/>
      <c r="R170" s="206">
        <f>M170*N170*O170</f>
        <v>5544</v>
      </c>
      <c r="S170" s="210"/>
      <c r="T170" s="235">
        <f t="shared" ref="T170:T175" si="58">J170+R170</f>
        <v>11088</v>
      </c>
      <c r="U170" s="296">
        <v>16067.14</v>
      </c>
      <c r="V170" s="317">
        <f t="shared" si="57"/>
        <v>1.4490566378066378</v>
      </c>
      <c r="W170" s="340"/>
    </row>
    <row r="171" spans="2:23" s="41" customFormat="1" ht="14.25" customHeight="1" x14ac:dyDescent="0.25">
      <c r="B171" s="124" t="s">
        <v>238</v>
      </c>
      <c r="C171" s="133" t="s">
        <v>7</v>
      </c>
      <c r="D171" s="106" t="s">
        <v>70</v>
      </c>
      <c r="E171" s="134">
        <v>1</v>
      </c>
      <c r="F171" s="134">
        <v>200</v>
      </c>
      <c r="G171" s="134">
        <v>12</v>
      </c>
      <c r="H171" s="134"/>
      <c r="I171" s="108"/>
      <c r="J171" s="134">
        <f t="shared" si="54"/>
        <v>2400</v>
      </c>
      <c r="K171" s="136" t="s">
        <v>239</v>
      </c>
      <c r="L171" s="138"/>
      <c r="M171" s="134">
        <v>1</v>
      </c>
      <c r="N171" s="134">
        <v>200</v>
      </c>
      <c r="O171" s="134">
        <v>12</v>
      </c>
      <c r="P171" s="134"/>
      <c r="Q171" s="108"/>
      <c r="R171" s="134">
        <f>M171*N171*O171</f>
        <v>2400</v>
      </c>
      <c r="S171" s="138"/>
      <c r="T171" s="236">
        <f t="shared" si="58"/>
        <v>4800</v>
      </c>
      <c r="U171" s="296">
        <v>3800</v>
      </c>
      <c r="V171" s="318">
        <f t="shared" si="57"/>
        <v>0.79166666666666663</v>
      </c>
      <c r="W171" s="340"/>
    </row>
    <row r="172" spans="2:23" s="41" customFormat="1" ht="14.25" customHeight="1" x14ac:dyDescent="0.25">
      <c r="B172" s="169" t="s">
        <v>238</v>
      </c>
      <c r="C172" s="159" t="s">
        <v>7</v>
      </c>
      <c r="D172" s="151" t="s">
        <v>30</v>
      </c>
      <c r="E172" s="160">
        <v>1</v>
      </c>
      <c r="F172" s="160">
        <v>200</v>
      </c>
      <c r="G172" s="160">
        <v>12</v>
      </c>
      <c r="H172" s="160"/>
      <c r="I172" s="153"/>
      <c r="J172" s="160">
        <f t="shared" si="54"/>
        <v>2400</v>
      </c>
      <c r="K172" s="165" t="s">
        <v>239</v>
      </c>
      <c r="L172" s="168"/>
      <c r="M172" s="160">
        <v>1</v>
      </c>
      <c r="N172" s="160">
        <v>200</v>
      </c>
      <c r="O172" s="160">
        <v>12</v>
      </c>
      <c r="P172" s="160"/>
      <c r="Q172" s="153"/>
      <c r="R172" s="160">
        <f>M172*N172*O172</f>
        <v>2400</v>
      </c>
      <c r="S172" s="168"/>
      <c r="T172" s="237">
        <f t="shared" si="58"/>
        <v>4800</v>
      </c>
      <c r="U172" s="261">
        <v>4400</v>
      </c>
      <c r="V172" s="317">
        <f t="shared" si="57"/>
        <v>0.91666666666666663</v>
      </c>
      <c r="W172" s="340"/>
    </row>
    <row r="173" spans="2:23" s="41" customFormat="1" ht="14.25" customHeight="1" x14ac:dyDescent="0.25">
      <c r="B173" s="124" t="s">
        <v>240</v>
      </c>
      <c r="C173" s="133" t="s">
        <v>7</v>
      </c>
      <c r="D173" s="106" t="s">
        <v>70</v>
      </c>
      <c r="E173" s="134">
        <v>1</v>
      </c>
      <c r="F173" s="134">
        <v>80</v>
      </c>
      <c r="G173" s="134">
        <v>12</v>
      </c>
      <c r="H173" s="134"/>
      <c r="I173" s="108"/>
      <c r="J173" s="134">
        <f t="shared" si="54"/>
        <v>960</v>
      </c>
      <c r="K173" s="137"/>
      <c r="L173" s="138"/>
      <c r="M173" s="134">
        <v>1</v>
      </c>
      <c r="N173" s="134">
        <v>85</v>
      </c>
      <c r="O173" s="134">
        <v>12</v>
      </c>
      <c r="P173" s="134"/>
      <c r="Q173" s="108"/>
      <c r="R173" s="134">
        <f>M173*N173*O173</f>
        <v>1020</v>
      </c>
      <c r="S173" s="138"/>
      <c r="T173" s="236">
        <f t="shared" si="58"/>
        <v>1980</v>
      </c>
      <c r="U173" s="296">
        <f>240+320+480</f>
        <v>1040</v>
      </c>
      <c r="V173" s="318">
        <f t="shared" si="57"/>
        <v>0.5252525252525253</v>
      </c>
      <c r="W173" s="340"/>
    </row>
    <row r="174" spans="2:23" s="41" customFormat="1" ht="14.25" customHeight="1" x14ac:dyDescent="0.25">
      <c r="B174" s="169" t="s">
        <v>241</v>
      </c>
      <c r="C174" s="159" t="s">
        <v>242</v>
      </c>
      <c r="D174" s="151" t="s">
        <v>30</v>
      </c>
      <c r="E174" s="160">
        <v>1</v>
      </c>
      <c r="F174" s="160">
        <v>80</v>
      </c>
      <c r="G174" s="160">
        <v>12</v>
      </c>
      <c r="H174" s="160"/>
      <c r="I174" s="153"/>
      <c r="J174" s="160">
        <f t="shared" si="54"/>
        <v>960</v>
      </c>
      <c r="K174" s="167"/>
      <c r="L174" s="168"/>
      <c r="M174" s="160">
        <v>1</v>
      </c>
      <c r="N174" s="160">
        <v>80</v>
      </c>
      <c r="O174" s="160">
        <v>12</v>
      </c>
      <c r="P174" s="160"/>
      <c r="Q174" s="153"/>
      <c r="R174" s="160">
        <f>M174*N174*O174</f>
        <v>960</v>
      </c>
      <c r="S174" s="168"/>
      <c r="T174" s="237">
        <f t="shared" si="58"/>
        <v>1920</v>
      </c>
      <c r="U174" s="261">
        <v>2180</v>
      </c>
      <c r="V174" s="317">
        <f t="shared" si="57"/>
        <v>1.1354166666666667</v>
      </c>
      <c r="W174" s="340"/>
    </row>
    <row r="175" spans="2:23" s="41" customFormat="1" ht="14.25" customHeight="1" x14ac:dyDescent="0.25">
      <c r="B175" s="204" t="s">
        <v>243</v>
      </c>
      <c r="C175" s="205" t="s">
        <v>7</v>
      </c>
      <c r="D175" s="184" t="s">
        <v>49</v>
      </c>
      <c r="E175" s="206">
        <v>1</v>
      </c>
      <c r="F175" s="206">
        <v>1500</v>
      </c>
      <c r="G175" s="206">
        <v>4</v>
      </c>
      <c r="H175" s="206"/>
      <c r="I175" s="186"/>
      <c r="J175" s="206">
        <f t="shared" si="54"/>
        <v>6000</v>
      </c>
      <c r="K175" s="204"/>
      <c r="L175" s="210"/>
      <c r="M175" s="206">
        <f t="shared" ref="M175:O177" si="59">E175</f>
        <v>1</v>
      </c>
      <c r="N175" s="206">
        <f t="shared" si="59"/>
        <v>1500</v>
      </c>
      <c r="O175" s="206">
        <f t="shared" si="59"/>
        <v>4</v>
      </c>
      <c r="P175" s="206"/>
      <c r="Q175" s="186"/>
      <c r="R175" s="206">
        <f t="shared" si="55"/>
        <v>6000</v>
      </c>
      <c r="S175" s="210"/>
      <c r="T175" s="235">
        <f t="shared" si="58"/>
        <v>12000</v>
      </c>
      <c r="U175" s="298">
        <v>13816</v>
      </c>
      <c r="V175" s="317">
        <f t="shared" si="57"/>
        <v>1.1513333333333333</v>
      </c>
      <c r="W175" s="340"/>
    </row>
    <row r="176" spans="2:23" s="41" customFormat="1" ht="14.25" customHeight="1" x14ac:dyDescent="0.25">
      <c r="B176" s="132" t="s">
        <v>243</v>
      </c>
      <c r="C176" s="133" t="s">
        <v>7</v>
      </c>
      <c r="D176" s="134" t="s">
        <v>70</v>
      </c>
      <c r="E176" s="134">
        <v>1</v>
      </c>
      <c r="F176" s="134">
        <v>500</v>
      </c>
      <c r="G176" s="134">
        <v>4</v>
      </c>
      <c r="H176" s="134"/>
      <c r="I176" s="108"/>
      <c r="J176" s="134">
        <f t="shared" si="54"/>
        <v>2000</v>
      </c>
      <c r="K176" s="132"/>
      <c r="L176" s="138"/>
      <c r="M176" s="134">
        <f t="shared" si="59"/>
        <v>1</v>
      </c>
      <c r="N176" s="134">
        <f t="shared" si="59"/>
        <v>500</v>
      </c>
      <c r="O176" s="134">
        <f t="shared" si="59"/>
        <v>4</v>
      </c>
      <c r="P176" s="134"/>
      <c r="Q176" s="108"/>
      <c r="R176" s="134">
        <f t="shared" si="55"/>
        <v>2000</v>
      </c>
      <c r="S176" s="138"/>
      <c r="T176" s="236">
        <f t="shared" si="56"/>
        <v>4000</v>
      </c>
      <c r="U176" s="296">
        <f>753.43+289.62+11.23+403.39</f>
        <v>1457.67</v>
      </c>
      <c r="V176" s="318">
        <f t="shared" si="57"/>
        <v>0.36441750000000001</v>
      </c>
      <c r="W176" s="340"/>
    </row>
    <row r="177" spans="2:23" s="41" customFormat="1" ht="14.25" customHeight="1" x14ac:dyDescent="0.25">
      <c r="B177" s="170" t="s">
        <v>243</v>
      </c>
      <c r="C177" s="159" t="s">
        <v>7</v>
      </c>
      <c r="D177" s="171" t="s">
        <v>30</v>
      </c>
      <c r="E177" s="171">
        <v>1</v>
      </c>
      <c r="F177" s="171">
        <v>500</v>
      </c>
      <c r="G177" s="171">
        <v>4</v>
      </c>
      <c r="H177" s="171"/>
      <c r="I177" s="153"/>
      <c r="J177" s="171">
        <f t="shared" si="54"/>
        <v>2000</v>
      </c>
      <c r="K177" s="170"/>
      <c r="L177" s="168"/>
      <c r="M177" s="166">
        <f t="shared" si="59"/>
        <v>1</v>
      </c>
      <c r="N177" s="171">
        <f t="shared" si="59"/>
        <v>500</v>
      </c>
      <c r="O177" s="171">
        <f t="shared" si="59"/>
        <v>4</v>
      </c>
      <c r="P177" s="171"/>
      <c r="Q177" s="153"/>
      <c r="R177" s="171">
        <f t="shared" si="55"/>
        <v>2000</v>
      </c>
      <c r="S177" s="172"/>
      <c r="T177" s="239">
        <f t="shared" si="56"/>
        <v>4000</v>
      </c>
      <c r="U177" s="261">
        <v>546.8900000000001</v>
      </c>
      <c r="V177" s="317">
        <f t="shared" si="57"/>
        <v>0.13672250000000002</v>
      </c>
      <c r="W177" s="340"/>
    </row>
    <row r="178" spans="2:23" x14ac:dyDescent="0.3">
      <c r="U178" s="262"/>
      <c r="V178" s="320"/>
      <c r="W178" s="331"/>
    </row>
    <row r="179" spans="2:23" s="80" customFormat="1" ht="27.6" x14ac:dyDescent="0.3">
      <c r="B179" s="42" t="s">
        <v>244</v>
      </c>
      <c r="C179" s="81"/>
      <c r="D179" s="44"/>
      <c r="E179" s="44"/>
      <c r="F179" s="44"/>
      <c r="G179" s="44"/>
      <c r="H179" s="82">
        <f>SUM(H166,H161,H157,H146,H138,H114)</f>
        <v>0</v>
      </c>
      <c r="I179" s="44"/>
      <c r="J179" s="82">
        <f>SUM(J166,J161,J157,J146,J138,J114)</f>
        <v>352802</v>
      </c>
      <c r="K179" s="46"/>
      <c r="L179" s="36"/>
      <c r="M179" s="45"/>
      <c r="N179" s="45"/>
      <c r="O179" s="45"/>
      <c r="P179" s="82">
        <f>SUM(P166,P161,P157,P146,P138,P114)</f>
        <v>0</v>
      </c>
      <c r="Q179" s="45"/>
      <c r="R179" s="82">
        <f>SUM(R166,R161,R157,R146,R138,R114)</f>
        <v>320812</v>
      </c>
      <c r="S179" s="45"/>
      <c r="T179" s="240">
        <f>SUM(T166,T161,T157,T146,T138,T114)</f>
        <v>673614</v>
      </c>
      <c r="U179" s="269">
        <f>SUM(U114,U138,U146,U157,U161,U166)</f>
        <v>558329.88</v>
      </c>
      <c r="V179" s="320">
        <f>+(U179/T179)</f>
        <v>0.82885729809653597</v>
      </c>
      <c r="W179" s="341"/>
    </row>
    <row r="180" spans="2:23" s="39" customFormat="1" ht="22.5" customHeight="1" x14ac:dyDescent="0.25">
      <c r="B180" s="308"/>
      <c r="C180" s="308"/>
      <c r="D180" s="313" t="s">
        <v>245</v>
      </c>
      <c r="E180" s="83"/>
      <c r="F180" s="83"/>
      <c r="G180" s="83"/>
      <c r="H180" s="83"/>
      <c r="I180" s="83"/>
      <c r="J180" s="84" t="s">
        <v>246</v>
      </c>
      <c r="K180" s="85"/>
      <c r="L180" s="36"/>
      <c r="M180" s="84"/>
      <c r="N180" s="84"/>
      <c r="O180" s="84"/>
      <c r="P180" s="83"/>
      <c r="Q180" s="84"/>
      <c r="R180" s="85" t="s">
        <v>247</v>
      </c>
      <c r="S180" s="85"/>
      <c r="T180" s="241"/>
      <c r="U180" s="286"/>
      <c r="V180" s="320"/>
      <c r="W180" s="336"/>
    </row>
    <row r="181" spans="2:23" s="39" customFormat="1" x14ac:dyDescent="0.25">
      <c r="B181" s="309"/>
      <c r="C181" s="309"/>
      <c r="D181" s="314"/>
      <c r="E181" s="83"/>
      <c r="F181" s="83"/>
      <c r="G181" s="83"/>
      <c r="H181" s="83"/>
      <c r="I181" s="83"/>
      <c r="J181" s="84"/>
      <c r="K181" s="85"/>
      <c r="L181" s="36"/>
      <c r="M181" s="84"/>
      <c r="N181" s="84"/>
      <c r="O181" s="84"/>
      <c r="P181" s="83"/>
      <c r="Q181" s="84"/>
      <c r="R181" s="85"/>
      <c r="S181" s="85"/>
      <c r="T181" s="241"/>
      <c r="U181" s="261"/>
      <c r="V181" s="320"/>
      <c r="W181" s="336"/>
    </row>
    <row r="182" spans="2:23" s="39" customFormat="1" ht="27.6" x14ac:dyDescent="0.25">
      <c r="B182" s="310"/>
      <c r="C182" s="310"/>
      <c r="D182" s="86" t="s">
        <v>248</v>
      </c>
      <c r="E182" s="86"/>
      <c r="F182" s="86"/>
      <c r="G182" s="86"/>
      <c r="H182" s="86"/>
      <c r="I182" s="86"/>
      <c r="J182" s="87">
        <f>SUM(J183:J184)*7%</f>
        <v>106895.85956000001</v>
      </c>
      <c r="K182" s="88"/>
      <c r="L182" s="36"/>
      <c r="M182" s="87"/>
      <c r="N182" s="87"/>
      <c r="O182" s="87"/>
      <c r="P182" s="86"/>
      <c r="Q182" s="87"/>
      <c r="R182" s="87">
        <f>SUM(R183:R184)*7%</f>
        <v>56641.571560000004</v>
      </c>
      <c r="S182" s="288" t="s">
        <v>248</v>
      </c>
      <c r="T182" s="242">
        <f>J182+R182</f>
        <v>163537.43112000002</v>
      </c>
      <c r="U182" s="295">
        <f>SUM(U183:U184)*7%</f>
        <v>129406.10340000002</v>
      </c>
      <c r="V182" s="320">
        <f>+U182/T182</f>
        <v>0.79129348256085041</v>
      </c>
      <c r="W182" s="336"/>
    </row>
    <row r="183" spans="2:23" s="39" customFormat="1" ht="27.6" x14ac:dyDescent="0.25">
      <c r="B183" s="89"/>
      <c r="C183" s="100"/>
      <c r="D183" s="86" t="s">
        <v>249</v>
      </c>
      <c r="E183" s="86"/>
      <c r="F183" s="86"/>
      <c r="G183" s="86"/>
      <c r="H183" s="87">
        <f>H111+H102</f>
        <v>611805.79480000003</v>
      </c>
      <c r="I183" s="86"/>
      <c r="J183" s="87">
        <f>J111+J102</f>
        <v>1174281.7080000001</v>
      </c>
      <c r="K183" s="88"/>
      <c r="L183" s="36"/>
      <c r="M183" s="87"/>
      <c r="N183" s="87"/>
      <c r="O183" s="87"/>
      <c r="P183" s="87">
        <f>P111+P102</f>
        <v>254493.99479999999</v>
      </c>
      <c r="Q183" s="87"/>
      <c r="R183" s="87">
        <f>R111+R102</f>
        <v>488353.30800000002</v>
      </c>
      <c r="S183" s="288" t="s">
        <v>249</v>
      </c>
      <c r="T183" s="242">
        <f>J183+R183</f>
        <v>1662635.0160000001</v>
      </c>
      <c r="U183" s="295">
        <f>U111+U102</f>
        <v>1290328.74</v>
      </c>
      <c r="V183" s="320">
        <f t="shared" ref="V183:V186" si="60">+U183/T183</f>
        <v>0.77607456091253157</v>
      </c>
      <c r="W183" s="336"/>
    </row>
    <row r="184" spans="2:23" s="39" customFormat="1" ht="27.6" x14ac:dyDescent="0.25">
      <c r="B184" s="89"/>
      <c r="C184" s="100"/>
      <c r="D184" s="86" t="s">
        <v>250</v>
      </c>
      <c r="E184" s="86"/>
      <c r="F184" s="86"/>
      <c r="G184" s="86"/>
      <c r="H184" s="87">
        <f>H179</f>
        <v>0</v>
      </c>
      <c r="I184" s="86"/>
      <c r="J184" s="87">
        <f>J179</f>
        <v>352802</v>
      </c>
      <c r="K184" s="88"/>
      <c r="L184" s="36"/>
      <c r="M184" s="87"/>
      <c r="N184" s="87"/>
      <c r="O184" s="87"/>
      <c r="P184" s="87">
        <f>P179</f>
        <v>0</v>
      </c>
      <c r="Q184" s="87"/>
      <c r="R184" s="87">
        <f>R179</f>
        <v>320812</v>
      </c>
      <c r="S184" s="288" t="s">
        <v>250</v>
      </c>
      <c r="T184" s="242">
        <f>J184+R184</f>
        <v>673614</v>
      </c>
      <c r="U184" s="295">
        <f>U179</f>
        <v>558329.88</v>
      </c>
      <c r="V184" s="320">
        <f t="shared" si="60"/>
        <v>0.82885729809653597</v>
      </c>
      <c r="W184" s="336"/>
    </row>
    <row r="185" spans="2:23" s="39" customFormat="1" ht="69" x14ac:dyDescent="0.25">
      <c r="B185" s="89"/>
      <c r="C185" s="100"/>
      <c r="D185" s="86" t="s">
        <v>251</v>
      </c>
      <c r="E185" s="86"/>
      <c r="F185" s="86"/>
      <c r="G185" s="86"/>
      <c r="H185" s="87"/>
      <c r="I185" s="86"/>
      <c r="J185" s="87">
        <f>SUM(J182:J184)*1%</f>
        <v>16339.795675600002</v>
      </c>
      <c r="K185" s="88"/>
      <c r="L185" s="36"/>
      <c r="M185" s="87"/>
      <c r="N185" s="87"/>
      <c r="O185" s="87"/>
      <c r="P185" s="87"/>
      <c r="Q185" s="87"/>
      <c r="R185" s="287">
        <f>SUM(R182:R184)*1%</f>
        <v>8658.0687956000002</v>
      </c>
      <c r="S185" s="288" t="s">
        <v>251</v>
      </c>
      <c r="T185" s="242">
        <f>R185+J185</f>
        <v>24997.864471200002</v>
      </c>
      <c r="U185" s="295">
        <v>0</v>
      </c>
      <c r="V185" s="320">
        <f t="shared" si="60"/>
        <v>0</v>
      </c>
      <c r="W185" s="336"/>
    </row>
    <row r="186" spans="2:23" s="39" customFormat="1" x14ac:dyDescent="0.25">
      <c r="B186" s="303"/>
      <c r="C186" s="303"/>
      <c r="D186" s="90" t="s">
        <v>252</v>
      </c>
      <c r="E186" s="91"/>
      <c r="F186" s="91"/>
      <c r="G186" s="91"/>
      <c r="H186" s="87"/>
      <c r="I186" s="91"/>
      <c r="J186" s="87">
        <f>SUM(J182:J185)</f>
        <v>1650319.3632356001</v>
      </c>
      <c r="K186" s="88"/>
      <c r="L186" s="36"/>
      <c r="M186" s="87"/>
      <c r="N186" s="87"/>
      <c r="O186" s="87"/>
      <c r="P186" s="87"/>
      <c r="Q186" s="87"/>
      <c r="R186" s="87">
        <f>SUM(R182:R185)</f>
        <v>874464.94835560001</v>
      </c>
      <c r="S186" s="289" t="s">
        <v>252</v>
      </c>
      <c r="T186" s="242">
        <f>J186+R186</f>
        <v>2524784.3115912001</v>
      </c>
      <c r="U186" s="242">
        <f>SUM(U182:U185)</f>
        <v>1978064.7234</v>
      </c>
      <c r="V186" s="320">
        <f t="shared" si="60"/>
        <v>0.78345889362460441</v>
      </c>
      <c r="W186" s="336"/>
    </row>
    <row r="187" spans="2:23" x14ac:dyDescent="0.3">
      <c r="L187" s="17"/>
      <c r="T187" s="252"/>
    </row>
    <row r="188" spans="2:23" x14ac:dyDescent="0.3">
      <c r="B188" s="30"/>
      <c r="C188" s="9"/>
      <c r="D188" s="9"/>
      <c r="E188" s="10"/>
      <c r="F188" s="2"/>
      <c r="G188" s="2"/>
      <c r="H188" s="2"/>
      <c r="I188" s="2"/>
      <c r="J188" s="2"/>
      <c r="L188" s="2"/>
      <c r="M188" s="2"/>
      <c r="N188" s="2"/>
      <c r="O188" s="2"/>
      <c r="P188" s="2"/>
      <c r="Q188" s="2"/>
    </row>
    <row r="189" spans="2:23" x14ac:dyDescent="0.3">
      <c r="E189" s="6"/>
      <c r="F189" s="2"/>
      <c r="G189" s="2"/>
      <c r="H189" s="2"/>
      <c r="I189" s="2"/>
      <c r="J189" s="2"/>
      <c r="L189" s="2"/>
      <c r="M189" s="2"/>
      <c r="N189" s="2"/>
      <c r="O189" s="2"/>
      <c r="P189" s="2"/>
      <c r="Q189" s="2"/>
    </row>
    <row r="190" spans="2:23" ht="38.25" customHeight="1" x14ac:dyDescent="0.3">
      <c r="B190" s="311"/>
      <c r="C190" s="311"/>
      <c r="D190" s="311"/>
      <c r="E190" s="312"/>
    </row>
    <row r="191" spans="2:23" x14ac:dyDescent="0.3">
      <c r="D191" s="2"/>
      <c r="E191" s="6"/>
    </row>
    <row r="192" spans="2:23" x14ac:dyDescent="0.3">
      <c r="B192" s="27" t="s">
        <v>253</v>
      </c>
      <c r="E192" s="6"/>
    </row>
    <row r="193" spans="1:26" x14ac:dyDescent="0.3">
      <c r="B193" s="27" t="s">
        <v>254</v>
      </c>
      <c r="E193" s="6"/>
    </row>
    <row r="194" spans="1:26" ht="24" customHeight="1" x14ac:dyDescent="0.3">
      <c r="B194" s="306"/>
      <c r="C194" s="306"/>
      <c r="D194" s="306"/>
      <c r="E194" s="307"/>
    </row>
    <row r="196" spans="1:26" x14ac:dyDescent="0.3">
      <c r="B196" s="31"/>
      <c r="C196" s="13"/>
      <c r="D196" s="13"/>
      <c r="E196" s="14"/>
    </row>
    <row r="197" spans="1:26" x14ac:dyDescent="0.3">
      <c r="E197" s="6"/>
      <c r="Z197" s="290"/>
    </row>
    <row r="198" spans="1:26" x14ac:dyDescent="0.3">
      <c r="E198" s="6"/>
    </row>
    <row r="199" spans="1:26" x14ac:dyDescent="0.3">
      <c r="E199" s="6"/>
    </row>
    <row r="200" spans="1:26" x14ac:dyDescent="0.3">
      <c r="E200" s="6"/>
    </row>
    <row r="201" spans="1:26" ht="41.4" x14ac:dyDescent="0.3">
      <c r="A201" s="69" t="s">
        <v>2</v>
      </c>
      <c r="E201" s="6"/>
    </row>
    <row r="202" spans="1:26" x14ac:dyDescent="0.3">
      <c r="E202" s="6"/>
    </row>
    <row r="203" spans="1:26" x14ac:dyDescent="0.3">
      <c r="B203" s="32"/>
      <c r="C203" s="7"/>
      <c r="D203" s="7"/>
      <c r="E203" s="8"/>
    </row>
  </sheetData>
  <autoFilter ref="B8:T186" xr:uid="{00000000-0009-0000-0000-000001000000}"/>
  <dataConsolidate/>
  <mergeCells count="8">
    <mergeCell ref="B82:K82"/>
    <mergeCell ref="B186:C186"/>
    <mergeCell ref="B10:J10"/>
    <mergeCell ref="B194:E194"/>
    <mergeCell ref="B180:C181"/>
    <mergeCell ref="B182:C182"/>
    <mergeCell ref="B190:E190"/>
    <mergeCell ref="D180:D181"/>
  </mergeCells>
  <dataValidations count="1">
    <dataValidation type="list" allowBlank="1" showInputMessage="1" showErrorMessage="1" sqref="C38:C39 C11 C60 C179:C65532 C25 C146 C138 C95 C17 C90 C41 C68 C32 C83 C80:C81 C74 C52 C161 C157 C164:C166 C113:C114 C100:C103 C111" xr:uid="{00000000-0002-0000-0100-000000000000}">
      <formula1>$A$1:$A$8</formula1>
    </dataValidation>
  </dataValidations>
  <pageMargins left="0.4" right="0.24" top="0.91" bottom="0.65" header="0" footer="0"/>
  <pageSetup scale="66" orientation="portrait" horizontalDpi="4294967294" r:id="rId1"/>
  <headerFooter alignWithMargins="0">
    <oddFooter>Página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43A57F18AF0C774CB676E32674536818" ma:contentTypeVersion="17" ma:contentTypeDescription="Create a new document." ma:contentTypeScope="" ma:versionID="049512fe7ebf9ad7b17cc9c0c5dd70d7">
  <xsd:schema xmlns:xsd="http://www.w3.org/2001/XMLSchema" xmlns:xs="http://www.w3.org/2001/XMLSchema" xmlns:p="http://schemas.microsoft.com/office/2006/metadata/properties" xmlns:ns2="811c3f98-be1f-45e4-abc6-2f1773d38d14" xmlns:ns3="5e544c3a-9bc3-48e2-9025-e503c94baa07" xmlns:ns4="ec13216d-a8e7-4c41-9bcd-4c0b62700b82" targetNamespace="http://schemas.microsoft.com/office/2006/metadata/properties" ma:root="true" ma:fieldsID="afb584b3cb64ee0e11018d640cd77a6a" ns2:_="" ns3:_="" ns4:_="">
    <xsd:import namespace="811c3f98-be1f-45e4-abc6-2f1773d38d14"/>
    <xsd:import namespace="5e544c3a-9bc3-48e2-9025-e503c94baa07"/>
    <xsd:import namespace="ec13216d-a8e7-4c41-9bcd-4c0b62700b8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c3f98-be1f-45e4-abc6-2f1773d38d1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e544c3a-9bc3-48e2-9025-e503c94baa0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13216d-a8e7-4c41-9bcd-4c0b62700b8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sean.chen@undp.org</UploadedBy>
    <Classification xmlns="b1528a4b-5ccb-40f7-a09e-43427183cd95">External</Classification>
    <FormCode xmlns="b1528a4b-5ccb-40f7-a09e-43427183cd95" xsi:nil="true"/>
    <FundId xmlns="f9695bc1-6109-4dcd-a27a-f8a0370b00e2">138</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MPTF_00130_00026</ProjectId>
    <FundCode xmlns="f9695bc1-6109-4dcd-a27a-f8a0370b00e2">MPTF_00130</FundCode>
    <Comments xmlns="f9695bc1-6109-4dcd-a27a-f8a0370b00e2" xsi:nil="true"/>
    <Active xmlns="f9695bc1-6109-4dcd-a27a-f8a0370b00e2">Yes</Active>
    <DocumentDate xmlns="b1528a4b-5ccb-40f7-a09e-43427183cd95">2023-12-31T08:00:00+00:00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57D31130-A37A-4CCB-ADC3-1E5C0E004D84}">
  <ds:schemaRefs>
    <ds:schemaRef ds:uri="http://schemas.microsoft.com/sharepoint/v3/contenttype/forms"/>
  </ds:schemaRefs>
</ds:datastoreItem>
</file>

<file path=customXml/itemProps2.xml><?xml version="1.0" encoding="utf-8"?>
<ds:datastoreItem xmlns:ds="http://schemas.openxmlformats.org/officeDocument/2006/customXml" ds:itemID="{007A4D22-B9DC-475B-846E-B426796E1AA4}"/>
</file>

<file path=customXml/itemProps3.xml><?xml version="1.0" encoding="utf-8"?>
<ds:datastoreItem xmlns:ds="http://schemas.openxmlformats.org/officeDocument/2006/customXml" ds:itemID="{5C790B03-B464-4543-ABE4-BCC43B13C8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c3f98-be1f-45e4-abc6-2f1773d38d14"/>
    <ds:schemaRef ds:uri="5e544c3a-9bc3-48e2-9025-e503c94baa07"/>
    <ds:schemaRef ds:uri="ec13216d-a8e7-4c41-9bcd-4c0b62700b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94AA646-0942-4581-AA3B-DF2B7BACA142}">
  <ds:schemaRefs>
    <ds:schemaRef ds:uri="http://schemas.microsoft.com/office/2006/metadata/longProperties"/>
  </ds:schemaRefs>
</ds:datastoreItem>
</file>

<file path=customXml/itemProps5.xml><?xml version="1.0" encoding="utf-8"?>
<ds:datastoreItem xmlns:ds="http://schemas.openxmlformats.org/officeDocument/2006/customXml" ds:itemID="{B6BC0442-4BC3-4300-BF62-1F5205586C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Drop down list</vt:lpstr>
      <vt:lpstr>Budget_Detaillé_HEKS</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00131367_FCS_HEKS_EPER_Budget_Dec_2023.xlsx</dc:title>
  <dc:subject/>
  <dc:creator>Claudia</dc:creator>
  <cp:keywords/>
  <dc:description/>
  <cp:lastModifiedBy>Valentin Kanane</cp:lastModifiedBy>
  <cp:revision/>
  <cp:lastPrinted>2024-01-31T10:10:41Z</cp:lastPrinted>
  <dcterms:created xsi:type="dcterms:W3CDTF">2010-10-28T04:03:10Z</dcterms:created>
  <dcterms:modified xsi:type="dcterms:W3CDTF">2024-01-31T14:06:09Z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_dlc_DocIdItemGuid">
    <vt:lpwstr>bde52491-bd61-4c25-bacb-11e82525d5a2</vt:lpwstr>
  </property>
  <property fmtid="{D5CDD505-2E9C-101B-9397-08002B2CF9AE}" pid="4" name="_dlc_DocId">
    <vt:lpwstr>2HS7WFEC6WCP-131339775-365483</vt:lpwstr>
  </property>
  <property fmtid="{D5CDD505-2E9C-101B-9397-08002B2CF9AE}" pid="5" name="_dlc_DocIdUrl">
    <vt:lpwstr>https://heks.sharepoint.com/sites/ID/cod/_layouts/15/DocIdRedir.aspx?ID=2HS7WFEC6WCP-131339775-365483, 2HS7WFEC6WCP-131339775-365483</vt:lpwstr>
  </property>
</Properties>
</file>