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dp-my.sharepoint.com/personal/lucas_rocha_undp_org/Documents/Documents/RoL GnB/CDTOC 2023/PBF Report/Semi-Annual Jun2024/final/PBF inputs/"/>
    </mc:Choice>
  </mc:AlternateContent>
  <xr:revisionPtr revIDLastSave="0" documentId="8_{F1C03C4C-1E47-45FC-9B38-38DB960E7CC9}" xr6:coauthVersionLast="47" xr6:coauthVersionMax="47" xr10:uidLastSave="{00000000-0000-0000-0000-000000000000}"/>
  <bookViews>
    <workbookView xWindow="-120" yWindow="-120" windowWidth="29040" windowHeight="15840" activeTab="1" xr2:uid="{00000000-000D-0000-FFFF-FFFF00000000}"/>
  </bookViews>
  <sheets>
    <sheet name="Instructions" sheetId="9" r:id="rId1"/>
    <sheet name="1) Combined by budget activity" sheetId="11" r:id="rId2"/>
    <sheet name="2) By Category Phase I+II" sheetId="5" r:id="rId3"/>
    <sheet name="3) Explanatory Notes" sheetId="3" r:id="rId4"/>
    <sheet name="4) -For PBSO Use-" sheetId="6" r:id="rId5"/>
    <sheet name="5) -For MPTF Use-Phase I+ II"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81" i="11" l="1"/>
  <c r="P58" i="11"/>
  <c r="D42" i="5"/>
  <c r="D58" i="5"/>
  <c r="D35" i="5"/>
  <c r="D31" i="5"/>
  <c r="P51" i="11"/>
  <c r="P49" i="11"/>
  <c r="D47" i="5"/>
  <c r="D52" i="5"/>
  <c r="D56" i="5"/>
  <c r="E44" i="5"/>
  <c r="P65" i="11" l="1"/>
  <c r="P47" i="11"/>
  <c r="E45" i="5" l="1"/>
  <c r="Q40" i="11" l="1"/>
  <c r="Q39" i="11"/>
  <c r="Q38" i="11"/>
  <c r="Q37" i="11"/>
  <c r="Q36" i="11"/>
  <c r="Q35" i="11"/>
  <c r="Q34" i="11"/>
  <c r="Q33" i="11"/>
  <c r="Q32" i="11"/>
  <c r="Q31" i="11"/>
  <c r="Q30" i="11"/>
  <c r="Q29" i="11"/>
  <c r="Q28" i="11"/>
  <c r="Q27" i="11"/>
  <c r="Q26" i="11"/>
  <c r="Q25" i="11"/>
  <c r="Q22" i="11"/>
  <c r="Q21" i="11"/>
  <c r="Q20" i="11"/>
  <c r="Q19" i="11"/>
  <c r="Q18" i="11"/>
  <c r="Q17" i="11"/>
  <c r="Q16" i="11"/>
  <c r="Q15" i="11"/>
  <c r="Q14" i="11"/>
  <c r="Q13" i="11"/>
  <c r="Q12" i="11"/>
  <c r="Q11" i="11"/>
  <c r="Q10" i="11"/>
  <c r="Q9" i="11"/>
  <c r="P56" i="11"/>
  <c r="Q61" i="11"/>
  <c r="Q60" i="11"/>
  <c r="Q59" i="11"/>
  <c r="Q58" i="11"/>
  <c r="Q57" i="11"/>
  <c r="Q56" i="11"/>
  <c r="E58" i="5"/>
  <c r="D36" i="5"/>
  <c r="D22" i="5"/>
  <c r="R10" i="11"/>
  <c r="R9" i="11"/>
  <c r="R59" i="11"/>
  <c r="P30" i="11"/>
  <c r="P46" i="11"/>
  <c r="P45" i="11"/>
  <c r="P38" i="11"/>
  <c r="P37" i="11"/>
  <c r="I66" i="11" l="1"/>
  <c r="R68" i="11" l="1"/>
  <c r="R67" i="11"/>
  <c r="R66" i="11"/>
  <c r="R69" i="11" s="1"/>
  <c r="R65" i="11"/>
  <c r="R61" i="11"/>
  <c r="R60" i="11"/>
  <c r="R58" i="11"/>
  <c r="R62" i="11" s="1"/>
  <c r="R57" i="11"/>
  <c r="R56" i="11"/>
  <c r="R53" i="11"/>
  <c r="R52" i="11"/>
  <c r="R51" i="11"/>
  <c r="R50" i="11"/>
  <c r="R49" i="11"/>
  <c r="R48" i="11"/>
  <c r="R47" i="11"/>
  <c r="R46" i="11"/>
  <c r="R45" i="11"/>
  <c r="R44" i="11"/>
  <c r="R43" i="11"/>
  <c r="R40" i="11"/>
  <c r="R39" i="11"/>
  <c r="R38" i="11"/>
  <c r="R37" i="11"/>
  <c r="R36" i="11"/>
  <c r="R35" i="11"/>
  <c r="R34" i="11"/>
  <c r="R33" i="11"/>
  <c r="R32" i="11"/>
  <c r="R31" i="11"/>
  <c r="R30" i="11"/>
  <c r="R29" i="11"/>
  <c r="R28" i="11"/>
  <c r="R27" i="11"/>
  <c r="R26" i="11"/>
  <c r="R25" i="11"/>
  <c r="R22" i="11"/>
  <c r="R23" i="11" s="1"/>
  <c r="R21" i="11"/>
  <c r="R20" i="11"/>
  <c r="R19" i="11"/>
  <c r="R18" i="11"/>
  <c r="R17" i="11"/>
  <c r="R16" i="11"/>
  <c r="R15" i="11"/>
  <c r="R14" i="11"/>
  <c r="R13" i="11"/>
  <c r="R12" i="11"/>
  <c r="R11" i="11"/>
  <c r="M101" i="11"/>
  <c r="D96" i="11"/>
  <c r="Q101" i="11" s="1"/>
  <c r="R54" i="11" l="1"/>
  <c r="R41" i="11"/>
  <c r="I62" i="11"/>
  <c r="J61" i="11"/>
  <c r="J60" i="11"/>
  <c r="J59" i="11"/>
  <c r="J58" i="11"/>
  <c r="J57" i="11"/>
  <c r="J56" i="11"/>
  <c r="J53" i="11"/>
  <c r="J52" i="11"/>
  <c r="J51" i="11"/>
  <c r="J50" i="11"/>
  <c r="J49" i="11"/>
  <c r="J48" i="11"/>
  <c r="J47" i="11"/>
  <c r="J46" i="11"/>
  <c r="J45" i="11"/>
  <c r="J43" i="11"/>
  <c r="J40" i="11"/>
  <c r="J39" i="11"/>
  <c r="J38" i="11"/>
  <c r="J37" i="11"/>
  <c r="J36" i="11"/>
  <c r="J35" i="11"/>
  <c r="J34" i="11"/>
  <c r="J33" i="11"/>
  <c r="J32" i="11"/>
  <c r="J29" i="11"/>
  <c r="J28" i="11"/>
  <c r="J25" i="11"/>
  <c r="J22" i="11"/>
  <c r="J21" i="11"/>
  <c r="J20" i="11"/>
  <c r="J19" i="11"/>
  <c r="J18" i="11"/>
  <c r="J17" i="11"/>
  <c r="J16" i="11"/>
  <c r="J15" i="11"/>
  <c r="J11" i="11"/>
  <c r="J9" i="11"/>
  <c r="J68" i="11"/>
  <c r="E4" i="5"/>
  <c r="D6" i="4" s="1"/>
  <c r="D20" i="4" s="1"/>
  <c r="D4" i="5"/>
  <c r="C6" i="4" s="1"/>
  <c r="C20" i="4" s="1"/>
  <c r="P62" i="11"/>
  <c r="P54" i="11"/>
  <c r="J62" i="11" l="1"/>
  <c r="D62" i="5"/>
  <c r="E62" i="5"/>
  <c r="Q68" i="11"/>
  <c r="Q53" i="11"/>
  <c r="Q52" i="11"/>
  <c r="Q51" i="11"/>
  <c r="Q50" i="11"/>
  <c r="Q49" i="11"/>
  <c r="Q48" i="11"/>
  <c r="Q47" i="11"/>
  <c r="Q46" i="11"/>
  <c r="Q45" i="11"/>
  <c r="Q43" i="11"/>
  <c r="P69" i="11"/>
  <c r="P21" i="11"/>
  <c r="P23" i="11" s="1"/>
  <c r="P81" i="11" s="1"/>
  <c r="P93" i="11" l="1"/>
  <c r="P94" i="11"/>
  <c r="F4" i="5"/>
  <c r="F62" i="5" s="1"/>
  <c r="N19" i="11"/>
  <c r="O19" i="11" s="1"/>
  <c r="N18" i="11"/>
  <c r="O18" i="11" s="1"/>
  <c r="N17" i="11"/>
  <c r="O17" i="11" s="1"/>
  <c r="N16" i="11"/>
  <c r="O16" i="11"/>
  <c r="I65" i="11"/>
  <c r="G48" i="11"/>
  <c r="I31" i="11"/>
  <c r="I27" i="11"/>
  <c r="I26" i="11"/>
  <c r="J26" i="11" l="1"/>
  <c r="J27" i="11"/>
  <c r="J31" i="11"/>
  <c r="J65" i="11"/>
  <c r="Q62" i="11"/>
  <c r="I13" i="11" l="1"/>
  <c r="D23" i="11"/>
  <c r="J13" i="11" l="1"/>
  <c r="O91" i="11"/>
  <c r="H91" i="11"/>
  <c r="F86" i="11"/>
  <c r="E86" i="11"/>
  <c r="D86" i="11"/>
  <c r="F78" i="11"/>
  <c r="E78" i="11"/>
  <c r="D78" i="11"/>
  <c r="L69" i="11"/>
  <c r="F69" i="11"/>
  <c r="F51" i="5" s="1"/>
  <c r="E69" i="11"/>
  <c r="E51" i="5" s="1"/>
  <c r="D69" i="11"/>
  <c r="N68" i="11"/>
  <c r="G68" i="11"/>
  <c r="N67" i="11"/>
  <c r="I67" i="11"/>
  <c r="G67" i="11"/>
  <c r="N66" i="11"/>
  <c r="H66" i="11"/>
  <c r="G66" i="11"/>
  <c r="K65" i="11"/>
  <c r="N65" i="11" s="1"/>
  <c r="G65" i="11"/>
  <c r="L62" i="11"/>
  <c r="K62" i="11"/>
  <c r="F62" i="11"/>
  <c r="F40" i="5" s="1"/>
  <c r="E62" i="11"/>
  <c r="E40" i="5" s="1"/>
  <c r="D62" i="11"/>
  <c r="D40" i="5" s="1"/>
  <c r="N61" i="11"/>
  <c r="G61" i="11"/>
  <c r="N60" i="11"/>
  <c r="G60" i="11"/>
  <c r="N59" i="11"/>
  <c r="G59" i="11"/>
  <c r="N58" i="11"/>
  <c r="G58" i="11"/>
  <c r="N57" i="11"/>
  <c r="G57" i="11"/>
  <c r="N56" i="11"/>
  <c r="G56" i="11"/>
  <c r="S54" i="11"/>
  <c r="L54" i="11"/>
  <c r="K54" i="11"/>
  <c r="F54" i="11"/>
  <c r="F29" i="5" s="1"/>
  <c r="E54" i="11"/>
  <c r="N53" i="11"/>
  <c r="G53" i="11"/>
  <c r="N52" i="11"/>
  <c r="G52" i="11"/>
  <c r="N51" i="11"/>
  <c r="G51" i="11"/>
  <c r="N50" i="11"/>
  <c r="G50" i="11"/>
  <c r="N49" i="11"/>
  <c r="G49" i="11"/>
  <c r="N47" i="11"/>
  <c r="G47" i="11"/>
  <c r="N46" i="11"/>
  <c r="G46" i="11"/>
  <c r="N45" i="11"/>
  <c r="G45" i="11"/>
  <c r="N44" i="11"/>
  <c r="I44" i="11"/>
  <c r="G44" i="11"/>
  <c r="N43" i="11"/>
  <c r="D54" i="11"/>
  <c r="L41" i="11"/>
  <c r="K41" i="11"/>
  <c r="F41" i="11"/>
  <c r="F18" i="5" s="1"/>
  <c r="D41" i="11"/>
  <c r="N40" i="11"/>
  <c r="G40" i="11"/>
  <c r="N39" i="11"/>
  <c r="G39" i="11"/>
  <c r="N38" i="11"/>
  <c r="G38" i="11"/>
  <c r="N37" i="11"/>
  <c r="G37" i="11"/>
  <c r="N36" i="11"/>
  <c r="G36" i="11"/>
  <c r="N35" i="11"/>
  <c r="G35" i="11"/>
  <c r="N34" i="11"/>
  <c r="G34" i="11"/>
  <c r="N33" i="11"/>
  <c r="G33" i="11"/>
  <c r="N32" i="11"/>
  <c r="G32" i="11"/>
  <c r="N31" i="11"/>
  <c r="G31" i="11"/>
  <c r="N30" i="11"/>
  <c r="I30" i="11"/>
  <c r="Q41" i="11" s="1"/>
  <c r="E30" i="11"/>
  <c r="G30" i="11" s="1"/>
  <c r="H30" i="11" s="1"/>
  <c r="N29" i="11"/>
  <c r="G29" i="11"/>
  <c r="N28" i="11"/>
  <c r="G28" i="11"/>
  <c r="N27" i="11"/>
  <c r="G27" i="11"/>
  <c r="N26" i="11"/>
  <c r="G26" i="11"/>
  <c r="N25" i="11"/>
  <c r="G25" i="11"/>
  <c r="L23" i="11"/>
  <c r="K23" i="11"/>
  <c r="D7" i="5" s="1"/>
  <c r="F23" i="11"/>
  <c r="F7" i="5" s="1"/>
  <c r="N22" i="11"/>
  <c r="G22" i="11"/>
  <c r="N21" i="11"/>
  <c r="G21" i="11"/>
  <c r="N20" i="11"/>
  <c r="G20" i="11"/>
  <c r="N15" i="11"/>
  <c r="G15" i="11"/>
  <c r="O15" i="11" s="1"/>
  <c r="N14" i="11"/>
  <c r="I14" i="11"/>
  <c r="G14" i="11"/>
  <c r="N13" i="11"/>
  <c r="N12" i="11"/>
  <c r="I12" i="11"/>
  <c r="G12" i="11"/>
  <c r="N11" i="11"/>
  <c r="G11" i="11"/>
  <c r="O11" i="11" s="1"/>
  <c r="N10" i="11"/>
  <c r="G10" i="11"/>
  <c r="N9" i="11"/>
  <c r="G9" i="11"/>
  <c r="O14" i="11" l="1"/>
  <c r="J30" i="11"/>
  <c r="J41" i="11" s="1"/>
  <c r="H62" i="11"/>
  <c r="E29" i="5"/>
  <c r="J14" i="11"/>
  <c r="J66" i="11"/>
  <c r="J10" i="11"/>
  <c r="J23" i="11" s="1"/>
  <c r="Q23" i="11"/>
  <c r="M54" i="11"/>
  <c r="M62" i="11"/>
  <c r="D29" i="5"/>
  <c r="O9" i="11"/>
  <c r="J67" i="11"/>
  <c r="Q67" i="11"/>
  <c r="M23" i="11"/>
  <c r="J44" i="11"/>
  <c r="J54" i="11" s="1"/>
  <c r="Q44" i="11"/>
  <c r="Q54" i="11" s="1"/>
  <c r="H69" i="11"/>
  <c r="Q66" i="11"/>
  <c r="I69" i="11"/>
  <c r="H41" i="11"/>
  <c r="O10" i="11"/>
  <c r="M41" i="11"/>
  <c r="D18" i="5"/>
  <c r="M69" i="11"/>
  <c r="N69" i="11"/>
  <c r="H12" i="11"/>
  <c r="J12" i="11" s="1"/>
  <c r="O12" i="11"/>
  <c r="I54" i="11"/>
  <c r="O34" i="11"/>
  <c r="O38" i="11"/>
  <c r="O60" i="11"/>
  <c r="O68" i="11"/>
  <c r="O51" i="11"/>
  <c r="O49" i="11"/>
  <c r="I23" i="11"/>
  <c r="I81" i="11" s="1"/>
  <c r="I93" i="11" s="1"/>
  <c r="I94" i="11" s="1"/>
  <c r="O45" i="11"/>
  <c r="O57" i="11"/>
  <c r="O61" i="11"/>
  <c r="O46" i="11"/>
  <c r="O20" i="11"/>
  <c r="O28" i="11"/>
  <c r="O35" i="11"/>
  <c r="O39" i="11"/>
  <c r="O22" i="11"/>
  <c r="O29" i="11"/>
  <c r="O47" i="11"/>
  <c r="O66" i="11"/>
  <c r="I41" i="11"/>
  <c r="O52" i="11"/>
  <c r="G62" i="11"/>
  <c r="G69" i="11"/>
  <c r="O58" i="11"/>
  <c r="O44" i="11"/>
  <c r="D80" i="11"/>
  <c r="D81" i="11" s="1"/>
  <c r="D82" i="11" s="1"/>
  <c r="O26" i="11"/>
  <c r="O32" i="11"/>
  <c r="G43" i="11"/>
  <c r="O53" i="11"/>
  <c r="N62" i="11"/>
  <c r="O37" i="11"/>
  <c r="E23" i="11"/>
  <c r="E7" i="5" s="1"/>
  <c r="F80" i="11"/>
  <c r="O27" i="11"/>
  <c r="N54" i="11"/>
  <c r="O40" i="11"/>
  <c r="O50" i="11"/>
  <c r="O36" i="11"/>
  <c r="N41" i="11"/>
  <c r="O31" i="11"/>
  <c r="O33" i="11"/>
  <c r="O21" i="11"/>
  <c r="N23" i="11"/>
  <c r="O67" i="11"/>
  <c r="L80" i="11"/>
  <c r="L81" i="11" s="1"/>
  <c r="L82" i="11" s="1"/>
  <c r="O30" i="11"/>
  <c r="O65" i="11"/>
  <c r="O69" i="11" s="1"/>
  <c r="G13" i="11"/>
  <c r="O13" i="11" s="1"/>
  <c r="E41" i="11"/>
  <c r="E18" i="5" s="1"/>
  <c r="O56" i="11"/>
  <c r="O59" i="11"/>
  <c r="O25" i="11"/>
  <c r="G41" i="11"/>
  <c r="K69" i="11"/>
  <c r="K80" i="11" s="1"/>
  <c r="Q69" i="11" l="1"/>
  <c r="T93" i="11" s="1"/>
  <c r="M98" i="11"/>
  <c r="D51" i="5"/>
  <c r="O43" i="11"/>
  <c r="O54" i="11" s="1"/>
  <c r="H54" i="11"/>
  <c r="J69" i="11"/>
  <c r="H23" i="11"/>
  <c r="D93" i="11" s="1"/>
  <c r="O23" i="11"/>
  <c r="G23" i="11"/>
  <c r="E80" i="11"/>
  <c r="G80" i="11" s="1"/>
  <c r="G81" i="11" s="1"/>
  <c r="F81" i="11"/>
  <c r="F82" i="11" s="1"/>
  <c r="O81" i="11" s="1"/>
  <c r="G54" i="11"/>
  <c r="O41" i="11"/>
  <c r="M88" i="11"/>
  <c r="D24" i="4" s="1"/>
  <c r="M89" i="11"/>
  <c r="D25" i="4" s="1"/>
  <c r="O62" i="11"/>
  <c r="D89" i="11"/>
  <c r="C23" i="4" s="1"/>
  <c r="D90" i="11"/>
  <c r="D88" i="11"/>
  <c r="C22" i="4" s="1"/>
  <c r="M80" i="11"/>
  <c r="K81" i="11"/>
  <c r="M81" i="11" s="1"/>
  <c r="Q98" i="11" l="1"/>
  <c r="E81" i="11"/>
  <c r="E82" i="11" s="1"/>
  <c r="G82" i="11"/>
  <c r="D97" i="11" s="1"/>
  <c r="F89" i="11"/>
  <c r="E23" i="4" s="1"/>
  <c r="F90" i="11"/>
  <c r="F88" i="11"/>
  <c r="E22" i="4" s="1"/>
  <c r="K82" i="11"/>
  <c r="O78" i="11" s="1"/>
  <c r="M82" i="11"/>
  <c r="M99" i="11" s="1"/>
  <c r="D91" i="11"/>
  <c r="M91" i="11"/>
  <c r="E26" i="4" l="1"/>
  <c r="D94" i="11"/>
  <c r="E90" i="11"/>
  <c r="G90" i="11" s="1"/>
  <c r="O80" i="11"/>
  <c r="F91" i="11"/>
  <c r="E89" i="11"/>
  <c r="E88" i="11"/>
  <c r="L88" i="11"/>
  <c r="C24" i="4" s="1"/>
  <c r="L89" i="11"/>
  <c r="F70" i="5"/>
  <c r="F69" i="5"/>
  <c r="F68" i="5"/>
  <c r="F67" i="5"/>
  <c r="F66" i="5"/>
  <c r="F65" i="5"/>
  <c r="F64" i="5"/>
  <c r="E70" i="5"/>
  <c r="E69" i="5"/>
  <c r="E68" i="5"/>
  <c r="E67" i="5"/>
  <c r="E66" i="5"/>
  <c r="E65" i="5"/>
  <c r="E64" i="5"/>
  <c r="D66" i="5"/>
  <c r="D65" i="5"/>
  <c r="D64" i="5"/>
  <c r="D69" i="5"/>
  <c r="N89" i="11" l="1"/>
  <c r="C25" i="4"/>
  <c r="F25" i="4" s="1"/>
  <c r="F24" i="4"/>
  <c r="G89" i="11"/>
  <c r="D23" i="4"/>
  <c r="F23" i="4" s="1"/>
  <c r="G88" i="11"/>
  <c r="D22" i="4"/>
  <c r="F71" i="5"/>
  <c r="F72" i="5" s="1"/>
  <c r="F73" i="5" s="1"/>
  <c r="O82" i="11"/>
  <c r="Q102" i="11" s="1"/>
  <c r="E91" i="11"/>
  <c r="E71" i="5"/>
  <c r="L91" i="11"/>
  <c r="N88" i="11"/>
  <c r="N91" i="11" s="1"/>
  <c r="M102" i="11" s="1"/>
  <c r="D70" i="5"/>
  <c r="D68" i="5"/>
  <c r="D67" i="5"/>
  <c r="E72" i="5" l="1"/>
  <c r="E73" i="5"/>
  <c r="C26" i="4"/>
  <c r="Q99" i="11"/>
  <c r="G91" i="11"/>
  <c r="D26" i="4"/>
  <c r="F26" i="4" s="1"/>
  <c r="F22" i="4"/>
  <c r="D71" i="5"/>
  <c r="D72" i="5" s="1"/>
  <c r="D73" i="5" s="1"/>
  <c r="F48" i="5"/>
  <c r="E48" i="5"/>
  <c r="D48" i="5"/>
  <c r="G47" i="5"/>
  <c r="G46" i="5"/>
  <c r="G45" i="5"/>
  <c r="G44" i="5"/>
  <c r="G43" i="5"/>
  <c r="G42" i="5"/>
  <c r="G41" i="5"/>
  <c r="G48" i="5" l="1"/>
  <c r="G40" i="5"/>
  <c r="F15" i="5" l="1"/>
  <c r="E15" i="5"/>
  <c r="D15" i="5"/>
  <c r="F59" i="5"/>
  <c r="E59" i="5"/>
  <c r="D59" i="5"/>
  <c r="D14" i="4" l="1"/>
  <c r="E14" i="4"/>
  <c r="D12" i="4"/>
  <c r="E12" i="4"/>
  <c r="D10" i="4"/>
  <c r="E10" i="4"/>
  <c r="D9" i="4"/>
  <c r="E9" i="4"/>
  <c r="C10" i="4"/>
  <c r="C11" i="4"/>
  <c r="G69" i="5"/>
  <c r="G65" i="5"/>
  <c r="D8" i="4"/>
  <c r="E8" i="4"/>
  <c r="G57" i="5"/>
  <c r="G56" i="5"/>
  <c r="G55" i="5"/>
  <c r="G54" i="5"/>
  <c r="G53" i="5"/>
  <c r="G52" i="5"/>
  <c r="E13" i="4"/>
  <c r="E11" i="4"/>
  <c r="C12" i="4"/>
  <c r="C13" i="4"/>
  <c r="C8" i="4"/>
  <c r="G19" i="5"/>
  <c r="G20" i="5"/>
  <c r="G21" i="5"/>
  <c r="G22" i="5"/>
  <c r="G23" i="5"/>
  <c r="G24" i="5"/>
  <c r="G25" i="5"/>
  <c r="D26" i="5"/>
  <c r="E26" i="5"/>
  <c r="F26" i="5"/>
  <c r="G30" i="5"/>
  <c r="G32" i="5"/>
  <c r="G33" i="5"/>
  <c r="G34" i="5"/>
  <c r="G35" i="5"/>
  <c r="G36" i="5"/>
  <c r="E37" i="5"/>
  <c r="F37" i="5"/>
  <c r="G8" i="5"/>
  <c r="G9" i="5"/>
  <c r="G10" i="5"/>
  <c r="G12" i="5"/>
  <c r="G13" i="5"/>
  <c r="G64" i="5"/>
  <c r="D13" i="4"/>
  <c r="G68" i="5"/>
  <c r="G29" i="5" l="1"/>
  <c r="G26" i="5"/>
  <c r="G51" i="5"/>
  <c r="G18" i="5"/>
  <c r="F13" i="4"/>
  <c r="F12" i="4"/>
  <c r="E15" i="4"/>
  <c r="E16" i="4" s="1"/>
  <c r="E17" i="4" s="1"/>
  <c r="F10" i="4"/>
  <c r="F8" i="4"/>
  <c r="G66" i="5"/>
  <c r="C9" i="4"/>
  <c r="C29" i="6"/>
  <c r="D34" i="6" s="1"/>
  <c r="C18" i="6"/>
  <c r="D22" i="6" s="1"/>
  <c r="C40" i="6"/>
  <c r="D47" i="6" s="1"/>
  <c r="C7" i="6"/>
  <c r="D12" i="6" s="1"/>
  <c r="F9" i="4" l="1"/>
  <c r="D44" i="6"/>
  <c r="D25" i="6"/>
  <c r="G7" i="5"/>
  <c r="D36" i="6"/>
  <c r="D23" i="6"/>
  <c r="D32" i="6"/>
  <c r="C30" i="6" s="1"/>
  <c r="D43" i="6"/>
  <c r="C41" i="6" s="1"/>
  <c r="D33" i="6"/>
  <c r="D24" i="6"/>
  <c r="D21" i="6"/>
  <c r="C19" i="6" s="1"/>
  <c r="D35" i="6"/>
  <c r="D45" i="6"/>
  <c r="D46" i="6"/>
  <c r="D11" i="6"/>
  <c r="D13" i="6"/>
  <c r="D14" i="6"/>
  <c r="D10" i="6"/>
  <c r="C8" i="6" l="1"/>
  <c r="G14" i="5" l="1"/>
  <c r="G58" i="5" l="1"/>
  <c r="G59" i="5"/>
  <c r="C14" i="4" l="1"/>
  <c r="G70" i="5"/>
  <c r="C15" i="4" l="1"/>
  <c r="C16" i="4" s="1"/>
  <c r="C17" i="4" s="1"/>
  <c r="F14" i="4"/>
  <c r="G11" i="5"/>
  <c r="G15" i="5"/>
  <c r="D11" i="4" l="1"/>
  <c r="G71" i="5"/>
  <c r="G67" i="5"/>
  <c r="F11" i="4" l="1"/>
  <c r="D15" i="4"/>
  <c r="D16" i="4" s="1"/>
  <c r="D17" i="4" s="1"/>
  <c r="G72" i="5"/>
  <c r="F15" i="4" l="1"/>
  <c r="F16" i="4" s="1"/>
  <c r="F17" i="4" s="1"/>
  <c r="G73" i="5"/>
  <c r="D37" i="5"/>
  <c r="G37" i="5" s="1"/>
  <c r="G31" i="5"/>
  <c r="T94" i="11" l="1"/>
</calcChain>
</file>

<file path=xl/sharedStrings.xml><?xml version="1.0" encoding="utf-8"?>
<sst xmlns="http://schemas.openxmlformats.org/spreadsheetml/2006/main" count="690" uniqueCount="548">
  <si>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</si>
  <si>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</si>
  <si>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Title of Project: Strengthening the justice and security sector response to drug trafficking and transnational organized crime to reduce insecurity in Guinea-Bissau.</t>
  </si>
  <si>
    <t>Table 1 - PBF project budget by outcome, output and activity</t>
  </si>
  <si>
    <t>Phase I</t>
  </si>
  <si>
    <t>Phase II</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</si>
  <si>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</si>
  <si>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</si>
  <si>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UNDP</t>
  </si>
  <si>
    <t>UNODC</t>
  </si>
  <si>
    <t>IOM</t>
  </si>
  <si>
    <t>Total  Phase I</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</si>
  <si>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</si>
  <si>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Phase I</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</si>
  <si>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</si>
  <si>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Total  Phase II</t>
  </si>
  <si>
    <t>Cumulative Phase( I+II)</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</si>
  <si>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Phase II</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</si>
  <si>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Phase I + Phase II</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</si>
  <si>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</si>
  <si>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</si>
  <si>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Rule of Law and Security Institutions are able to more effectively prevent, investigate and prosecute drug trafficking and transnational organized crime, reducing the country´s sources of fragility.</t>
  </si>
  <si>
    <t>Output 1.1:</t>
  </si>
  <si>
    <t>Coordination capacity of National security agencies and justice sector actors to prevent and respond to drug trafficking and transnational organized crime, is reinforced.</t>
  </si>
  <si>
    <t>Activity 1.1.1:</t>
  </si>
  <si>
    <t>Support the development and implementation of the National Strategic Plan to counter drug trafficking and transnational organized crime in close collaboration with regional and sub-regional organizations.</t>
  </si>
  <si>
    <t>Priority is given to gender issues to provide the basis for rising gender-sensitive approach within the development of legal frameworks, cooperation mechanisms and plans.</t>
  </si>
  <si>
    <t>Activity 1.1.2:</t>
  </si>
  <si>
    <t>Support the development and implementation of the National Strategic Plan to prevent and protect victims of human trafficking</t>
  </si>
  <si>
    <t>Activity 1.1.3:</t>
  </si>
  <si>
    <t>Advisory support to the Superior Council for Police and Internal Security Coordination (COSIPOL)  as the strategic and operational coordination mechanism of Law enforcement agencies on DTOC that affects internal security of the country.</t>
  </si>
  <si>
    <t xml:space="preserve">Gender equality is taking into account to access training and coordination opportunities regardless in leadership, decision-making and the added value to the performance of institutions/organizations </t>
  </si>
  <si>
    <t>Activity 1.1.4</t>
  </si>
  <si>
    <t>Enhance capacities of the Ministry of Justice and relevant authorities to produce periodic analysis on data collected on drug and human trafficking</t>
  </si>
  <si>
    <t>Activity 1.1.5</t>
  </si>
  <si>
    <t>Provide legislative assistance for the review and development of a legal framework to tackle drug trafficking and transnational organized crime,while respecting human rights.</t>
  </si>
  <si>
    <t>Activity 1.1.6:</t>
  </si>
  <si>
    <t>Support the elaboration of an internal strategy to combat corruption and improve transparence within the rule of law institutions</t>
  </si>
  <si>
    <t>Activity 1.1.7:</t>
  </si>
  <si>
    <t>Support the inspection services and external oversight mechanisms in rule of law institutions.</t>
  </si>
  <si>
    <t>Activity 1.1.8</t>
  </si>
  <si>
    <t>Facilitate discussion sessions with security and justice institutions, key countries (providers and receivers) and organizations to enhance regional cooperation on prevention, investigation and prosecution of drug trafficking and transnational organized crime</t>
  </si>
  <si>
    <t>Activity 1.1.9</t>
  </si>
  <si>
    <t xml:space="preserve">Develop and enhance existing strategic and operational coordination mechanisms among security and justice sectors, including law enforcement agencies, and judiciary. </t>
  </si>
  <si>
    <t>Activity 1.1.10</t>
  </si>
  <si>
    <t>Support inter-agency exchange of information and operational coordination among law enforcement agencies and relevant stakeholders on prevention and investigation of transnational organized crime</t>
  </si>
  <si>
    <t>Activity 1.1.11</t>
  </si>
  <si>
    <t>Advisory support to the Transnational Crime Unit (TCU) Management Board with oversight responsibility over this specialized Unit designated for criminal-intelligence gathering on DTOC</t>
  </si>
  <si>
    <t>Activity 1.1.8:</t>
  </si>
  <si>
    <t xml:space="preserve">Support a study on the base line on public satisfaction with the rule of law and security institutions, and perception survey to detect the root causes of the mistrust of the population to nurture output 1.2 and define way to reinforce accountability in term of change. </t>
  </si>
  <si>
    <t>Gender is prioritized to encourage gender related challenges for instance DTOC and security issues. This will aim to show how values and norms influence on field realities and reinforce stereotypes.</t>
  </si>
  <si>
    <t>Activity 1.1.9:</t>
  </si>
  <si>
    <t>Support the international and regional law enforcement coordination dynamics with a special focus on cooperation with Brazil and Portugal on the one hand, and with the Gambia, Cabo Verde, Guinea and Senegal, on the other.</t>
  </si>
  <si>
    <t>Support cooperation with LEA at international level thought networking, mentoring, and learning from regional and international police.</t>
  </si>
  <si>
    <t>Output Total</t>
  </si>
  <si>
    <t>Output 1.2:</t>
  </si>
  <si>
    <t>The Security and justice sector institutions have improved capacity to effectively investigate, prosecute  and adjudicate drug trafficking/transnational organized crime cases cases.</t>
  </si>
  <si>
    <t>Activity 1.2.1</t>
  </si>
  <si>
    <t>Provide technical assistance to law enforcement agencies to develop training curricula on detection and investigation of drug trafficking and transnational organized crime, as well as on ethics and gender.</t>
  </si>
  <si>
    <t>Activity 1.2.2</t>
  </si>
  <si>
    <t>Deliver a Training of Trainers Programme to establish an inter-agency pool of national trainers on detection, investigation and prosecution of drug trafficking and transnational organized crime and provide on-site mentoring during the first cycle of national training delivery.</t>
  </si>
  <si>
    <t>Activity 1.2.3</t>
  </si>
  <si>
    <t xml:space="preserve">Support through capacity building trainings, equipments the mandate implementation of specialized units to combat drug trafficking and transnational organized crime. </t>
  </si>
  <si>
    <t>Activity 1.2.4</t>
  </si>
  <si>
    <t xml:space="preserve">Reinforce the security in Bafata detention facility to host the detainees condemn for DTOC cases. </t>
  </si>
  <si>
    <t>Activity 1.2.5</t>
  </si>
  <si>
    <t>Support the replication of model police station (Gabu) in close coordination with local community.</t>
  </si>
  <si>
    <t>Activity 1.2.6</t>
  </si>
  <si>
    <t xml:space="preserve">Strengthen criminal investigations and border control services through capacity building refurbishment and equipment. </t>
  </si>
  <si>
    <t>Activity 1.2.7</t>
  </si>
  <si>
    <t>Provide technical advisory services and mentoring to the prosecutor’s office to improve its capacity to prosecute crimes related to drug trafficking and transnational organized crime.</t>
  </si>
  <si>
    <t>Activity 1.2.8</t>
  </si>
  <si>
    <t>Extend the development of Case Management System on DTOC to the offices of the Prosecutor General and the courts.</t>
  </si>
  <si>
    <t>Activity 1.2.9</t>
  </si>
  <si>
    <t xml:space="preserve"> Enhance LEAs operational capacities including material resources management to enable more proactive and effective intervention of these services.</t>
  </si>
  <si>
    <t>Activity 1.2.10</t>
  </si>
  <si>
    <t>Foster the national capacities for an effective boarder management and control.</t>
  </si>
  <si>
    <t>Activity 1.2.11</t>
  </si>
  <si>
    <t xml:space="preserve"> Support the creation of management tools (Standard Operating Procedures) for the LEA including a specific data base for the CENTIF.</t>
  </si>
  <si>
    <t>Activity 1.2.12</t>
  </si>
  <si>
    <t xml:space="preserve"> Promote evidence-based knowledge on trends, threats and good practices on drugs, illicit trafficking and organized crime according to the local challenge and environment</t>
  </si>
  <si>
    <t>Activity 1.2.13</t>
  </si>
  <si>
    <t xml:space="preserve"> Support the selection process and training of new agent to reinforce the operational capacities of the Judicial Police to manage complex, sensitive cases effectively.</t>
  </si>
  <si>
    <t>Activity 1.2.14</t>
  </si>
  <si>
    <t xml:space="preserve"> Support national partners (law enforcement officers and judicial actors) training on organized crime investigation, information collection, coordination and analysis aiming to effectively prevent the drug problem and tackle illicit trafficking, and organized crime.</t>
  </si>
  <si>
    <t>Activity 1.2.15</t>
  </si>
  <si>
    <t>Support the equipment of Bafata regional prison, the Model Police Station in Gabu as well as Cambadju and Dungal border post.</t>
  </si>
  <si>
    <t>Activity 1.2.16</t>
  </si>
  <si>
    <t>Support the installation of the Judicial Police in the Bafatá region.</t>
  </si>
  <si>
    <t>Output 1.3:</t>
  </si>
  <si>
    <t>Civilian society organizations and communities involvement over the security practices and institutions responsible to combat drug trafficking and transnational organized crime, is enhanced.</t>
  </si>
  <si>
    <t>Activity 1.3.1</t>
  </si>
  <si>
    <t>Provide advisory support and dedicated trainings to the new elected legislative, in particular the security, justice and defense committees, to exercise oversight over the security institutions.</t>
  </si>
  <si>
    <t>Activity 1.3.2</t>
  </si>
  <si>
    <t>Enhance and replicate existing community-oriented practices and networks with a focus on analysis the impact and enhance the response of the justice and security institutions to the needs of vulnerable groups, including women, men, boys and girls.</t>
  </si>
  <si>
    <t>Activity 1.3.3</t>
  </si>
  <si>
    <t>Support to the Civil Society Organizations (CSOs), the National Drug Observatory and local communities   to enhance coordination and cooperation between the Government and civil society in particular youth and women groups and act as a platform of Early Warning mechanism on DTOC</t>
  </si>
  <si>
    <t>Activity 1.3.4</t>
  </si>
  <si>
    <t>Support the creation and operationalization of an early warning system based on existing child trafficking communities' vigilance/protection committees and CSOs networks in the region for early detection and prevention of possible cases human trafficking, including the 4 associations of Koranic teachers created by IOM in Bafata, Gabu and Quinara/Tombali regions for early detection and prevention of possible cases of human trafficking</t>
  </si>
  <si>
    <t>Activity 1.3.5</t>
  </si>
  <si>
    <t>Strengthen community and national awareness raising on the risk of drug trafficking and transnational organized crime through awareness raising campaigns engaging women, community leaders’ youth and volunteers’ networks, associations and media (local radios) in all the country.</t>
  </si>
  <si>
    <t>1st Tranche Grant OGDT</t>
  </si>
  <si>
    <t>Activity 1.3.6</t>
  </si>
  <si>
    <t>Convene a series of national consultation and trainings with all leading institutions to clarify the division of labor, mandate and responsibilities among security, justice and civil society actors.</t>
  </si>
  <si>
    <t>Support community involvement, with a special attention to the participation of women youth and vulnerable groups, in improving community-police relations (proximity police) and in supporting police related functions.</t>
  </si>
  <si>
    <t>Activity 1.3.7</t>
  </si>
  <si>
    <t xml:space="preserve">Support the implementation of the priority action plan from network of national and sub-regional CSOs working to support the fight of illicit markets in border areas. </t>
  </si>
  <si>
    <t>Activity 1.3.8</t>
  </si>
  <si>
    <t>Support civil society to strengthen their participation in the development implementation and monitoring  of the CDTOC policy and programmes</t>
  </si>
  <si>
    <t>Activity 1.3.9</t>
  </si>
  <si>
    <t>Support technical capacities of local communities and CSOs to plan, develop and implement initiatives to prevent and monitor CDTOC within the development of monitoring platform.</t>
  </si>
  <si>
    <t>Activity 1.3.10</t>
  </si>
  <si>
    <t>Support the national media consortium to develop and publish media products to improve awareness/advocacy tools  to fight against DTOC.</t>
  </si>
  <si>
    <t>Output 1.4:</t>
  </si>
  <si>
    <t>The national anti-corruption strategy is operationalized to support integrity, anti-corruption, and combat money laundering.</t>
  </si>
  <si>
    <t>Activity 1.4.1</t>
  </si>
  <si>
    <t>Support legal, policy and institutional frameworks to counter corruption, AML/CFT and to foster compliance and a culture of integrity and accountability and protect whistleblowers</t>
  </si>
  <si>
    <t>Activity 1.4.2</t>
  </si>
  <si>
    <t>Support the inspection services  in rule of law institutions.</t>
  </si>
  <si>
    <t>Activity 1.4.3</t>
  </si>
  <si>
    <t>Provide support to Law enforcement Agencies (LEAs) policy and plans and capacity development of anti-corruption in the implementation of the National Anti-Corruption strategy.</t>
  </si>
  <si>
    <t>Activity 1.4.4</t>
  </si>
  <si>
    <t>Support awareness-raiing sessions by CSOs for mainstreaming anti-corruption preventive measures into rule of Law strategies to maximize impact.</t>
  </si>
  <si>
    <t>Activity 1.4.5</t>
  </si>
  <si>
    <t>Support constructive dialogue coordination and cooperation with relevant internal and external partners to better support national efforts to fight corruption, and AML/CFT.</t>
  </si>
  <si>
    <t>Activity 1.4.6</t>
  </si>
  <si>
    <t>Support national CSOs networks of anti-corruption, media(journalism), and youth  to  contribute  to prevent and fight against corruption and facilitate sharing of knowledge, awareness and  good practices.</t>
  </si>
  <si>
    <t>Additional personnel costs</t>
  </si>
  <si>
    <t xml:space="preserve">
NOB- UNDP Project Coordinator
SB4 - UNDP Finance &amp; Admin Assit 
UNODC Drug Control and Crime Prevention Officer (P4) and UNODC National Projet Officer</t>
  </si>
  <si>
    <t>Women candidature encouraged</t>
  </si>
  <si>
    <t>Additional operational costs</t>
  </si>
  <si>
    <t>Connectivity, Office Supplies, Printing, Fuel</t>
  </si>
  <si>
    <t>Monitoring budget</t>
  </si>
  <si>
    <t xml:space="preserve">Monitoring &amp; Communications </t>
  </si>
  <si>
    <t>Budget for independent final evaluation</t>
  </si>
  <si>
    <t>Total Additional Costs</t>
  </si>
  <si>
    <t>Totals Phase I</t>
  </si>
  <si>
    <t>Totals Phase II</t>
  </si>
  <si>
    <t>Totals Cumulative  Phase (I+II)</t>
  </si>
  <si>
    <t>Total</t>
  </si>
  <si>
    <t>Sub-Total Project Budget</t>
  </si>
  <si>
    <t>Indirect support costs (7%):</t>
  </si>
  <si>
    <t>OIM</t>
  </si>
  <si>
    <t>Performance-Based Tranche Breakdown - Phase I</t>
  </si>
  <si>
    <t>Performance-Based Tranche Breakdown - Phase II</t>
  </si>
  <si>
    <t>Tranche %</t>
  </si>
  <si>
    <t>First Tranche:</t>
  </si>
  <si>
    <t>Third Tranche:</t>
  </si>
  <si>
    <t>Second Tranche:</t>
  </si>
  <si>
    <t>Fourth Tranche:</t>
  </si>
  <si>
    <t>Third Tranche</t>
  </si>
  <si>
    <t>Fifth Tranche:</t>
  </si>
  <si>
    <t>Total:</t>
  </si>
  <si>
    <r>
      <t xml:space="preserve">$ Towards GEWE </t>
    </r>
    <r>
      <rPr>
        <sz val="11"/>
        <color theme="1"/>
        <rFont val="Calibri"/>
        <family val="2"/>
        <scheme val="minor"/>
      </rPr>
      <t>(includes indirect costs)</t>
    </r>
  </si>
  <si>
    <t>Total Expenditure 1st and 2nd Tranche</t>
  </si>
  <si>
    <t>Total Expenditure 3rd Tranche</t>
  </si>
  <si>
    <t>% Towards GEWE</t>
  </si>
  <si>
    <t>Delivery Rate Total Budget(not include PSC):</t>
  </si>
  <si>
    <r>
      <t xml:space="preserve">$ Towards M&amp;E </t>
    </r>
    <r>
      <rPr>
        <sz val="11"/>
        <color theme="1"/>
        <rFont val="Calibri"/>
        <family val="2"/>
        <scheme val="minor"/>
      </rPr>
      <t>(includes indirect costs)</t>
    </r>
  </si>
  <si>
    <t>% Towards M&amp;E</t>
  </si>
  <si>
    <t xml:space="preserve"> Phase II</t>
  </si>
  <si>
    <t>Phase I+II</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</si>
  <si>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</si>
  <si>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Towards GEWE (includes indirect costs)</t>
  </si>
  <si>
    <t>$ Towards M&amp;E (includes indirect costs)</t>
  </si>
  <si>
    <t xml:space="preserve">Note: PBF does not accept projects with less than 5% towards M&amp;E and less than 15% towards GEWE. These figures will show as red if this minimum threshold is not met.  </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</si>
  <si>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</si>
  <si>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</si>
  <si>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</si>
  <si>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</si>
  <si>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</si>
  <si>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</si>
  <si>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</si>
  <si>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</si>
  <si>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</si>
  <si>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</si>
  <si>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</si>
  <si>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</si>
  <si>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</si>
  <si>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</si>
  <si>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</si>
  <si>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Additional Costs</t>
  </si>
  <si>
    <t>Additional Cost Totals from Table 1</t>
  </si>
  <si>
    <t>Totals</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</si>
  <si>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</si>
  <si>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</si>
  <si>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</si>
  <si>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</si>
  <si>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</si>
  <si>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</si>
  <si>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</si>
  <si>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</si>
  <si>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</si>
  <si>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</si>
  <si>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</si>
  <si>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</si>
  <si>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</si>
  <si>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</si>
  <si>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</si>
  <si>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</si>
  <si>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</si>
  <si>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</si>
  <si>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</si>
  <si>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</si>
  <si>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</si>
  <si>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</si>
  <si>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</si>
  <si>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Performance-Based Tranche Breakdown</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</si>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</sst>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 #,##0_-;_-* &quot;-&quot;_-;_-@_-"/>
    <numFmt numFmtId="165" formatCode="_-* #,##0.00\ &quot;CFA&quot;_-;\-* #,##0.00\ &quot;CFA&quot;_-;_-* &quot;-&quot;??\ &quot;CFA&quot;_-;_-@_-"/>
    <numFmt numFmtId="166" formatCode="_-* #,##0.00\ _C_F_A_-;\-* #,##0.00\ _C_F_A_-;_-* &quot;-&quot;??\ _C_F_A_-;_-@_-"/>
    <numFmt numFmtId="167" formatCode="0.0%"/>
    <numFmt numFmtId="168" formatCode="_-* #,##0.00\ _€_-;\-* #,##0.00\ _€_-;_-* &quot;-&quot;??\ _€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14"/>
      <name val="Calibri"/>
      <family val="2"/>
      <scheme val="minor"/>
    </font>
    <font>
      <b/>
      <sz val="14"/>
      <color rgb="FF002060"/>
      <name val="Calibri"/>
      <family val="2"/>
      <scheme val="minor"/>
    </font>
    <font>
      <b/>
      <sz val="12"/>
      <name val="Calibri"/>
      <family val="2"/>
      <scheme val="minor"/>
    </font>
    <font>
      <b/>
      <sz val="12"/>
      <color rgb="FF0070C0"/>
      <name val="Calibri"/>
      <family val="2"/>
      <scheme val="minor"/>
    </font>
    <font>
      <sz val="12"/>
      <color rgb="FF0070C0"/>
      <name val="Calibri"/>
      <family val="2"/>
      <scheme val="minor"/>
    </font>
    <font>
      <sz val="11"/>
      <color rgb="FF0070C0"/>
      <name val="Calibri"/>
      <family val="2"/>
      <scheme val="minor"/>
    </font>
    <font>
      <b/>
      <sz val="12"/>
      <color rgb="FF002060"/>
      <name val="Calibri"/>
      <family val="2"/>
      <scheme val="minor"/>
    </font>
    <font>
      <sz val="12"/>
      <color rgb="FF00B05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8" tint="0.59999389629810485"/>
        <bgColor indexed="64"/>
      </patternFill>
    </fill>
    <fill>
      <patternFill patternType="solid">
        <fgColor theme="9" tint="0.59999389629810485"/>
        <bgColor indexed="64"/>
      </patternFill>
    </fill>
  </fills>
  <borders count="7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thin">
        <color indexed="64"/>
      </left>
      <right style="double">
        <color indexed="64"/>
      </right>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double">
        <color indexed="64"/>
      </right>
      <top style="medium">
        <color indexed="64"/>
      </top>
      <bottom style="double">
        <color indexed="64"/>
      </bottom>
      <diagonal/>
    </border>
  </borders>
  <cellStyleXfs count="6">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cellStyleXfs>
  <cellXfs count="424">
    <xf numFmtId="0" fontId="0" fillId="0" borderId="0" xfId="0"/>
    <xf numFmtId="0" fontId="6" fillId="0" borderId="0" xfId="0"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44" fontId="10" fillId="0" borderId="0" xfId="1" applyFont="1" applyFill="1" applyBorder="1" applyAlignment="1" applyProtection="1">
      <alignment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13" fillId="0" borderId="0" xfId="0" applyFont="1" applyAlignment="1">
      <alignment wrapText="1"/>
    </xf>
    <xf numFmtId="0" fontId="14" fillId="0" borderId="0" xfId="0" applyFont="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44" fontId="2" fillId="3" borderId="0" xfId="2" applyNumberFormat="1" applyFont="1" applyFill="1" applyBorder="1" applyAlignment="1">
      <alignment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0"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18" fillId="0" borderId="0" xfId="0" applyFont="1" applyAlignment="1">
      <alignment wrapText="1"/>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4" fontId="2" fillId="8"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8" borderId="0" xfId="1" applyFont="1" applyFill="1" applyBorder="1" applyAlignment="1">
      <alignment wrapText="1"/>
    </xf>
    <xf numFmtId="44" fontId="2" fillId="8" borderId="0" xfId="1" applyFont="1" applyFill="1" applyBorder="1" applyAlignment="1">
      <alignment vertical="center" wrapText="1"/>
    </xf>
    <xf numFmtId="44" fontId="2" fillId="8" borderId="0" xfId="1" applyFont="1" applyFill="1" applyBorder="1" applyAlignment="1" applyProtection="1">
      <alignment horizontal="center" vertical="center" wrapText="1"/>
    </xf>
    <xf numFmtId="44" fontId="2" fillId="8" borderId="0" xfId="1" applyFont="1" applyFill="1" applyBorder="1" applyAlignment="1" applyProtection="1">
      <alignment vertical="center" wrapText="1"/>
      <protection locked="0"/>
    </xf>
    <xf numFmtId="44" fontId="2" fillId="8" borderId="0" xfId="1" applyFont="1" applyFill="1" applyBorder="1" applyAlignment="1" applyProtection="1">
      <alignment horizontal="right" vertical="center" wrapText="1"/>
      <protection locked="0"/>
    </xf>
    <xf numFmtId="44" fontId="2" fillId="8" borderId="0" xfId="1" applyFont="1" applyFill="1" applyBorder="1" applyAlignment="1" applyProtection="1">
      <alignment vertical="center" wrapText="1"/>
    </xf>
    <xf numFmtId="44" fontId="0" fillId="8" borderId="16" xfId="1" applyFont="1" applyFill="1" applyBorder="1" applyAlignment="1">
      <alignment vertical="center" wrapText="1"/>
    </xf>
    <xf numFmtId="9" fontId="0" fillId="8" borderId="14" xfId="2" applyFont="1" applyFill="1" applyBorder="1" applyAlignment="1">
      <alignment wrapText="1"/>
    </xf>
    <xf numFmtId="44" fontId="23" fillId="3" borderId="3"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44" fontId="1" fillId="2" borderId="3" xfId="1" applyFont="1" applyFill="1" applyBorder="1" applyAlignment="1" applyProtection="1">
      <alignment horizontal="center" vertical="center"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23" fillId="0" borderId="3" xfId="0" applyNumberFormat="1" applyFont="1" applyBorder="1" applyAlignment="1" applyProtection="1">
      <alignment wrapText="1"/>
      <protection locked="0"/>
    </xf>
    <xf numFmtId="10" fontId="0" fillId="0" borderId="0" xfId="2" applyNumberFormat="1" applyFont="1" applyBorder="1" applyAlignment="1">
      <alignment wrapText="1"/>
    </xf>
    <xf numFmtId="43" fontId="5" fillId="0" borderId="0" xfId="3" applyFont="1" applyBorder="1" applyAlignment="1">
      <alignment wrapText="1"/>
    </xf>
    <xf numFmtId="44" fontId="2" fillId="0" borderId="0" xfId="0" applyNumberFormat="1" applyFont="1" applyAlignment="1">
      <alignment horizontal="center" vertical="center" wrapText="1"/>
    </xf>
    <xf numFmtId="44" fontId="23" fillId="8" borderId="3" xfId="1" applyFont="1" applyFill="1" applyBorder="1" applyAlignment="1" applyProtection="1">
      <alignment horizontal="center" vertical="center" wrapText="1"/>
      <protection locked="0"/>
    </xf>
    <xf numFmtId="44" fontId="23" fillId="0" borderId="39" xfId="0" applyNumberFormat="1" applyFont="1" applyBorder="1" applyAlignment="1" applyProtection="1">
      <alignment wrapText="1"/>
      <protection locked="0"/>
    </xf>
    <xf numFmtId="43" fontId="1" fillId="3" borderId="0" xfId="3" applyFont="1" applyFill="1" applyBorder="1" applyAlignment="1">
      <alignment wrapText="1"/>
    </xf>
    <xf numFmtId="44" fontId="1" fillId="3" borderId="0" xfId="0" applyNumberFormat="1" applyFont="1" applyFill="1" applyAlignment="1">
      <alignment wrapText="1"/>
    </xf>
    <xf numFmtId="44" fontId="23" fillId="3" borderId="39" xfId="1" applyFont="1" applyFill="1" applyBorder="1" applyAlignment="1" applyProtection="1">
      <alignment horizontal="center" vertical="center" wrapText="1"/>
      <protection locked="0"/>
    </xf>
    <xf numFmtId="0" fontId="23" fillId="0" borderId="3" xfId="0" applyFont="1" applyBorder="1" applyAlignment="1" applyProtection="1">
      <alignment horizontal="left" vertical="top" wrapText="1"/>
      <protection locked="0"/>
    </xf>
    <xf numFmtId="43" fontId="14" fillId="0" borderId="0" xfId="3" applyFont="1" applyBorder="1" applyAlignment="1">
      <alignment wrapText="1"/>
    </xf>
    <xf numFmtId="43" fontId="2" fillId="3" borderId="0" xfId="3" applyFont="1" applyFill="1" applyBorder="1" applyAlignment="1">
      <alignment vertical="center" wrapText="1"/>
    </xf>
    <xf numFmtId="43" fontId="2" fillId="0" borderId="0" xfId="3" applyFont="1" applyFill="1" applyBorder="1" applyAlignment="1">
      <alignment horizontal="center" vertical="center" wrapText="1"/>
    </xf>
    <xf numFmtId="43" fontId="2" fillId="0" borderId="0" xfId="3" applyFont="1" applyFill="1" applyBorder="1" applyAlignment="1">
      <alignment wrapText="1"/>
    </xf>
    <xf numFmtId="44" fontId="1" fillId="0"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39" xfId="0" applyFont="1" applyFill="1" applyBorder="1" applyAlignment="1">
      <alignment horizontal="center" vertical="center" wrapText="1"/>
    </xf>
    <xf numFmtId="44" fontId="14" fillId="0" borderId="0" xfId="1" applyFont="1" applyFill="1" applyBorder="1" applyAlignment="1">
      <alignment wrapText="1"/>
    </xf>
    <xf numFmtId="0" fontId="0" fillId="0" borderId="0" xfId="0" applyAlignment="1">
      <alignment wrapText="1"/>
    </xf>
    <xf numFmtId="0" fontId="24" fillId="0" borderId="0" xfId="0" applyFont="1" applyAlignment="1">
      <alignment vertical="top" wrapText="1"/>
    </xf>
    <xf numFmtId="0" fontId="2" fillId="0" borderId="0" xfId="0" applyFont="1" applyAlignment="1">
      <alignment wrapText="1"/>
    </xf>
    <xf numFmtId="44" fontId="12" fillId="0" borderId="0" xfId="1" applyFont="1" applyFill="1" applyBorder="1" applyAlignment="1">
      <alignment horizontal="left" wrapText="1"/>
    </xf>
    <xf numFmtId="0" fontId="18" fillId="0" borderId="0" xfId="0" applyFont="1" applyAlignment="1">
      <alignment horizontal="left" wrapText="1"/>
    </xf>
    <xf numFmtId="44" fontId="2" fillId="7" borderId="55" xfId="1" applyFont="1" applyFill="1" applyBorder="1" applyAlignment="1">
      <alignment wrapText="1"/>
    </xf>
    <xf numFmtId="44" fontId="2" fillId="7" borderId="58" xfId="1" applyFont="1" applyFill="1" applyBorder="1" applyAlignment="1">
      <alignment wrapText="1"/>
    </xf>
    <xf numFmtId="0" fontId="26" fillId="2" borderId="3"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0" borderId="0" xfId="0" applyFont="1" applyAlignment="1">
      <alignment horizontal="center" vertical="center" wrapText="1"/>
    </xf>
    <xf numFmtId="0" fontId="2" fillId="2" borderId="3" xfId="0" applyFont="1" applyFill="1" applyBorder="1" applyAlignment="1">
      <alignment vertical="center" wrapText="1"/>
    </xf>
    <xf numFmtId="0" fontId="23" fillId="2" borderId="3" xfId="0" applyFont="1" applyFill="1" applyBorder="1" applyAlignment="1">
      <alignment vertical="center" wrapText="1"/>
    </xf>
    <xf numFmtId="9" fontId="1" fillId="0" borderId="3" xfId="2" applyFont="1" applyBorder="1" applyAlignment="1" applyProtection="1">
      <alignment horizontal="center" vertical="center" wrapText="1"/>
      <protection locked="0"/>
    </xf>
    <xf numFmtId="44" fontId="23" fillId="0" borderId="3" xfId="1" applyFont="1" applyFill="1" applyBorder="1" applyAlignment="1" applyProtection="1">
      <alignment horizontal="center" vertical="center" wrapText="1"/>
      <protection locked="0"/>
    </xf>
    <xf numFmtId="44" fontId="10" fillId="0" borderId="3" xfId="1" applyFont="1" applyFill="1" applyBorder="1" applyAlignment="1" applyProtection="1">
      <alignment horizontal="center" vertical="center" wrapText="1"/>
      <protection locked="0"/>
    </xf>
    <xf numFmtId="44" fontId="9" fillId="2" borderId="3" xfId="1" applyFont="1" applyFill="1" applyBorder="1" applyAlignment="1" applyProtection="1">
      <alignment horizontal="center" vertical="center" wrapText="1"/>
    </xf>
    <xf numFmtId="44" fontId="27"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44" fontId="1" fillId="8"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4" fontId="28" fillId="0" borderId="3" xfId="1" applyFont="1" applyFill="1" applyBorder="1" applyAlignment="1" applyProtection="1">
      <alignment horizontal="center" vertical="center" wrapText="1"/>
      <protection locked="0"/>
    </xf>
    <xf numFmtId="44" fontId="10" fillId="3" borderId="3" xfId="1" applyFont="1" applyFill="1" applyBorder="1" applyAlignment="1" applyProtection="1">
      <alignment horizontal="center" vertical="center" wrapText="1"/>
      <protection locked="0"/>
    </xf>
    <xf numFmtId="0" fontId="10" fillId="0" borderId="3" xfId="0" applyFont="1" applyBorder="1" applyAlignment="1" applyProtection="1">
      <alignment horizontal="left" vertical="top" wrapText="1"/>
      <protection locked="0"/>
    </xf>
    <xf numFmtId="0" fontId="0" fillId="3" borderId="0" xfId="0" applyFill="1" applyAlignment="1">
      <alignment wrapText="1"/>
    </xf>
    <xf numFmtId="44" fontId="10" fillId="0" borderId="3" xfId="1" applyFont="1" applyBorder="1" applyAlignment="1" applyProtection="1">
      <alignment horizontal="center" vertical="center" wrapText="1"/>
      <protection locked="0"/>
    </xf>
    <xf numFmtId="44" fontId="27" fillId="2" borderId="3" xfId="1" applyFont="1" applyFill="1" applyBorder="1" applyAlignment="1" applyProtection="1">
      <alignment horizontal="center" vertical="center" wrapText="1"/>
    </xf>
    <xf numFmtId="44" fontId="23" fillId="2" borderId="3" xfId="1" applyFont="1" applyFill="1" applyBorder="1" applyAlignment="1" applyProtection="1">
      <alignment horizontal="center" vertical="center" wrapText="1"/>
    </xf>
    <xf numFmtId="44" fontId="28" fillId="3" borderId="3" xfId="1" applyFont="1" applyFill="1" applyBorder="1" applyAlignment="1" applyProtection="1">
      <alignment horizontal="center" vertical="center" wrapText="1"/>
      <protection locked="0"/>
    </xf>
    <xf numFmtId="0" fontId="29" fillId="3" borderId="0" xfId="0" applyFont="1" applyFill="1" applyAlignment="1">
      <alignment wrapText="1"/>
    </xf>
    <xf numFmtId="9" fontId="28" fillId="0" borderId="3" xfId="2" applyFont="1" applyBorder="1" applyAlignment="1" applyProtection="1">
      <alignment horizontal="center" vertical="center" wrapText="1"/>
      <protection locked="0"/>
    </xf>
    <xf numFmtId="44" fontId="28" fillId="8" borderId="3" xfId="1" applyFont="1" applyFill="1" applyBorder="1" applyAlignment="1" applyProtection="1">
      <alignment horizontal="center" vertical="center" wrapText="1"/>
      <protection locked="0"/>
    </xf>
    <xf numFmtId="0" fontId="29" fillId="0" borderId="0" xfId="0" applyFont="1" applyAlignment="1">
      <alignment wrapText="1"/>
    </xf>
    <xf numFmtId="44" fontId="28" fillId="2" borderId="3" xfId="1" applyFont="1" applyFill="1" applyBorder="1" applyAlignment="1" applyProtection="1">
      <alignment horizontal="center" vertical="center" wrapText="1"/>
    </xf>
    <xf numFmtId="44" fontId="2" fillId="2" borderId="5" xfId="1" applyFont="1" applyFill="1" applyBorder="1" applyAlignment="1" applyProtection="1">
      <alignment horizontal="center" vertical="center" wrapText="1"/>
    </xf>
    <xf numFmtId="44" fontId="30" fillId="2" borderId="3" xfId="1" applyFont="1" applyFill="1" applyBorder="1" applyAlignment="1" applyProtection="1">
      <alignment horizontal="center" vertical="center" wrapText="1"/>
    </xf>
    <xf numFmtId="44" fontId="10" fillId="2" borderId="3" xfId="1" applyFont="1" applyFill="1" applyBorder="1" applyAlignment="1" applyProtection="1">
      <alignment horizontal="center" vertical="center" wrapText="1"/>
    </xf>
    <xf numFmtId="0" fontId="26" fillId="2" borderId="3" xfId="0" applyFont="1" applyFill="1" applyBorder="1" applyAlignment="1">
      <alignment vertical="center" wrapText="1"/>
    </xf>
    <xf numFmtId="44" fontId="27" fillId="8" borderId="3" xfId="1" applyFont="1" applyFill="1" applyBorder="1" applyAlignment="1" applyProtection="1">
      <alignment horizontal="center" vertical="center" wrapText="1"/>
    </xf>
    <xf numFmtId="0" fontId="2" fillId="3" borderId="0" xfId="0" applyFont="1" applyFill="1" applyAlignment="1">
      <alignment vertical="center" wrapText="1"/>
    </xf>
    <xf numFmtId="0" fontId="1" fillId="3" borderId="0" xfId="0" applyFont="1" applyFill="1" applyAlignment="1" applyProtection="1">
      <alignment vertical="center" wrapText="1"/>
      <protection locked="0"/>
    </xf>
    <xf numFmtId="44" fontId="1" fillId="3" borderId="0" xfId="1" applyFont="1" applyFill="1" applyBorder="1" applyAlignment="1" applyProtection="1">
      <alignment vertical="center" wrapText="1"/>
      <protection locked="0"/>
    </xf>
    <xf numFmtId="44" fontId="1" fillId="8" borderId="0"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44" fontId="1" fillId="2" borderId="3" xfId="1" applyFont="1" applyFill="1" applyBorder="1" applyAlignment="1" applyProtection="1">
      <alignment vertical="center" wrapText="1"/>
    </xf>
    <xf numFmtId="44" fontId="23" fillId="8" borderId="3" xfId="1" applyFont="1" applyFill="1" applyBorder="1" applyAlignment="1" applyProtection="1">
      <alignment vertical="center" wrapText="1"/>
      <protection locked="0"/>
    </xf>
    <xf numFmtId="44" fontId="23" fillId="0" borderId="3" xfId="1" applyFont="1" applyFill="1" applyBorder="1" applyAlignment="1" applyProtection="1">
      <alignment vertical="center" wrapText="1"/>
      <protection locked="0"/>
    </xf>
    <xf numFmtId="44" fontId="10" fillId="0" borderId="3" xfId="1"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44" fontId="28" fillId="0" borderId="3" xfId="1" applyFont="1" applyBorder="1" applyAlignment="1" applyProtection="1">
      <alignment vertical="center" wrapText="1"/>
      <protection locked="0"/>
    </xf>
    <xf numFmtId="0" fontId="2" fillId="2" borderId="39" xfId="0" applyFont="1" applyFill="1" applyBorder="1" applyAlignment="1">
      <alignment vertical="center" wrapText="1"/>
    </xf>
    <xf numFmtId="9" fontId="1" fillId="0" borderId="3" xfId="2" applyFont="1" applyBorder="1" applyAlignment="1" applyProtection="1">
      <alignment vertical="center" wrapText="1"/>
      <protection locked="0"/>
    </xf>
    <xf numFmtId="44" fontId="9" fillId="4" borderId="3" xfId="1" applyFont="1" applyFill="1" applyBorder="1" applyAlignment="1" applyProtection="1">
      <alignment vertical="center" wrapText="1"/>
    </xf>
    <xf numFmtId="0" fontId="2" fillId="3" borderId="0" xfId="0" applyFont="1" applyFill="1" applyAlignment="1" applyProtection="1">
      <alignment vertical="center" wrapText="1"/>
      <protection locked="0"/>
    </xf>
    <xf numFmtId="44" fontId="2" fillId="2" borderId="52" xfId="1" applyFont="1" applyFill="1" applyBorder="1" applyAlignment="1" applyProtection="1">
      <alignment horizontal="center" vertical="center" wrapText="1"/>
      <protection locked="0"/>
    </xf>
    <xf numFmtId="44" fontId="2" fillId="5" borderId="63" xfId="1" applyFont="1" applyFill="1" applyBorder="1" applyAlignment="1" applyProtection="1">
      <alignment horizontal="center" vertical="center" wrapText="1"/>
      <protection locked="0"/>
    </xf>
    <xf numFmtId="44" fontId="2" fillId="5" borderId="66" xfId="1" applyFont="1" applyFill="1" applyBorder="1" applyAlignment="1" applyProtection="1">
      <alignment horizontal="center"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2" borderId="4" xfId="1" applyFont="1" applyFill="1" applyBorder="1" applyAlignment="1" applyProtection="1">
      <alignment vertical="center" wrapText="1"/>
      <protection locked="0"/>
    </xf>
    <xf numFmtId="44" fontId="2" fillId="5" borderId="67" xfId="1" applyFont="1" applyFill="1" applyBorder="1" applyAlignment="1" applyProtection="1">
      <alignment horizontal="center" vertical="center" wrapText="1"/>
      <protection locked="0"/>
    </xf>
    <xf numFmtId="44" fontId="27" fillId="3" borderId="6" xfId="0" applyNumberFormat="1" applyFont="1" applyFill="1" applyBorder="1" applyAlignment="1">
      <alignment vertical="center" wrapText="1"/>
    </xf>
    <xf numFmtId="0" fontId="1" fillId="0" borderId="0" xfId="0" applyFont="1" applyAlignment="1" applyProtection="1">
      <alignment vertical="center" wrapText="1"/>
      <protection locked="0"/>
    </xf>
    <xf numFmtId="44" fontId="0" fillId="0" borderId="0" xfId="1" applyFont="1" applyFill="1" applyBorder="1" applyAlignment="1">
      <alignment wrapText="1"/>
    </xf>
    <xf numFmtId="44" fontId="2" fillId="2" borderId="51" xfId="1" applyFont="1" applyFill="1" applyBorder="1" applyAlignment="1" applyProtection="1">
      <alignment vertical="center" wrapText="1"/>
    </xf>
    <xf numFmtId="0" fontId="2" fillId="5" borderId="12" xfId="0" applyFont="1" applyFill="1" applyBorder="1" applyAlignment="1">
      <alignment horizontal="center" vertical="center" wrapText="1"/>
    </xf>
    <xf numFmtId="44" fontId="2" fillId="5" borderId="24" xfId="0" applyNumberFormat="1" applyFont="1" applyFill="1" applyBorder="1" applyAlignment="1">
      <alignment vertical="center" wrapText="1"/>
    </xf>
    <xf numFmtId="44" fontId="2" fillId="0" borderId="0" xfId="1" applyFont="1" applyFill="1" applyBorder="1" applyAlignment="1">
      <alignment vertical="center" wrapText="1"/>
    </xf>
    <xf numFmtId="0" fontId="1" fillId="0" borderId="0" xfId="0" applyFont="1" applyAlignment="1">
      <alignment vertical="center" wrapText="1"/>
    </xf>
    <xf numFmtId="0" fontId="2" fillId="2" borderId="8" xfId="0" applyFont="1" applyFill="1" applyBorder="1" applyAlignment="1">
      <alignment horizontal="center" vertical="center" wrapText="1"/>
    </xf>
    <xf numFmtId="0" fontId="2" fillId="2" borderId="52" xfId="0" applyFont="1" applyFill="1" applyBorder="1" applyAlignment="1">
      <alignment horizontal="center" vertical="center" wrapText="1"/>
    </xf>
    <xf numFmtId="44" fontId="2" fillId="0" borderId="0" xfId="1" applyFont="1" applyFill="1" applyBorder="1" applyAlignment="1" applyProtection="1">
      <alignment vertical="center" wrapText="1"/>
      <protection locked="0"/>
    </xf>
    <xf numFmtId="44" fontId="2" fillId="3" borderId="9" xfId="2" applyNumberFormat="1"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0" borderId="0" xfId="1" applyFont="1" applyFill="1" applyBorder="1" applyAlignment="1" applyProtection="1">
      <alignment horizontal="right" vertical="center" wrapText="1"/>
      <protection locked="0"/>
    </xf>
    <xf numFmtId="44" fontId="2" fillId="3" borderId="31" xfId="2" applyNumberFormat="1" applyFont="1" applyFill="1" applyBorder="1" applyAlignment="1" applyProtection="1">
      <alignment vertical="center" wrapText="1"/>
      <protection locked="0"/>
    </xf>
    <xf numFmtId="0" fontId="2" fillId="0" borderId="0" xfId="0" applyFont="1" applyAlignment="1">
      <alignment vertical="center" wrapText="1"/>
    </xf>
    <xf numFmtId="44" fontId="2" fillId="0" borderId="0" xfId="0" applyNumberFormat="1" applyFont="1" applyAlignment="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44" fontId="0" fillId="0" borderId="0" xfId="1" applyFont="1" applyFill="1" applyBorder="1" applyAlignment="1">
      <alignment vertical="center" wrapText="1"/>
    </xf>
    <xf numFmtId="0" fontId="3" fillId="2" borderId="4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12" xfId="0" applyFill="1" applyBorder="1" applyAlignment="1">
      <alignment wrapText="1"/>
    </xf>
    <xf numFmtId="9" fontId="0" fillId="0" borderId="0" xfId="2" applyFont="1" applyFill="1" applyBorder="1" applyAlignment="1">
      <alignment wrapText="1"/>
    </xf>
    <xf numFmtId="0" fontId="3" fillId="2" borderId="1" xfId="0" applyFont="1" applyFill="1" applyBorder="1" applyAlignment="1">
      <alignment horizontal="left" vertical="center" wrapText="1"/>
    </xf>
    <xf numFmtId="44" fontId="0" fillId="0" borderId="0" xfId="0" applyNumberFormat="1" applyAlignment="1">
      <alignment wrapText="1"/>
    </xf>
    <xf numFmtId="0" fontId="3" fillId="3"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5" borderId="12" xfId="0" applyFill="1" applyBorder="1" applyAlignment="1">
      <alignment horizontal="center" vertical="center" wrapText="1"/>
    </xf>
    <xf numFmtId="0" fontId="0" fillId="5" borderId="47" xfId="0" applyFill="1" applyBorder="1" applyAlignment="1">
      <alignment horizontal="center" vertical="center" wrapText="1"/>
    </xf>
    <xf numFmtId="0" fontId="0" fillId="5" borderId="14" xfId="0" applyFill="1" applyBorder="1" applyAlignment="1">
      <alignment horizontal="center" vertical="center" wrapText="1"/>
    </xf>
    <xf numFmtId="0" fontId="16" fillId="0" borderId="0" xfId="0" applyFont="1" applyAlignment="1" applyProtection="1">
      <alignment wrapText="1"/>
      <protection locked="0"/>
    </xf>
    <xf numFmtId="9" fontId="1" fillId="0" borderId="3" xfId="2"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9" fontId="28" fillId="0" borderId="3" xfId="2" applyFont="1" applyFill="1" applyBorder="1" applyAlignment="1" applyProtection="1">
      <alignment horizontal="center" vertical="center" wrapText="1"/>
      <protection locked="0"/>
    </xf>
    <xf numFmtId="44" fontId="10" fillId="0" borderId="3" xfId="1" applyFont="1" applyFill="1" applyBorder="1" applyAlignment="1" applyProtection="1">
      <alignment vertical="center" wrapText="1"/>
      <protection locked="0"/>
    </xf>
    <xf numFmtId="44" fontId="1" fillId="2" borderId="61" xfId="1" applyFont="1" applyFill="1" applyBorder="1" applyAlignment="1" applyProtection="1">
      <alignment horizontal="center" vertical="center" wrapText="1"/>
      <protection locked="0"/>
    </xf>
    <xf numFmtId="44" fontId="1" fillId="2" borderId="10" xfId="1" applyFont="1" applyFill="1" applyBorder="1" applyAlignment="1" applyProtection="1">
      <alignment horizontal="center" vertical="center" wrapText="1"/>
      <protection locked="0"/>
    </xf>
    <xf numFmtId="44" fontId="2" fillId="3" borderId="25" xfId="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44" fontId="2" fillId="2" borderId="62" xfId="1" applyFont="1" applyFill="1" applyBorder="1" applyAlignment="1" applyProtection="1">
      <alignment horizontal="center" vertical="center" wrapText="1"/>
      <protection locked="0"/>
    </xf>
    <xf numFmtId="44" fontId="2" fillId="2" borderId="65" xfId="1" applyFont="1" applyFill="1" applyBorder="1" applyAlignment="1" applyProtection="1">
      <alignment horizontal="center" vertical="center" wrapText="1"/>
      <protection locked="0"/>
    </xf>
    <xf numFmtId="44" fontId="27" fillId="3" borderId="64" xfId="0" applyNumberFormat="1" applyFont="1" applyFill="1" applyBorder="1" applyAlignment="1" applyProtection="1">
      <alignment horizontal="center" vertical="center" wrapText="1"/>
      <protection locked="0"/>
    </xf>
    <xf numFmtId="44" fontId="27" fillId="3" borderId="24" xfId="0" applyNumberFormat="1" applyFont="1" applyFill="1" applyBorder="1" applyAlignment="1" applyProtection="1">
      <alignment horizontal="center" vertical="center" wrapText="1"/>
      <protection locked="0"/>
    </xf>
    <xf numFmtId="44" fontId="2" fillId="2" borderId="26" xfId="1" applyFont="1" applyFill="1" applyBorder="1" applyAlignment="1" applyProtection="1">
      <alignment horizontal="center" vertical="center" wrapText="1"/>
      <protection locked="0"/>
    </xf>
    <xf numFmtId="44" fontId="2" fillId="2" borderId="27" xfId="1" applyFont="1" applyFill="1" applyBorder="1" applyAlignment="1" applyProtection="1">
      <alignment horizontal="center" vertical="center" wrapText="1"/>
      <protection locked="0"/>
    </xf>
    <xf numFmtId="44" fontId="2" fillId="2" borderId="59" xfId="1" applyFont="1" applyFill="1" applyBorder="1" applyAlignment="1" applyProtection="1">
      <alignment horizontal="center" vertical="center" wrapText="1"/>
      <protection locked="0"/>
    </xf>
    <xf numFmtId="44" fontId="2" fillId="5" borderId="60" xfId="1" applyFont="1" applyFill="1" applyBorder="1" applyAlignment="1" applyProtection="1">
      <alignment horizontal="center" vertical="center" wrapText="1"/>
      <protection locked="0"/>
    </xf>
    <xf numFmtId="44" fontId="9" fillId="8" borderId="3" xfId="1" applyFont="1" applyFill="1" applyBorder="1" applyAlignment="1" applyProtection="1">
      <alignment horizontal="center" vertical="center" wrapText="1"/>
    </xf>
    <xf numFmtId="44" fontId="2" fillId="5" borderId="69" xfId="1" applyFont="1" applyFill="1" applyBorder="1" applyAlignment="1" applyProtection="1">
      <alignment horizontal="center" vertical="center" wrapText="1"/>
      <protection locked="0"/>
    </xf>
    <xf numFmtId="44" fontId="2" fillId="0" borderId="0" xfId="1" applyFont="1" applyFill="1" applyBorder="1" applyAlignment="1" applyProtection="1">
      <alignment horizontal="center" vertical="center" wrapText="1"/>
      <protection locked="0"/>
    </xf>
    <xf numFmtId="9" fontId="2" fillId="0" borderId="0" xfId="2" applyFont="1" applyFill="1" applyBorder="1" applyAlignment="1" applyProtection="1">
      <alignment vertical="center" wrapText="1"/>
      <protection locked="0"/>
    </xf>
    <xf numFmtId="9" fontId="2" fillId="0" borderId="0" xfId="2" applyFont="1" applyFill="1" applyBorder="1" applyAlignment="1" applyProtection="1">
      <alignment horizontal="right" vertical="center" wrapText="1"/>
      <protection locked="0"/>
    </xf>
    <xf numFmtId="10" fontId="0" fillId="8" borderId="14" xfId="2" applyNumberFormat="1" applyFont="1" applyFill="1" applyBorder="1" applyAlignment="1">
      <alignment wrapText="1"/>
    </xf>
    <xf numFmtId="0" fontId="1" fillId="0" borderId="3" xfId="0" applyFont="1" applyBorder="1" applyAlignment="1" applyProtection="1">
      <alignment horizontal="left" vertical="top" wrapText="1"/>
      <protection locked="0"/>
    </xf>
    <xf numFmtId="44" fontId="2" fillId="0" borderId="25" xfId="1" applyFont="1" applyFill="1" applyBorder="1" applyAlignment="1">
      <alignment horizontal="center" vertical="center" wrapText="1"/>
    </xf>
    <xf numFmtId="166" fontId="0" fillId="0" borderId="0" xfId="0" applyNumberFormat="1" applyAlignment="1">
      <alignment wrapText="1"/>
    </xf>
    <xf numFmtId="44" fontId="26" fillId="2" borderId="16" xfId="0" applyNumberFormat="1" applyFont="1" applyFill="1" applyBorder="1" applyAlignment="1">
      <alignment vertical="center" wrapText="1"/>
    </xf>
    <xf numFmtId="44" fontId="2" fillId="3" borderId="0" xfId="1" applyFont="1" applyFill="1" applyBorder="1" applyAlignment="1">
      <alignment horizontal="center" vertical="center" wrapText="1"/>
    </xf>
    <xf numFmtId="44" fontId="2" fillId="2" borderId="0" xfId="0" applyNumberFormat="1" applyFont="1" applyFill="1" applyAlignment="1">
      <alignment vertical="center" wrapText="1"/>
    </xf>
    <xf numFmtId="10" fontId="2" fillId="2" borderId="0" xfId="2" applyNumberFormat="1" applyFont="1" applyFill="1" applyBorder="1" applyAlignment="1" applyProtection="1">
      <alignment wrapText="1"/>
    </xf>
    <xf numFmtId="0" fontId="3" fillId="2" borderId="0" xfId="0" applyFont="1" applyFill="1" applyAlignment="1">
      <alignment horizontal="center" vertical="center" wrapText="1"/>
    </xf>
    <xf numFmtId="44" fontId="2" fillId="2" borderId="0" xfId="2" applyNumberFormat="1" applyFont="1" applyFill="1" applyBorder="1" applyAlignment="1" applyProtection="1">
      <alignment wrapText="1"/>
    </xf>
    <xf numFmtId="0" fontId="0" fillId="5" borderId="0" xfId="0" applyFill="1" applyAlignment="1">
      <alignment horizontal="center" vertical="center" wrapText="1"/>
    </xf>
    <xf numFmtId="167" fontId="0" fillId="0" borderId="0" xfId="2" applyNumberFormat="1" applyFont="1" applyFill="1" applyBorder="1" applyAlignment="1">
      <alignment wrapText="1"/>
    </xf>
    <xf numFmtId="164" fontId="2" fillId="0" borderId="0" xfId="5" applyFont="1" applyFill="1" applyBorder="1" applyAlignment="1" applyProtection="1">
      <alignment vertical="center" wrapText="1"/>
    </xf>
    <xf numFmtId="44" fontId="14" fillId="11" borderId="0" xfId="1" applyFont="1" applyFill="1" applyBorder="1" applyAlignment="1">
      <alignment wrapText="1"/>
    </xf>
    <xf numFmtId="0" fontId="24" fillId="11" borderId="0" xfId="0" applyFont="1" applyFill="1" applyAlignment="1">
      <alignment vertical="top" wrapText="1"/>
    </xf>
    <xf numFmtId="44" fontId="12" fillId="11" borderId="0" xfId="1" applyFont="1" applyFill="1" applyBorder="1" applyAlignment="1">
      <alignment horizontal="left" wrapText="1"/>
    </xf>
    <xf numFmtId="0" fontId="9" fillId="11" borderId="3" xfId="0" applyFont="1" applyFill="1" applyBorder="1" applyAlignment="1">
      <alignment horizontal="center" vertical="center" wrapText="1"/>
    </xf>
    <xf numFmtId="44" fontId="10" fillId="11" borderId="3" xfId="1" applyFont="1" applyFill="1" applyBorder="1" applyAlignment="1" applyProtection="1">
      <alignment horizontal="center" vertical="center" wrapText="1"/>
      <protection locked="0"/>
    </xf>
    <xf numFmtId="44" fontId="9" fillId="11" borderId="3" xfId="1" applyFont="1" applyFill="1" applyBorder="1" applyAlignment="1" applyProtection="1">
      <alignment horizontal="center" vertical="center" wrapText="1"/>
    </xf>
    <xf numFmtId="44" fontId="2" fillId="11" borderId="5" xfId="1" applyFont="1" applyFill="1" applyBorder="1" applyAlignment="1" applyProtection="1">
      <alignment horizontal="center" vertical="center" wrapText="1"/>
    </xf>
    <xf numFmtId="0" fontId="0" fillId="11" borderId="0" xfId="0" applyFill="1"/>
    <xf numFmtId="44" fontId="1" fillId="11" borderId="0" xfId="1" applyFont="1" applyFill="1" applyBorder="1" applyAlignment="1" applyProtection="1">
      <alignment vertical="center" wrapText="1"/>
      <protection locked="0"/>
    </xf>
    <xf numFmtId="44" fontId="10" fillId="11" borderId="3" xfId="1" applyFont="1" applyFill="1" applyBorder="1" applyAlignment="1" applyProtection="1">
      <alignment vertical="center" wrapText="1"/>
      <protection locked="0"/>
    </xf>
    <xf numFmtId="44" fontId="9" fillId="11" borderId="3" xfId="1" applyFont="1" applyFill="1" applyBorder="1" applyAlignment="1" applyProtection="1">
      <alignment vertical="center" wrapText="1"/>
    </xf>
    <xf numFmtId="44" fontId="2" fillId="11" borderId="27" xfId="1" applyFont="1" applyFill="1" applyBorder="1" applyAlignment="1" applyProtection="1">
      <alignment horizontal="center" vertical="center" wrapText="1"/>
      <protection locked="0"/>
    </xf>
    <xf numFmtId="44" fontId="2" fillId="11" borderId="52" xfId="1" applyFont="1" applyFill="1" applyBorder="1" applyAlignment="1" applyProtection="1">
      <alignment horizontal="center" vertical="center" wrapText="1"/>
      <protection locked="0"/>
    </xf>
    <xf numFmtId="44" fontId="2" fillId="11" borderId="39" xfId="1" applyFont="1" applyFill="1" applyBorder="1" applyAlignment="1" applyProtection="1">
      <alignment horizontal="center" vertical="center" wrapText="1"/>
      <protection locked="0"/>
    </xf>
    <xf numFmtId="44" fontId="1" fillId="11" borderId="3" xfId="0" applyNumberFormat="1" applyFont="1" applyFill="1" applyBorder="1" applyAlignment="1">
      <alignment vertical="center" wrapText="1"/>
    </xf>
    <xf numFmtId="44" fontId="2" fillId="11" borderId="13" xfId="1" applyFont="1" applyFill="1" applyBorder="1" applyAlignment="1" applyProtection="1">
      <alignment vertical="center" wrapText="1"/>
    </xf>
    <xf numFmtId="44" fontId="2" fillId="11" borderId="0" xfId="1" applyFont="1" applyFill="1" applyBorder="1" applyAlignment="1">
      <alignment vertical="center" wrapText="1"/>
    </xf>
    <xf numFmtId="44" fontId="2" fillId="11" borderId="0" xfId="1" applyFont="1" applyFill="1" applyBorder="1" applyAlignment="1" applyProtection="1">
      <alignment horizontal="center" vertical="center" wrapText="1"/>
    </xf>
    <xf numFmtId="0" fontId="2" fillId="11" borderId="8" xfId="0" applyFont="1" applyFill="1" applyBorder="1" applyAlignment="1">
      <alignment vertical="center" wrapText="1"/>
    </xf>
    <xf numFmtId="0" fontId="2" fillId="11" borderId="35" xfId="0" applyFont="1" applyFill="1" applyBorder="1" applyAlignment="1">
      <alignment vertical="center" wrapText="1"/>
    </xf>
    <xf numFmtId="0" fontId="2" fillId="11" borderId="12" xfId="0" applyFont="1" applyFill="1" applyBorder="1" applyAlignment="1">
      <alignment vertical="center" wrapText="1"/>
    </xf>
    <xf numFmtId="44" fontId="0" fillId="11" borderId="0" xfId="1" applyFont="1" applyFill="1" applyBorder="1" applyAlignment="1">
      <alignment wrapText="1"/>
    </xf>
    <xf numFmtId="44" fontId="2" fillId="11" borderId="25" xfId="1" applyFont="1" applyFill="1" applyBorder="1" applyAlignment="1">
      <alignment horizontal="center" vertical="center" wrapText="1"/>
    </xf>
    <xf numFmtId="0" fontId="3" fillId="11" borderId="28" xfId="0" applyFont="1" applyFill="1" applyBorder="1" applyAlignment="1">
      <alignment horizontal="left" vertical="center" wrapText="1"/>
    </xf>
    <xf numFmtId="0" fontId="3" fillId="11" borderId="8" xfId="0" applyFont="1" applyFill="1" applyBorder="1" applyAlignment="1">
      <alignment horizontal="left" vertical="center" wrapText="1"/>
    </xf>
    <xf numFmtId="0" fontId="3" fillId="11" borderId="7" xfId="0" applyFont="1" applyFill="1" applyBorder="1" applyAlignment="1">
      <alignment horizontal="center" vertical="center" wrapText="1"/>
    </xf>
    <xf numFmtId="0" fontId="0" fillId="11" borderId="12" xfId="0" applyFill="1" applyBorder="1" applyAlignment="1">
      <alignment horizontal="center" vertical="center" wrapText="1"/>
    </xf>
    <xf numFmtId="44" fontId="31" fillId="0" borderId="3" xfId="0" applyNumberFormat="1" applyFont="1" applyBorder="1" applyAlignment="1" applyProtection="1">
      <alignment wrapText="1"/>
      <protection locked="0"/>
    </xf>
    <xf numFmtId="44" fontId="26" fillId="8" borderId="3" xfId="1" applyFont="1" applyFill="1" applyBorder="1" applyAlignment="1" applyProtection="1">
      <alignment horizontal="center" vertical="center" wrapText="1"/>
      <protection locked="0"/>
    </xf>
    <xf numFmtId="168" fontId="0" fillId="0" borderId="0" xfId="0" applyNumberFormat="1" applyAlignment="1">
      <alignment wrapText="1"/>
    </xf>
    <xf numFmtId="44" fontId="26" fillId="2" borderId="39" xfId="0" applyNumberFormat="1" applyFont="1" applyFill="1" applyBorder="1" applyAlignment="1">
      <alignment wrapText="1"/>
    </xf>
    <xf numFmtId="44" fontId="26" fillId="2" borderId="3" xfId="0" applyNumberFormat="1" applyFont="1" applyFill="1" applyBorder="1" applyAlignment="1">
      <alignment wrapText="1"/>
    </xf>
    <xf numFmtId="0" fontId="1" fillId="0" borderId="0" xfId="0" applyFont="1" applyAlignment="1">
      <alignment wrapText="1"/>
    </xf>
    <xf numFmtId="43" fontId="1" fillId="0" borderId="0" xfId="3" applyFont="1" applyBorder="1" applyAlignment="1">
      <alignment wrapText="1"/>
    </xf>
    <xf numFmtId="44" fontId="1" fillId="0" borderId="0" xfId="0" applyNumberFormat="1" applyFont="1" applyAlignment="1">
      <alignment wrapText="1"/>
    </xf>
    <xf numFmtId="0" fontId="1" fillId="3" borderId="0" xfId="0" applyFont="1" applyFill="1" applyAlignment="1">
      <alignment wrapText="1"/>
    </xf>
    <xf numFmtId="43" fontId="1" fillId="0" borderId="0" xfId="3" applyFont="1" applyFill="1" applyBorder="1" applyAlignment="1">
      <alignment wrapText="1"/>
    </xf>
    <xf numFmtId="168" fontId="1" fillId="0" borderId="0" xfId="0" applyNumberFormat="1" applyFont="1" applyAlignment="1">
      <alignment wrapText="1"/>
    </xf>
    <xf numFmtId="44" fontId="1" fillId="2" borderId="39" xfId="0" applyNumberFormat="1" applyFont="1" applyFill="1" applyBorder="1" applyAlignment="1">
      <alignment wrapText="1"/>
    </xf>
    <xf numFmtId="43" fontId="1" fillId="3" borderId="0" xfId="3" applyFont="1" applyFill="1" applyBorder="1" applyAlignment="1" applyProtection="1">
      <alignment vertical="center" wrapText="1"/>
      <protection locked="0"/>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43" fontId="1" fillId="0" borderId="0" xfId="0" applyNumberFormat="1" applyFont="1" applyAlignment="1">
      <alignment wrapText="1"/>
    </xf>
    <xf numFmtId="168" fontId="1" fillId="3" borderId="0" xfId="0" applyNumberFormat="1" applyFont="1" applyFill="1" applyAlignment="1">
      <alignment wrapText="1"/>
    </xf>
    <xf numFmtId="166" fontId="1" fillId="3" borderId="0" xfId="0" applyNumberFormat="1" applyFont="1" applyFill="1" applyAlignment="1">
      <alignment wrapText="1"/>
    </xf>
    <xf numFmtId="0" fontId="1" fillId="3" borderId="0" xfId="0" applyFont="1" applyFill="1" applyAlignment="1">
      <alignment horizontal="center" vertical="center" wrapText="1"/>
    </xf>
    <xf numFmtId="43" fontId="1" fillId="3" borderId="0" xfId="0" applyNumberFormat="1" applyFont="1" applyFill="1" applyAlignment="1">
      <alignment wrapText="1"/>
    </xf>
    <xf numFmtId="0" fontId="1" fillId="0" borderId="0" xfId="0" applyFont="1"/>
    <xf numFmtId="44" fontId="1" fillId="2" borderId="49"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20" fillId="0" borderId="0" xfId="0" applyFont="1" applyAlignment="1">
      <alignment horizontal="left" vertical="top" wrapText="1"/>
    </xf>
    <xf numFmtId="44" fontId="1" fillId="11" borderId="61" xfId="1" applyFont="1" applyFill="1" applyBorder="1" applyAlignment="1" applyProtection="1">
      <alignment horizontal="center" vertical="center" wrapText="1"/>
      <protection locked="0"/>
    </xf>
    <xf numFmtId="44" fontId="1" fillId="11" borderId="10" xfId="1" applyFont="1" applyFill="1" applyBorder="1" applyAlignment="1" applyProtection="1">
      <alignment horizontal="center" vertical="center" wrapText="1"/>
      <protection locked="0"/>
    </xf>
    <xf numFmtId="44" fontId="2" fillId="2" borderId="52"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68"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44" fontId="2" fillId="2" borderId="26" xfId="1" applyFont="1" applyFill="1" applyBorder="1" applyAlignment="1" applyProtection="1">
      <alignment horizontal="center" vertical="center" wrapText="1"/>
      <protection locked="0"/>
    </xf>
    <xf numFmtId="44" fontId="2" fillId="2" borderId="27" xfId="1" applyFont="1" applyFill="1" applyBorder="1" applyAlignment="1" applyProtection="1">
      <alignment horizontal="center" vertical="center" wrapText="1"/>
      <protection locked="0"/>
    </xf>
    <xf numFmtId="44" fontId="2" fillId="2" borderId="21" xfId="1" applyFont="1" applyFill="1" applyBorder="1" applyAlignment="1" applyProtection="1">
      <alignment horizontal="center" vertical="center" wrapText="1"/>
      <protection locked="0"/>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44" fontId="2" fillId="10" borderId="57" xfId="1" applyFont="1" applyFill="1" applyBorder="1" applyAlignment="1">
      <alignment horizontal="center" wrapText="1"/>
    </xf>
    <xf numFmtId="44" fontId="2" fillId="10" borderId="55" xfId="1" applyFont="1" applyFill="1" applyBorder="1" applyAlignment="1">
      <alignment horizontal="center" wrapText="1"/>
    </xf>
    <xf numFmtId="0" fontId="25" fillId="0" borderId="0" xfId="0" applyFont="1" applyAlignment="1">
      <alignment horizontal="left" vertical="top" wrapText="1"/>
    </xf>
    <xf numFmtId="0" fontId="18" fillId="0" borderId="53" xfId="0" applyFont="1" applyBorder="1" applyAlignment="1">
      <alignment horizontal="left" wrapText="1"/>
    </xf>
    <xf numFmtId="0" fontId="2" fillId="2" borderId="54" xfId="0" applyFont="1" applyFill="1" applyBorder="1" applyAlignment="1">
      <alignment horizontal="center" wrapText="1"/>
    </xf>
    <xf numFmtId="0" fontId="2" fillId="2" borderId="55" xfId="0" applyFont="1" applyFill="1" applyBorder="1" applyAlignment="1">
      <alignment horizontal="center" wrapText="1"/>
    </xf>
    <xf numFmtId="0" fontId="2" fillId="5" borderId="55" xfId="0" applyFont="1" applyFill="1" applyBorder="1" applyAlignment="1">
      <alignment horizontal="center" wrapText="1"/>
    </xf>
    <xf numFmtId="0" fontId="2" fillId="5" borderId="56" xfId="0" applyFont="1" applyFill="1" applyBorder="1" applyAlignment="1">
      <alignment horizontal="center" wrapText="1"/>
    </xf>
    <xf numFmtId="44" fontId="2" fillId="2" borderId="52" xfId="0" applyNumberFormat="1"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4" xfId="0" applyNumberFormat="1" applyFont="1" applyFill="1" applyBorder="1" applyAlignment="1">
      <alignment horizontal="center"/>
    </xf>
    <xf numFmtId="44" fontId="3" fillId="2" borderId="45" xfId="0" applyNumberFormat="1" applyFont="1" applyFill="1" applyBorder="1" applyAlignment="1">
      <alignment horizontal="center"/>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2"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6">
    <cellStyle name="Comma" xfId="3" builtinId="3"/>
    <cellStyle name="Comma [0]" xfId="5" builtinId="6"/>
    <cellStyle name="Currency" xfId="1" builtinId="4"/>
    <cellStyle name="Moeda 2" xfId="4" xr:uid="{00000000-0005-0000-0000-000002000000}"/>
    <cellStyle name="Normal" xfId="0" builtinId="0"/>
    <cellStyle name="Percent" xfId="2"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G3" sqref="G3"/>
    </sheetView>
  </sheetViews>
  <sheetFormatPr defaultColWidth="8.81640625" defaultRowHeight="14.5" x14ac:dyDescent="0.35"/>
  <cols>
    <col min="2" max="2" width="127.1796875" customWidth="1"/>
  </cols>
  <sheetData>
    <row r="2" spans="2:5" ht="36.75" customHeight="1" thickBot="1" x14ac:dyDescent="0.4">
      <c r="B2" s="335" t="s">
        <v>0</v>
      </c>
      <c r="C2" s="335"/>
      <c r="D2" s="335"/>
      <c r="E2" s="335"/>
    </row>
    <row r="3" spans="2:5" ht="295.5" customHeight="1" thickBot="1" x14ac:dyDescent="0.4">
      <c r="B3" s="101"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W112"/>
  <sheetViews>
    <sheetView showGridLines="0" showZeros="0" tabSelected="1" topLeftCell="A86" zoomScale="90" zoomScaleNormal="90" zoomScaleSheetLayoutView="70" workbookViewId="0">
      <selection activeCell="P32" sqref="P32"/>
    </sheetView>
  </sheetViews>
  <sheetFormatPr defaultColWidth="9.1796875" defaultRowHeight="14.5" x14ac:dyDescent="0.35"/>
  <cols>
    <col min="1" max="1" width="9.1796875" style="143"/>
    <col min="2" max="2" width="30.81640625" style="143" customWidth="1"/>
    <col min="3" max="3" width="32.453125" style="143" customWidth="1"/>
    <col min="4" max="4" width="25.1796875" style="143" customWidth="1"/>
    <col min="5" max="6" width="25.81640625" style="143" customWidth="1"/>
    <col min="7" max="7" width="23.1796875" style="143" customWidth="1"/>
    <col min="8" max="8" width="24.1796875" style="143" customWidth="1"/>
    <col min="9" max="9" width="22.453125" style="109" customWidth="1"/>
    <col min="10" max="10" width="22.453125" style="211" customWidth="1"/>
    <col min="11" max="11" width="22.453125" style="298" customWidth="1"/>
    <col min="12" max="18" width="22.453125" style="211" customWidth="1"/>
    <col min="19" max="19" width="25.81640625" style="98" customWidth="1"/>
    <col min="20" max="20" width="30.1796875" style="143" customWidth="1"/>
    <col min="21" max="21" width="18.81640625" style="143" customWidth="1"/>
    <col min="22" max="22" width="9.1796875" style="143"/>
    <col min="23" max="23" width="17.81640625" style="143" customWidth="1"/>
    <col min="24" max="24" width="26.453125" style="143" customWidth="1"/>
    <col min="25" max="25" width="22.453125" style="143" customWidth="1"/>
    <col min="26" max="26" width="29.81640625" style="143" customWidth="1"/>
    <col min="27" max="27" width="23.453125" style="143" customWidth="1"/>
    <col min="28" max="28" width="18.453125" style="143" customWidth="1"/>
    <col min="29" max="29" width="17.453125" style="143" customWidth="1"/>
    <col min="30" max="30" width="25.1796875" style="143" customWidth="1"/>
    <col min="31" max="16384" width="9.1796875" style="143"/>
  </cols>
  <sheetData>
    <row r="1" spans="2:21" ht="30.75" customHeight="1" x14ac:dyDescent="1">
      <c r="B1" s="335" t="s">
        <v>0</v>
      </c>
      <c r="C1" s="335"/>
      <c r="D1" s="335"/>
      <c r="E1" s="335"/>
      <c r="F1" s="10"/>
      <c r="G1" s="10"/>
      <c r="H1" s="11"/>
      <c r="I1" s="142"/>
      <c r="J1" s="142"/>
      <c r="K1" s="277"/>
      <c r="L1" s="142"/>
      <c r="M1" s="142"/>
      <c r="N1" s="142"/>
      <c r="O1" s="142"/>
      <c r="P1" s="142"/>
      <c r="Q1" s="142"/>
      <c r="R1" s="142"/>
      <c r="S1" s="97"/>
      <c r="T1" s="11"/>
    </row>
    <row r="2" spans="2:21" ht="30.75" customHeight="1" x14ac:dyDescent="1">
      <c r="B2" s="377" t="s">
        <v>2</v>
      </c>
      <c r="C2" s="377"/>
      <c r="D2" s="377"/>
      <c r="E2" s="377"/>
      <c r="F2" s="377"/>
      <c r="G2" s="377"/>
      <c r="H2" s="377"/>
      <c r="I2" s="142"/>
      <c r="J2" s="144"/>
      <c r="K2" s="278"/>
      <c r="L2" s="143"/>
      <c r="M2" s="143"/>
      <c r="N2" s="143"/>
      <c r="O2" s="143"/>
      <c r="P2" s="143"/>
      <c r="Q2" s="143"/>
      <c r="R2" s="143"/>
      <c r="S2" s="143"/>
    </row>
    <row r="3" spans="2:21" ht="16.5" customHeight="1" x14ac:dyDescent="0.6">
      <c r="B3" s="378" t="s">
        <v>3</v>
      </c>
      <c r="C3" s="378"/>
      <c r="D3" s="378"/>
      <c r="E3" s="378"/>
      <c r="F3" s="145"/>
      <c r="G3" s="145"/>
      <c r="H3" s="145"/>
      <c r="I3" s="146"/>
      <c r="J3" s="146"/>
      <c r="K3" s="279"/>
      <c r="L3" s="146"/>
      <c r="M3" s="146"/>
      <c r="N3" s="146"/>
      <c r="O3" s="146"/>
      <c r="P3" s="146"/>
      <c r="Q3" s="146"/>
      <c r="R3" s="146"/>
      <c r="S3" s="91"/>
    </row>
    <row r="4" spans="2:21" ht="16.5" customHeight="1" thickBot="1" x14ac:dyDescent="0.65">
      <c r="B4" s="147"/>
      <c r="C4" s="147"/>
      <c r="D4" s="147"/>
      <c r="E4" s="147"/>
      <c r="F4" s="145"/>
      <c r="G4" s="145"/>
      <c r="H4" s="145"/>
      <c r="I4" s="146"/>
      <c r="J4" s="146"/>
      <c r="K4" s="279"/>
      <c r="L4" s="146"/>
      <c r="M4" s="146"/>
      <c r="N4" s="146"/>
      <c r="O4" s="146"/>
      <c r="P4" s="146"/>
      <c r="Q4" s="146"/>
      <c r="R4" s="146"/>
      <c r="S4" s="91"/>
    </row>
    <row r="5" spans="2:21" ht="16" thickTop="1" x14ac:dyDescent="0.35">
      <c r="B5" s="379"/>
      <c r="C5" s="380"/>
      <c r="D5" s="381" t="s">
        <v>4</v>
      </c>
      <c r="E5" s="381"/>
      <c r="F5" s="381"/>
      <c r="G5" s="381"/>
      <c r="H5" s="381"/>
      <c r="I5" s="381"/>
      <c r="J5" s="382"/>
      <c r="K5" s="375" t="s">
        <v>5</v>
      </c>
      <c r="L5" s="376"/>
      <c r="M5" s="376"/>
      <c r="N5" s="376"/>
      <c r="O5" s="148"/>
      <c r="P5" s="148"/>
      <c r="Q5" s="148"/>
      <c r="R5" s="148"/>
      <c r="S5" s="148"/>
      <c r="T5" s="149"/>
    </row>
    <row r="6" spans="2:21" ht="154.5" customHeight="1" x14ac:dyDescent="0.35">
      <c r="B6" s="99" t="s">
        <v>6</v>
      </c>
      <c r="C6" s="99" t="s">
        <v>7</v>
      </c>
      <c r="D6" s="35" t="s">
        <v>8</v>
      </c>
      <c r="E6" s="35" t="s">
        <v>9</v>
      </c>
      <c r="F6" s="35" t="s">
        <v>10</v>
      </c>
      <c r="G6" s="150" t="s">
        <v>11</v>
      </c>
      <c r="H6" s="99" t="s">
        <v>12</v>
      </c>
      <c r="I6" s="151" t="s">
        <v>13</v>
      </c>
      <c r="J6" s="99" t="s">
        <v>14</v>
      </c>
      <c r="K6" s="280" t="s">
        <v>8</v>
      </c>
      <c r="L6" s="152" t="s">
        <v>9</v>
      </c>
      <c r="M6" s="99" t="s">
        <v>12</v>
      </c>
      <c r="N6" s="153" t="s">
        <v>15</v>
      </c>
      <c r="O6" s="152" t="s">
        <v>16</v>
      </c>
      <c r="P6" s="151" t="s">
        <v>17</v>
      </c>
      <c r="Q6" s="151" t="s">
        <v>18</v>
      </c>
      <c r="R6" s="99" t="s">
        <v>14</v>
      </c>
      <c r="S6" s="99" t="s">
        <v>14</v>
      </c>
      <c r="T6" s="99" t="s">
        <v>19</v>
      </c>
      <c r="U6" s="154"/>
    </row>
    <row r="7" spans="2:21" ht="51" customHeight="1" x14ac:dyDescent="0.35">
      <c r="B7" s="155" t="s">
        <v>20</v>
      </c>
      <c r="C7" s="363" t="s">
        <v>21</v>
      </c>
      <c r="D7" s="364"/>
      <c r="E7" s="364"/>
      <c r="F7" s="364"/>
      <c r="G7" s="364"/>
      <c r="H7" s="364"/>
      <c r="I7" s="364"/>
      <c r="J7" s="364"/>
      <c r="K7" s="364"/>
      <c r="L7" s="364"/>
      <c r="M7" s="364"/>
      <c r="N7" s="364"/>
      <c r="O7" s="364"/>
      <c r="P7" s="364"/>
      <c r="Q7" s="364"/>
      <c r="R7" s="364"/>
      <c r="S7" s="364"/>
      <c r="T7" s="365"/>
      <c r="U7" s="4"/>
    </row>
    <row r="8" spans="2:21" ht="51" customHeight="1" x14ac:dyDescent="0.35">
      <c r="B8" s="155" t="s">
        <v>22</v>
      </c>
      <c r="C8" s="366" t="s">
        <v>23</v>
      </c>
      <c r="D8" s="367"/>
      <c r="E8" s="367"/>
      <c r="F8" s="367"/>
      <c r="G8" s="367"/>
      <c r="H8" s="367"/>
      <c r="I8" s="367"/>
      <c r="J8" s="367"/>
      <c r="K8" s="367"/>
      <c r="L8" s="367"/>
      <c r="M8" s="367"/>
      <c r="N8" s="367"/>
      <c r="O8" s="367"/>
      <c r="P8" s="367"/>
      <c r="Q8" s="367"/>
      <c r="R8" s="367"/>
      <c r="S8" s="367"/>
      <c r="T8" s="368"/>
      <c r="U8" s="16"/>
    </row>
    <row r="9" spans="2:21" ht="130" customHeight="1" x14ac:dyDescent="0.35">
      <c r="B9" s="156" t="s">
        <v>24</v>
      </c>
      <c r="C9" s="133" t="s">
        <v>25</v>
      </c>
      <c r="D9" s="158"/>
      <c r="E9" s="158">
        <v>30000</v>
      </c>
      <c r="F9" s="158"/>
      <c r="G9" s="120">
        <f>SUM(D9:F9)</f>
        <v>30000</v>
      </c>
      <c r="H9" s="157">
        <v>0.37</v>
      </c>
      <c r="I9" s="128">
        <v>29935</v>
      </c>
      <c r="J9" s="192">
        <f>+H9*I9</f>
        <v>11075.95</v>
      </c>
      <c r="K9" s="281">
        <v>10000</v>
      </c>
      <c r="L9" s="159">
        <v>15000</v>
      </c>
      <c r="M9" s="242">
        <v>0.4</v>
      </c>
      <c r="N9" s="160">
        <f t="shared" ref="N9:N22" si="0">SUM(K9,L9)</f>
        <v>25000</v>
      </c>
      <c r="O9" s="161">
        <f t="shared" ref="O9:O19" si="1">SUM(G9,N9)</f>
        <v>55000</v>
      </c>
      <c r="P9" s="128">
        <v>16800</v>
      </c>
      <c r="Q9" s="161">
        <f t="shared" ref="Q9:Q22" si="2">SUM(I9,P9)</f>
        <v>46735</v>
      </c>
      <c r="R9" s="161">
        <f>+M9*P9</f>
        <v>6720</v>
      </c>
      <c r="S9" s="118" t="s">
        <v>26</v>
      </c>
      <c r="T9" s="162"/>
      <c r="U9" s="163"/>
    </row>
    <row r="10" spans="2:21" ht="108.5" x14ac:dyDescent="0.35">
      <c r="B10" s="156" t="s">
        <v>27</v>
      </c>
      <c r="C10" s="133" t="s">
        <v>28</v>
      </c>
      <c r="D10" s="158"/>
      <c r="E10" s="158">
        <v>10000</v>
      </c>
      <c r="F10" s="158">
        <v>50000</v>
      </c>
      <c r="G10" s="120">
        <f>SUM(D10:F10)</f>
        <v>60000</v>
      </c>
      <c r="H10" s="157">
        <v>0.6</v>
      </c>
      <c r="I10" s="128">
        <v>60000</v>
      </c>
      <c r="J10" s="192">
        <f>+H10*I10</f>
        <v>36000</v>
      </c>
      <c r="K10" s="281">
        <v>0</v>
      </c>
      <c r="L10" s="159">
        <v>5000</v>
      </c>
      <c r="M10" s="242">
        <v>0.3</v>
      </c>
      <c r="N10" s="160">
        <f t="shared" si="0"/>
        <v>5000</v>
      </c>
      <c r="O10" s="161">
        <f t="shared" si="1"/>
        <v>65000</v>
      </c>
      <c r="P10" s="128">
        <v>5000</v>
      </c>
      <c r="Q10" s="161">
        <f t="shared" si="2"/>
        <v>65000</v>
      </c>
      <c r="R10" s="161">
        <f>+M10*P10</f>
        <v>1500</v>
      </c>
      <c r="S10" s="118" t="s">
        <v>26</v>
      </c>
      <c r="T10" s="162"/>
      <c r="U10" s="163"/>
    </row>
    <row r="11" spans="2:21" ht="139.5" x14ac:dyDescent="0.35">
      <c r="B11" s="156" t="s">
        <v>29</v>
      </c>
      <c r="C11" s="133" t="s">
        <v>30</v>
      </c>
      <c r="D11" s="158"/>
      <c r="E11" s="158">
        <v>10000</v>
      </c>
      <c r="F11" s="158"/>
      <c r="G11" s="120">
        <f t="shared" ref="G11:G20" si="3">SUM(D11:F11)</f>
        <v>10000</v>
      </c>
      <c r="H11" s="242"/>
      <c r="I11" s="128"/>
      <c r="J11" s="192">
        <f t="shared" ref="J11:J22" si="4">+H11*I11</f>
        <v>0</v>
      </c>
      <c r="K11" s="281">
        <v>0</v>
      </c>
      <c r="L11" s="159">
        <v>5000</v>
      </c>
      <c r="M11" s="242">
        <v>0.3</v>
      </c>
      <c r="N11" s="160">
        <f t="shared" si="0"/>
        <v>5000</v>
      </c>
      <c r="O11" s="161">
        <f t="shared" si="1"/>
        <v>15000</v>
      </c>
      <c r="P11" s="128"/>
      <c r="Q11" s="161">
        <f t="shared" si="2"/>
        <v>0</v>
      </c>
      <c r="R11" s="161">
        <f t="shared" ref="R11:R22" si="5">+M11*P11</f>
        <v>0</v>
      </c>
      <c r="S11" s="138" t="s">
        <v>31</v>
      </c>
      <c r="T11" s="243"/>
      <c r="U11" s="163"/>
    </row>
    <row r="12" spans="2:21" ht="77.5" x14ac:dyDescent="0.35">
      <c r="B12" s="156" t="s">
        <v>32</v>
      </c>
      <c r="C12" s="133" t="s">
        <v>33</v>
      </c>
      <c r="D12" s="158"/>
      <c r="E12" s="158">
        <v>15000</v>
      </c>
      <c r="F12" s="158">
        <v>15000</v>
      </c>
      <c r="G12" s="120">
        <f t="shared" si="3"/>
        <v>30000</v>
      </c>
      <c r="H12" s="139">
        <f>+S12/G12</f>
        <v>0</v>
      </c>
      <c r="I12" s="128">
        <f>12000+14000</f>
        <v>26000</v>
      </c>
      <c r="J12" s="192">
        <f t="shared" si="4"/>
        <v>0</v>
      </c>
      <c r="K12" s="281">
        <v>0</v>
      </c>
      <c r="L12" s="159">
        <v>0</v>
      </c>
      <c r="M12" s="166"/>
      <c r="N12" s="160">
        <f t="shared" si="0"/>
        <v>0</v>
      </c>
      <c r="O12" s="161">
        <f t="shared" si="1"/>
        <v>30000</v>
      </c>
      <c r="P12" s="128">
        <v>3000</v>
      </c>
      <c r="Q12" s="161">
        <f t="shared" si="2"/>
        <v>29000</v>
      </c>
      <c r="R12" s="161">
        <f t="shared" si="5"/>
        <v>0</v>
      </c>
      <c r="S12" s="118"/>
      <c r="T12" s="165"/>
      <c r="U12" s="163"/>
    </row>
    <row r="13" spans="2:21" ht="108.5" x14ac:dyDescent="0.35">
      <c r="B13" s="156" t="s">
        <v>34</v>
      </c>
      <c r="C13" s="133" t="s">
        <v>35</v>
      </c>
      <c r="D13" s="241"/>
      <c r="E13" s="158">
        <v>50000</v>
      </c>
      <c r="F13" s="158"/>
      <c r="G13" s="120">
        <f>SUM(D13:F13)</f>
        <v>50000</v>
      </c>
      <c r="H13" s="157">
        <v>0.47</v>
      </c>
      <c r="I13" s="128">
        <f>30000+8000-447.41+14700</f>
        <v>52252.59</v>
      </c>
      <c r="J13" s="192">
        <f t="shared" si="4"/>
        <v>24558.717299999997</v>
      </c>
      <c r="K13" s="281">
        <v>10000</v>
      </c>
      <c r="L13" s="159">
        <v>10000</v>
      </c>
      <c r="M13" s="242">
        <v>0.3</v>
      </c>
      <c r="N13" s="160">
        <f t="shared" si="0"/>
        <v>20000</v>
      </c>
      <c r="O13" s="161">
        <f t="shared" si="1"/>
        <v>70000</v>
      </c>
      <c r="P13" s="128">
        <v>3600</v>
      </c>
      <c r="Q13" s="161">
        <f t="shared" si="2"/>
        <v>55852.59</v>
      </c>
      <c r="R13" s="161">
        <f t="shared" si="5"/>
        <v>1080</v>
      </c>
      <c r="S13" s="158" t="s">
        <v>26</v>
      </c>
      <c r="T13" s="243"/>
      <c r="U13" s="163"/>
    </row>
    <row r="14" spans="2:21" ht="77.5" x14ac:dyDescent="0.35">
      <c r="B14" s="156" t="s">
        <v>36</v>
      </c>
      <c r="C14" s="133" t="s">
        <v>37</v>
      </c>
      <c r="D14" s="158">
        <v>30000</v>
      </c>
      <c r="E14" s="158">
        <v>10000</v>
      </c>
      <c r="F14" s="158"/>
      <c r="G14" s="120">
        <f>SUM(D14:F14)</f>
        <v>40000</v>
      </c>
      <c r="H14" s="157">
        <v>0.35</v>
      </c>
      <c r="I14" s="128">
        <f>23034.16+40388.71+17385</f>
        <v>80807.87</v>
      </c>
      <c r="J14" s="192">
        <f t="shared" si="4"/>
        <v>28282.754499999995</v>
      </c>
      <c r="K14" s="281">
        <v>0</v>
      </c>
      <c r="L14" s="159">
        <v>0</v>
      </c>
      <c r="M14" s="166"/>
      <c r="N14" s="160">
        <f t="shared" si="0"/>
        <v>0</v>
      </c>
      <c r="O14" s="161">
        <f t="shared" si="1"/>
        <v>40000</v>
      </c>
      <c r="P14" s="128"/>
      <c r="Q14" s="161">
        <f t="shared" si="2"/>
        <v>80807.87</v>
      </c>
      <c r="R14" s="161">
        <f t="shared" si="5"/>
        <v>0</v>
      </c>
      <c r="S14" s="118"/>
      <c r="T14" s="162"/>
      <c r="U14" s="163"/>
    </row>
    <row r="15" spans="2:21" ht="108.5" x14ac:dyDescent="0.35">
      <c r="B15" s="156" t="s">
        <v>38</v>
      </c>
      <c r="C15" s="168" t="s">
        <v>39</v>
      </c>
      <c r="D15" s="158">
        <v>20000</v>
      </c>
      <c r="E15" s="158"/>
      <c r="F15" s="158"/>
      <c r="G15" s="120">
        <f t="shared" si="3"/>
        <v>20000</v>
      </c>
      <c r="H15" s="157">
        <v>0.33</v>
      </c>
      <c r="I15" s="128">
        <v>41672</v>
      </c>
      <c r="J15" s="192">
        <f t="shared" si="4"/>
        <v>13751.76</v>
      </c>
      <c r="K15" s="281">
        <v>10000</v>
      </c>
      <c r="L15" s="159">
        <v>15000</v>
      </c>
      <c r="M15" s="242">
        <v>0.3</v>
      </c>
      <c r="N15" s="160">
        <f t="shared" si="0"/>
        <v>25000</v>
      </c>
      <c r="O15" s="161">
        <f t="shared" si="1"/>
        <v>45000</v>
      </c>
      <c r="P15" s="128">
        <v>8900</v>
      </c>
      <c r="Q15" s="161">
        <f t="shared" si="2"/>
        <v>50572</v>
      </c>
      <c r="R15" s="161">
        <f t="shared" si="5"/>
        <v>2670</v>
      </c>
      <c r="S15" s="158" t="s">
        <v>26</v>
      </c>
      <c r="T15" s="138"/>
    </row>
    <row r="16" spans="2:21" ht="144" customHeight="1" x14ac:dyDescent="0.35">
      <c r="B16" s="156" t="s">
        <v>40</v>
      </c>
      <c r="C16" s="133" t="s">
        <v>41</v>
      </c>
      <c r="D16" s="158"/>
      <c r="E16" s="158">
        <v>20000</v>
      </c>
      <c r="F16" s="158"/>
      <c r="G16" s="120">
        <v>20000</v>
      </c>
      <c r="H16" s="242"/>
      <c r="I16" s="164">
        <v>20000</v>
      </c>
      <c r="J16" s="192">
        <f t="shared" si="4"/>
        <v>0</v>
      </c>
      <c r="K16" s="281"/>
      <c r="L16" s="159"/>
      <c r="M16" s="242"/>
      <c r="N16" s="160">
        <f t="shared" si="0"/>
        <v>0</v>
      </c>
      <c r="O16" s="161">
        <f t="shared" si="1"/>
        <v>20000</v>
      </c>
      <c r="P16" s="128"/>
      <c r="Q16" s="161">
        <f t="shared" si="2"/>
        <v>20000</v>
      </c>
      <c r="R16" s="161">
        <f t="shared" si="5"/>
        <v>0</v>
      </c>
      <c r="S16" s="158"/>
      <c r="T16" s="138"/>
    </row>
    <row r="17" spans="1:21" ht="93" x14ac:dyDescent="0.35">
      <c r="B17" s="156" t="s">
        <v>42</v>
      </c>
      <c r="C17" s="133" t="s">
        <v>43</v>
      </c>
      <c r="D17" s="158"/>
      <c r="E17" s="158">
        <v>10000</v>
      </c>
      <c r="F17" s="158"/>
      <c r="G17" s="120">
        <v>10000</v>
      </c>
      <c r="H17" s="242"/>
      <c r="I17" s="164">
        <v>10000</v>
      </c>
      <c r="J17" s="192">
        <f t="shared" si="4"/>
        <v>0</v>
      </c>
      <c r="K17" s="281"/>
      <c r="L17" s="159"/>
      <c r="M17" s="242"/>
      <c r="N17" s="160">
        <f t="shared" si="0"/>
        <v>0</v>
      </c>
      <c r="O17" s="161">
        <f t="shared" si="1"/>
        <v>10000</v>
      </c>
      <c r="P17" s="128"/>
      <c r="Q17" s="161">
        <f t="shared" si="2"/>
        <v>10000</v>
      </c>
      <c r="R17" s="161">
        <f t="shared" si="5"/>
        <v>0</v>
      </c>
      <c r="S17" s="158"/>
      <c r="T17" s="138"/>
    </row>
    <row r="18" spans="1:21" ht="108.5" x14ac:dyDescent="0.35">
      <c r="B18" s="156" t="s">
        <v>44</v>
      </c>
      <c r="C18" s="133" t="s">
        <v>45</v>
      </c>
      <c r="D18" s="158"/>
      <c r="E18" s="158">
        <v>10000</v>
      </c>
      <c r="F18" s="158"/>
      <c r="G18" s="120">
        <v>10000</v>
      </c>
      <c r="H18" s="242"/>
      <c r="I18" s="164">
        <v>3000</v>
      </c>
      <c r="J18" s="192">
        <f t="shared" si="4"/>
        <v>0</v>
      </c>
      <c r="K18" s="281"/>
      <c r="L18" s="159"/>
      <c r="M18" s="242"/>
      <c r="N18" s="160">
        <f t="shared" si="0"/>
        <v>0</v>
      </c>
      <c r="O18" s="161">
        <f t="shared" si="1"/>
        <v>10000</v>
      </c>
      <c r="P18" s="128"/>
      <c r="Q18" s="161">
        <f t="shared" si="2"/>
        <v>3000</v>
      </c>
      <c r="R18" s="161">
        <f t="shared" si="5"/>
        <v>0</v>
      </c>
      <c r="S18" s="158"/>
      <c r="T18" s="138"/>
    </row>
    <row r="19" spans="1:21" ht="93" x14ac:dyDescent="0.35">
      <c r="B19" s="156" t="s">
        <v>46</v>
      </c>
      <c r="C19" s="133" t="s">
        <v>47</v>
      </c>
      <c r="D19" s="158"/>
      <c r="E19" s="158">
        <v>10000</v>
      </c>
      <c r="F19" s="158"/>
      <c r="G19" s="120">
        <v>10000</v>
      </c>
      <c r="H19" s="242"/>
      <c r="I19" s="164">
        <v>2500</v>
      </c>
      <c r="J19" s="192">
        <f t="shared" si="4"/>
        <v>0</v>
      </c>
      <c r="K19" s="281"/>
      <c r="L19" s="159"/>
      <c r="M19" s="242"/>
      <c r="N19" s="160">
        <f t="shared" si="0"/>
        <v>0</v>
      </c>
      <c r="O19" s="161">
        <f t="shared" si="1"/>
        <v>10000</v>
      </c>
      <c r="P19" s="128"/>
      <c r="Q19" s="161">
        <f t="shared" si="2"/>
        <v>2500</v>
      </c>
      <c r="R19" s="161">
        <f t="shared" si="5"/>
        <v>0</v>
      </c>
      <c r="S19" s="158"/>
      <c r="T19" s="138"/>
    </row>
    <row r="20" spans="1:21" ht="124" x14ac:dyDescent="0.35">
      <c r="B20" s="156" t="s">
        <v>48</v>
      </c>
      <c r="C20" s="168" t="s">
        <v>49</v>
      </c>
      <c r="D20" s="158">
        <v>0</v>
      </c>
      <c r="E20" s="158">
        <v>0</v>
      </c>
      <c r="F20" s="158"/>
      <c r="G20" s="120">
        <f t="shared" si="3"/>
        <v>0</v>
      </c>
      <c r="H20" s="242">
        <v>0.3</v>
      </c>
      <c r="I20" s="128"/>
      <c r="J20" s="192">
        <f t="shared" si="4"/>
        <v>0</v>
      </c>
      <c r="K20" s="281">
        <v>15000</v>
      </c>
      <c r="L20" s="159">
        <v>0</v>
      </c>
      <c r="M20" s="242">
        <v>0.3</v>
      </c>
      <c r="N20" s="160">
        <f t="shared" si="0"/>
        <v>15000</v>
      </c>
      <c r="O20" s="161">
        <f t="shared" ref="O20:O21" si="6">SUM(G20,N20)</f>
        <v>15000</v>
      </c>
      <c r="P20" s="128"/>
      <c r="Q20" s="161">
        <f t="shared" si="2"/>
        <v>0</v>
      </c>
      <c r="R20" s="161">
        <f t="shared" si="5"/>
        <v>0</v>
      </c>
      <c r="S20" s="158" t="s">
        <v>50</v>
      </c>
      <c r="T20" s="138"/>
    </row>
    <row r="21" spans="1:21" ht="139.5" x14ac:dyDescent="0.35">
      <c r="A21" s="169"/>
      <c r="B21" s="156" t="s">
        <v>51</v>
      </c>
      <c r="C21" s="168" t="s">
        <v>52</v>
      </c>
      <c r="D21" s="158">
        <v>0</v>
      </c>
      <c r="E21" s="158">
        <v>0</v>
      </c>
      <c r="F21" s="158"/>
      <c r="G21" s="120">
        <f>SUM(D21:F21)</f>
        <v>0</v>
      </c>
      <c r="H21" s="157"/>
      <c r="I21" s="128"/>
      <c r="J21" s="192">
        <f t="shared" si="4"/>
        <v>0</v>
      </c>
      <c r="K21" s="281">
        <v>10000</v>
      </c>
      <c r="L21" s="159">
        <v>30000</v>
      </c>
      <c r="M21" s="242">
        <v>0.4</v>
      </c>
      <c r="N21" s="160">
        <f t="shared" si="0"/>
        <v>40000</v>
      </c>
      <c r="O21" s="161">
        <f t="shared" si="6"/>
        <v>40000</v>
      </c>
      <c r="P21" s="128">
        <f>8762.7+37562.7</f>
        <v>46325.399999999994</v>
      </c>
      <c r="Q21" s="161">
        <f t="shared" si="2"/>
        <v>46325.399999999994</v>
      </c>
      <c r="R21" s="161">
        <f t="shared" si="5"/>
        <v>18530.16</v>
      </c>
      <c r="S21" s="118" t="s">
        <v>31</v>
      </c>
      <c r="T21" s="165"/>
    </row>
    <row r="22" spans="1:21" ht="108.5" x14ac:dyDescent="0.35">
      <c r="B22" s="156" t="s">
        <v>44</v>
      </c>
      <c r="C22" s="168" t="s">
        <v>53</v>
      </c>
      <c r="D22" s="158">
        <v>0</v>
      </c>
      <c r="E22" s="158">
        <v>0</v>
      </c>
      <c r="F22" s="158"/>
      <c r="G22" s="120">
        <f t="shared" ref="G22" si="7">SUM(D22:F22)</f>
        <v>0</v>
      </c>
      <c r="H22" s="157"/>
      <c r="I22" s="128"/>
      <c r="J22" s="192">
        <f t="shared" si="4"/>
        <v>0</v>
      </c>
      <c r="K22" s="281">
        <v>15000</v>
      </c>
      <c r="L22" s="159">
        <v>20000</v>
      </c>
      <c r="M22" s="242">
        <v>0.4</v>
      </c>
      <c r="N22" s="160">
        <f t="shared" si="0"/>
        <v>35000</v>
      </c>
      <c r="O22" s="161">
        <f>SUM(G22,N22)</f>
        <v>35000</v>
      </c>
      <c r="P22" s="128">
        <v>23000</v>
      </c>
      <c r="Q22" s="161">
        <f t="shared" si="2"/>
        <v>23000</v>
      </c>
      <c r="R22" s="161">
        <f t="shared" si="5"/>
        <v>9200</v>
      </c>
      <c r="S22" s="118" t="s">
        <v>26</v>
      </c>
      <c r="T22" s="162"/>
    </row>
    <row r="23" spans="1:21" ht="15.5" x14ac:dyDescent="0.35">
      <c r="A23" s="169"/>
      <c r="C23" s="155" t="s">
        <v>54</v>
      </c>
      <c r="D23" s="65">
        <f>SUM(D9:D22)</f>
        <v>50000</v>
      </c>
      <c r="E23" s="65">
        <f>SUM(E9:E22)</f>
        <v>175000</v>
      </c>
      <c r="F23" s="65">
        <f>SUM(F9:F22)</f>
        <v>65000</v>
      </c>
      <c r="G23" s="65">
        <f>SUM(G9:G22)</f>
        <v>290000</v>
      </c>
      <c r="H23" s="65">
        <f>(H9*G9)+(H14*G14)+(H10*G10)+(H13*G13)+(G11*H11)+(G12*H12)+(G15*H15)+(G20*H20)+(G21*H21)+(G22*H22)+(G16*H16)+(G17*H17)+(G18*H18)+(G19*H19)</f>
        <v>91200</v>
      </c>
      <c r="I23" s="107">
        <f>SUM(I9:I22)</f>
        <v>326167.45999999996</v>
      </c>
      <c r="J23" s="259">
        <f>SUM(J9:J22)</f>
        <v>113669.18179999999</v>
      </c>
      <c r="K23" s="282">
        <f>SUM(K9:K22)</f>
        <v>70000</v>
      </c>
      <c r="L23" s="160">
        <f>SUM(L9:L22)</f>
        <v>100000</v>
      </c>
      <c r="M23" s="65">
        <f>(N9*M9)+(N14*M14)+(N10*M10)+(N13*M13)+(M11*N11)+(M12*N12)+(M15*N15)+(M20*N20)+(M21*N21)+(M22*N22)+(M19*N19)+(M18*N18)+(M17*N17)+(M16*N16)</f>
        <v>61000</v>
      </c>
      <c r="N23" s="160">
        <f>SUM(N9:N22)</f>
        <v>170000</v>
      </c>
      <c r="O23" s="171">
        <f>SUM(O9:O22)</f>
        <v>460000</v>
      </c>
      <c r="P23" s="107">
        <f>SUM(P9:P22)</f>
        <v>106625.4</v>
      </c>
      <c r="Q23" s="171">
        <f>SUM(Q9:Q22)</f>
        <v>432792.86</v>
      </c>
      <c r="R23" s="171">
        <f>SUM(R9:R22)</f>
        <v>39700.160000000003</v>
      </c>
      <c r="S23" s="103"/>
      <c r="T23" s="165"/>
      <c r="U23" s="17"/>
    </row>
    <row r="24" spans="1:21" ht="51" customHeight="1" x14ac:dyDescent="0.35">
      <c r="A24" s="169"/>
      <c r="B24" s="155" t="s">
        <v>55</v>
      </c>
      <c r="C24" s="369" t="s">
        <v>56</v>
      </c>
      <c r="D24" s="370"/>
      <c r="E24" s="370"/>
      <c r="F24" s="370"/>
      <c r="G24" s="370"/>
      <c r="H24" s="370"/>
      <c r="I24" s="370"/>
      <c r="J24" s="370"/>
      <c r="K24" s="370"/>
      <c r="L24" s="370"/>
      <c r="M24" s="370"/>
      <c r="N24" s="370"/>
      <c r="O24" s="370"/>
      <c r="P24" s="370"/>
      <c r="Q24" s="370"/>
      <c r="R24" s="370"/>
      <c r="S24" s="370"/>
      <c r="T24" s="371"/>
      <c r="U24" s="16"/>
    </row>
    <row r="25" spans="1:21" ht="108.5" x14ac:dyDescent="0.35">
      <c r="A25" s="169"/>
      <c r="B25" s="156" t="s">
        <v>57</v>
      </c>
      <c r="C25" s="133" t="s">
        <v>58</v>
      </c>
      <c r="D25" s="158"/>
      <c r="E25" s="158">
        <v>30000</v>
      </c>
      <c r="F25" s="158"/>
      <c r="G25" s="120">
        <f t="shared" ref="G25:G30" si="8">SUM(D25:F25)</f>
        <v>30000</v>
      </c>
      <c r="H25" s="157"/>
      <c r="I25" s="128">
        <v>27400</v>
      </c>
      <c r="J25" s="192">
        <f>+H25*I25</f>
        <v>0</v>
      </c>
      <c r="K25" s="281">
        <v>0</v>
      </c>
      <c r="L25" s="159">
        <v>0</v>
      </c>
      <c r="M25" s="166"/>
      <c r="N25" s="160">
        <f t="shared" ref="N25:N40" si="9">SUM(K25,L25)</f>
        <v>0</v>
      </c>
      <c r="O25" s="161">
        <f t="shared" ref="O25:O40" si="10">SUM(G25,N25)</f>
        <v>30000</v>
      </c>
      <c r="P25" s="305"/>
      <c r="Q25" s="161">
        <f t="shared" ref="Q25:Q40" si="11">SUM(I25,P25)</f>
        <v>27400</v>
      </c>
      <c r="R25" s="161">
        <f t="shared" ref="R25:R40" si="12">+M25*P25</f>
        <v>0</v>
      </c>
      <c r="S25" s="118"/>
      <c r="T25" s="162"/>
      <c r="U25" s="163"/>
    </row>
    <row r="26" spans="1:21" ht="139.5" x14ac:dyDescent="0.35">
      <c r="A26" s="169"/>
      <c r="B26" s="156" t="s">
        <v>59</v>
      </c>
      <c r="C26" s="133" t="s">
        <v>60</v>
      </c>
      <c r="D26" s="158"/>
      <c r="E26" s="158">
        <v>50000</v>
      </c>
      <c r="F26" s="158"/>
      <c r="G26" s="120">
        <f t="shared" si="8"/>
        <v>50000</v>
      </c>
      <c r="H26" s="157">
        <v>0.47699999999999998</v>
      </c>
      <c r="I26" s="128">
        <f>40000+5000+3500</f>
        <v>48500</v>
      </c>
      <c r="J26" s="192">
        <f t="shared" ref="J26:J40" si="13">+H26*I26</f>
        <v>23134.5</v>
      </c>
      <c r="K26" s="281">
        <v>0</v>
      </c>
      <c r="L26" s="159">
        <v>0</v>
      </c>
      <c r="M26" s="166"/>
      <c r="N26" s="160">
        <f t="shared" si="9"/>
        <v>0</v>
      </c>
      <c r="O26" s="161">
        <f t="shared" si="10"/>
        <v>50000</v>
      </c>
      <c r="P26" s="305"/>
      <c r="Q26" s="161">
        <f t="shared" si="11"/>
        <v>48500</v>
      </c>
      <c r="R26" s="161">
        <f t="shared" si="12"/>
        <v>0</v>
      </c>
      <c r="S26" s="118"/>
      <c r="T26" s="162"/>
      <c r="U26" s="163"/>
    </row>
    <row r="27" spans="1:21" ht="93" x14ac:dyDescent="0.35">
      <c r="A27" s="169"/>
      <c r="B27" s="156" t="s">
        <v>61</v>
      </c>
      <c r="C27" s="133" t="s">
        <v>62</v>
      </c>
      <c r="D27" s="158">
        <v>40000</v>
      </c>
      <c r="E27" s="158">
        <v>75000</v>
      </c>
      <c r="F27" s="138"/>
      <c r="G27" s="120">
        <f t="shared" si="8"/>
        <v>115000</v>
      </c>
      <c r="H27" s="157">
        <v>0.47</v>
      </c>
      <c r="I27" s="128">
        <f>76629.22+20000+7500+5500+1000</f>
        <v>110629.22</v>
      </c>
      <c r="J27" s="192">
        <f t="shared" si="13"/>
        <v>51995.733399999997</v>
      </c>
      <c r="K27" s="281">
        <v>0</v>
      </c>
      <c r="L27" s="159">
        <v>0</v>
      </c>
      <c r="M27" s="166"/>
      <c r="N27" s="160">
        <f t="shared" si="9"/>
        <v>0</v>
      </c>
      <c r="O27" s="161">
        <f t="shared" si="10"/>
        <v>115000</v>
      </c>
      <c r="P27" s="305"/>
      <c r="Q27" s="161">
        <f t="shared" si="11"/>
        <v>110629.22</v>
      </c>
      <c r="R27" s="161">
        <f t="shared" si="12"/>
        <v>0</v>
      </c>
      <c r="S27" s="118"/>
      <c r="T27" s="162"/>
      <c r="U27" s="163"/>
    </row>
    <row r="28" spans="1:21" ht="62" x14ac:dyDescent="0.35">
      <c r="A28" s="169"/>
      <c r="B28" s="156" t="s">
        <v>63</v>
      </c>
      <c r="C28" s="133" t="s">
        <v>64</v>
      </c>
      <c r="D28" s="158">
        <v>50000</v>
      </c>
      <c r="E28" s="158"/>
      <c r="F28" s="138"/>
      <c r="G28" s="120">
        <f t="shared" si="8"/>
        <v>50000</v>
      </c>
      <c r="H28" s="157"/>
      <c r="I28" s="128">
        <v>12411.94</v>
      </c>
      <c r="J28" s="192">
        <f t="shared" si="13"/>
        <v>0</v>
      </c>
      <c r="K28" s="281">
        <v>0</v>
      </c>
      <c r="L28" s="159">
        <v>0</v>
      </c>
      <c r="M28" s="166"/>
      <c r="N28" s="160">
        <f t="shared" si="9"/>
        <v>0</v>
      </c>
      <c r="O28" s="161">
        <f t="shared" si="10"/>
        <v>50000</v>
      </c>
      <c r="P28" s="305"/>
      <c r="Q28" s="161">
        <f t="shared" si="11"/>
        <v>12411.94</v>
      </c>
      <c r="R28" s="161">
        <f t="shared" si="12"/>
        <v>0</v>
      </c>
      <c r="S28" s="118"/>
      <c r="T28" s="162"/>
      <c r="U28" s="163"/>
    </row>
    <row r="29" spans="1:21" ht="62" x14ac:dyDescent="0.35">
      <c r="A29" s="169"/>
      <c r="B29" s="156" t="s">
        <v>65</v>
      </c>
      <c r="C29" s="133" t="s">
        <v>66</v>
      </c>
      <c r="D29" s="158">
        <v>235000</v>
      </c>
      <c r="E29" s="158"/>
      <c r="F29" s="138"/>
      <c r="G29" s="120">
        <f t="shared" si="8"/>
        <v>235000</v>
      </c>
      <c r="H29" s="157"/>
      <c r="I29" s="128">
        <v>152928.95375374981</v>
      </c>
      <c r="J29" s="192">
        <f t="shared" si="13"/>
        <v>0</v>
      </c>
      <c r="K29" s="281">
        <v>0</v>
      </c>
      <c r="L29" s="159">
        <v>0</v>
      </c>
      <c r="M29" s="166"/>
      <c r="N29" s="160">
        <f t="shared" si="9"/>
        <v>0</v>
      </c>
      <c r="O29" s="161">
        <f t="shared" si="10"/>
        <v>235000</v>
      </c>
      <c r="P29" s="305"/>
      <c r="Q29" s="161">
        <f t="shared" si="11"/>
        <v>152928.95375374981</v>
      </c>
      <c r="R29" s="161">
        <f t="shared" si="12"/>
        <v>0</v>
      </c>
      <c r="S29" s="118"/>
      <c r="T29" s="162"/>
      <c r="U29" s="163"/>
    </row>
    <row r="30" spans="1:21" ht="62" x14ac:dyDescent="0.35">
      <c r="B30" s="156" t="s">
        <v>67</v>
      </c>
      <c r="C30" s="133" t="s">
        <v>68</v>
      </c>
      <c r="D30" s="158">
        <v>80000</v>
      </c>
      <c r="E30" s="158">
        <f>50000+50000</f>
        <v>100000</v>
      </c>
      <c r="F30" s="158">
        <v>40000</v>
      </c>
      <c r="G30" s="120">
        <f t="shared" si="8"/>
        <v>220000</v>
      </c>
      <c r="H30" s="242">
        <f>+S30/G30</f>
        <v>0</v>
      </c>
      <c r="I30" s="128">
        <f>13514+61707+221548.95-12607.95</f>
        <v>284162</v>
      </c>
      <c r="J30" s="192">
        <f t="shared" si="13"/>
        <v>0</v>
      </c>
      <c r="K30" s="281">
        <v>140000</v>
      </c>
      <c r="L30" s="159"/>
      <c r="M30" s="166"/>
      <c r="N30" s="160">
        <f t="shared" si="9"/>
        <v>140000</v>
      </c>
      <c r="O30" s="161">
        <f t="shared" si="10"/>
        <v>360000</v>
      </c>
      <c r="P30" s="128">
        <f>154826.63+1537.92</f>
        <v>156364.55000000002</v>
      </c>
      <c r="Q30" s="161">
        <f t="shared" si="11"/>
        <v>440526.55000000005</v>
      </c>
      <c r="R30" s="161">
        <f t="shared" si="12"/>
        <v>0</v>
      </c>
      <c r="S30" s="138"/>
      <c r="T30" s="243"/>
      <c r="U30" s="163"/>
    </row>
    <row r="31" spans="1:21" ht="108.5" x14ac:dyDescent="0.35">
      <c r="A31" s="169"/>
      <c r="B31" s="156" t="s">
        <v>69</v>
      </c>
      <c r="C31" s="133" t="s">
        <v>70</v>
      </c>
      <c r="D31" s="158">
        <v>15000</v>
      </c>
      <c r="E31" s="158">
        <v>58000</v>
      </c>
      <c r="F31" s="158"/>
      <c r="G31" s="172">
        <f t="shared" ref="G31:G32" si="14">SUM(D31:F31)</f>
        <v>73000</v>
      </c>
      <c r="H31" s="242"/>
      <c r="I31" s="128">
        <f>35000+27861.06+7202.51</f>
        <v>70063.569999999992</v>
      </c>
      <c r="J31" s="192">
        <f t="shared" si="13"/>
        <v>0</v>
      </c>
      <c r="K31" s="281">
        <v>15000</v>
      </c>
      <c r="L31" s="159">
        <v>30000</v>
      </c>
      <c r="M31" s="242">
        <v>0.4</v>
      </c>
      <c r="N31" s="160">
        <f t="shared" si="9"/>
        <v>45000</v>
      </c>
      <c r="O31" s="161">
        <f t="shared" si="10"/>
        <v>118000</v>
      </c>
      <c r="P31" s="128">
        <v>10800</v>
      </c>
      <c r="Q31" s="161">
        <f t="shared" si="11"/>
        <v>80863.569999999992</v>
      </c>
      <c r="R31" s="161">
        <f t="shared" si="12"/>
        <v>4320</v>
      </c>
      <c r="S31" s="118" t="s">
        <v>26</v>
      </c>
      <c r="T31" s="162"/>
      <c r="U31" s="163"/>
    </row>
    <row r="32" spans="1:21" ht="62" x14ac:dyDescent="0.35">
      <c r="A32" s="169"/>
      <c r="B32" s="156" t="s">
        <v>71</v>
      </c>
      <c r="C32" s="133" t="s">
        <v>72</v>
      </c>
      <c r="D32" s="158">
        <v>20000</v>
      </c>
      <c r="E32" s="158"/>
      <c r="F32" s="158"/>
      <c r="G32" s="172">
        <f t="shared" si="14"/>
        <v>20000</v>
      </c>
      <c r="H32" s="139"/>
      <c r="I32" s="128">
        <v>0</v>
      </c>
      <c r="J32" s="192">
        <f t="shared" si="13"/>
        <v>0</v>
      </c>
      <c r="K32" s="281">
        <v>35000</v>
      </c>
      <c r="L32" s="159"/>
      <c r="M32" s="166"/>
      <c r="N32" s="160">
        <f t="shared" si="9"/>
        <v>35000</v>
      </c>
      <c r="O32" s="161">
        <f t="shared" si="10"/>
        <v>55000</v>
      </c>
      <c r="P32" s="305"/>
      <c r="Q32" s="161">
        <f t="shared" si="11"/>
        <v>0</v>
      </c>
      <c r="R32" s="161">
        <f t="shared" si="12"/>
        <v>0</v>
      </c>
      <c r="S32" s="118"/>
      <c r="T32" s="162"/>
      <c r="U32" s="163"/>
    </row>
    <row r="33" spans="1:21" s="177" customFormat="1" ht="139.5" x14ac:dyDescent="0.35">
      <c r="B33" s="156" t="s">
        <v>73</v>
      </c>
      <c r="C33" s="168" t="s">
        <v>74</v>
      </c>
      <c r="D33" s="159"/>
      <c r="E33" s="159"/>
      <c r="F33" s="159"/>
      <c r="G33" s="172">
        <f>SUM(D33:F33)</f>
        <v>0</v>
      </c>
      <c r="H33" s="244"/>
      <c r="I33" s="176"/>
      <c r="J33" s="192">
        <f t="shared" si="13"/>
        <v>0</v>
      </c>
      <c r="K33" s="281"/>
      <c r="L33" s="159">
        <v>40000</v>
      </c>
      <c r="M33" s="242">
        <v>0.3</v>
      </c>
      <c r="N33" s="160">
        <f t="shared" si="9"/>
        <v>40000</v>
      </c>
      <c r="O33" s="161">
        <f t="shared" si="10"/>
        <v>40000</v>
      </c>
      <c r="P33" s="128">
        <v>8500</v>
      </c>
      <c r="Q33" s="161">
        <f t="shared" si="11"/>
        <v>8500</v>
      </c>
      <c r="R33" s="161">
        <f t="shared" si="12"/>
        <v>2550</v>
      </c>
      <c r="S33" s="138" t="s">
        <v>31</v>
      </c>
      <c r="T33" s="243"/>
    </row>
    <row r="34" spans="1:21" s="177" customFormat="1" ht="139.5" x14ac:dyDescent="0.35">
      <c r="A34" s="174"/>
      <c r="B34" s="156" t="s">
        <v>75</v>
      </c>
      <c r="C34" s="168" t="s">
        <v>76</v>
      </c>
      <c r="D34" s="159"/>
      <c r="E34" s="159"/>
      <c r="F34" s="159"/>
      <c r="G34" s="172">
        <f t="shared" ref="G34" si="15">SUM(D34:F34)</f>
        <v>0</v>
      </c>
      <c r="H34" s="175"/>
      <c r="I34" s="176"/>
      <c r="J34" s="192">
        <f t="shared" si="13"/>
        <v>0</v>
      </c>
      <c r="K34" s="281">
        <v>25000</v>
      </c>
      <c r="L34" s="159">
        <v>25000</v>
      </c>
      <c r="M34" s="242">
        <v>0.3</v>
      </c>
      <c r="N34" s="160">
        <f t="shared" si="9"/>
        <v>50000</v>
      </c>
      <c r="O34" s="161">
        <f t="shared" si="10"/>
        <v>50000</v>
      </c>
      <c r="P34" s="128">
        <v>17010.61</v>
      </c>
      <c r="Q34" s="161">
        <f t="shared" si="11"/>
        <v>17010.61</v>
      </c>
      <c r="R34" s="161">
        <f t="shared" si="12"/>
        <v>5103.183</v>
      </c>
      <c r="S34" s="118" t="s">
        <v>31</v>
      </c>
      <c r="T34" s="162"/>
    </row>
    <row r="35" spans="1:21" s="177" customFormat="1" ht="77.5" x14ac:dyDescent="0.35">
      <c r="B35" s="156" t="s">
        <v>77</v>
      </c>
      <c r="C35" s="168" t="s">
        <v>78</v>
      </c>
      <c r="D35" s="159">
        <v>0</v>
      </c>
      <c r="E35" s="159">
        <v>0</v>
      </c>
      <c r="F35" s="159">
        <v>0</v>
      </c>
      <c r="G35" s="172">
        <f>SUM(D35:F35)</f>
        <v>0</v>
      </c>
      <c r="H35" s="244">
        <v>0</v>
      </c>
      <c r="I35" s="176"/>
      <c r="J35" s="192">
        <f t="shared" si="13"/>
        <v>0</v>
      </c>
      <c r="K35" s="281">
        <v>40000</v>
      </c>
      <c r="L35" s="159">
        <v>40000</v>
      </c>
      <c r="M35" s="166"/>
      <c r="N35" s="160">
        <f t="shared" si="9"/>
        <v>80000</v>
      </c>
      <c r="O35" s="161">
        <f t="shared" si="10"/>
        <v>80000</v>
      </c>
      <c r="P35" s="305"/>
      <c r="Q35" s="161">
        <f t="shared" si="11"/>
        <v>0</v>
      </c>
      <c r="R35" s="161">
        <f t="shared" si="12"/>
        <v>0</v>
      </c>
      <c r="S35" s="138"/>
      <c r="T35" s="243"/>
    </row>
    <row r="36" spans="1:21" s="177" customFormat="1" ht="139.5" x14ac:dyDescent="0.35">
      <c r="A36" s="174"/>
      <c r="B36" s="156" t="s">
        <v>79</v>
      </c>
      <c r="C36" s="168" t="s">
        <v>80</v>
      </c>
      <c r="D36" s="159">
        <v>0</v>
      </c>
      <c r="E36" s="159">
        <v>0</v>
      </c>
      <c r="F36" s="159"/>
      <c r="G36" s="172">
        <f>SUM(D36:F36)</f>
        <v>0</v>
      </c>
      <c r="H36" s="175"/>
      <c r="I36" s="176"/>
      <c r="J36" s="192">
        <f t="shared" si="13"/>
        <v>0</v>
      </c>
      <c r="K36" s="281"/>
      <c r="L36" s="159">
        <v>20000</v>
      </c>
      <c r="M36" s="242">
        <v>0.3</v>
      </c>
      <c r="N36" s="160">
        <f t="shared" si="9"/>
        <v>20000</v>
      </c>
      <c r="O36" s="161">
        <f t="shared" si="10"/>
        <v>20000</v>
      </c>
      <c r="P36" s="128">
        <v>4800</v>
      </c>
      <c r="Q36" s="161">
        <f t="shared" si="11"/>
        <v>4800</v>
      </c>
      <c r="R36" s="161">
        <f t="shared" si="12"/>
        <v>1440</v>
      </c>
      <c r="S36" s="118" t="s">
        <v>31</v>
      </c>
      <c r="T36" s="162"/>
    </row>
    <row r="37" spans="1:21" s="177" customFormat="1" ht="139.5" x14ac:dyDescent="0.35">
      <c r="A37" s="174"/>
      <c r="B37" s="156" t="s">
        <v>81</v>
      </c>
      <c r="C37" s="168" t="s">
        <v>82</v>
      </c>
      <c r="D37" s="159">
        <v>0</v>
      </c>
      <c r="E37" s="159">
        <v>0</v>
      </c>
      <c r="F37" s="159">
        <v>0</v>
      </c>
      <c r="G37" s="178">
        <f t="shared" ref="G37:G38" si="16">SUM(D37:F37)</f>
        <v>0</v>
      </c>
      <c r="H37" s="175"/>
      <c r="I37" s="176"/>
      <c r="J37" s="192">
        <f t="shared" si="13"/>
        <v>0</v>
      </c>
      <c r="K37" s="281">
        <v>10000</v>
      </c>
      <c r="L37" s="159">
        <v>15000</v>
      </c>
      <c r="M37" s="242">
        <v>0.3</v>
      </c>
      <c r="N37" s="160">
        <f t="shared" si="9"/>
        <v>25000</v>
      </c>
      <c r="O37" s="161">
        <f t="shared" si="10"/>
        <v>25000</v>
      </c>
      <c r="P37" s="128">
        <f>2761.97+8493.49</f>
        <v>11255.46</v>
      </c>
      <c r="Q37" s="161">
        <f t="shared" si="11"/>
        <v>11255.46</v>
      </c>
      <c r="R37" s="161">
        <f t="shared" si="12"/>
        <v>3376.6379999999995</v>
      </c>
      <c r="S37" s="118" t="s">
        <v>31</v>
      </c>
      <c r="T37" s="162"/>
    </row>
    <row r="38" spans="1:21" s="177" customFormat="1" ht="139.5" x14ac:dyDescent="0.35">
      <c r="B38" s="156" t="s">
        <v>83</v>
      </c>
      <c r="C38" s="168" t="s">
        <v>84</v>
      </c>
      <c r="D38" s="159">
        <v>0</v>
      </c>
      <c r="E38" s="159">
        <v>0</v>
      </c>
      <c r="F38" s="159"/>
      <c r="G38" s="172">
        <f t="shared" si="16"/>
        <v>0</v>
      </c>
      <c r="H38" s="244"/>
      <c r="I38" s="176"/>
      <c r="J38" s="192">
        <f t="shared" si="13"/>
        <v>0</v>
      </c>
      <c r="K38" s="281">
        <v>20000</v>
      </c>
      <c r="L38" s="159">
        <v>40000</v>
      </c>
      <c r="M38" s="242">
        <v>0.3</v>
      </c>
      <c r="N38" s="160">
        <f t="shared" si="9"/>
        <v>60000</v>
      </c>
      <c r="O38" s="161">
        <f t="shared" si="10"/>
        <v>60000</v>
      </c>
      <c r="P38" s="128">
        <f>28242.3+6503.98+6007.39</f>
        <v>40753.67</v>
      </c>
      <c r="Q38" s="161">
        <f t="shared" si="11"/>
        <v>40753.67</v>
      </c>
      <c r="R38" s="161">
        <f t="shared" si="12"/>
        <v>12226.100999999999</v>
      </c>
      <c r="S38" s="138" t="s">
        <v>31</v>
      </c>
      <c r="T38" s="243"/>
    </row>
    <row r="39" spans="1:21" s="177" customFormat="1" ht="77.5" x14ac:dyDescent="0.35">
      <c r="A39" s="174"/>
      <c r="B39" s="156" t="s">
        <v>85</v>
      </c>
      <c r="C39" s="168" t="s">
        <v>86</v>
      </c>
      <c r="D39" s="167">
        <v>0</v>
      </c>
      <c r="E39" s="167"/>
      <c r="F39" s="167"/>
      <c r="G39" s="172">
        <f>SUM(D39:F39)</f>
        <v>0</v>
      </c>
      <c r="H39" s="175"/>
      <c r="I39" s="176"/>
      <c r="J39" s="192">
        <f t="shared" si="13"/>
        <v>0</v>
      </c>
      <c r="K39" s="281">
        <v>100000</v>
      </c>
      <c r="L39" s="167"/>
      <c r="M39" s="173"/>
      <c r="N39" s="160">
        <f t="shared" si="9"/>
        <v>100000</v>
      </c>
      <c r="O39" s="161">
        <f t="shared" si="10"/>
        <v>100000</v>
      </c>
      <c r="P39" s="128">
        <v>9229</v>
      </c>
      <c r="Q39" s="161">
        <f t="shared" si="11"/>
        <v>9229</v>
      </c>
      <c r="R39" s="161">
        <f t="shared" si="12"/>
        <v>0</v>
      </c>
      <c r="S39" s="158"/>
      <c r="T39" s="162"/>
    </row>
    <row r="40" spans="1:21" s="177" customFormat="1" ht="31" x14ac:dyDescent="0.35">
      <c r="A40" s="174"/>
      <c r="B40" s="156" t="s">
        <v>87</v>
      </c>
      <c r="C40" s="168" t="s">
        <v>88</v>
      </c>
      <c r="D40" s="167">
        <v>0</v>
      </c>
      <c r="E40" s="167">
        <v>0</v>
      </c>
      <c r="F40" s="167"/>
      <c r="G40" s="172">
        <f t="shared" ref="G40" si="17">SUM(D40:F40)</f>
        <v>0</v>
      </c>
      <c r="H40" s="175">
        <v>0</v>
      </c>
      <c r="I40" s="176"/>
      <c r="J40" s="192">
        <f t="shared" si="13"/>
        <v>0</v>
      </c>
      <c r="K40" s="281"/>
      <c r="L40" s="167">
        <v>100000</v>
      </c>
      <c r="M40" s="173"/>
      <c r="N40" s="160">
        <f t="shared" si="9"/>
        <v>100000</v>
      </c>
      <c r="O40" s="161">
        <f t="shared" si="10"/>
        <v>100000</v>
      </c>
      <c r="P40" s="128">
        <v>100000</v>
      </c>
      <c r="Q40" s="161">
        <f t="shared" si="11"/>
        <v>100000</v>
      </c>
      <c r="R40" s="161">
        <f t="shared" si="12"/>
        <v>0</v>
      </c>
      <c r="S40" s="158"/>
      <c r="T40" s="158"/>
    </row>
    <row r="41" spans="1:21" ht="15.5" x14ac:dyDescent="0.35">
      <c r="A41" s="169"/>
      <c r="C41" s="155" t="s">
        <v>54</v>
      </c>
      <c r="D41" s="179">
        <f>SUM(D25:D40)</f>
        <v>440000</v>
      </c>
      <c r="E41" s="179">
        <f>SUM(E25:E40)</f>
        <v>313000</v>
      </c>
      <c r="F41" s="179">
        <f>SUM(F25:F40)</f>
        <v>40000</v>
      </c>
      <c r="G41" s="179">
        <f>SUM(G25:G40)</f>
        <v>793000</v>
      </c>
      <c r="H41" s="65">
        <f>(H25*G25)+(H26*G26)+(H27*G27)+(H28*G28)+(H29*G29)+(H30*G30)+(G31*H31)+(G32*H32)+(G33*H33)+(G34*H34)+(G35*H35)+(G36*H36)+(G37*H37)+(G38*H38)+(G39*H39)+(G40*H40)</f>
        <v>77900</v>
      </c>
      <c r="I41" s="107">
        <f>SUM(I25:I40)</f>
        <v>706095.6837537497</v>
      </c>
      <c r="J41" s="107">
        <f>SUM(J25:J40)</f>
        <v>75130.233399999997</v>
      </c>
      <c r="K41" s="283">
        <f>SUM(K25:K40)</f>
        <v>385000</v>
      </c>
      <c r="L41" s="179">
        <f>SUM(L25:L40)</f>
        <v>310000</v>
      </c>
      <c r="M41" s="65">
        <f>(M25*N25)+(M26*N26)+(M27*N27)+(M28*N28)+(M29*N29)+(M30*N30)+(N31*M31)+(N32*M32)+(N33*M33)+(N34*M34)+(N35*M35)+(N36*M36)+(N37*M37)+(N38*M38)+(N39*M39)+(N40*M40)</f>
        <v>76500</v>
      </c>
      <c r="N41" s="180">
        <f>SUM(N25:N40)</f>
        <v>695000</v>
      </c>
      <c r="O41" s="171">
        <f>SUM(O25:O40)</f>
        <v>1488000</v>
      </c>
      <c r="P41" s="107"/>
      <c r="Q41" s="171">
        <f>SUM(Q25:Q40)</f>
        <v>1064808.9737537499</v>
      </c>
      <c r="R41" s="171">
        <f>SUM(R25:R40)</f>
        <v>29015.921999999999</v>
      </c>
      <c r="S41" s="103"/>
      <c r="T41" s="165"/>
      <c r="U41" s="17"/>
    </row>
    <row r="42" spans="1:21" ht="51" customHeight="1" x14ac:dyDescent="0.35">
      <c r="A42" s="169"/>
      <c r="B42" s="155" t="s">
        <v>89</v>
      </c>
      <c r="C42" s="369" t="s">
        <v>90</v>
      </c>
      <c r="D42" s="370"/>
      <c r="E42" s="370"/>
      <c r="F42" s="370"/>
      <c r="G42" s="370"/>
      <c r="H42" s="370"/>
      <c r="I42" s="370"/>
      <c r="J42" s="370"/>
      <c r="K42" s="370"/>
      <c r="L42" s="370"/>
      <c r="M42" s="370"/>
      <c r="N42" s="370"/>
      <c r="O42" s="370"/>
      <c r="P42" s="370"/>
      <c r="Q42" s="370"/>
      <c r="R42" s="370"/>
      <c r="S42" s="370"/>
      <c r="T42" s="371"/>
      <c r="U42" s="16"/>
    </row>
    <row r="43" spans="1:21" ht="93" x14ac:dyDescent="0.35">
      <c r="A43" s="169"/>
      <c r="B43" s="156" t="s">
        <v>91</v>
      </c>
      <c r="C43" s="133" t="s">
        <v>92</v>
      </c>
      <c r="D43" s="159">
        <v>20000</v>
      </c>
      <c r="E43" s="158">
        <v>10000</v>
      </c>
      <c r="F43" s="158"/>
      <c r="G43" s="120">
        <f t="shared" ref="G43:G52" si="18">SUM(D43:F43)</f>
        <v>30000</v>
      </c>
      <c r="H43" s="157"/>
      <c r="I43" s="164"/>
      <c r="J43" s="192">
        <f t="shared" ref="J43:J52" si="19">+H43*I43</f>
        <v>0</v>
      </c>
      <c r="K43" s="281">
        <v>0</v>
      </c>
      <c r="L43" s="159">
        <v>0</v>
      </c>
      <c r="M43" s="166"/>
      <c r="N43" s="160">
        <f t="shared" ref="N43:N53" si="20">SUM(K43,L43)</f>
        <v>0</v>
      </c>
      <c r="O43" s="161">
        <f t="shared" ref="O43:O53" si="21">SUM(G43,N43)</f>
        <v>30000</v>
      </c>
      <c r="P43" s="128"/>
      <c r="Q43" s="161">
        <f t="shared" ref="Q43:Q53" si="22">SUM(I43,P43)</f>
        <v>0</v>
      </c>
      <c r="R43" s="161">
        <f t="shared" ref="R43:R53" si="23">+M43*P43</f>
        <v>0</v>
      </c>
      <c r="S43" s="118"/>
      <c r="T43" s="162"/>
      <c r="U43" s="163"/>
    </row>
    <row r="44" spans="1:21" ht="124" x14ac:dyDescent="0.35">
      <c r="A44" s="169"/>
      <c r="B44" s="156" t="s">
        <v>93</v>
      </c>
      <c r="C44" s="133" t="s">
        <v>94</v>
      </c>
      <c r="D44" s="158">
        <v>20000</v>
      </c>
      <c r="E44" s="158"/>
      <c r="F44" s="158"/>
      <c r="G44" s="120">
        <f t="shared" si="18"/>
        <v>20000</v>
      </c>
      <c r="H44" s="157"/>
      <c r="I44" s="128">
        <f>26508+5971.24</f>
        <v>32479.239999999998</v>
      </c>
      <c r="J44" s="192">
        <f t="shared" si="19"/>
        <v>0</v>
      </c>
      <c r="K44" s="281">
        <v>0</v>
      </c>
      <c r="L44" s="159">
        <v>0</v>
      </c>
      <c r="M44" s="166"/>
      <c r="N44" s="160">
        <f t="shared" si="20"/>
        <v>0</v>
      </c>
      <c r="O44" s="161">
        <f t="shared" si="21"/>
        <v>20000</v>
      </c>
      <c r="P44" s="128"/>
      <c r="Q44" s="161">
        <f t="shared" si="22"/>
        <v>32479.239999999998</v>
      </c>
      <c r="R44" s="161">
        <f t="shared" si="23"/>
        <v>0</v>
      </c>
      <c r="S44" s="118"/>
      <c r="T44" s="162"/>
      <c r="U44" s="163"/>
    </row>
    <row r="45" spans="1:21" ht="155" x14ac:dyDescent="0.35">
      <c r="B45" s="156" t="s">
        <v>95</v>
      </c>
      <c r="C45" s="133" t="s">
        <v>96</v>
      </c>
      <c r="D45" s="158"/>
      <c r="E45" s="158">
        <v>30000</v>
      </c>
      <c r="F45" s="158"/>
      <c r="G45" s="172">
        <f t="shared" si="18"/>
        <v>30000</v>
      </c>
      <c r="H45" s="242"/>
      <c r="I45" s="164">
        <v>75000</v>
      </c>
      <c r="J45" s="192">
        <f t="shared" si="19"/>
        <v>0</v>
      </c>
      <c r="K45" s="281">
        <v>15000</v>
      </c>
      <c r="L45" s="159">
        <v>20000</v>
      </c>
      <c r="M45" s="242">
        <v>0.3</v>
      </c>
      <c r="N45" s="160">
        <f t="shared" si="20"/>
        <v>35000</v>
      </c>
      <c r="O45" s="161">
        <f t="shared" si="21"/>
        <v>65000</v>
      </c>
      <c r="P45" s="128">
        <f>6452.29+110.54</f>
        <v>6562.83</v>
      </c>
      <c r="Q45" s="161">
        <f t="shared" si="22"/>
        <v>81562.83</v>
      </c>
      <c r="R45" s="161">
        <f t="shared" si="23"/>
        <v>1968.8489999999999</v>
      </c>
      <c r="S45" s="138" t="s">
        <v>31</v>
      </c>
      <c r="T45" s="243"/>
      <c r="U45" s="163"/>
    </row>
    <row r="46" spans="1:21" s="177" customFormat="1" ht="217" x14ac:dyDescent="0.35">
      <c r="B46" s="156" t="s">
        <v>97</v>
      </c>
      <c r="C46" s="168" t="s">
        <v>98</v>
      </c>
      <c r="D46" s="158">
        <v>0</v>
      </c>
      <c r="E46" s="158">
        <v>0</v>
      </c>
      <c r="F46" s="158">
        <v>30000</v>
      </c>
      <c r="G46" s="172">
        <f t="shared" si="18"/>
        <v>30000</v>
      </c>
      <c r="H46" s="244"/>
      <c r="I46" s="176">
        <v>30000</v>
      </c>
      <c r="J46" s="192">
        <f t="shared" si="19"/>
        <v>0</v>
      </c>
      <c r="K46" s="281">
        <v>30000</v>
      </c>
      <c r="L46" s="159">
        <v>0</v>
      </c>
      <c r="M46" s="242">
        <v>0.3</v>
      </c>
      <c r="N46" s="160">
        <f t="shared" si="20"/>
        <v>30000</v>
      </c>
      <c r="O46" s="161">
        <f t="shared" si="21"/>
        <v>60000</v>
      </c>
      <c r="P46" s="128">
        <f>1827.27+8532.49+619.65</f>
        <v>10979.41</v>
      </c>
      <c r="Q46" s="161">
        <f t="shared" si="22"/>
        <v>40979.410000000003</v>
      </c>
      <c r="R46" s="161">
        <f t="shared" si="23"/>
        <v>3293.8229999999999</v>
      </c>
      <c r="S46" s="138" t="s">
        <v>50</v>
      </c>
      <c r="T46" s="243"/>
    </row>
    <row r="47" spans="1:21" s="177" customFormat="1" ht="155" x14ac:dyDescent="0.35">
      <c r="B47" s="156" t="s">
        <v>99</v>
      </c>
      <c r="C47" s="133" t="s">
        <v>100</v>
      </c>
      <c r="D47" s="158">
        <v>25000</v>
      </c>
      <c r="E47" s="158">
        <v>25000</v>
      </c>
      <c r="F47" s="158">
        <v>25000</v>
      </c>
      <c r="G47" s="172">
        <f t="shared" si="18"/>
        <v>75000</v>
      </c>
      <c r="H47" s="244"/>
      <c r="I47" s="128">
        <v>123823.66</v>
      </c>
      <c r="J47" s="192">
        <f t="shared" si="19"/>
        <v>0</v>
      </c>
      <c r="K47" s="281">
        <v>20000</v>
      </c>
      <c r="L47" s="159">
        <v>34532.710000000006</v>
      </c>
      <c r="M47" s="242">
        <v>0.4</v>
      </c>
      <c r="N47" s="160">
        <f t="shared" si="20"/>
        <v>54532.710000000006</v>
      </c>
      <c r="O47" s="161">
        <f t="shared" si="21"/>
        <v>129532.71</v>
      </c>
      <c r="P47" s="128">
        <f>2500+18360</f>
        <v>20860</v>
      </c>
      <c r="Q47" s="161">
        <f t="shared" si="22"/>
        <v>144683.66</v>
      </c>
      <c r="R47" s="161">
        <f t="shared" si="23"/>
        <v>8344</v>
      </c>
      <c r="S47" s="138" t="s">
        <v>50</v>
      </c>
      <c r="T47" s="243" t="s">
        <v>101</v>
      </c>
    </row>
    <row r="48" spans="1:21" s="177" customFormat="1" ht="93" x14ac:dyDescent="0.35">
      <c r="B48" s="119" t="s">
        <v>102</v>
      </c>
      <c r="C48" s="265" t="s">
        <v>103</v>
      </c>
      <c r="D48" s="138">
        <v>20000</v>
      </c>
      <c r="E48" s="158"/>
      <c r="F48" s="138"/>
      <c r="G48" s="120">
        <f>SUM(D48:F48)</f>
        <v>20000</v>
      </c>
      <c r="H48" s="157"/>
      <c r="I48" s="164"/>
      <c r="J48" s="192">
        <f t="shared" si="19"/>
        <v>0</v>
      </c>
      <c r="K48" s="281"/>
      <c r="L48" s="159"/>
      <c r="M48" s="242"/>
      <c r="N48" s="160"/>
      <c r="O48" s="161"/>
      <c r="P48" s="128"/>
      <c r="Q48" s="161">
        <f t="shared" si="22"/>
        <v>0</v>
      </c>
      <c r="R48" s="161">
        <f t="shared" si="23"/>
        <v>0</v>
      </c>
      <c r="S48" s="138"/>
      <c r="T48" s="243"/>
    </row>
    <row r="49" spans="1:21" s="177" customFormat="1" ht="124" x14ac:dyDescent="0.35">
      <c r="B49" s="156" t="s">
        <v>102</v>
      </c>
      <c r="C49" s="168" t="s">
        <v>104</v>
      </c>
      <c r="D49" s="159">
        <v>0</v>
      </c>
      <c r="E49" s="159"/>
      <c r="F49" s="159"/>
      <c r="G49" s="172">
        <f t="shared" si="18"/>
        <v>0</v>
      </c>
      <c r="H49" s="244"/>
      <c r="I49" s="176"/>
      <c r="J49" s="192">
        <f t="shared" si="19"/>
        <v>0</v>
      </c>
      <c r="K49" s="281">
        <v>65000</v>
      </c>
      <c r="L49" s="159">
        <v>0</v>
      </c>
      <c r="M49" s="242">
        <v>0.45</v>
      </c>
      <c r="N49" s="160">
        <f t="shared" si="20"/>
        <v>65000</v>
      </c>
      <c r="O49" s="161">
        <f t="shared" si="21"/>
        <v>65000</v>
      </c>
      <c r="P49" s="128">
        <f>28048.5+41173.94</f>
        <v>69222.44</v>
      </c>
      <c r="Q49" s="161">
        <f t="shared" si="22"/>
        <v>69222.44</v>
      </c>
      <c r="R49" s="161">
        <f t="shared" si="23"/>
        <v>31150.098000000002</v>
      </c>
      <c r="S49" s="138" t="s">
        <v>50</v>
      </c>
      <c r="T49" s="243"/>
    </row>
    <row r="50" spans="1:21" s="177" customFormat="1" ht="108.5" x14ac:dyDescent="0.35">
      <c r="B50" s="156" t="s">
        <v>105</v>
      </c>
      <c r="C50" s="168" t="s">
        <v>106</v>
      </c>
      <c r="D50" s="159">
        <v>0</v>
      </c>
      <c r="E50" s="159">
        <v>0</v>
      </c>
      <c r="F50" s="159">
        <v>0</v>
      </c>
      <c r="G50" s="172">
        <f t="shared" si="18"/>
        <v>0</v>
      </c>
      <c r="H50" s="244"/>
      <c r="I50" s="176"/>
      <c r="J50" s="192">
        <f t="shared" si="19"/>
        <v>0</v>
      </c>
      <c r="K50" s="281">
        <v>20000</v>
      </c>
      <c r="L50" s="159">
        <v>0</v>
      </c>
      <c r="M50" s="242">
        <v>0.3</v>
      </c>
      <c r="N50" s="160">
        <f t="shared" si="20"/>
        <v>20000</v>
      </c>
      <c r="O50" s="161">
        <f t="shared" si="21"/>
        <v>20000</v>
      </c>
      <c r="P50" s="128">
        <v>16491.47</v>
      </c>
      <c r="Q50" s="161">
        <f t="shared" si="22"/>
        <v>16491.47</v>
      </c>
      <c r="R50" s="161">
        <f t="shared" si="23"/>
        <v>4947.4409999999998</v>
      </c>
      <c r="S50" s="158" t="s">
        <v>26</v>
      </c>
      <c r="T50" s="243"/>
    </row>
    <row r="51" spans="1:21" s="177" customFormat="1" ht="139.5" x14ac:dyDescent="0.35">
      <c r="B51" s="156" t="s">
        <v>107</v>
      </c>
      <c r="C51" s="168" t="s">
        <v>108</v>
      </c>
      <c r="D51" s="159">
        <v>0</v>
      </c>
      <c r="E51" s="159">
        <v>0</v>
      </c>
      <c r="F51" s="159"/>
      <c r="G51" s="172">
        <f t="shared" si="18"/>
        <v>0</v>
      </c>
      <c r="H51" s="244"/>
      <c r="I51" s="176"/>
      <c r="J51" s="192">
        <f t="shared" si="19"/>
        <v>0</v>
      </c>
      <c r="K51" s="281">
        <v>15000</v>
      </c>
      <c r="L51" s="159">
        <v>15000</v>
      </c>
      <c r="M51" s="242">
        <v>0.3</v>
      </c>
      <c r="N51" s="160">
        <f t="shared" si="20"/>
        <v>30000</v>
      </c>
      <c r="O51" s="161">
        <f t="shared" si="21"/>
        <v>30000</v>
      </c>
      <c r="P51" s="128">
        <f>12172.12+6030.18</f>
        <v>18202.300000000003</v>
      </c>
      <c r="Q51" s="161">
        <f t="shared" si="22"/>
        <v>18202.300000000003</v>
      </c>
      <c r="R51" s="161">
        <f t="shared" si="23"/>
        <v>5460.6900000000005</v>
      </c>
      <c r="S51" s="138" t="s">
        <v>31</v>
      </c>
      <c r="T51" s="243"/>
    </row>
    <row r="52" spans="1:21" s="177" customFormat="1" ht="139.5" x14ac:dyDescent="0.35">
      <c r="B52" s="156" t="s">
        <v>109</v>
      </c>
      <c r="C52" s="168" t="s">
        <v>110</v>
      </c>
      <c r="D52" s="159">
        <v>0</v>
      </c>
      <c r="E52" s="159">
        <v>0</v>
      </c>
      <c r="F52" s="159"/>
      <c r="G52" s="172">
        <f t="shared" si="18"/>
        <v>0</v>
      </c>
      <c r="H52" s="244"/>
      <c r="I52" s="176"/>
      <c r="J52" s="192">
        <f t="shared" si="19"/>
        <v>0</v>
      </c>
      <c r="K52" s="281">
        <v>15000</v>
      </c>
      <c r="L52" s="159">
        <v>15000</v>
      </c>
      <c r="M52" s="242">
        <v>0.3</v>
      </c>
      <c r="N52" s="160">
        <f t="shared" si="20"/>
        <v>30000</v>
      </c>
      <c r="O52" s="161">
        <f t="shared" si="21"/>
        <v>30000</v>
      </c>
      <c r="P52" s="128"/>
      <c r="Q52" s="161">
        <f t="shared" si="22"/>
        <v>0</v>
      </c>
      <c r="R52" s="161">
        <f t="shared" si="23"/>
        <v>0</v>
      </c>
      <c r="S52" s="138" t="s">
        <v>31</v>
      </c>
      <c r="T52" s="243"/>
    </row>
    <row r="53" spans="1:21" s="177" customFormat="1" ht="77.5" x14ac:dyDescent="0.35">
      <c r="B53" s="156" t="s">
        <v>111</v>
      </c>
      <c r="C53" s="168" t="s">
        <v>112</v>
      </c>
      <c r="D53" s="159">
        <v>0</v>
      </c>
      <c r="E53" s="159">
        <v>0</v>
      </c>
      <c r="F53" s="159">
        <v>0</v>
      </c>
      <c r="G53" s="172">
        <f t="shared" ref="G53" si="24">SUM(D53:F53)</f>
        <v>0</v>
      </c>
      <c r="H53" s="244"/>
      <c r="I53" s="176"/>
      <c r="J53" s="192">
        <f>+H53*I53</f>
        <v>0</v>
      </c>
      <c r="K53" s="281">
        <v>15000</v>
      </c>
      <c r="L53" s="159">
        <v>0</v>
      </c>
      <c r="M53" s="166"/>
      <c r="N53" s="160">
        <f t="shared" si="20"/>
        <v>15000</v>
      </c>
      <c r="O53" s="161">
        <f t="shared" si="21"/>
        <v>15000</v>
      </c>
      <c r="P53" s="128"/>
      <c r="Q53" s="161">
        <f t="shared" si="22"/>
        <v>0</v>
      </c>
      <c r="R53" s="161">
        <f t="shared" si="23"/>
        <v>0</v>
      </c>
      <c r="S53" s="138"/>
      <c r="T53" s="243"/>
    </row>
    <row r="54" spans="1:21" ht="15.5" x14ac:dyDescent="0.35">
      <c r="C54" s="155" t="s">
        <v>54</v>
      </c>
      <c r="D54" s="65">
        <f>SUM(D43:D53)</f>
        <v>85000</v>
      </c>
      <c r="E54" s="65">
        <f>SUM(E43:E53)</f>
        <v>65000</v>
      </c>
      <c r="F54" s="65">
        <f>SUM(F43:F53)</f>
        <v>55000</v>
      </c>
      <c r="G54" s="65">
        <f>SUM(G43:G53)</f>
        <v>205000</v>
      </c>
      <c r="H54" s="65">
        <f>(G43*H43)+(G44*H44)+(G45*H45)+(G46*H46)+(G47*H47)+(G49*H49)+(G50*H50)+(G51*H51)+(G52*H52)+(G53*H53)</f>
        <v>0</v>
      </c>
      <c r="I54" s="107">
        <f t="shared" ref="I54:S54" si="25">SUM(I43:I53)</f>
        <v>261302.9</v>
      </c>
      <c r="J54" s="107">
        <f>SUM(J43:J53)</f>
        <v>0</v>
      </c>
      <c r="K54" s="282">
        <f t="shared" si="25"/>
        <v>195000</v>
      </c>
      <c r="L54" s="160">
        <f t="shared" si="25"/>
        <v>84532.71</v>
      </c>
      <c r="M54" s="65">
        <f>(N43*M43)+(N44*M44)+(N45*M45)+(N46*M46)+(N47*M47)+(N49*M49)+(N50*M50)+(N51*M51)+(N52*M52)+(N53*M53)</f>
        <v>94563.084000000003</v>
      </c>
      <c r="N54" s="160">
        <f t="shared" si="25"/>
        <v>279532.71000000002</v>
      </c>
      <c r="O54" s="171">
        <f>SUM(O43:O53)</f>
        <v>464532.71</v>
      </c>
      <c r="P54" s="107">
        <f>SUM(P43:P53)</f>
        <v>142318.45000000001</v>
      </c>
      <c r="Q54" s="171">
        <f>SUM(Q43:Q53)</f>
        <v>403621.35000000003</v>
      </c>
      <c r="R54" s="171">
        <f>SUM(R43:R53)</f>
        <v>55164.901000000005</v>
      </c>
      <c r="S54" s="103">
        <f t="shared" si="25"/>
        <v>0</v>
      </c>
      <c r="T54" s="165"/>
      <c r="U54" s="17"/>
    </row>
    <row r="55" spans="1:21" ht="15.65" customHeight="1" x14ac:dyDescent="0.35">
      <c r="A55" s="169"/>
      <c r="B55" s="155" t="s">
        <v>113</v>
      </c>
      <c r="C55" t="s">
        <v>114</v>
      </c>
      <c r="D55"/>
      <c r="E55"/>
      <c r="F55"/>
      <c r="G55"/>
      <c r="H55"/>
      <c r="I55"/>
      <c r="J55"/>
      <c r="K55" s="284"/>
      <c r="L55"/>
      <c r="M55"/>
      <c r="N55" s="16"/>
      <c r="O55" s="16"/>
      <c r="P55" s="16"/>
      <c r="Q55" s="16"/>
      <c r="R55" s="16"/>
      <c r="S55" s="143"/>
    </row>
    <row r="56" spans="1:21" s="177" customFormat="1" ht="108.5" x14ac:dyDescent="0.35">
      <c r="A56" s="174"/>
      <c r="B56" s="156" t="s">
        <v>115</v>
      </c>
      <c r="C56" s="168" t="s">
        <v>116</v>
      </c>
      <c r="D56" s="170">
        <v>0</v>
      </c>
      <c r="E56" s="170">
        <v>0</v>
      </c>
      <c r="F56" s="170"/>
      <c r="G56" s="181">
        <f>SUM(D56:F56)</f>
        <v>0</v>
      </c>
      <c r="H56" s="175"/>
      <c r="I56" s="176"/>
      <c r="J56" s="192">
        <f t="shared" ref="J56:J60" si="26">+H56*I56</f>
        <v>0</v>
      </c>
      <c r="K56" s="281">
        <v>20000</v>
      </c>
      <c r="L56" s="170">
        <v>20000</v>
      </c>
      <c r="M56" s="157">
        <v>0.35</v>
      </c>
      <c r="N56" s="160">
        <f t="shared" ref="N56:N61" si="27">SUM(K56,L56)</f>
        <v>40000</v>
      </c>
      <c r="O56" s="161">
        <f t="shared" ref="O56:O61" si="28">SUM(G56,N56)</f>
        <v>40000</v>
      </c>
      <c r="P56" s="128">
        <f>7601.46+17000</f>
        <v>24601.46</v>
      </c>
      <c r="Q56" s="161">
        <f t="shared" ref="Q56:Q61" si="29">SUM(I56,P56)</f>
        <v>24601.46</v>
      </c>
      <c r="R56" s="161">
        <f t="shared" ref="R56:R61" si="30">+M56*P56</f>
        <v>8610.5109999999986</v>
      </c>
      <c r="S56" s="118" t="s">
        <v>26</v>
      </c>
      <c r="T56" s="162"/>
    </row>
    <row r="57" spans="1:21" s="177" customFormat="1" ht="139.5" x14ac:dyDescent="0.35">
      <c r="B57" s="156" t="s">
        <v>117</v>
      </c>
      <c r="C57" s="133" t="s">
        <v>118</v>
      </c>
      <c r="D57" s="158">
        <v>0</v>
      </c>
      <c r="E57" s="159">
        <v>0</v>
      </c>
      <c r="F57" s="158"/>
      <c r="G57" s="172">
        <f>SUM(D57:F57)</f>
        <v>0</v>
      </c>
      <c r="H57" s="244"/>
      <c r="I57" s="176"/>
      <c r="J57" s="192">
        <f t="shared" si="26"/>
        <v>0</v>
      </c>
      <c r="K57" s="281">
        <v>35000</v>
      </c>
      <c r="L57" s="159">
        <v>0</v>
      </c>
      <c r="M57" s="242">
        <v>0.35</v>
      </c>
      <c r="N57" s="160">
        <f t="shared" si="27"/>
        <v>35000</v>
      </c>
      <c r="O57" s="161">
        <f t="shared" si="28"/>
        <v>35000</v>
      </c>
      <c r="P57" s="128"/>
      <c r="Q57" s="161">
        <f t="shared" si="29"/>
        <v>0</v>
      </c>
      <c r="R57" s="161">
        <f t="shared" si="30"/>
        <v>0</v>
      </c>
      <c r="S57" s="138" t="s">
        <v>31</v>
      </c>
      <c r="T57" s="243"/>
    </row>
    <row r="58" spans="1:21" s="177" customFormat="1" ht="139.5" x14ac:dyDescent="0.35">
      <c r="A58" s="174"/>
      <c r="B58" s="156" t="s">
        <v>119</v>
      </c>
      <c r="C58" s="168" t="s">
        <v>120</v>
      </c>
      <c r="D58" s="170">
        <v>0</v>
      </c>
      <c r="E58" s="170">
        <v>0</v>
      </c>
      <c r="F58" s="170"/>
      <c r="G58" s="181">
        <f>SUM(D58:F58)</f>
        <v>0</v>
      </c>
      <c r="H58" s="175"/>
      <c r="I58" s="176"/>
      <c r="J58" s="192">
        <f t="shared" si="26"/>
        <v>0</v>
      </c>
      <c r="K58" s="281">
        <v>35000</v>
      </c>
      <c r="L58" s="170">
        <v>35000</v>
      </c>
      <c r="M58" s="157">
        <v>0.45</v>
      </c>
      <c r="N58" s="160">
        <f t="shared" si="27"/>
        <v>70000</v>
      </c>
      <c r="O58" s="161">
        <f t="shared" si="28"/>
        <v>70000</v>
      </c>
      <c r="P58" s="128">
        <f>16800+31090.07+11863.81+11788-4392.49-558.54</f>
        <v>66590.850000000006</v>
      </c>
      <c r="Q58" s="161">
        <f t="shared" si="29"/>
        <v>66590.850000000006</v>
      </c>
      <c r="R58" s="161">
        <f t="shared" si="30"/>
        <v>29965.882500000003</v>
      </c>
      <c r="S58" s="118" t="s">
        <v>31</v>
      </c>
      <c r="T58" s="162"/>
    </row>
    <row r="59" spans="1:21" s="177" customFormat="1" ht="124" x14ac:dyDescent="0.35">
      <c r="B59" s="156" t="s">
        <v>121</v>
      </c>
      <c r="C59" s="168" t="s">
        <v>122</v>
      </c>
      <c r="D59" s="159">
        <v>0</v>
      </c>
      <c r="E59" s="159">
        <v>0</v>
      </c>
      <c r="F59" s="159"/>
      <c r="G59" s="181">
        <f>SUM(D59:F59)</f>
        <v>0</v>
      </c>
      <c r="H59" s="244"/>
      <c r="I59" s="176"/>
      <c r="J59" s="192">
        <f t="shared" si="26"/>
        <v>0</v>
      </c>
      <c r="K59" s="281">
        <v>40000</v>
      </c>
      <c r="L59" s="159">
        <v>30000</v>
      </c>
      <c r="M59" s="242">
        <v>0.45</v>
      </c>
      <c r="N59" s="160">
        <f t="shared" si="27"/>
        <v>70000</v>
      </c>
      <c r="O59" s="161">
        <f t="shared" si="28"/>
        <v>70000</v>
      </c>
      <c r="P59" s="128">
        <v>25700</v>
      </c>
      <c r="Q59" s="161">
        <f t="shared" si="29"/>
        <v>25700</v>
      </c>
      <c r="R59" s="161">
        <f>+M59*P59</f>
        <v>11565</v>
      </c>
      <c r="S59" s="138" t="s">
        <v>50</v>
      </c>
      <c r="T59" s="243"/>
    </row>
    <row r="60" spans="1:21" s="177" customFormat="1" ht="108.5" x14ac:dyDescent="0.35">
      <c r="B60" s="156" t="s">
        <v>123</v>
      </c>
      <c r="C60" s="168" t="s">
        <v>124</v>
      </c>
      <c r="D60" s="159">
        <v>0</v>
      </c>
      <c r="E60" s="159">
        <v>0</v>
      </c>
      <c r="F60" s="159"/>
      <c r="G60" s="181">
        <f t="shared" ref="G60:G61" si="31">SUM(D60:F60)</f>
        <v>0</v>
      </c>
      <c r="H60" s="244"/>
      <c r="I60" s="176"/>
      <c r="J60" s="192">
        <f t="shared" si="26"/>
        <v>0</v>
      </c>
      <c r="K60" s="281">
        <v>40000</v>
      </c>
      <c r="L60" s="159">
        <v>30000</v>
      </c>
      <c r="M60" s="242">
        <v>0.45</v>
      </c>
      <c r="N60" s="160">
        <f t="shared" si="27"/>
        <v>70000</v>
      </c>
      <c r="O60" s="161">
        <f t="shared" si="28"/>
        <v>70000</v>
      </c>
      <c r="P60" s="128">
        <v>48813.11</v>
      </c>
      <c r="Q60" s="161">
        <f t="shared" si="29"/>
        <v>48813.11</v>
      </c>
      <c r="R60" s="161">
        <f t="shared" si="30"/>
        <v>21965.8995</v>
      </c>
      <c r="S60" s="158" t="s">
        <v>26</v>
      </c>
      <c r="T60" s="243"/>
    </row>
    <row r="61" spans="1:21" s="177" customFormat="1" ht="124" x14ac:dyDescent="0.35">
      <c r="B61" s="156" t="s">
        <v>125</v>
      </c>
      <c r="C61" s="168" t="s">
        <v>126</v>
      </c>
      <c r="D61" s="159">
        <v>0</v>
      </c>
      <c r="E61" s="159">
        <v>0</v>
      </c>
      <c r="F61" s="159"/>
      <c r="G61" s="181">
        <f t="shared" si="31"/>
        <v>0</v>
      </c>
      <c r="H61" s="244"/>
      <c r="I61" s="176"/>
      <c r="J61" s="192">
        <f>+H61*I61</f>
        <v>0</v>
      </c>
      <c r="K61" s="281">
        <v>20000</v>
      </c>
      <c r="L61" s="159">
        <v>20000</v>
      </c>
      <c r="M61" s="242">
        <v>0.45</v>
      </c>
      <c r="N61" s="160">
        <f t="shared" si="27"/>
        <v>40000</v>
      </c>
      <c r="O61" s="161">
        <f t="shared" si="28"/>
        <v>40000</v>
      </c>
      <c r="P61" s="128">
        <v>12477.24</v>
      </c>
      <c r="Q61" s="161">
        <f t="shared" si="29"/>
        <v>12477.24</v>
      </c>
      <c r="R61" s="161">
        <f t="shared" si="30"/>
        <v>5614.7579999999998</v>
      </c>
      <c r="S61" s="138" t="s">
        <v>50</v>
      </c>
      <c r="T61" s="243"/>
    </row>
    <row r="62" spans="1:21" s="177" customFormat="1" ht="15.5" x14ac:dyDescent="0.35">
      <c r="C62" s="182" t="s">
        <v>54</v>
      </c>
      <c r="D62" s="65">
        <f>SUM(D56:D61)</f>
        <v>0</v>
      </c>
      <c r="E62" s="65">
        <f>SUM(E56:E61)</f>
        <v>0</v>
      </c>
      <c r="F62" s="65">
        <f t="shared" ref="F62" si="32">SUM(F56:F61)</f>
        <v>0</v>
      </c>
      <c r="G62" s="65">
        <f>SUM(G56:G61)</f>
        <v>0</v>
      </c>
      <c r="H62" s="65">
        <f>(H59*G59)+(H58*G58)+(H61*G61)+(H60*G60)+(G56*H56)+(G57*H57)</f>
        <v>0</v>
      </c>
      <c r="I62" s="183">
        <f>SUM(I56:I61)</f>
        <v>0</v>
      </c>
      <c r="J62" s="183">
        <f>SUM(J56:J61)</f>
        <v>0</v>
      </c>
      <c r="K62" s="282">
        <f>SUM(K56:K61)</f>
        <v>190000</v>
      </c>
      <c r="L62" s="160">
        <f>SUM(L56:L61)</f>
        <v>135000</v>
      </c>
      <c r="M62" s="171">
        <f>(M59*N59)+(M58*N58)+(M61*N61)+(M60*N60)+(N56*M56)+(N57*M57)</f>
        <v>138750</v>
      </c>
      <c r="N62" s="160">
        <f>SUM(N56:N61)</f>
        <v>325000</v>
      </c>
      <c r="O62" s="171">
        <f>SUM(O56:O61)</f>
        <v>325000</v>
      </c>
      <c r="P62" s="183">
        <f>SUM(P56:P61)</f>
        <v>178182.65999999997</v>
      </c>
      <c r="Q62" s="171">
        <f>SUM(Q56:Q61)</f>
        <v>178182.65999999997</v>
      </c>
      <c r="R62" s="171">
        <f>SUM(R56:R61)</f>
        <v>77722.051000000007</v>
      </c>
      <c r="S62" s="118"/>
      <c r="T62" s="162"/>
    </row>
    <row r="63" spans="1:21" ht="15.75" customHeight="1" x14ac:dyDescent="0.35">
      <c r="B63" s="184"/>
      <c r="C63" s="185"/>
      <c r="D63" s="186"/>
      <c r="E63" s="186"/>
      <c r="F63" s="186"/>
      <c r="G63" s="186"/>
      <c r="H63" s="186"/>
      <c r="I63" s="187"/>
      <c r="J63" s="188"/>
      <c r="K63" s="285"/>
      <c r="L63" s="188"/>
      <c r="M63" s="188"/>
      <c r="N63" s="188"/>
      <c r="O63" s="188"/>
      <c r="P63" s="188"/>
      <c r="Q63" s="188"/>
      <c r="R63" s="188"/>
      <c r="S63" s="186"/>
      <c r="T63" s="185"/>
      <c r="U63" s="189"/>
    </row>
    <row r="64" spans="1:21" ht="15.75" customHeight="1" x14ac:dyDescent="0.35">
      <c r="B64" s="184"/>
      <c r="C64" s="185"/>
      <c r="D64" s="186"/>
      <c r="E64" s="186"/>
      <c r="F64" s="186"/>
      <c r="G64" s="186"/>
      <c r="H64" s="186"/>
      <c r="I64" s="187"/>
      <c r="J64" s="188"/>
      <c r="K64" s="285"/>
      <c r="L64" s="188"/>
      <c r="M64" s="188"/>
      <c r="N64" s="188"/>
      <c r="O64" s="188"/>
      <c r="P64" s="188"/>
      <c r="Q64" s="188"/>
      <c r="R64" s="188"/>
      <c r="S64" s="186"/>
      <c r="T64" s="185"/>
      <c r="U64" s="189"/>
    </row>
    <row r="65" spans="2:21" ht="80.150000000000006" customHeight="1" x14ac:dyDescent="0.35">
      <c r="B65" s="155" t="s">
        <v>127</v>
      </c>
      <c r="C65" s="103" t="s">
        <v>128</v>
      </c>
      <c r="D65" s="105">
        <v>150000</v>
      </c>
      <c r="E65" s="105">
        <v>177000</v>
      </c>
      <c r="F65" s="106">
        <v>40000</v>
      </c>
      <c r="G65" s="190">
        <f>SUM(D65:F65)</f>
        <v>367000</v>
      </c>
      <c r="H65" s="157">
        <v>0.3</v>
      </c>
      <c r="I65" s="191">
        <f>271676.97+17000+38744.03+18481.6</f>
        <v>345902.6</v>
      </c>
      <c r="J65" s="192">
        <f>+H65*I65</f>
        <v>103770.77999999998</v>
      </c>
      <c r="K65" s="286">
        <f>190000</f>
        <v>190000</v>
      </c>
      <c r="L65" s="245">
        <v>260000</v>
      </c>
      <c r="M65" s="157">
        <v>0.52</v>
      </c>
      <c r="N65" s="160">
        <f>SUM(K65,L65)</f>
        <v>450000</v>
      </c>
      <c r="O65" s="161">
        <f>SUM(G65,N65)</f>
        <v>817000</v>
      </c>
      <c r="P65" s="128">
        <f>87863+45698.76+25073.07</f>
        <v>158634.83000000002</v>
      </c>
      <c r="Q65" s="161">
        <v>706537.43</v>
      </c>
      <c r="R65" s="161">
        <f t="shared" ref="R65:R68" si="33">+M65*P65</f>
        <v>82490.111600000018</v>
      </c>
      <c r="S65" s="118" t="s">
        <v>129</v>
      </c>
      <c r="T65" s="194"/>
      <c r="U65" s="17"/>
    </row>
    <row r="66" spans="2:21" ht="69.75" customHeight="1" x14ac:dyDescent="0.35">
      <c r="B66" s="155" t="s">
        <v>130</v>
      </c>
      <c r="C66" s="103" t="s">
        <v>131</v>
      </c>
      <c r="D66" s="105">
        <v>50000</v>
      </c>
      <c r="E66" s="105">
        <v>20000</v>
      </c>
      <c r="F66" s="106">
        <v>10000</v>
      </c>
      <c r="G66" s="190">
        <f>SUM(D66:F66)</f>
        <v>80000</v>
      </c>
      <c r="H66" s="157">
        <f>34%-0.04%-0.02%-0.01%-0.01%</f>
        <v>0.33920000000000006</v>
      </c>
      <c r="I66" s="191">
        <f>54167.26+20000+16557-1083.17+4000+30000-13007.34</f>
        <v>110633.75000000001</v>
      </c>
      <c r="J66" s="192">
        <f t="shared" ref="J66:J68" si="34">+H66*I66</f>
        <v>37526.968000000008</v>
      </c>
      <c r="K66" s="286">
        <v>60000</v>
      </c>
      <c r="L66" s="193">
        <v>15000</v>
      </c>
      <c r="M66" s="195"/>
      <c r="N66" s="160">
        <f>SUM(K66,L66)</f>
        <v>75000</v>
      </c>
      <c r="O66" s="161">
        <f>SUM(G66,N66)</f>
        <v>155000</v>
      </c>
      <c r="P66" s="128">
        <v>36553.839999999997</v>
      </c>
      <c r="Q66" s="161">
        <f>SUM(I66,P66)</f>
        <v>147187.59000000003</v>
      </c>
      <c r="R66" s="161">
        <f t="shared" si="33"/>
        <v>0</v>
      </c>
      <c r="S66" s="106"/>
      <c r="T66" s="194"/>
      <c r="U66" s="17"/>
    </row>
    <row r="67" spans="2:21" ht="57" customHeight="1" x14ac:dyDescent="0.35">
      <c r="B67" s="155" t="s">
        <v>132</v>
      </c>
      <c r="C67" s="104" t="s">
        <v>133</v>
      </c>
      <c r="D67" s="105">
        <v>75000</v>
      </c>
      <c r="E67" s="105"/>
      <c r="F67" s="106">
        <v>10000</v>
      </c>
      <c r="G67" s="190">
        <f>SUM(D67:F67)</f>
        <v>85000</v>
      </c>
      <c r="H67" s="157">
        <v>0.17</v>
      </c>
      <c r="I67" s="191">
        <f>14151.01+37000</f>
        <v>51151.01</v>
      </c>
      <c r="J67" s="192">
        <f t="shared" si="34"/>
        <v>8695.6717000000008</v>
      </c>
      <c r="K67" s="286">
        <v>85000</v>
      </c>
      <c r="L67" s="245">
        <v>20000</v>
      </c>
      <c r="M67" s="157">
        <v>0.5</v>
      </c>
      <c r="N67" s="160">
        <f>SUM(K67,L67)</f>
        <v>105000</v>
      </c>
      <c r="O67" s="161">
        <f>SUM(G67,N67)</f>
        <v>190000</v>
      </c>
      <c r="P67" s="128">
        <v>17020</v>
      </c>
      <c r="Q67" s="161">
        <f>SUM(I67,P67)</f>
        <v>68171.010000000009</v>
      </c>
      <c r="R67" s="161">
        <f t="shared" si="33"/>
        <v>8510</v>
      </c>
      <c r="S67" s="118" t="s">
        <v>129</v>
      </c>
      <c r="T67" s="194"/>
      <c r="U67" s="17"/>
    </row>
    <row r="68" spans="2:21" ht="65.25" customHeight="1" x14ac:dyDescent="0.35">
      <c r="B68" s="196" t="s">
        <v>134</v>
      </c>
      <c r="C68" s="103"/>
      <c r="D68" s="105">
        <v>50000</v>
      </c>
      <c r="E68" s="105"/>
      <c r="F68" s="105"/>
      <c r="G68" s="190">
        <f>SUM(D68:F68)</f>
        <v>50000</v>
      </c>
      <c r="H68" s="197"/>
      <c r="I68" s="191">
        <v>31493.37</v>
      </c>
      <c r="J68" s="192">
        <f t="shared" si="34"/>
        <v>0</v>
      </c>
      <c r="K68" s="286">
        <v>50000</v>
      </c>
      <c r="L68" s="193"/>
      <c r="M68" s="195"/>
      <c r="N68" s="160">
        <f>SUM(K68,L68)</f>
        <v>50000</v>
      </c>
      <c r="O68" s="161">
        <f>SUM(G68,N68)</f>
        <v>100000</v>
      </c>
      <c r="P68" s="128"/>
      <c r="Q68" s="161">
        <f>SUM(I68,P68)</f>
        <v>31493.37</v>
      </c>
      <c r="R68" s="161">
        <f t="shared" si="33"/>
        <v>0</v>
      </c>
      <c r="S68" s="106"/>
      <c r="T68" s="194"/>
      <c r="U68" s="17"/>
    </row>
    <row r="69" spans="2:21" ht="21.75" customHeight="1" x14ac:dyDescent="0.35">
      <c r="B69" s="184"/>
      <c r="C69" s="67" t="s">
        <v>135</v>
      </c>
      <c r="D69" s="69">
        <f>SUM(D65:D68)</f>
        <v>325000</v>
      </c>
      <c r="E69" s="69">
        <f>SUM(E65:E68)</f>
        <v>197000</v>
      </c>
      <c r="F69" s="69">
        <f>SUM(F65:F68)</f>
        <v>60000</v>
      </c>
      <c r="G69" s="69">
        <f>SUM(G65:G68)</f>
        <v>582000</v>
      </c>
      <c r="H69" s="65">
        <f>(H65*G65)+(H66*G66)+(H67*G67)+(H68*G68)</f>
        <v>151686</v>
      </c>
      <c r="I69" s="108">
        <f>SUM(I65:I68)</f>
        <v>539180.73</v>
      </c>
      <c r="J69" s="108">
        <f>SUM(J65:J68)</f>
        <v>149993.4197</v>
      </c>
      <c r="K69" s="287">
        <f>SUM(K65:K68)</f>
        <v>385000</v>
      </c>
      <c r="L69" s="198">
        <f>SUM(L65:L68)</f>
        <v>295000</v>
      </c>
      <c r="M69" s="65">
        <f>(M65*N65)+(M66*N66)+(M67*N67)+(M68*N68)</f>
        <v>286500</v>
      </c>
      <c r="N69" s="160">
        <f>SUM(N65:N68)</f>
        <v>680000</v>
      </c>
      <c r="O69" s="69">
        <f>SUM(O65:O68)</f>
        <v>1262000</v>
      </c>
      <c r="P69" s="108">
        <f>SUM(P65:P68)</f>
        <v>212208.67</v>
      </c>
      <c r="Q69" s="69">
        <f>SUM(Q65:Q68)</f>
        <v>953389.4</v>
      </c>
      <c r="R69" s="69">
        <f>SUM(R65:R68)</f>
        <v>91000.111600000018</v>
      </c>
      <c r="S69" s="103"/>
      <c r="T69" s="103"/>
      <c r="U69" s="199"/>
    </row>
    <row r="70" spans="2:21" ht="15.75" customHeight="1" x14ac:dyDescent="0.35">
      <c r="B70" s="184"/>
      <c r="C70" s="185"/>
      <c r="D70" s="186"/>
      <c r="E70" s="186"/>
      <c r="F70" s="186"/>
      <c r="G70" s="186"/>
      <c r="H70" s="186"/>
      <c r="I70" s="187"/>
      <c r="J70" s="188"/>
      <c r="K70" s="285"/>
      <c r="L70" s="188"/>
      <c r="M70" s="188"/>
      <c r="N70" s="188"/>
      <c r="O70" s="188"/>
      <c r="P70" s="187"/>
      <c r="Q70" s="188"/>
      <c r="R70" s="188"/>
      <c r="S70" s="186"/>
      <c r="T70" s="185"/>
      <c r="U70" s="199"/>
    </row>
    <row r="71" spans="2:21" ht="15.75" customHeight="1" x14ac:dyDescent="0.35">
      <c r="B71" s="184"/>
      <c r="C71" s="185"/>
      <c r="D71" s="186"/>
      <c r="E71" s="186"/>
      <c r="F71" s="186"/>
      <c r="G71" s="186"/>
      <c r="H71" s="186"/>
      <c r="I71" s="187"/>
      <c r="K71" s="285"/>
      <c r="L71" s="188"/>
      <c r="M71" s="188"/>
      <c r="N71" s="188"/>
      <c r="O71" s="188"/>
      <c r="P71" s="187"/>
      <c r="Q71" s="188"/>
      <c r="S71" s="186"/>
      <c r="T71" s="185"/>
      <c r="U71" s="199"/>
    </row>
    <row r="72" spans="2:21" ht="15.75" customHeight="1" x14ac:dyDescent="0.35">
      <c r="B72" s="184"/>
      <c r="C72" s="185"/>
      <c r="D72" s="186"/>
      <c r="E72" s="186"/>
      <c r="F72" s="186"/>
      <c r="G72" s="186"/>
      <c r="H72" s="186"/>
      <c r="I72" s="187"/>
      <c r="K72" s="285"/>
      <c r="L72" s="188"/>
      <c r="M72" s="188"/>
      <c r="N72" s="188"/>
      <c r="O72" s="188"/>
      <c r="P72" s="187"/>
      <c r="Q72" s="188"/>
      <c r="S72" s="186"/>
      <c r="T72" s="185"/>
      <c r="U72" s="199"/>
    </row>
    <row r="73" spans="2:21" ht="15.75" customHeight="1" x14ac:dyDescent="0.35">
      <c r="B73" s="184"/>
      <c r="C73" s="185"/>
      <c r="D73" s="186"/>
      <c r="E73" s="186"/>
      <c r="F73" s="186"/>
      <c r="G73" s="186"/>
      <c r="H73" s="186"/>
      <c r="I73" s="187"/>
      <c r="J73" s="188"/>
      <c r="K73" s="285"/>
      <c r="L73" s="188"/>
      <c r="M73" s="188"/>
      <c r="N73" s="188"/>
      <c r="O73" s="188"/>
      <c r="P73" s="187"/>
      <c r="Q73" s="188"/>
      <c r="S73" s="186"/>
      <c r="T73" s="185"/>
      <c r="U73" s="199"/>
    </row>
    <row r="74" spans="2:21" ht="15.75" customHeight="1" x14ac:dyDescent="0.35">
      <c r="B74" s="184"/>
      <c r="C74" s="185"/>
      <c r="D74" s="186"/>
      <c r="E74" s="186"/>
      <c r="F74" s="186"/>
      <c r="G74" s="186"/>
      <c r="H74" s="186"/>
      <c r="I74" s="187"/>
      <c r="J74" s="188"/>
      <c r="K74" s="285"/>
      <c r="L74" s="188"/>
      <c r="M74" s="188"/>
      <c r="N74" s="188"/>
      <c r="O74" s="188"/>
      <c r="P74" s="187"/>
      <c r="Q74" s="188"/>
      <c r="R74" s="188"/>
      <c r="S74" s="186"/>
      <c r="T74" s="185"/>
      <c r="U74" s="199"/>
    </row>
    <row r="75" spans="2:21" ht="15.75" customHeight="1" x14ac:dyDescent="0.35">
      <c r="B75" s="184"/>
      <c r="C75" s="185"/>
      <c r="D75" s="186"/>
      <c r="E75" s="186"/>
      <c r="F75" s="186"/>
      <c r="G75" s="186"/>
      <c r="H75" s="186"/>
      <c r="I75" s="187"/>
      <c r="J75" s="188"/>
      <c r="K75" s="285"/>
      <c r="L75" s="188"/>
      <c r="M75" s="188"/>
      <c r="N75" s="188"/>
      <c r="O75" s="188"/>
      <c r="P75" s="187"/>
      <c r="Q75" s="188"/>
      <c r="R75" s="188"/>
      <c r="S75" s="186"/>
      <c r="T75" s="185"/>
      <c r="U75" s="199"/>
    </row>
    <row r="76" spans="2:21" ht="15.75" customHeight="1" thickBot="1" x14ac:dyDescent="0.4">
      <c r="B76" s="184"/>
      <c r="C76" s="185"/>
      <c r="D76" s="186"/>
      <c r="E76" s="186"/>
      <c r="F76" s="186"/>
      <c r="G76" s="186"/>
      <c r="H76" s="186"/>
      <c r="I76" s="187"/>
      <c r="J76" s="188"/>
      <c r="K76" s="285"/>
      <c r="L76" s="188"/>
      <c r="M76" s="188"/>
      <c r="N76" s="188"/>
      <c r="O76" s="188"/>
      <c r="P76" s="187"/>
      <c r="Q76" s="188"/>
      <c r="R76" s="188"/>
      <c r="S76" s="186"/>
      <c r="T76" s="185"/>
      <c r="U76" s="199"/>
    </row>
    <row r="77" spans="2:21" ht="16" customHeight="1" thickBot="1" x14ac:dyDescent="0.4">
      <c r="B77" s="184"/>
      <c r="C77" s="372" t="s">
        <v>136</v>
      </c>
      <c r="D77" s="373"/>
      <c r="E77" s="373"/>
      <c r="F77" s="373"/>
      <c r="G77" s="374"/>
      <c r="H77" s="199"/>
      <c r="I77" s="187"/>
      <c r="J77" s="255" t="s">
        <v>137</v>
      </c>
      <c r="K77" s="288"/>
      <c r="L77" s="256"/>
      <c r="M77" s="257"/>
      <c r="N77" s="258" t="s">
        <v>138</v>
      </c>
      <c r="O77" s="260"/>
      <c r="P77" s="187"/>
      <c r="S77" s="219"/>
    </row>
    <row r="78" spans="2:21" ht="40.5" customHeight="1" thickTop="1" x14ac:dyDescent="0.35">
      <c r="B78" s="184"/>
      <c r="C78" s="358"/>
      <c r="D78" s="360" t="str">
        <f>D6</f>
        <v>UNDP</v>
      </c>
      <c r="E78" s="360" t="str">
        <f>E6</f>
        <v>UNODC</v>
      </c>
      <c r="F78" s="360" t="str">
        <f>F6</f>
        <v>IOM</v>
      </c>
      <c r="G78" s="361" t="s">
        <v>139</v>
      </c>
      <c r="H78" s="185"/>
      <c r="I78" s="187"/>
      <c r="J78" s="246"/>
      <c r="K78" s="289" t="s">
        <v>8</v>
      </c>
      <c r="L78" s="200" t="s">
        <v>9</v>
      </c>
      <c r="M78" s="251" t="s">
        <v>139</v>
      </c>
      <c r="N78" s="201" t="s">
        <v>8</v>
      </c>
      <c r="O78" s="253">
        <f>SUM(D82,K82)</f>
        <v>2273750</v>
      </c>
      <c r="P78" s="187"/>
      <c r="S78" s="211"/>
    </row>
    <row r="79" spans="2:21" ht="24.75" customHeight="1" thickBot="1" x14ac:dyDescent="0.4">
      <c r="B79" s="184"/>
      <c r="C79" s="359"/>
      <c r="D79" s="339"/>
      <c r="E79" s="339"/>
      <c r="F79" s="339"/>
      <c r="G79" s="362"/>
      <c r="H79" s="185"/>
      <c r="I79" s="187"/>
      <c r="J79" s="247"/>
      <c r="K79" s="290"/>
      <c r="L79" s="140"/>
      <c r="M79" s="252"/>
      <c r="N79" s="202"/>
      <c r="O79" s="254"/>
      <c r="P79" s="187"/>
      <c r="S79" s="211"/>
    </row>
    <row r="80" spans="2:21" ht="41.25" customHeight="1" thickBot="1" x14ac:dyDescent="0.4">
      <c r="B80" s="203"/>
      <c r="C80" s="204" t="s">
        <v>140</v>
      </c>
      <c r="D80" s="205">
        <f>SUM(D23,D41,D54,D65,D66,D67,D68)</f>
        <v>900000</v>
      </c>
      <c r="E80" s="205">
        <f>SUM(E23,E41,E54,E65,E66,E67,E68,E62)</f>
        <v>750000</v>
      </c>
      <c r="F80" s="205">
        <f>SUM(F23,F41,F54,F65,F66,F67,F68)</f>
        <v>220000</v>
      </c>
      <c r="G80" s="206">
        <f>SUM(D80:F80)</f>
        <v>1870000</v>
      </c>
      <c r="H80" s="185"/>
      <c r="I80" s="187"/>
      <c r="J80" s="204" t="s">
        <v>140</v>
      </c>
      <c r="K80" s="291">
        <f>SUM(K23,K41,K54,K62,K69)</f>
        <v>1225000</v>
      </c>
      <c r="L80" s="205">
        <f>SUM(L23,L41,L54,L62,L69)</f>
        <v>924532.71</v>
      </c>
      <c r="M80" s="207">
        <f>SUM(K80:L80)</f>
        <v>2149532.71</v>
      </c>
      <c r="N80" s="208" t="s">
        <v>9</v>
      </c>
      <c r="O80" s="209">
        <f>SUM(E82,L82)</f>
        <v>1791749.9997</v>
      </c>
      <c r="P80" s="187"/>
      <c r="S80" s="211"/>
    </row>
    <row r="81" spans="2:23" ht="51.75" customHeight="1" thickBot="1" x14ac:dyDescent="0.4">
      <c r="B81" s="210"/>
      <c r="C81" s="204" t="s">
        <v>141</v>
      </c>
      <c r="D81" s="205">
        <f>D80*0.07</f>
        <v>63000.000000000007</v>
      </c>
      <c r="E81" s="205">
        <f>E80*0.07</f>
        <v>52500.000000000007</v>
      </c>
      <c r="F81" s="205">
        <f>F80*0.07</f>
        <v>15400.000000000002</v>
      </c>
      <c r="G81" s="206">
        <f>G80*0.07</f>
        <v>130900.00000000001</v>
      </c>
      <c r="H81" s="210"/>
      <c r="I81" s="187">
        <f>SUM(I69,I62,I54,I41,I23)*0.07</f>
        <v>128292.27416276249</v>
      </c>
      <c r="J81" s="204" t="s">
        <v>141</v>
      </c>
      <c r="K81" s="291">
        <f>K80*0.07</f>
        <v>85750.000000000015</v>
      </c>
      <c r="L81" s="205">
        <f>L80*0.07</f>
        <v>64717.289700000001</v>
      </c>
      <c r="M81" s="207">
        <f>SUM(K81:L81)</f>
        <v>150467.28970000002</v>
      </c>
      <c r="N81" s="208" t="s">
        <v>142</v>
      </c>
      <c r="O81" s="209">
        <f>SUM(F82)</f>
        <v>235400</v>
      </c>
      <c r="P81" s="187">
        <f>SUM(P69,P62,P54,P41,P23)*0.07</f>
        <v>44753.462600000006</v>
      </c>
      <c r="Q81" s="187">
        <f>+'2) By Category Phase I+II'!G72</f>
        <v>194057.76560327262</v>
      </c>
      <c r="R81" s="187"/>
      <c r="S81" s="211"/>
    </row>
    <row r="82" spans="2:23" ht="51.75" customHeight="1" thickBot="1" x14ac:dyDescent="0.4">
      <c r="B82" s="210"/>
      <c r="C82" s="3" t="s">
        <v>139</v>
      </c>
      <c r="D82" s="59">
        <f>SUM(D80:D81)</f>
        <v>963000</v>
      </c>
      <c r="E82" s="59">
        <f>SUM(E80:E81)</f>
        <v>802500</v>
      </c>
      <c r="F82" s="59">
        <f>SUM(F80:F81)</f>
        <v>235400</v>
      </c>
      <c r="G82" s="66">
        <f>SUM(G80:G81)</f>
        <v>2000900</v>
      </c>
      <c r="H82" s="210"/>
      <c r="J82" s="3" t="s">
        <v>139</v>
      </c>
      <c r="K82" s="292">
        <f>SUM(K80:K81)</f>
        <v>1310750</v>
      </c>
      <c r="L82" s="59">
        <f t="shared" ref="L82:M82" si="35">SUM(L80:L81)</f>
        <v>989249.99969999993</v>
      </c>
      <c r="M82" s="212">
        <f t="shared" si="35"/>
        <v>2299999.9997</v>
      </c>
      <c r="N82" s="213" t="s">
        <v>139</v>
      </c>
      <c r="O82" s="214">
        <f>SUM(O78,O80,O81)</f>
        <v>4300899.9997000005</v>
      </c>
      <c r="P82" s="187"/>
      <c r="S82" s="211"/>
    </row>
    <row r="83" spans="2:23" ht="42" customHeight="1" x14ac:dyDescent="0.35">
      <c r="B83" s="210"/>
      <c r="I83" s="110"/>
      <c r="J83" s="215"/>
      <c r="K83" s="293"/>
      <c r="L83" s="215"/>
      <c r="M83" s="215"/>
      <c r="N83" s="215"/>
      <c r="O83" s="215"/>
      <c r="P83" s="187"/>
      <c r="Q83" s="215"/>
      <c r="R83" s="215"/>
      <c r="S83" s="89"/>
      <c r="T83" s="189"/>
      <c r="U83" s="216"/>
    </row>
    <row r="84" spans="2:23" s="169" customFormat="1" ht="29.25" customHeight="1" thickBot="1" x14ac:dyDescent="0.4">
      <c r="B84" s="185"/>
      <c r="C84" s="184"/>
      <c r="D84" s="9"/>
      <c r="E84" s="9"/>
      <c r="F84" s="9"/>
      <c r="G84" s="9"/>
      <c r="H84" s="9"/>
      <c r="I84" s="111"/>
      <c r="J84" s="17"/>
      <c r="K84" s="294"/>
      <c r="L84" s="17"/>
      <c r="M84" s="17"/>
      <c r="N84" s="17"/>
      <c r="O84" s="17"/>
      <c r="P84" s="187"/>
      <c r="Q84" s="17"/>
      <c r="R84" s="17"/>
      <c r="S84" s="90"/>
      <c r="T84" s="199"/>
      <c r="U84" s="203"/>
    </row>
    <row r="85" spans="2:23" ht="23.25" customHeight="1" thickBot="1" x14ac:dyDescent="0.4">
      <c r="B85" s="216"/>
      <c r="C85" s="352" t="s">
        <v>143</v>
      </c>
      <c r="D85" s="353"/>
      <c r="E85" s="353"/>
      <c r="F85" s="353"/>
      <c r="G85" s="353"/>
      <c r="H85" s="354"/>
      <c r="I85" s="111"/>
      <c r="J85" s="17"/>
      <c r="K85" s="355" t="s">
        <v>144</v>
      </c>
      <c r="L85" s="356"/>
      <c r="M85" s="356"/>
      <c r="N85" s="356"/>
      <c r="O85" s="357"/>
      <c r="P85" s="187"/>
      <c r="Q85" s="261"/>
      <c r="R85" s="261"/>
      <c r="S85" s="211"/>
      <c r="T85" s="216"/>
    </row>
    <row r="86" spans="2:23" ht="41.25" customHeight="1" x14ac:dyDescent="0.35">
      <c r="B86" s="216"/>
      <c r="C86" s="217"/>
      <c r="D86" s="347" t="str">
        <f>D6</f>
        <v>UNDP</v>
      </c>
      <c r="E86" s="347" t="str">
        <f>E6</f>
        <v>UNODC</v>
      </c>
      <c r="F86" s="347" t="str">
        <f>F6</f>
        <v>IOM</v>
      </c>
      <c r="G86" s="349" t="s">
        <v>139</v>
      </c>
      <c r="H86" s="351" t="s">
        <v>145</v>
      </c>
      <c r="I86" s="111"/>
      <c r="J86" s="17"/>
      <c r="K86" s="336"/>
      <c r="L86" s="338" t="s">
        <v>8</v>
      </c>
      <c r="M86" s="200" t="s">
        <v>9</v>
      </c>
      <c r="N86" s="218" t="s">
        <v>139</v>
      </c>
      <c r="O86" s="340" t="s">
        <v>145</v>
      </c>
      <c r="P86" s="187"/>
      <c r="Q86" s="12"/>
      <c r="R86" s="12"/>
      <c r="S86" s="211"/>
      <c r="T86" s="216"/>
    </row>
    <row r="87" spans="2:23" ht="27.75" customHeight="1" x14ac:dyDescent="0.35">
      <c r="B87" s="216"/>
      <c r="C87" s="217"/>
      <c r="D87" s="348"/>
      <c r="E87" s="348"/>
      <c r="F87" s="348"/>
      <c r="G87" s="350"/>
      <c r="H87" s="341"/>
      <c r="I87" s="112"/>
      <c r="J87" s="219"/>
      <c r="K87" s="337"/>
      <c r="L87" s="339"/>
      <c r="M87" s="140"/>
      <c r="N87" s="141"/>
      <c r="O87" s="341"/>
      <c r="P87" s="187"/>
      <c r="Q87" s="12"/>
      <c r="R87" s="12"/>
      <c r="S87" s="211"/>
      <c r="T87" s="216"/>
    </row>
    <row r="88" spans="2:23" ht="55.5" customHeight="1" x14ac:dyDescent="0.35">
      <c r="B88" s="216"/>
      <c r="C88" s="7" t="s">
        <v>146</v>
      </c>
      <c r="D88" s="57">
        <f>$D$82*H88</f>
        <v>674100</v>
      </c>
      <c r="E88" s="58">
        <f>$E$82*H88</f>
        <v>561750</v>
      </c>
      <c r="F88" s="58">
        <f>$F$82*H88</f>
        <v>164780</v>
      </c>
      <c r="G88" s="58">
        <f>SUM(D88:F88)</f>
        <v>1400630</v>
      </c>
      <c r="H88" s="73">
        <v>0.7</v>
      </c>
      <c r="I88" s="112"/>
      <c r="J88" s="219"/>
      <c r="K88" s="295" t="s">
        <v>147</v>
      </c>
      <c r="L88" s="205">
        <f>+K82*O88</f>
        <v>786450</v>
      </c>
      <c r="M88" s="205">
        <f>+O88*L82</f>
        <v>593549.99981999991</v>
      </c>
      <c r="N88" s="220">
        <f>SUM(L88,M88)</f>
        <v>1379999.99982</v>
      </c>
      <c r="O88" s="73">
        <v>0.6</v>
      </c>
      <c r="P88" s="187"/>
      <c r="Q88" s="262"/>
      <c r="R88" s="262"/>
      <c r="S88" s="211"/>
      <c r="T88" s="216"/>
    </row>
    <row r="89" spans="2:23" ht="57.75" customHeight="1" x14ac:dyDescent="0.35">
      <c r="B89" s="342"/>
      <c r="C89" s="221" t="s">
        <v>148</v>
      </c>
      <c r="D89" s="57">
        <f>$D$82*H89</f>
        <v>288900</v>
      </c>
      <c r="E89" s="58">
        <f>$E$82*H89</f>
        <v>240750</v>
      </c>
      <c r="F89" s="58">
        <f>$F$82*H89</f>
        <v>70620</v>
      </c>
      <c r="G89" s="68">
        <f>SUM(D89:F89)</f>
        <v>600270</v>
      </c>
      <c r="H89" s="74">
        <v>0.3</v>
      </c>
      <c r="I89" s="113"/>
      <c r="J89" s="222"/>
      <c r="K89" s="296" t="s">
        <v>149</v>
      </c>
      <c r="L89" s="205">
        <f>+O89*K82</f>
        <v>524300</v>
      </c>
      <c r="M89" s="205">
        <f>+O89*L82</f>
        <v>395699.99988000002</v>
      </c>
      <c r="N89" s="223">
        <f>SUM(L89,M89)</f>
        <v>919999.99988000002</v>
      </c>
      <c r="O89" s="74">
        <v>0.4</v>
      </c>
      <c r="P89" s="187"/>
      <c r="Q89" s="262"/>
      <c r="R89" s="262"/>
      <c r="S89" s="211"/>
    </row>
    <row r="90" spans="2:23" ht="57.75" customHeight="1" x14ac:dyDescent="0.35">
      <c r="B90" s="342"/>
      <c r="C90" s="221" t="s">
        <v>150</v>
      </c>
      <c r="D90" s="57">
        <f>$D$82*H90</f>
        <v>0</v>
      </c>
      <c r="E90" s="58">
        <f>$E$82*H90</f>
        <v>0</v>
      </c>
      <c r="F90" s="58">
        <f>$F$82*H90</f>
        <v>0</v>
      </c>
      <c r="G90" s="68">
        <f>SUM(D90:F90)</f>
        <v>0</v>
      </c>
      <c r="H90" s="75">
        <v>0</v>
      </c>
      <c r="I90" s="114"/>
      <c r="J90" s="16"/>
      <c r="K90" s="296" t="s">
        <v>151</v>
      </c>
      <c r="L90" s="57"/>
      <c r="M90" s="57"/>
      <c r="N90" s="75">
        <v>0</v>
      </c>
      <c r="O90" s="75">
        <v>0</v>
      </c>
      <c r="P90" s="187"/>
      <c r="Q90" s="263"/>
      <c r="R90" s="263"/>
      <c r="S90" s="211"/>
      <c r="T90" s="306"/>
    </row>
    <row r="91" spans="2:23" ht="38.25" customHeight="1" thickBot="1" x14ac:dyDescent="0.4">
      <c r="B91" s="342"/>
      <c r="C91" s="3" t="s">
        <v>152</v>
      </c>
      <c r="D91" s="59">
        <f>SUM(D88:D90)</f>
        <v>963000</v>
      </c>
      <c r="E91" s="59">
        <f>SUM(E88:E90)</f>
        <v>802500</v>
      </c>
      <c r="F91" s="59">
        <f>SUM(F88:F90)</f>
        <v>235400</v>
      </c>
      <c r="G91" s="59">
        <f>SUM(G88:G90)</f>
        <v>2000900</v>
      </c>
      <c r="H91" s="60">
        <f>SUM(H88:H90)</f>
        <v>1</v>
      </c>
      <c r="I91" s="110"/>
      <c r="J91" s="215"/>
      <c r="K91" s="297" t="s">
        <v>139</v>
      </c>
      <c r="L91" s="59">
        <f>SUM(L88:L90)</f>
        <v>1310750</v>
      </c>
      <c r="M91" s="59">
        <f>SUM(M88:M90)</f>
        <v>989249.99969999993</v>
      </c>
      <c r="N91" s="59">
        <f>SUM(N88:N90)</f>
        <v>2299999.9997</v>
      </c>
      <c r="O91" s="60">
        <f>SUM(O88:O90)</f>
        <v>1</v>
      </c>
      <c r="P91" s="187"/>
      <c r="Q91" s="276"/>
      <c r="R91" s="276"/>
      <c r="S91" s="211"/>
    </row>
    <row r="92" spans="2:23" ht="38.25" customHeight="1" thickBot="1" x14ac:dyDescent="0.4">
      <c r="B92" s="342"/>
      <c r="C92" s="224"/>
      <c r="D92" s="225"/>
      <c r="E92" s="225"/>
      <c r="F92" s="225"/>
      <c r="G92" s="225"/>
      <c r="H92" s="225"/>
      <c r="I92" s="110"/>
      <c r="J92" s="215"/>
      <c r="S92" s="89"/>
      <c r="T92" s="89"/>
    </row>
    <row r="93" spans="2:23" ht="49.5" customHeight="1" x14ac:dyDescent="0.35">
      <c r="B93" s="342"/>
      <c r="C93" s="226" t="s">
        <v>153</v>
      </c>
      <c r="D93" s="268">
        <f>SUM(H23,H41,H62,H54,H69)*1.07</f>
        <v>343241.02</v>
      </c>
      <c r="E93" s="9"/>
      <c r="F93" s="9"/>
      <c r="G93" s="9"/>
      <c r="H93" s="92" t="s">
        <v>154</v>
      </c>
      <c r="I93" s="115">
        <f>SUM(I69,I54,I41,I23,I62)+I81</f>
        <v>1961039.0479165122</v>
      </c>
      <c r="J93" s="228"/>
      <c r="O93" s="92" t="s">
        <v>155</v>
      </c>
      <c r="P93" s="115">
        <f>SUM(P69,P54,P41,P23,P62)+P81</f>
        <v>684088.6425999999</v>
      </c>
      <c r="S93" s="92" t="s">
        <v>154</v>
      </c>
      <c r="T93" s="115">
        <f>SUM(Q23,Q41,Q54,Q62,Q69)+Q81</f>
        <v>3226853.0093570226</v>
      </c>
    </row>
    <row r="94" spans="2:23" ht="28.5" customHeight="1" thickBot="1" x14ac:dyDescent="0.4">
      <c r="B94" s="342"/>
      <c r="C94" s="230" t="s">
        <v>156</v>
      </c>
      <c r="D94" s="88">
        <f>D93/G82</f>
        <v>0.1715433155080214</v>
      </c>
      <c r="E94" s="13"/>
      <c r="F94" s="13"/>
      <c r="G94" s="13"/>
      <c r="H94" s="231" t="s">
        <v>157</v>
      </c>
      <c r="I94" s="116">
        <f>I93/G82</f>
        <v>0.98007848863836888</v>
      </c>
      <c r="J94" s="232"/>
      <c r="O94" s="231" t="s">
        <v>157</v>
      </c>
      <c r="P94" s="264">
        <f>P93/N88</f>
        <v>0.49571640774581799</v>
      </c>
      <c r="S94" s="231" t="s">
        <v>157</v>
      </c>
      <c r="T94" s="264">
        <f>T93/(M82+G82)</f>
        <v>0.75027389838919867</v>
      </c>
      <c r="W94" s="234"/>
    </row>
    <row r="95" spans="2:23" ht="28.5" customHeight="1" x14ac:dyDescent="0.35">
      <c r="B95" s="342"/>
      <c r="C95" s="343"/>
      <c r="D95" s="344"/>
      <c r="E95" s="235"/>
      <c r="F95" s="235"/>
      <c r="G95" s="235"/>
      <c r="S95" s="143"/>
      <c r="W95" s="125"/>
    </row>
    <row r="96" spans="2:23" ht="32.25" customHeight="1" x14ac:dyDescent="0.35">
      <c r="B96" s="342"/>
      <c r="C96" s="230" t="s">
        <v>158</v>
      </c>
      <c r="D96" s="61">
        <f>SUM(D67:F68)*1.07</f>
        <v>144450</v>
      </c>
      <c r="E96" s="14"/>
      <c r="F96" s="14"/>
      <c r="G96" s="14"/>
      <c r="H96" s="14"/>
      <c r="S96" s="143"/>
      <c r="T96" s="267"/>
      <c r="W96" s="234"/>
    </row>
    <row r="97" spans="2:21" ht="23.25" customHeight="1" thickBot="1" x14ac:dyDescent="0.4">
      <c r="B97" s="342"/>
      <c r="C97" s="230" t="s">
        <v>159</v>
      </c>
      <c r="D97" s="88">
        <f>D96/G82</f>
        <v>7.2192513368983954E-2</v>
      </c>
      <c r="E97" s="14"/>
      <c r="F97" s="14"/>
      <c r="G97" s="14"/>
      <c r="H97" s="14"/>
      <c r="K97" s="299" t="s">
        <v>160</v>
      </c>
      <c r="L97" s="266"/>
      <c r="M97" s="266"/>
      <c r="N97" s="215"/>
      <c r="O97" s="248" t="s">
        <v>161</v>
      </c>
      <c r="P97" s="248"/>
      <c r="Q97" s="248"/>
      <c r="R97" s="269"/>
      <c r="S97" s="143"/>
      <c r="T97" s="267"/>
    </row>
    <row r="98" spans="2:21" ht="66.75" customHeight="1" thickBot="1" x14ac:dyDescent="0.4">
      <c r="B98" s="342"/>
      <c r="C98" s="345" t="s">
        <v>162</v>
      </c>
      <c r="D98" s="346"/>
      <c r="E98" s="237"/>
      <c r="F98" s="237"/>
      <c r="G98" s="237"/>
      <c r="H98" s="14"/>
      <c r="K98" s="300" t="s">
        <v>163</v>
      </c>
      <c r="L98" s="229"/>
      <c r="M98" s="227">
        <f>SUM(M23,M41,M54,M62,M69)*1.07</f>
        <v>703324.99988000002</v>
      </c>
      <c r="O98" s="226" t="s">
        <v>163</v>
      </c>
      <c r="P98" s="229"/>
      <c r="Q98" s="227">
        <f>SUM(+D93+M98)</f>
        <v>1046566.01988</v>
      </c>
      <c r="R98" s="270"/>
      <c r="S98" s="143"/>
      <c r="T98" s="267"/>
    </row>
    <row r="99" spans="2:21" ht="55.5" customHeight="1" x14ac:dyDescent="0.35">
      <c r="B99" s="342"/>
      <c r="K99" s="301" t="s">
        <v>156</v>
      </c>
      <c r="L99" s="233"/>
      <c r="M99" s="88">
        <f>M98/M82</f>
        <v>0.30579347824858177</v>
      </c>
      <c r="O99" s="230" t="s">
        <v>156</v>
      </c>
      <c r="P99" s="233"/>
      <c r="Q99" s="88">
        <f>Q98/O82</f>
        <v>0.2433365156020835</v>
      </c>
      <c r="R99" s="271"/>
      <c r="T99" s="267"/>
      <c r="U99" s="169"/>
    </row>
    <row r="100" spans="2:21" ht="42.75" customHeight="1" x14ac:dyDescent="0.35">
      <c r="B100" s="342"/>
      <c r="K100" s="302"/>
      <c r="L100" s="236"/>
      <c r="M100" s="250"/>
      <c r="O100" s="249"/>
      <c r="P100" s="236"/>
      <c r="Q100" s="250"/>
      <c r="R100" s="272"/>
    </row>
    <row r="101" spans="2:21" ht="36.75" customHeight="1" x14ac:dyDescent="0.35">
      <c r="B101" s="342"/>
      <c r="K101" s="301" t="s">
        <v>164</v>
      </c>
      <c r="L101" s="233"/>
      <c r="M101" s="61">
        <f>SUM(K67:L68)*1.07</f>
        <v>165850</v>
      </c>
      <c r="O101" s="230" t="s">
        <v>164</v>
      </c>
      <c r="P101" s="233"/>
      <c r="Q101" s="61">
        <f>SUM(+D96+M101)</f>
        <v>310300</v>
      </c>
      <c r="R101" s="273"/>
    </row>
    <row r="102" spans="2:21" ht="48.75" customHeight="1" x14ac:dyDescent="0.35">
      <c r="B102" s="342"/>
      <c r="K102" s="301" t="s">
        <v>159</v>
      </c>
      <c r="L102" s="233"/>
      <c r="M102" s="88">
        <f>M101/N91</f>
        <v>7.2108695661579389E-2</v>
      </c>
      <c r="O102" s="230" t="s">
        <v>159</v>
      </c>
      <c r="P102" s="233"/>
      <c r="Q102" s="88">
        <f>Q101/O82</f>
        <v>7.214769002340074E-2</v>
      </c>
      <c r="R102" s="271"/>
    </row>
    <row r="103" spans="2:21" ht="151.5" customHeight="1" thickBot="1" x14ac:dyDescent="0.4">
      <c r="B103" s="342"/>
      <c r="K103" s="303" t="s">
        <v>165</v>
      </c>
      <c r="L103" s="239"/>
      <c r="M103" s="240"/>
      <c r="O103" s="238" t="s">
        <v>165</v>
      </c>
      <c r="P103" s="239"/>
      <c r="Q103" s="240"/>
      <c r="R103" s="274"/>
    </row>
    <row r="104" spans="2:21" ht="53.25" customHeight="1" x14ac:dyDescent="0.35"/>
    <row r="105" spans="2:21" ht="21.75" customHeight="1" x14ac:dyDescent="0.35">
      <c r="P105" s="188"/>
    </row>
    <row r="106" spans="2:21" ht="16.5" customHeight="1" x14ac:dyDescent="0.35">
      <c r="P106" s="188"/>
    </row>
    <row r="107" spans="2:21" ht="29.25" customHeight="1" x14ac:dyDescent="0.35">
      <c r="Q107" s="275"/>
    </row>
    <row r="108" spans="2:21" ht="24.75" customHeight="1" x14ac:dyDescent="0.35"/>
    <row r="109" spans="2:21" ht="33" customHeight="1" x14ac:dyDescent="0.35"/>
    <row r="111" spans="2:21" ht="15" customHeight="1" x14ac:dyDescent="0.35"/>
    <row r="112" spans="2:21" ht="25.5" customHeight="1" x14ac:dyDescent="0.35"/>
  </sheetData>
  <sheetProtection formatCells="0" formatColumns="0" formatRows="0"/>
  <mergeCells count="29">
    <mergeCell ref="K5:N5"/>
    <mergeCell ref="B1:E1"/>
    <mergeCell ref="B2:H2"/>
    <mergeCell ref="B3:E3"/>
    <mergeCell ref="B5:C5"/>
    <mergeCell ref="D5:J5"/>
    <mergeCell ref="C7:T7"/>
    <mergeCell ref="C8:T8"/>
    <mergeCell ref="C24:T24"/>
    <mergeCell ref="C42:T42"/>
    <mergeCell ref="C77:G77"/>
    <mergeCell ref="C85:H85"/>
    <mergeCell ref="K85:O85"/>
    <mergeCell ref="C78:C79"/>
    <mergeCell ref="D78:D79"/>
    <mergeCell ref="E78:E79"/>
    <mergeCell ref="F78:F79"/>
    <mergeCell ref="G78:G79"/>
    <mergeCell ref="K86:K87"/>
    <mergeCell ref="L86:L87"/>
    <mergeCell ref="O86:O87"/>
    <mergeCell ref="B89:B103"/>
    <mergeCell ref="C95:D95"/>
    <mergeCell ref="C98:D98"/>
    <mergeCell ref="D86:D87"/>
    <mergeCell ref="E86:E87"/>
    <mergeCell ref="F86:F87"/>
    <mergeCell ref="G86:G87"/>
    <mergeCell ref="H86:H87"/>
  </mergeCells>
  <conditionalFormatting sqref="D94">
    <cfRule type="cellIs" dxfId="19" priority="8" operator="lessThan">
      <formula>0.15</formula>
    </cfRule>
  </conditionalFormatting>
  <conditionalFormatting sqref="D97">
    <cfRule type="cellIs" dxfId="18" priority="7" operator="lessThan">
      <formula>0.05</formula>
    </cfRule>
  </conditionalFormatting>
  <conditionalFormatting sqref="H91 I90:J90">
    <cfRule type="cellIs" dxfId="17" priority="6" operator="greaterThan">
      <formula>1</formula>
    </cfRule>
  </conditionalFormatting>
  <conditionalFormatting sqref="O91 Q91:R91">
    <cfRule type="cellIs" dxfId="16" priority="5" operator="greaterThan">
      <formula>1</formula>
    </cfRule>
  </conditionalFormatting>
  <conditionalFormatting sqref="M99">
    <cfRule type="cellIs" dxfId="15" priority="4" operator="lessThan">
      <formula>0.15</formula>
    </cfRule>
  </conditionalFormatting>
  <conditionalFormatting sqref="M102">
    <cfRule type="cellIs" dxfId="14" priority="3" operator="lessThan">
      <formula>0.05</formula>
    </cfRule>
  </conditionalFormatting>
  <conditionalFormatting sqref="Q99:R99">
    <cfRule type="cellIs" dxfId="13" priority="2" operator="lessThan">
      <formula>0.15</formula>
    </cfRule>
  </conditionalFormatting>
  <conditionalFormatting sqref="Q102:R102">
    <cfRule type="cellIs" dxfId="12" priority="1" operator="lessThan">
      <formula>0.05</formula>
    </cfRule>
  </conditionalFormatting>
  <dataValidations count="6">
    <dataValidation allowBlank="1" showErrorMessage="1" prompt="% Towards Gender Equality and Women's Empowerment Must be Higher than 15%_x000a_" sqref="D96:G96 M101 Q101:R101" xr:uid="{00000000-0002-0000-0100-000000000000}"/>
    <dataValidation allowBlank="1" showInputMessage="1" showErrorMessage="1" prompt="Insert *text* description of Activity here" sqref="C25:C39 C9:C19 C48" xr:uid="{00000000-0002-0000-0100-000001000000}"/>
    <dataValidation allowBlank="1" showInputMessage="1" showErrorMessage="1" prompt="Insert *text* description of Output here" sqref="C8 C24 C55:C61 C42:C47 C49:C53" xr:uid="{00000000-0002-0000-0100-000002000000}"/>
    <dataValidation allowBlank="1" showInputMessage="1" showErrorMessage="1" prompt="Insert *text* description of Outcome here" sqref="C7" xr:uid="{00000000-0002-0000-0100-000003000000}"/>
    <dataValidation allowBlank="1" showInputMessage="1" showErrorMessage="1" prompt="M&amp;E Budget Cannot be Less than 5%_x000a_" sqref="D97:G97 M102 Q102:R102" xr:uid="{00000000-0002-0000-0100-000004000000}"/>
    <dataValidation allowBlank="1" showInputMessage="1" showErrorMessage="1" prompt="% Towards Gender Equality and Women's Empowerment Must be Higher than 15%_x000a_" sqref="D94:G94 M99 Q99:R99" xr:uid="{00000000-0002-0000-0100-000005000000}"/>
  </dataValidation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N110"/>
  <sheetViews>
    <sheetView showGridLines="0" showZeros="0" zoomScaleNormal="100" workbookViewId="0">
      <pane ySplit="4" topLeftCell="A24" activePane="bottomLeft" state="frozen"/>
      <selection pane="bottomLeft" activeCell="I21" sqref="I21"/>
    </sheetView>
  </sheetViews>
  <sheetFormatPr defaultColWidth="9.1796875" defaultRowHeight="15.5" x14ac:dyDescent="0.35"/>
  <cols>
    <col min="1" max="1" width="4.453125" style="20" customWidth="1"/>
    <col min="2" max="2" width="3.1796875" style="20" customWidth="1"/>
    <col min="3" max="3" width="51.453125" style="20" customWidth="1"/>
    <col min="4" max="4" width="34.1796875" style="21" customWidth="1"/>
    <col min="5" max="5" width="35" style="21" customWidth="1"/>
    <col min="6" max="6" width="36.54296875" style="21" customWidth="1"/>
    <col min="7" max="7" width="25.81640625" style="20" customWidth="1"/>
    <col min="8" max="8" width="21.453125" style="20" customWidth="1"/>
    <col min="9" max="9" width="16.81640625" style="126" customWidth="1"/>
    <col min="10" max="10" width="19.453125" style="20" customWidth="1"/>
    <col min="11" max="11" width="19" style="20" customWidth="1"/>
    <col min="12" max="12" width="26" style="20" customWidth="1"/>
    <col min="13" max="13" width="21.1796875" style="20" customWidth="1"/>
    <col min="14" max="14" width="7" style="20" customWidth="1"/>
    <col min="15" max="15" width="24.1796875" style="20" customWidth="1"/>
    <col min="16" max="16" width="26.453125" style="20" customWidth="1"/>
    <col min="17" max="17" width="30.1796875" style="20" customWidth="1"/>
    <col min="18" max="18" width="33" style="20" customWidth="1"/>
    <col min="19" max="20" width="22.81640625" style="20" customWidth="1"/>
    <col min="21" max="21" width="23.453125" style="20" customWidth="1"/>
    <col min="22" max="22" width="32.1796875" style="20" customWidth="1"/>
    <col min="23" max="23" width="9.1796875" style="20"/>
    <col min="24" max="24" width="17.81640625" style="20" customWidth="1"/>
    <col min="25" max="25" width="26.453125" style="20" customWidth="1"/>
    <col min="26" max="26" width="22.453125" style="20" customWidth="1"/>
    <col min="27" max="27" width="29.81640625" style="20" customWidth="1"/>
    <col min="28" max="28" width="23.453125" style="20" customWidth="1"/>
    <col min="29" max="29" width="18.453125" style="20" customWidth="1"/>
    <col min="30" max="30" width="17.453125" style="20" customWidth="1"/>
    <col min="31" max="31" width="25.1796875" style="20" customWidth="1"/>
    <col min="32" max="16384" width="9.1796875" style="20"/>
  </cols>
  <sheetData>
    <row r="1" spans="2:14" ht="31.5" customHeight="1" x14ac:dyDescent="1">
      <c r="B1" s="309"/>
      <c r="C1" s="335" t="s">
        <v>0</v>
      </c>
      <c r="D1" s="335"/>
      <c r="E1" s="335"/>
      <c r="F1" s="335"/>
      <c r="G1" s="10"/>
      <c r="H1" s="11"/>
      <c r="I1" s="134"/>
      <c r="J1" s="309"/>
      <c r="K1" s="309"/>
      <c r="L1" s="6"/>
      <c r="M1" s="1"/>
      <c r="N1" s="309"/>
    </row>
    <row r="2" spans="2:14" ht="24" customHeight="1" x14ac:dyDescent="0.45">
      <c r="B2" s="309"/>
      <c r="C2" s="378" t="s">
        <v>166</v>
      </c>
      <c r="D2" s="378"/>
      <c r="E2" s="378"/>
      <c r="F2" s="102"/>
      <c r="G2" s="309"/>
      <c r="H2" s="309"/>
      <c r="I2" s="310"/>
      <c r="J2" s="309"/>
      <c r="K2" s="309"/>
      <c r="L2" s="6"/>
      <c r="M2" s="1"/>
      <c r="N2" s="309"/>
    </row>
    <row r="3" spans="2:14" ht="24" customHeight="1" x14ac:dyDescent="0.35">
      <c r="B3" s="309"/>
      <c r="C3" s="15"/>
      <c r="D3" s="15"/>
      <c r="E3" s="15"/>
      <c r="F3" s="15"/>
      <c r="G3" s="309"/>
      <c r="H3" s="309"/>
      <c r="I3" s="310"/>
      <c r="J3" s="309"/>
      <c r="K3" s="309"/>
      <c r="L3" s="6"/>
      <c r="M3" s="1"/>
      <c r="N3" s="309"/>
    </row>
    <row r="4" spans="2:14" ht="24" customHeight="1" x14ac:dyDescent="0.35">
      <c r="B4" s="309"/>
      <c r="C4" s="15"/>
      <c r="D4" s="100" t="str">
        <f>+'1) Combined by budget activity'!D6</f>
        <v>UNDP</v>
      </c>
      <c r="E4" s="100" t="str">
        <f>+'1) Combined by budget activity'!E6</f>
        <v>UNODC</v>
      </c>
      <c r="F4" s="100" t="str">
        <f>+'1) Combined by budget activity'!F6</f>
        <v>IOM</v>
      </c>
      <c r="G4" s="96" t="s">
        <v>139</v>
      </c>
      <c r="H4" s="309"/>
      <c r="I4" s="310"/>
      <c r="J4" s="309"/>
      <c r="K4" s="309"/>
      <c r="L4" s="6"/>
      <c r="M4" s="1"/>
      <c r="N4" s="309"/>
    </row>
    <row r="5" spans="2:14" ht="24" customHeight="1" x14ac:dyDescent="0.35">
      <c r="B5" s="385" t="s">
        <v>167</v>
      </c>
      <c r="C5" s="386"/>
      <c r="D5" s="386"/>
      <c r="E5" s="386"/>
      <c r="F5" s="386"/>
      <c r="G5" s="387"/>
      <c r="H5" s="309"/>
      <c r="I5" s="310"/>
      <c r="J5" s="309"/>
      <c r="K5" s="309"/>
      <c r="L5" s="6"/>
      <c r="M5" s="1"/>
      <c r="N5" s="309"/>
    </row>
    <row r="6" spans="2:14" ht="22.5" customHeight="1" x14ac:dyDescent="0.35">
      <c r="B6" s="309"/>
      <c r="C6" s="385" t="s">
        <v>168</v>
      </c>
      <c r="D6" s="386"/>
      <c r="E6" s="386"/>
      <c r="F6" s="386"/>
      <c r="G6" s="387"/>
      <c r="H6" s="309"/>
      <c r="I6" s="310"/>
      <c r="J6" s="309"/>
      <c r="K6" s="309"/>
      <c r="L6" s="6"/>
      <c r="M6" s="1"/>
      <c r="N6" s="309"/>
    </row>
    <row r="7" spans="2:14" ht="24.75" customHeight="1" thickBot="1" x14ac:dyDescent="0.4">
      <c r="B7" s="309"/>
      <c r="C7" s="28" t="s">
        <v>169</v>
      </c>
      <c r="D7" s="29">
        <f>+'1) Combined by budget activity'!D23+'1) Combined by budget activity'!K23</f>
        <v>120000</v>
      </c>
      <c r="E7" s="29">
        <f>+'1) Combined by budget activity'!E23+'1) Combined by budget activity'!L23</f>
        <v>275000</v>
      </c>
      <c r="F7" s="29">
        <f>+'1) Combined by budget activity'!F23</f>
        <v>65000</v>
      </c>
      <c r="G7" s="30">
        <f>SUM(D7:F7)</f>
        <v>460000</v>
      </c>
      <c r="H7" s="309"/>
      <c r="I7" s="310"/>
      <c r="J7" s="309"/>
      <c r="K7" s="309"/>
      <c r="L7" s="6"/>
      <c r="M7" s="1"/>
      <c r="N7" s="309"/>
    </row>
    <row r="8" spans="2:14" ht="21.75" customHeight="1" x14ac:dyDescent="0.35">
      <c r="B8" s="309"/>
      <c r="C8" s="26" t="s">
        <v>170</v>
      </c>
      <c r="D8" s="129">
        <v>48330.770000000004</v>
      </c>
      <c r="E8" s="132">
        <v>45849.45</v>
      </c>
      <c r="F8" s="122">
        <v>5330</v>
      </c>
      <c r="G8" s="27">
        <f t="shared" ref="G8:G15" si="0">SUM(D8:F8)</f>
        <v>99510.22</v>
      </c>
      <c r="H8" s="309"/>
      <c r="I8" s="310"/>
      <c r="J8" s="309"/>
      <c r="K8" s="309"/>
      <c r="L8" s="309"/>
      <c r="M8" s="309"/>
      <c r="N8" s="309"/>
    </row>
    <row r="9" spans="2:14" x14ac:dyDescent="0.35">
      <c r="B9" s="309"/>
      <c r="C9" s="18" t="s">
        <v>171</v>
      </c>
      <c r="D9" s="124">
        <v>41740.94</v>
      </c>
      <c r="E9" s="117">
        <v>62475.05</v>
      </c>
      <c r="F9" s="118">
        <v>8429.6405293704902</v>
      </c>
      <c r="G9" s="25">
        <f t="shared" si="0"/>
        <v>112645.63052937049</v>
      </c>
      <c r="H9" s="311"/>
      <c r="I9" s="310"/>
      <c r="J9" s="309"/>
      <c r="K9" s="309"/>
      <c r="L9" s="309"/>
      <c r="M9" s="309"/>
      <c r="N9" s="309"/>
    </row>
    <row r="10" spans="2:14" ht="15.75" customHeight="1" x14ac:dyDescent="0.35">
      <c r="B10" s="309"/>
      <c r="C10" s="18" t="s">
        <v>172</v>
      </c>
      <c r="D10" s="121">
        <v>447.13</v>
      </c>
      <c r="E10" s="124">
        <v>31789.83</v>
      </c>
      <c r="F10" s="123">
        <v>4373</v>
      </c>
      <c r="G10" s="25">
        <f t="shared" si="0"/>
        <v>36609.960000000006</v>
      </c>
      <c r="H10" s="311"/>
      <c r="I10" s="310"/>
      <c r="J10" s="309"/>
      <c r="K10" s="309"/>
      <c r="L10" s="309"/>
      <c r="M10" s="309"/>
      <c r="N10" s="309"/>
    </row>
    <row r="11" spans="2:14" x14ac:dyDescent="0.35">
      <c r="B11" s="309"/>
      <c r="C11" s="19" t="s">
        <v>173</v>
      </c>
      <c r="D11" s="123"/>
      <c r="E11" s="124">
        <v>52316.42</v>
      </c>
      <c r="F11" s="123"/>
      <c r="G11" s="25">
        <f t="shared" si="0"/>
        <v>52316.42</v>
      </c>
      <c r="H11" s="309"/>
      <c r="I11" s="310"/>
      <c r="J11" s="309"/>
      <c r="K11" s="309"/>
      <c r="L11" s="309"/>
      <c r="M11" s="309"/>
      <c r="N11" s="309"/>
    </row>
    <row r="12" spans="2:14" x14ac:dyDescent="0.35">
      <c r="B12" s="309"/>
      <c r="C12" s="18" t="s">
        <v>174</v>
      </c>
      <c r="D12" s="123"/>
      <c r="E12" s="124"/>
      <c r="F12" s="123"/>
      <c r="G12" s="25">
        <f t="shared" si="0"/>
        <v>0</v>
      </c>
      <c r="H12" s="309"/>
      <c r="I12" s="310"/>
      <c r="J12" s="309"/>
      <c r="K12" s="309"/>
      <c r="L12" s="309"/>
      <c r="M12" s="309"/>
      <c r="N12" s="309"/>
    </row>
    <row r="13" spans="2:14" ht="21.75" customHeight="1" x14ac:dyDescent="0.35">
      <c r="B13" s="309"/>
      <c r="C13" s="18" t="s">
        <v>175</v>
      </c>
      <c r="D13" s="123"/>
      <c r="E13" s="124"/>
      <c r="F13" s="123"/>
      <c r="G13" s="25">
        <f t="shared" si="0"/>
        <v>0</v>
      </c>
      <c r="H13" s="311"/>
      <c r="I13" s="310"/>
      <c r="J13" s="309"/>
      <c r="K13" s="309"/>
      <c r="L13" s="309"/>
      <c r="M13" s="309"/>
      <c r="N13" s="309"/>
    </row>
    <row r="14" spans="2:14" ht="21.75" customHeight="1" x14ac:dyDescent="0.35">
      <c r="B14" s="309"/>
      <c r="C14" s="18" t="s">
        <v>176</v>
      </c>
      <c r="D14" s="124">
        <v>66202.819470629503</v>
      </c>
      <c r="E14" s="123">
        <v>28693</v>
      </c>
      <c r="F14" s="123">
        <v>12973.36</v>
      </c>
      <c r="G14" s="25">
        <f t="shared" si="0"/>
        <v>107869.1794706295</v>
      </c>
      <c r="H14" s="310"/>
      <c r="I14" s="310"/>
      <c r="J14" s="309"/>
      <c r="K14" s="309"/>
      <c r="L14" s="309"/>
      <c r="M14" s="309"/>
      <c r="N14" s="309"/>
    </row>
    <row r="15" spans="2:14" ht="15.75" customHeight="1" x14ac:dyDescent="0.35">
      <c r="B15" s="309"/>
      <c r="C15" s="22" t="s">
        <v>177</v>
      </c>
      <c r="D15" s="31">
        <f>SUM(D8:D14)</f>
        <v>156721.65947062953</v>
      </c>
      <c r="E15" s="31">
        <f>SUM(E8:E14)</f>
        <v>221123.75</v>
      </c>
      <c r="F15" s="31">
        <f>SUM(F8:F14)</f>
        <v>31106.000529370489</v>
      </c>
      <c r="G15" s="25">
        <f t="shared" si="0"/>
        <v>408951.41000000003</v>
      </c>
      <c r="H15" s="311"/>
      <c r="I15" s="310"/>
      <c r="J15" s="311"/>
      <c r="K15" s="309"/>
      <c r="L15" s="309"/>
      <c r="M15" s="309"/>
      <c r="N15" s="309"/>
    </row>
    <row r="16" spans="2:14" s="21" customFormat="1" x14ac:dyDescent="0.35">
      <c r="B16" s="312"/>
      <c r="C16" s="32"/>
      <c r="D16" s="33"/>
      <c r="E16" s="33"/>
      <c r="F16" s="33"/>
      <c r="G16" s="70"/>
      <c r="H16" s="131"/>
      <c r="I16" s="130"/>
      <c r="J16" s="312"/>
      <c r="K16" s="312"/>
      <c r="L16" s="312"/>
      <c r="M16" s="312"/>
      <c r="N16" s="312"/>
    </row>
    <row r="17" spans="3:14" x14ac:dyDescent="0.35">
      <c r="C17" s="385" t="s">
        <v>178</v>
      </c>
      <c r="D17" s="386"/>
      <c r="E17" s="386"/>
      <c r="F17" s="386"/>
      <c r="G17" s="387"/>
      <c r="H17" s="309"/>
      <c r="I17" s="310"/>
      <c r="J17" s="309"/>
      <c r="K17" s="309"/>
      <c r="L17" s="309"/>
      <c r="M17" s="309"/>
      <c r="N17" s="309"/>
    </row>
    <row r="18" spans="3:14" ht="27" customHeight="1" thickBot="1" x14ac:dyDescent="0.4">
      <c r="C18" s="28" t="s">
        <v>169</v>
      </c>
      <c r="D18" s="29">
        <f>+'1) Combined by budget activity'!D41+'1) Combined by budget activity'!K41</f>
        <v>825000</v>
      </c>
      <c r="E18" s="29">
        <f>+'1) Combined by budget activity'!E41+'1) Combined by budget activity'!L41</f>
        <v>623000</v>
      </c>
      <c r="F18" s="29">
        <f>+'1) Combined by budget activity'!F41</f>
        <v>40000</v>
      </c>
      <c r="G18" s="30">
        <f t="shared" ref="G18:G25" si="1">SUM(D18:F18)</f>
        <v>1488000</v>
      </c>
      <c r="H18" s="309"/>
      <c r="I18" s="310"/>
      <c r="J18" s="309"/>
      <c r="K18" s="309"/>
      <c r="L18" s="309"/>
      <c r="M18" s="309"/>
      <c r="N18" s="309"/>
    </row>
    <row r="19" spans="3:14" x14ac:dyDescent="0.35">
      <c r="C19" s="26" t="s">
        <v>170</v>
      </c>
      <c r="D19" s="121">
        <v>0</v>
      </c>
      <c r="E19" s="122">
        <v>25000</v>
      </c>
      <c r="F19" s="122"/>
      <c r="G19" s="27">
        <f t="shared" si="1"/>
        <v>25000</v>
      </c>
      <c r="H19" s="309"/>
      <c r="I19" s="310"/>
      <c r="J19" s="309"/>
      <c r="K19" s="309"/>
      <c r="L19" s="309"/>
      <c r="M19" s="309"/>
      <c r="N19" s="309"/>
    </row>
    <row r="20" spans="3:14" x14ac:dyDescent="0.35">
      <c r="C20" s="18" t="s">
        <v>171</v>
      </c>
      <c r="D20" s="123">
        <v>68051.209999999992</v>
      </c>
      <c r="E20" s="118">
        <v>42154.12</v>
      </c>
      <c r="F20" s="118">
        <v>11936.560000000001</v>
      </c>
      <c r="G20" s="25">
        <f t="shared" si="1"/>
        <v>122141.88999999998</v>
      </c>
      <c r="H20" s="309"/>
      <c r="I20" s="310"/>
      <c r="J20" s="309"/>
      <c r="K20" s="309"/>
      <c r="L20" s="309"/>
      <c r="M20" s="309"/>
      <c r="N20" s="309"/>
    </row>
    <row r="21" spans="3:14" ht="31" x14ac:dyDescent="0.35">
      <c r="C21" s="18" t="s">
        <v>172</v>
      </c>
      <c r="D21" s="124">
        <v>12684</v>
      </c>
      <c r="E21" s="123">
        <v>77974.38</v>
      </c>
      <c r="F21" s="123"/>
      <c r="G21" s="25">
        <f t="shared" si="1"/>
        <v>90658.38</v>
      </c>
      <c r="H21" s="309"/>
      <c r="I21" s="310"/>
      <c r="J21" s="309"/>
      <c r="K21" s="309"/>
      <c r="L21" s="309"/>
      <c r="M21" s="309"/>
      <c r="N21" s="309"/>
    </row>
    <row r="22" spans="3:14" x14ac:dyDescent="0.35">
      <c r="C22" s="19" t="s">
        <v>173</v>
      </c>
      <c r="D22" s="124">
        <f>450559.91+88679.45</f>
        <v>539239.36</v>
      </c>
      <c r="E22" s="123">
        <v>32574.240000000002</v>
      </c>
      <c r="F22" s="123"/>
      <c r="G22" s="25">
        <f t="shared" si="1"/>
        <v>571813.6</v>
      </c>
      <c r="H22" s="309"/>
      <c r="I22" s="310"/>
      <c r="J22" s="309"/>
      <c r="K22" s="309"/>
      <c r="L22" s="309"/>
      <c r="M22" s="309"/>
      <c r="N22" s="309"/>
    </row>
    <row r="23" spans="3:14" x14ac:dyDescent="0.35">
      <c r="C23" s="18" t="s">
        <v>174</v>
      </c>
      <c r="D23" s="123"/>
      <c r="E23" s="123">
        <v>45059.81</v>
      </c>
      <c r="F23" s="123"/>
      <c r="G23" s="25">
        <f t="shared" si="1"/>
        <v>45059.81</v>
      </c>
      <c r="H23" s="309"/>
      <c r="I23" s="310"/>
      <c r="J23" s="309"/>
      <c r="K23" s="309"/>
      <c r="L23" s="309"/>
      <c r="M23" s="309"/>
      <c r="N23" s="309"/>
    </row>
    <row r="24" spans="3:14" x14ac:dyDescent="0.35">
      <c r="C24" s="18" t="s">
        <v>175</v>
      </c>
      <c r="D24" s="123"/>
      <c r="E24" s="123"/>
      <c r="F24" s="123"/>
      <c r="G24" s="25">
        <f t="shared" si="1"/>
        <v>0</v>
      </c>
      <c r="H24" s="311"/>
      <c r="I24" s="310"/>
      <c r="J24" s="309"/>
      <c r="K24" s="309"/>
      <c r="L24" s="309"/>
      <c r="M24" s="309"/>
      <c r="N24" s="309"/>
    </row>
    <row r="25" spans="3:14" x14ac:dyDescent="0.35">
      <c r="C25" s="18" t="s">
        <v>176</v>
      </c>
      <c r="D25" s="123">
        <v>110131.13052937051</v>
      </c>
      <c r="E25" s="123">
        <v>23050.46</v>
      </c>
      <c r="F25" s="123">
        <v>46753.7</v>
      </c>
      <c r="G25" s="25">
        <f t="shared" si="1"/>
        <v>179935.29052937048</v>
      </c>
      <c r="H25" s="309"/>
      <c r="I25" s="310"/>
      <c r="J25" s="309"/>
      <c r="K25" s="309"/>
      <c r="L25" s="309"/>
      <c r="M25" s="309"/>
      <c r="N25" s="309"/>
    </row>
    <row r="26" spans="3:14" x14ac:dyDescent="0.35">
      <c r="C26" s="22" t="s">
        <v>177</v>
      </c>
      <c r="D26" s="31">
        <f>SUM(D19:D25)</f>
        <v>730105.70052937046</v>
      </c>
      <c r="E26" s="31">
        <f>SUM(E19:E25)</f>
        <v>245813.00999999998</v>
      </c>
      <c r="F26" s="31">
        <f>SUM(F19:F25)</f>
        <v>58690.259999999995</v>
      </c>
      <c r="G26" s="25">
        <f>SUM(D26:F26)</f>
        <v>1034608.9705293705</v>
      </c>
      <c r="H26" s="311"/>
      <c r="I26" s="310"/>
      <c r="J26" s="311"/>
      <c r="K26" s="309"/>
      <c r="L26" s="309"/>
      <c r="M26" s="309"/>
      <c r="N26" s="309"/>
    </row>
    <row r="27" spans="3:14" s="21" customFormat="1" x14ac:dyDescent="0.35">
      <c r="C27" s="32"/>
      <c r="D27" s="33"/>
      <c r="E27" s="33"/>
      <c r="F27" s="33"/>
      <c r="G27" s="34"/>
      <c r="H27" s="312"/>
      <c r="I27" s="130"/>
      <c r="J27" s="312"/>
      <c r="K27" s="312"/>
      <c r="L27" s="312"/>
      <c r="M27" s="312"/>
      <c r="N27" s="312"/>
    </row>
    <row r="28" spans="3:14" x14ac:dyDescent="0.35">
      <c r="C28" s="385" t="s">
        <v>179</v>
      </c>
      <c r="D28" s="386"/>
      <c r="E28" s="386"/>
      <c r="F28" s="386"/>
      <c r="G28" s="387"/>
      <c r="H28" s="309"/>
      <c r="I28" s="310"/>
      <c r="J28" s="309"/>
      <c r="K28" s="309"/>
      <c r="L28" s="309"/>
      <c r="M28" s="309"/>
      <c r="N28" s="309"/>
    </row>
    <row r="29" spans="3:14" ht="21.75" customHeight="1" thickBot="1" x14ac:dyDescent="0.4">
      <c r="C29" s="28" t="s">
        <v>169</v>
      </c>
      <c r="D29" s="29">
        <f>+'1) Combined by budget activity'!D54+'1) Combined by budget activity'!K54</f>
        <v>280000</v>
      </c>
      <c r="E29" s="29">
        <f>+'1) Combined by budget activity'!E54+'1) Combined by budget activity'!L54</f>
        <v>149532.71000000002</v>
      </c>
      <c r="F29" s="29">
        <f>+'1) Combined by budget activity'!F54</f>
        <v>55000</v>
      </c>
      <c r="G29" s="30">
        <f>SUM(D29:F29)</f>
        <v>484532.71</v>
      </c>
      <c r="H29" s="309"/>
      <c r="I29" s="310"/>
      <c r="J29" s="309"/>
      <c r="K29" s="309"/>
      <c r="L29" s="309"/>
      <c r="M29" s="309"/>
      <c r="N29" s="309"/>
    </row>
    <row r="30" spans="3:14" x14ac:dyDescent="0.35">
      <c r="C30" s="26" t="s">
        <v>170</v>
      </c>
      <c r="D30" s="121"/>
      <c r="E30" s="132">
        <v>44500</v>
      </c>
      <c r="F30" s="122"/>
      <c r="G30" s="27">
        <f t="shared" ref="G30:G36" si="2">SUM(D30:F30)</f>
        <v>44500</v>
      </c>
      <c r="H30" s="309"/>
      <c r="I30" s="310"/>
      <c r="J30" s="309"/>
      <c r="K30" s="309"/>
      <c r="L30" s="309"/>
      <c r="M30" s="309"/>
      <c r="N30" s="309"/>
    </row>
    <row r="31" spans="3:14" s="21" customFormat="1" ht="15.75" customHeight="1" x14ac:dyDescent="0.35">
      <c r="C31" s="18" t="s">
        <v>171</v>
      </c>
      <c r="D31" s="123">
        <f>8008.08+6503.98+6007.39+44348.57</f>
        <v>64868.020000000004</v>
      </c>
      <c r="E31" s="117">
        <v>37341</v>
      </c>
      <c r="F31" s="118">
        <v>20096.669999999998</v>
      </c>
      <c r="G31" s="25">
        <f>SUM(D31:F31)</f>
        <v>122305.69</v>
      </c>
      <c r="H31" s="312"/>
      <c r="I31" s="130"/>
      <c r="J31" s="312"/>
      <c r="K31" s="312"/>
      <c r="L31" s="312"/>
      <c r="M31" s="312"/>
      <c r="N31" s="312"/>
    </row>
    <row r="32" spans="3:14" s="21" customFormat="1" ht="31" x14ac:dyDescent="0.35">
      <c r="C32" s="18" t="s">
        <v>172</v>
      </c>
      <c r="D32" s="123"/>
      <c r="E32" s="124">
        <v>58467</v>
      </c>
      <c r="F32" s="123">
        <v>4962</v>
      </c>
      <c r="G32" s="25">
        <f t="shared" si="2"/>
        <v>63429</v>
      </c>
      <c r="H32" s="312"/>
      <c r="I32" s="130"/>
      <c r="J32" s="312"/>
      <c r="K32" s="312"/>
      <c r="L32" s="312"/>
      <c r="M32" s="312"/>
      <c r="N32" s="312"/>
    </row>
    <row r="33" spans="3:14" s="21" customFormat="1" x14ac:dyDescent="0.35">
      <c r="C33" s="19" t="s">
        <v>173</v>
      </c>
      <c r="D33" s="123">
        <v>32479.24</v>
      </c>
      <c r="E33" s="124"/>
      <c r="F33" s="123"/>
      <c r="G33" s="25">
        <f t="shared" si="2"/>
        <v>32479.24</v>
      </c>
      <c r="H33" s="312"/>
      <c r="I33" s="130"/>
      <c r="J33" s="312"/>
      <c r="K33" s="312"/>
      <c r="L33" s="312"/>
      <c r="M33" s="312"/>
      <c r="N33" s="312"/>
    </row>
    <row r="34" spans="3:14" x14ac:dyDescent="0.35">
      <c r="C34" s="18" t="s">
        <v>174</v>
      </c>
      <c r="D34" s="123">
        <v>0</v>
      </c>
      <c r="E34" s="124">
        <v>6905</v>
      </c>
      <c r="F34" s="123"/>
      <c r="G34" s="25">
        <f t="shared" si="2"/>
        <v>6905</v>
      </c>
      <c r="H34" s="309"/>
      <c r="I34" s="310"/>
      <c r="J34" s="309"/>
      <c r="K34" s="309"/>
      <c r="L34" s="309"/>
      <c r="M34" s="309"/>
      <c r="N34" s="309"/>
    </row>
    <row r="35" spans="3:14" x14ac:dyDescent="0.35">
      <c r="C35" s="18" t="s">
        <v>175</v>
      </c>
      <c r="D35" s="123">
        <f>16491.47+18360+15027.67</f>
        <v>49879.14</v>
      </c>
      <c r="E35" s="123">
        <v>10000</v>
      </c>
      <c r="F35" s="123"/>
      <c r="G35" s="25">
        <f t="shared" si="2"/>
        <v>59879.14</v>
      </c>
      <c r="H35" s="309"/>
      <c r="I35" s="310"/>
      <c r="J35" s="309"/>
      <c r="K35" s="309"/>
      <c r="L35" s="309"/>
      <c r="M35" s="309"/>
      <c r="N35" s="309"/>
    </row>
    <row r="36" spans="3:14" x14ac:dyDescent="0.35">
      <c r="C36" s="18" t="s">
        <v>176</v>
      </c>
      <c r="D36" s="123">
        <f>28048.5+3203.6</f>
        <v>31252.1</v>
      </c>
      <c r="E36" s="123">
        <v>13478</v>
      </c>
      <c r="F36" s="123">
        <v>29393.18</v>
      </c>
      <c r="G36" s="25">
        <f t="shared" si="2"/>
        <v>74123.28</v>
      </c>
      <c r="H36" s="309"/>
      <c r="I36" s="310"/>
      <c r="J36" s="309"/>
      <c r="K36" s="309"/>
      <c r="L36" s="309"/>
      <c r="M36" s="309"/>
      <c r="N36" s="309"/>
    </row>
    <row r="37" spans="3:14" x14ac:dyDescent="0.35">
      <c r="C37" s="22" t="s">
        <v>177</v>
      </c>
      <c r="D37" s="31">
        <f>SUM(D30:D36)</f>
        <v>178478.50000000003</v>
      </c>
      <c r="E37" s="31">
        <f>SUM(E30:E36)</f>
        <v>170691</v>
      </c>
      <c r="F37" s="31">
        <f>SUM(F30:F36)</f>
        <v>54451.85</v>
      </c>
      <c r="G37" s="25">
        <f>SUM(D37:F37)</f>
        <v>403621.35</v>
      </c>
      <c r="H37" s="311"/>
      <c r="I37" s="310"/>
      <c r="J37" s="311"/>
      <c r="K37" s="309"/>
      <c r="L37" s="309"/>
      <c r="M37" s="309"/>
      <c r="N37" s="309"/>
    </row>
    <row r="38" spans="3:14" s="21" customFormat="1" x14ac:dyDescent="0.35">
      <c r="C38" s="32"/>
      <c r="D38" s="33"/>
      <c r="E38" s="33"/>
      <c r="F38" s="33"/>
      <c r="G38" s="34"/>
      <c r="H38" s="312"/>
      <c r="I38" s="130"/>
      <c r="J38" s="312"/>
      <c r="K38" s="312"/>
      <c r="L38" s="312"/>
      <c r="M38" s="312"/>
      <c r="N38" s="312"/>
    </row>
    <row r="39" spans="3:14" x14ac:dyDescent="0.35">
      <c r="C39" s="385" t="s">
        <v>180</v>
      </c>
      <c r="D39" s="386"/>
      <c r="E39" s="386"/>
      <c r="F39" s="386"/>
      <c r="G39" s="387"/>
      <c r="H39" s="309"/>
      <c r="I39" s="310"/>
      <c r="J39" s="309"/>
      <c r="K39" s="309"/>
      <c r="L39" s="309"/>
      <c r="M39" s="309"/>
      <c r="N39" s="309"/>
    </row>
    <row r="40" spans="3:14" ht="21.75" customHeight="1" thickBot="1" x14ac:dyDescent="0.4">
      <c r="C40" s="28" t="s">
        <v>169</v>
      </c>
      <c r="D40" s="29">
        <f>+'1) Combined by budget activity'!D62+'1) Combined by budget activity'!K62</f>
        <v>190000</v>
      </c>
      <c r="E40" s="29">
        <f>+'1) Combined by budget activity'!E62+'1) Combined by budget activity'!L62</f>
        <v>135000</v>
      </c>
      <c r="F40" s="29">
        <f>+'1) Combined by budget activity'!F62</f>
        <v>0</v>
      </c>
      <c r="G40" s="30">
        <f t="shared" ref="G40:G47" si="3">SUM(D40:F40)</f>
        <v>325000</v>
      </c>
      <c r="H40" s="309"/>
      <c r="I40" s="310"/>
      <c r="J40" s="309"/>
      <c r="K40" s="309"/>
      <c r="L40" s="309"/>
      <c r="M40" s="309"/>
      <c r="N40" s="309"/>
    </row>
    <row r="41" spans="3:14" x14ac:dyDescent="0.35">
      <c r="C41" s="26" t="s">
        <v>170</v>
      </c>
      <c r="D41" s="121"/>
      <c r="E41" s="132"/>
      <c r="F41" s="132"/>
      <c r="G41" s="27">
        <f t="shared" si="3"/>
        <v>0</v>
      </c>
      <c r="H41" s="309"/>
      <c r="I41" s="310"/>
      <c r="J41" s="309"/>
      <c r="K41" s="309"/>
      <c r="L41" s="309"/>
      <c r="M41" s="309"/>
      <c r="N41" s="309"/>
    </row>
    <row r="42" spans="3:14" s="21" customFormat="1" ht="15.75" customHeight="1" x14ac:dyDescent="0.35">
      <c r="C42" s="18" t="s">
        <v>171</v>
      </c>
      <c r="D42" s="123">
        <f>11721.41+4663.67-597.64+41.84-2.93+0.2-0.01</f>
        <v>15826.540000000003</v>
      </c>
      <c r="E42" s="117">
        <v>48813.11</v>
      </c>
      <c r="F42" s="117">
        <v>12964.19</v>
      </c>
      <c r="G42" s="25">
        <f t="shared" si="3"/>
        <v>77603.839999999997</v>
      </c>
      <c r="H42" s="312"/>
      <c r="I42" s="130"/>
      <c r="J42" s="312"/>
      <c r="K42" s="312"/>
      <c r="L42" s="312"/>
      <c r="M42" s="312"/>
      <c r="N42" s="312"/>
    </row>
    <row r="43" spans="3:14" s="21" customFormat="1" ht="31" x14ac:dyDescent="0.35">
      <c r="C43" s="18" t="s">
        <v>172</v>
      </c>
      <c r="D43" s="123"/>
      <c r="E43" s="124">
        <v>11422.24</v>
      </c>
      <c r="F43" s="124"/>
      <c r="G43" s="25">
        <f t="shared" si="3"/>
        <v>11422.24</v>
      </c>
      <c r="H43" s="312"/>
      <c r="I43" s="130"/>
      <c r="J43" s="312"/>
      <c r="K43" s="312"/>
      <c r="L43" s="312"/>
      <c r="M43" s="312"/>
      <c r="N43" s="312"/>
    </row>
    <row r="44" spans="3:14" s="21" customFormat="1" x14ac:dyDescent="0.35">
      <c r="C44" s="19" t="s">
        <v>173</v>
      </c>
      <c r="D44" s="123">
        <v>11863.81</v>
      </c>
      <c r="E44" s="124">
        <f>45334.69</f>
        <v>45334.69</v>
      </c>
      <c r="F44" s="124"/>
      <c r="G44" s="25">
        <f t="shared" si="3"/>
        <v>57198.5</v>
      </c>
      <c r="H44" s="312"/>
      <c r="I44" s="130"/>
      <c r="J44" s="312"/>
      <c r="K44" s="312"/>
      <c r="L44" s="312"/>
      <c r="M44" s="312"/>
      <c r="N44" s="312"/>
    </row>
    <row r="45" spans="3:14" x14ac:dyDescent="0.35">
      <c r="C45" s="18" t="s">
        <v>174</v>
      </c>
      <c r="D45" s="123">
        <v>1398.23</v>
      </c>
      <c r="E45" s="124">
        <f>13492.27+E56</f>
        <v>13492.27</v>
      </c>
      <c r="F45" s="124"/>
      <c r="G45" s="25">
        <f t="shared" si="3"/>
        <v>14890.5</v>
      </c>
      <c r="H45" s="309"/>
      <c r="I45" s="310"/>
      <c r="J45" s="309"/>
      <c r="K45" s="309"/>
      <c r="L45" s="309"/>
      <c r="M45" s="309"/>
      <c r="N45" s="309"/>
    </row>
    <row r="46" spans="3:14" x14ac:dyDescent="0.35">
      <c r="C46" s="18" t="s">
        <v>175</v>
      </c>
      <c r="D46" s="123"/>
      <c r="E46" s="124"/>
      <c r="F46" s="124"/>
      <c r="G46" s="25">
        <f t="shared" si="3"/>
        <v>0</v>
      </c>
      <c r="H46" s="309"/>
      <c r="I46" s="310"/>
      <c r="J46" s="309"/>
      <c r="K46" s="309"/>
      <c r="L46" s="309"/>
      <c r="M46" s="309"/>
      <c r="N46" s="309"/>
    </row>
    <row r="47" spans="3:14" x14ac:dyDescent="0.35">
      <c r="C47" s="18" t="s">
        <v>176</v>
      </c>
      <c r="D47" s="123">
        <f>832.64+1503.1+2923.07-204.62+14.33-1.01+0.07</f>
        <v>5067.579999999999</v>
      </c>
      <c r="E47" s="124">
        <v>12000</v>
      </c>
      <c r="F47" s="124"/>
      <c r="G47" s="25">
        <f t="shared" si="3"/>
        <v>17067.579999999998</v>
      </c>
      <c r="H47" s="309"/>
      <c r="I47" s="310"/>
      <c r="J47" s="309"/>
      <c r="K47" s="309"/>
      <c r="L47" s="309"/>
      <c r="M47" s="309"/>
      <c r="N47" s="309"/>
    </row>
    <row r="48" spans="3:14" x14ac:dyDescent="0.35">
      <c r="C48" s="22" t="s">
        <v>177</v>
      </c>
      <c r="D48" s="31">
        <f>SUM(D41:D47)</f>
        <v>34156.160000000003</v>
      </c>
      <c r="E48" s="31">
        <f>SUM(E41:E47)</f>
        <v>131062.31000000001</v>
      </c>
      <c r="F48" s="31">
        <f>SUM(F41:F47)</f>
        <v>12964.19</v>
      </c>
      <c r="G48" s="25">
        <f>SUM(D48:F48)</f>
        <v>178182.66000000003</v>
      </c>
      <c r="H48" s="311"/>
      <c r="I48" s="310"/>
      <c r="J48" s="311"/>
      <c r="K48" s="309"/>
      <c r="L48" s="309"/>
      <c r="M48" s="309"/>
      <c r="N48" s="309"/>
    </row>
    <row r="49" spans="3:10" ht="15.75" customHeight="1" x14ac:dyDescent="0.35">
      <c r="C49" s="309"/>
      <c r="D49" s="312"/>
      <c r="E49" s="312"/>
      <c r="F49" s="312"/>
      <c r="G49" s="309"/>
      <c r="H49" s="309"/>
      <c r="I49" s="313"/>
      <c r="J49" s="309"/>
    </row>
    <row r="50" spans="3:10" ht="15.75" customHeight="1" x14ac:dyDescent="0.35">
      <c r="C50" s="385" t="s">
        <v>181</v>
      </c>
      <c r="D50" s="386"/>
      <c r="E50" s="386"/>
      <c r="F50" s="386"/>
      <c r="G50" s="387"/>
      <c r="H50" s="309"/>
      <c r="I50" s="313"/>
      <c r="J50" s="309"/>
    </row>
    <row r="51" spans="3:10" ht="19.5" customHeight="1" thickBot="1" x14ac:dyDescent="0.4">
      <c r="C51" s="28" t="s">
        <v>182</v>
      </c>
      <c r="D51" s="29">
        <f>+'1) Combined by budget activity'!D69+'1) Combined by budget activity'!K69</f>
        <v>710000</v>
      </c>
      <c r="E51" s="29">
        <f>+'1) Combined by budget activity'!E69+'1) Combined by budget activity'!L69</f>
        <v>492000</v>
      </c>
      <c r="F51" s="29">
        <f>+'1) Combined by budget activity'!F69</f>
        <v>60000</v>
      </c>
      <c r="G51" s="30">
        <f t="shared" ref="G51:G59" si="4">SUM(D51:F51)</f>
        <v>1262000</v>
      </c>
      <c r="H51" s="309"/>
      <c r="I51" s="313"/>
      <c r="J51" s="309"/>
    </row>
    <row r="52" spans="3:10" ht="15.75" customHeight="1" x14ac:dyDescent="0.35">
      <c r="C52" s="26" t="s">
        <v>170</v>
      </c>
      <c r="D52" s="129">
        <f>288246.8+25073.07</f>
        <v>313319.87</v>
      </c>
      <c r="E52" s="124">
        <v>164460.56</v>
      </c>
      <c r="F52" s="122">
        <v>26757</v>
      </c>
      <c r="G52" s="307">
        <f t="shared" si="4"/>
        <v>504537.43</v>
      </c>
      <c r="H52" s="314"/>
      <c r="I52" s="313"/>
      <c r="J52" s="309"/>
    </row>
    <row r="53" spans="3:10" ht="15.75" customHeight="1" x14ac:dyDescent="0.35">
      <c r="C53" s="18" t="s">
        <v>171</v>
      </c>
      <c r="D53" s="123"/>
      <c r="E53" s="124">
        <v>17744.419999999998</v>
      </c>
      <c r="F53" s="118"/>
      <c r="G53" s="308">
        <f t="shared" si="4"/>
        <v>17744.419999999998</v>
      </c>
      <c r="H53" s="309"/>
      <c r="I53" s="313"/>
      <c r="J53" s="309"/>
    </row>
    <row r="54" spans="3:10" ht="15.75" customHeight="1" x14ac:dyDescent="0.35">
      <c r="C54" s="18" t="s">
        <v>172</v>
      </c>
      <c r="D54" s="123"/>
      <c r="E54" s="124">
        <v>0</v>
      </c>
      <c r="F54" s="123"/>
      <c r="G54" s="308">
        <f t="shared" si="4"/>
        <v>0</v>
      </c>
      <c r="H54" s="309"/>
      <c r="I54" s="313"/>
      <c r="J54" s="314"/>
    </row>
    <row r="55" spans="3:10" ht="15.75" customHeight="1" x14ac:dyDescent="0.35">
      <c r="C55" s="19" t="s">
        <v>173</v>
      </c>
      <c r="D55" s="123">
        <v>93998.41</v>
      </c>
      <c r="E55" s="304"/>
      <c r="F55" s="123"/>
      <c r="G55" s="308">
        <f t="shared" si="4"/>
        <v>93998.41</v>
      </c>
      <c r="H55" s="313"/>
      <c r="I55" s="313"/>
      <c r="J55" s="309"/>
    </row>
    <row r="56" spans="3:10" ht="15.75" customHeight="1" x14ac:dyDescent="0.35">
      <c r="C56" s="18" t="s">
        <v>174</v>
      </c>
      <c r="D56" s="123">
        <f>1925.41+188.91</f>
        <v>2114.3200000000002</v>
      </c>
      <c r="E56" s="124"/>
      <c r="F56" s="123"/>
      <c r="G56" s="308">
        <f t="shared" si="4"/>
        <v>2114.3200000000002</v>
      </c>
      <c r="H56" s="309"/>
      <c r="I56" s="313"/>
      <c r="J56" s="309"/>
    </row>
    <row r="57" spans="3:10" ht="15.75" customHeight="1" x14ac:dyDescent="0.35">
      <c r="C57" s="18" t="s">
        <v>175</v>
      </c>
      <c r="D57" s="123"/>
      <c r="E57" s="124"/>
      <c r="F57" s="123"/>
      <c r="G57" s="308">
        <f t="shared" si="4"/>
        <v>0</v>
      </c>
      <c r="H57" s="309"/>
      <c r="I57" s="313"/>
      <c r="J57" s="309"/>
    </row>
    <row r="58" spans="3:10" ht="15.75" customHeight="1" x14ac:dyDescent="0.35">
      <c r="C58" s="18" t="s">
        <v>176</v>
      </c>
      <c r="D58" s="124">
        <f>48704.9619015475+7.92+0.05+176.55</f>
        <v>48889.4819015475</v>
      </c>
      <c r="E58" s="124">
        <f>69775.69365426-26201.05</f>
        <v>43574.643654259999</v>
      </c>
      <c r="F58" s="124">
        <v>36030.698247287502</v>
      </c>
      <c r="G58" s="308">
        <f t="shared" si="4"/>
        <v>128494.823803095</v>
      </c>
      <c r="H58" s="311"/>
      <c r="I58" s="313"/>
      <c r="J58" s="309"/>
    </row>
    <row r="59" spans="3:10" ht="15.75" customHeight="1" x14ac:dyDescent="0.35">
      <c r="C59" s="22" t="s">
        <v>177</v>
      </c>
      <c r="D59" s="31">
        <f>SUM(D52:D58)</f>
        <v>458322.08190154756</v>
      </c>
      <c r="E59" s="31">
        <f>SUM(E52:E58)</f>
        <v>225779.62365425998</v>
      </c>
      <c r="F59" s="31">
        <f>SUM(F52:F58)</f>
        <v>62787.698247287502</v>
      </c>
      <c r="G59" s="25">
        <f t="shared" si="4"/>
        <v>746889.40380309511</v>
      </c>
      <c r="H59" s="311"/>
      <c r="I59" s="310"/>
      <c r="J59" s="311"/>
    </row>
    <row r="60" spans="3:10" ht="15.75" customHeight="1" thickBot="1" x14ac:dyDescent="0.4">
      <c r="C60" s="309"/>
      <c r="D60" s="312"/>
      <c r="E60" s="312"/>
      <c r="F60" s="312"/>
      <c r="G60" s="309"/>
      <c r="H60" s="309"/>
      <c r="I60" s="313"/>
      <c r="J60" s="309"/>
    </row>
    <row r="61" spans="3:10" ht="19.5" customHeight="1" thickBot="1" x14ac:dyDescent="0.4">
      <c r="C61" s="389" t="s">
        <v>183</v>
      </c>
      <c r="D61" s="390"/>
      <c r="E61" s="390"/>
      <c r="F61" s="390"/>
      <c r="G61" s="391"/>
      <c r="H61" s="309"/>
      <c r="I61" s="313"/>
      <c r="J61" s="309"/>
    </row>
    <row r="62" spans="3:10" ht="19.5" customHeight="1" x14ac:dyDescent="0.35">
      <c r="C62" s="38"/>
      <c r="D62" s="383" t="str">
        <f>+D4</f>
        <v>UNDP</v>
      </c>
      <c r="E62" s="383" t="str">
        <f t="shared" ref="E62:F62" si="5">+E4</f>
        <v>UNODC</v>
      </c>
      <c r="F62" s="383" t="str">
        <f t="shared" si="5"/>
        <v>IOM</v>
      </c>
      <c r="G62" s="388" t="s">
        <v>183</v>
      </c>
      <c r="H62" s="309"/>
      <c r="I62" s="313"/>
      <c r="J62" s="309"/>
    </row>
    <row r="63" spans="3:10" ht="19.5" customHeight="1" x14ac:dyDescent="0.35">
      <c r="C63" s="38"/>
      <c r="D63" s="384"/>
      <c r="E63" s="384"/>
      <c r="F63" s="384"/>
      <c r="G63" s="341"/>
      <c r="H63" s="309"/>
      <c r="I63" s="313"/>
      <c r="J63" s="309"/>
    </row>
    <row r="64" spans="3:10" ht="19.5" customHeight="1" x14ac:dyDescent="0.35">
      <c r="C64" s="5" t="s">
        <v>170</v>
      </c>
      <c r="D64" s="315">
        <f t="shared" ref="D64:F70" si="6">SUM(D8,D19,D30,D41,D52)</f>
        <v>361650.64</v>
      </c>
      <c r="E64" s="315">
        <f t="shared" si="6"/>
        <v>279810.01</v>
      </c>
      <c r="F64" s="315">
        <f t="shared" si="6"/>
        <v>32087</v>
      </c>
      <c r="G64" s="36">
        <f t="shared" ref="G64:G71" si="7">SUM(D64:F64)</f>
        <v>673547.65</v>
      </c>
      <c r="H64" s="309"/>
      <c r="I64" s="313"/>
      <c r="J64" s="309"/>
    </row>
    <row r="65" spans="3:14" ht="34.5" customHeight="1" x14ac:dyDescent="0.35">
      <c r="C65" s="5" t="s">
        <v>171</v>
      </c>
      <c r="D65" s="315">
        <f>SUM(D9,D20,D31,D42,D53)</f>
        <v>190486.71</v>
      </c>
      <c r="E65" s="315">
        <f t="shared" si="6"/>
        <v>208527.7</v>
      </c>
      <c r="F65" s="315">
        <f t="shared" si="6"/>
        <v>53427.060529370494</v>
      </c>
      <c r="G65" s="37">
        <f t="shared" si="7"/>
        <v>452441.47052937053</v>
      </c>
      <c r="H65" s="309"/>
      <c r="I65" s="313"/>
      <c r="J65" s="309"/>
      <c r="K65" s="309"/>
      <c r="L65" s="309"/>
      <c r="M65" s="309"/>
      <c r="N65" s="309"/>
    </row>
    <row r="66" spans="3:14" ht="48" customHeight="1" x14ac:dyDescent="0.35">
      <c r="C66" s="5" t="s">
        <v>172</v>
      </c>
      <c r="D66" s="315">
        <f t="shared" si="6"/>
        <v>13131.13</v>
      </c>
      <c r="E66" s="315">
        <f t="shared" si="6"/>
        <v>179653.45</v>
      </c>
      <c r="F66" s="315">
        <f t="shared" si="6"/>
        <v>9335</v>
      </c>
      <c r="G66" s="37">
        <f t="shared" si="7"/>
        <v>202119.58000000002</v>
      </c>
      <c r="H66" s="309"/>
      <c r="I66" s="313"/>
      <c r="J66" s="309"/>
      <c r="K66" s="309"/>
      <c r="L66" s="309"/>
      <c r="M66" s="309"/>
      <c r="N66" s="309"/>
    </row>
    <row r="67" spans="3:14" ht="33" customHeight="1" x14ac:dyDescent="0.35">
      <c r="C67" s="8" t="s">
        <v>173</v>
      </c>
      <c r="D67" s="315">
        <f t="shared" si="6"/>
        <v>677580.82000000007</v>
      </c>
      <c r="E67" s="315">
        <f t="shared" si="6"/>
        <v>130225.35</v>
      </c>
      <c r="F67" s="315">
        <f t="shared" si="6"/>
        <v>0</v>
      </c>
      <c r="G67" s="37">
        <f t="shared" si="7"/>
        <v>807806.17</v>
      </c>
      <c r="H67" s="309"/>
      <c r="I67" s="313"/>
      <c r="J67" s="309"/>
      <c r="K67" s="309"/>
      <c r="L67" s="309"/>
      <c r="M67" s="309"/>
      <c r="N67" s="309"/>
    </row>
    <row r="68" spans="3:14" ht="21" customHeight="1" x14ac:dyDescent="0.35">
      <c r="C68" s="5" t="s">
        <v>174</v>
      </c>
      <c r="D68" s="315">
        <f t="shared" si="6"/>
        <v>3512.55</v>
      </c>
      <c r="E68" s="315">
        <f t="shared" si="6"/>
        <v>65457.08</v>
      </c>
      <c r="F68" s="315">
        <f t="shared" si="6"/>
        <v>0</v>
      </c>
      <c r="G68" s="37">
        <f t="shared" si="7"/>
        <v>68969.63</v>
      </c>
      <c r="H68" s="186"/>
      <c r="I68" s="316"/>
      <c r="J68" s="186"/>
      <c r="K68" s="186"/>
      <c r="L68" s="186"/>
      <c r="M68" s="317"/>
      <c r="N68" s="309"/>
    </row>
    <row r="69" spans="3:14" ht="39.75" customHeight="1" x14ac:dyDescent="0.35">
      <c r="C69" s="5" t="s">
        <v>175</v>
      </c>
      <c r="D69" s="315">
        <f t="shared" si="6"/>
        <v>49879.14</v>
      </c>
      <c r="E69" s="315">
        <f t="shared" si="6"/>
        <v>10000</v>
      </c>
      <c r="F69" s="315">
        <f t="shared" si="6"/>
        <v>0</v>
      </c>
      <c r="G69" s="37">
        <f t="shared" si="7"/>
        <v>59879.14</v>
      </c>
      <c r="H69" s="186"/>
      <c r="I69" s="316"/>
      <c r="J69" s="186"/>
      <c r="K69" s="186"/>
      <c r="L69" s="186"/>
      <c r="M69" s="317"/>
      <c r="N69" s="309"/>
    </row>
    <row r="70" spans="3:14" ht="23.25" customHeight="1" x14ac:dyDescent="0.35">
      <c r="C70" s="5" t="s">
        <v>176</v>
      </c>
      <c r="D70" s="318">
        <f t="shared" si="6"/>
        <v>261543.1119015475</v>
      </c>
      <c r="E70" s="318">
        <f t="shared" si="6"/>
        <v>120796.10365425999</v>
      </c>
      <c r="F70" s="318">
        <f t="shared" si="6"/>
        <v>125150.9382472875</v>
      </c>
      <c r="G70" s="37">
        <f t="shared" si="7"/>
        <v>507490.15380309499</v>
      </c>
      <c r="H70" s="186"/>
      <c r="I70" s="316"/>
      <c r="J70" s="186"/>
      <c r="K70" s="186"/>
      <c r="L70" s="186"/>
      <c r="M70" s="317"/>
      <c r="N70" s="309"/>
    </row>
    <row r="71" spans="3:14" ht="22.5" customHeight="1" x14ac:dyDescent="0.35">
      <c r="C71" s="319" t="s">
        <v>184</v>
      </c>
      <c r="D71" s="320">
        <f>SUM(D64:D70)</f>
        <v>1557784.1019015475</v>
      </c>
      <c r="E71" s="320">
        <f>SUM(E64:E70)</f>
        <v>994469.6936542599</v>
      </c>
      <c r="F71" s="320">
        <f>SUM(F64:F70)</f>
        <v>219999.998776658</v>
      </c>
      <c r="G71" s="321">
        <f t="shared" si="7"/>
        <v>2772253.7943324656</v>
      </c>
      <c r="H71" s="186"/>
      <c r="I71" s="316"/>
      <c r="J71" s="186"/>
      <c r="K71" s="186"/>
      <c r="L71" s="186"/>
      <c r="M71" s="317"/>
      <c r="N71" s="309"/>
    </row>
    <row r="72" spans="3:14" ht="26.25" customHeight="1" thickBot="1" x14ac:dyDescent="0.4">
      <c r="C72" s="322" t="s">
        <v>185</v>
      </c>
      <c r="D72" s="323">
        <f>D71*0.07</f>
        <v>109044.88713310834</v>
      </c>
      <c r="E72" s="323">
        <f>E71*0.07</f>
        <v>69612.878555798205</v>
      </c>
      <c r="F72" s="323">
        <f>F71*0.07</f>
        <v>15399.999914366061</v>
      </c>
      <c r="G72" s="324">
        <f t="shared" ref="G72" si="8">G71*0.07</f>
        <v>194057.76560327262</v>
      </c>
      <c r="H72" s="9"/>
      <c r="I72" s="135"/>
      <c r="J72" s="9"/>
      <c r="K72" s="9"/>
      <c r="L72" s="325"/>
      <c r="M72" s="312"/>
      <c r="N72" s="309"/>
    </row>
    <row r="73" spans="3:14" ht="23.25" customHeight="1" thickBot="1" x14ac:dyDescent="0.4">
      <c r="C73" s="71" t="s">
        <v>186</v>
      </c>
      <c r="D73" s="72">
        <f>SUM(D71:D72)</f>
        <v>1666828.989034656</v>
      </c>
      <c r="E73" s="72">
        <f>SUM(E71:E72)</f>
        <v>1064082.5722100581</v>
      </c>
      <c r="F73" s="72">
        <f>SUM(F71:F72)</f>
        <v>235399.99869102406</v>
      </c>
      <c r="G73" s="39">
        <f t="shared" ref="G73" si="9">SUM(G71:G72)</f>
        <v>2966311.5599357383</v>
      </c>
      <c r="H73" s="9"/>
      <c r="I73" s="135"/>
      <c r="J73" s="9"/>
      <c r="K73" s="9"/>
      <c r="L73" s="325"/>
      <c r="M73" s="312"/>
      <c r="N73" s="309"/>
    </row>
    <row r="74" spans="3:14" ht="15.75" customHeight="1" x14ac:dyDescent="0.35">
      <c r="C74" s="309"/>
      <c r="D74" s="130"/>
      <c r="E74" s="130"/>
      <c r="F74" s="130"/>
      <c r="G74" s="326"/>
      <c r="H74" s="311"/>
      <c r="I74" s="310"/>
      <c r="J74" s="9"/>
      <c r="K74" s="309"/>
      <c r="L74" s="23"/>
      <c r="M74" s="309"/>
      <c r="N74" s="309"/>
    </row>
    <row r="75" spans="3:14" ht="15.75" customHeight="1" x14ac:dyDescent="0.35">
      <c r="C75" s="309"/>
      <c r="D75" s="131"/>
      <c r="E75" s="131"/>
      <c r="F75" s="131"/>
      <c r="G75" s="131"/>
      <c r="H75" s="127"/>
      <c r="I75" s="136"/>
      <c r="J75" s="309"/>
      <c r="K75" s="309"/>
      <c r="L75" s="23"/>
      <c r="M75" s="309"/>
      <c r="N75" s="309"/>
    </row>
    <row r="76" spans="3:14" ht="15.75" customHeight="1" x14ac:dyDescent="0.35">
      <c r="C76" s="309"/>
      <c r="D76" s="327"/>
      <c r="E76" s="328"/>
      <c r="F76" s="130"/>
      <c r="G76" s="309"/>
      <c r="H76" s="127"/>
      <c r="I76" s="136"/>
      <c r="J76" s="311"/>
      <c r="K76" s="309"/>
      <c r="L76" s="309"/>
      <c r="M76" s="309"/>
      <c r="N76" s="309"/>
    </row>
    <row r="77" spans="3:14" ht="40.5" customHeight="1" x14ac:dyDescent="0.35">
      <c r="C77" s="309"/>
      <c r="D77" s="327"/>
      <c r="E77" s="312"/>
      <c r="F77" s="130"/>
      <c r="G77" s="309"/>
      <c r="H77" s="12"/>
      <c r="I77" s="136"/>
      <c r="J77" s="309"/>
      <c r="K77" s="309"/>
      <c r="L77" s="24"/>
      <c r="M77" s="309"/>
      <c r="N77" s="309"/>
    </row>
    <row r="78" spans="3:14" ht="24.75" customHeight="1" x14ac:dyDescent="0.35">
      <c r="C78" s="309"/>
      <c r="D78" s="312"/>
      <c r="E78" s="312"/>
      <c r="F78" s="130"/>
      <c r="G78" s="309"/>
      <c r="H78" s="12"/>
      <c r="I78" s="136"/>
      <c r="J78" s="309"/>
      <c r="K78" s="309"/>
      <c r="L78" s="24"/>
      <c r="M78" s="309"/>
      <c r="N78" s="309"/>
    </row>
    <row r="79" spans="3:14" ht="41.25" customHeight="1" x14ac:dyDescent="0.35">
      <c r="C79" s="309"/>
      <c r="D79" s="312"/>
      <c r="E79" s="312"/>
      <c r="F79" s="130"/>
      <c r="G79" s="309"/>
      <c r="H79" s="329"/>
      <c r="I79" s="136"/>
      <c r="J79" s="309"/>
      <c r="K79" s="309"/>
      <c r="L79" s="24"/>
      <c r="M79" s="309"/>
      <c r="N79" s="309"/>
    </row>
    <row r="80" spans="3:14" ht="51.75" customHeight="1" x14ac:dyDescent="0.35">
      <c r="C80" s="309"/>
      <c r="D80" s="312"/>
      <c r="E80" s="312"/>
      <c r="F80" s="330"/>
      <c r="G80" s="309"/>
      <c r="H80" s="329"/>
      <c r="I80" s="136"/>
      <c r="J80" s="309"/>
      <c r="K80" s="309"/>
      <c r="L80" s="24"/>
      <c r="M80" s="309"/>
      <c r="N80" s="309"/>
    </row>
    <row r="81" spans="3:14" ht="42" customHeight="1" x14ac:dyDescent="0.35">
      <c r="C81" s="309"/>
      <c r="D81" s="312"/>
      <c r="E81" s="312"/>
      <c r="F81" s="131"/>
      <c r="G81" s="309"/>
      <c r="H81" s="12"/>
      <c r="I81" s="136"/>
      <c r="J81" s="309"/>
      <c r="K81" s="309"/>
      <c r="L81" s="24"/>
      <c r="M81" s="309"/>
      <c r="N81" s="309"/>
    </row>
    <row r="82" spans="3:14" s="21" customFormat="1" ht="42" customHeight="1" x14ac:dyDescent="0.35">
      <c r="C82" s="309"/>
      <c r="D82" s="312"/>
      <c r="E82" s="312"/>
      <c r="F82" s="312"/>
      <c r="G82" s="309"/>
      <c r="H82" s="309"/>
      <c r="I82" s="136"/>
      <c r="J82" s="309"/>
      <c r="K82" s="309"/>
      <c r="L82" s="24"/>
      <c r="M82" s="309"/>
      <c r="N82" s="312"/>
    </row>
    <row r="83" spans="3:14" s="21" customFormat="1" ht="42" customHeight="1" x14ac:dyDescent="0.35">
      <c r="C83" s="309"/>
      <c r="D83" s="312"/>
      <c r="E83" s="312"/>
      <c r="F83" s="312"/>
      <c r="G83" s="309"/>
      <c r="H83" s="309"/>
      <c r="I83" s="136"/>
      <c r="J83" s="309"/>
      <c r="K83" s="309"/>
      <c r="L83" s="309"/>
      <c r="M83" s="309"/>
      <c r="N83" s="312"/>
    </row>
    <row r="84" spans="3:14" s="21" customFormat="1" ht="63.75" customHeight="1" x14ac:dyDescent="0.35">
      <c r="C84" s="309"/>
      <c r="D84" s="312"/>
      <c r="E84" s="312"/>
      <c r="F84" s="312"/>
      <c r="G84" s="309"/>
      <c r="H84" s="309"/>
      <c r="I84" s="137"/>
      <c r="J84" s="309"/>
      <c r="K84" s="309"/>
      <c r="L84" s="309"/>
      <c r="M84" s="309"/>
      <c r="N84" s="312"/>
    </row>
    <row r="85" spans="3:14" s="21" customFormat="1" ht="42" customHeight="1" x14ac:dyDescent="0.35">
      <c r="C85" s="309"/>
      <c r="D85" s="312"/>
      <c r="E85" s="312"/>
      <c r="F85" s="312"/>
      <c r="G85" s="309"/>
      <c r="H85" s="309"/>
      <c r="I85" s="310"/>
      <c r="J85" s="309"/>
      <c r="K85" s="309"/>
      <c r="L85" s="309"/>
      <c r="M85" s="23"/>
      <c r="N85" s="312"/>
    </row>
    <row r="86" spans="3:14" ht="23.25" customHeight="1" x14ac:dyDescent="0.35">
      <c r="C86" s="309"/>
      <c r="D86" s="312"/>
      <c r="E86" s="312"/>
      <c r="F86" s="312"/>
      <c r="G86" s="309"/>
      <c r="H86" s="309"/>
      <c r="I86" s="310"/>
      <c r="J86" s="309"/>
      <c r="K86" s="309"/>
      <c r="L86" s="309"/>
      <c r="M86" s="309"/>
      <c r="N86" s="309"/>
    </row>
    <row r="87" spans="3:14" ht="27.75" customHeight="1" x14ac:dyDescent="0.35">
      <c r="C87" s="309"/>
      <c r="D87" s="312"/>
      <c r="E87" s="312"/>
      <c r="F87" s="312"/>
      <c r="G87" s="309"/>
      <c r="H87" s="309"/>
      <c r="I87" s="310"/>
      <c r="J87" s="309"/>
      <c r="K87" s="309"/>
      <c r="L87" s="309"/>
      <c r="M87" s="309"/>
      <c r="N87" s="309"/>
    </row>
    <row r="88" spans="3:14" ht="55.5" customHeight="1" x14ac:dyDescent="0.35">
      <c r="C88" s="309"/>
      <c r="D88" s="312"/>
      <c r="E88" s="312"/>
      <c r="F88" s="312"/>
      <c r="G88" s="309"/>
      <c r="H88" s="309"/>
      <c r="I88" s="310"/>
      <c r="J88" s="309"/>
      <c r="K88" s="309"/>
      <c r="L88" s="309"/>
      <c r="M88" s="309"/>
      <c r="N88" s="309"/>
    </row>
    <row r="89" spans="3:14" ht="57.75" customHeight="1" x14ac:dyDescent="0.35">
      <c r="C89" s="309"/>
      <c r="D89" s="312"/>
      <c r="E89" s="312"/>
      <c r="F89" s="312"/>
      <c r="G89" s="309"/>
      <c r="H89" s="309"/>
      <c r="I89" s="310"/>
      <c r="J89" s="309"/>
      <c r="K89" s="309"/>
      <c r="L89" s="309"/>
      <c r="M89" s="309"/>
      <c r="N89" s="309"/>
    </row>
    <row r="90" spans="3:14" ht="21.75" customHeight="1" x14ac:dyDescent="0.35">
      <c r="C90" s="309"/>
      <c r="D90" s="312"/>
      <c r="E90" s="312"/>
      <c r="F90" s="312"/>
      <c r="G90" s="309"/>
      <c r="H90" s="309"/>
      <c r="I90" s="310"/>
      <c r="J90" s="309"/>
      <c r="K90" s="309"/>
      <c r="L90" s="309"/>
      <c r="M90" s="309"/>
      <c r="N90" s="309"/>
    </row>
    <row r="91" spans="3:14" ht="49.5" customHeight="1" x14ac:dyDescent="0.35">
      <c r="C91" s="309"/>
      <c r="D91" s="312"/>
      <c r="E91" s="312"/>
      <c r="F91" s="312"/>
      <c r="G91" s="309"/>
      <c r="H91" s="309"/>
      <c r="I91" s="310"/>
      <c r="J91" s="309"/>
      <c r="K91" s="309"/>
      <c r="L91" s="309"/>
      <c r="M91" s="309"/>
      <c r="N91" s="309"/>
    </row>
    <row r="92" spans="3:14" ht="28.5" customHeight="1" x14ac:dyDescent="0.35">
      <c r="C92" s="309"/>
      <c r="D92" s="312"/>
      <c r="E92" s="312"/>
      <c r="F92" s="312"/>
      <c r="G92" s="309"/>
      <c r="H92" s="309"/>
      <c r="I92" s="310"/>
      <c r="J92" s="309"/>
      <c r="K92" s="309"/>
      <c r="L92" s="309"/>
      <c r="M92" s="309"/>
      <c r="N92" s="309"/>
    </row>
    <row r="93" spans="3:14" ht="28.5" customHeight="1" x14ac:dyDescent="0.35">
      <c r="C93" s="309"/>
      <c r="D93" s="312"/>
      <c r="E93" s="312"/>
      <c r="F93" s="312"/>
      <c r="G93" s="309"/>
      <c r="H93" s="309"/>
      <c r="I93" s="310"/>
      <c r="J93" s="309"/>
      <c r="K93" s="309"/>
      <c r="L93" s="309"/>
      <c r="M93" s="309"/>
      <c r="N93" s="309"/>
    </row>
    <row r="94" spans="3:14" ht="28.5" customHeight="1" x14ac:dyDescent="0.35">
      <c r="C94" s="309"/>
      <c r="D94" s="312"/>
      <c r="E94" s="312"/>
      <c r="F94" s="312"/>
      <c r="G94" s="309"/>
      <c r="H94" s="309"/>
      <c r="I94" s="310"/>
      <c r="J94" s="309"/>
      <c r="K94" s="309"/>
      <c r="L94" s="309"/>
      <c r="M94" s="309"/>
      <c r="N94" s="309"/>
    </row>
    <row r="95" spans="3:14" ht="23.25" customHeight="1" x14ac:dyDescent="0.35">
      <c r="C95" s="309"/>
      <c r="D95" s="312"/>
      <c r="E95" s="312"/>
      <c r="F95" s="312"/>
      <c r="G95" s="309"/>
      <c r="H95" s="309"/>
      <c r="I95" s="310"/>
      <c r="J95" s="309"/>
      <c r="K95" s="309"/>
      <c r="L95" s="309"/>
      <c r="M95" s="309"/>
      <c r="N95" s="23"/>
    </row>
    <row r="96" spans="3:14" ht="43.5" customHeight="1" x14ac:dyDescent="0.35">
      <c r="C96" s="309"/>
      <c r="D96" s="312"/>
      <c r="E96" s="312"/>
      <c r="F96" s="312"/>
      <c r="G96" s="309"/>
      <c r="H96" s="309"/>
      <c r="I96" s="310"/>
      <c r="J96" s="309"/>
      <c r="K96" s="309"/>
      <c r="L96" s="309"/>
      <c r="M96" s="309"/>
      <c r="N96" s="23"/>
    </row>
    <row r="97" spans="3:14" ht="55.5" customHeight="1" x14ac:dyDescent="0.35">
      <c r="C97" s="309"/>
      <c r="D97" s="312"/>
      <c r="E97" s="312"/>
      <c r="F97" s="312"/>
      <c r="G97" s="309"/>
      <c r="H97" s="309"/>
      <c r="I97" s="310"/>
      <c r="J97" s="309"/>
      <c r="K97" s="309"/>
      <c r="L97" s="309"/>
      <c r="M97" s="309"/>
      <c r="N97" s="309"/>
    </row>
    <row r="98" spans="3:14" ht="42.75" customHeight="1" x14ac:dyDescent="0.35">
      <c r="C98" s="309"/>
      <c r="D98" s="312"/>
      <c r="E98" s="312"/>
      <c r="F98" s="312"/>
      <c r="G98" s="309"/>
      <c r="H98" s="309"/>
      <c r="I98" s="310"/>
      <c r="J98" s="309"/>
      <c r="K98" s="309"/>
      <c r="L98" s="309"/>
      <c r="M98" s="309"/>
      <c r="N98" s="23"/>
    </row>
    <row r="99" spans="3:14" ht="21.75" customHeight="1" x14ac:dyDescent="0.35">
      <c r="C99" s="309"/>
      <c r="D99" s="312"/>
      <c r="E99" s="312"/>
      <c r="F99" s="312"/>
      <c r="G99" s="309"/>
      <c r="H99" s="309"/>
      <c r="I99" s="310"/>
      <c r="J99" s="309"/>
      <c r="K99" s="309"/>
      <c r="L99" s="309"/>
      <c r="M99" s="309"/>
      <c r="N99" s="23"/>
    </row>
    <row r="100" spans="3:14" ht="21.75" customHeight="1" x14ac:dyDescent="0.35">
      <c r="C100" s="309"/>
      <c r="D100" s="312"/>
      <c r="E100" s="312"/>
      <c r="F100" s="312"/>
      <c r="G100" s="309"/>
      <c r="H100" s="309"/>
      <c r="I100" s="310"/>
      <c r="J100" s="309"/>
      <c r="K100" s="309"/>
      <c r="L100" s="309"/>
      <c r="M100" s="309"/>
      <c r="N100" s="23"/>
    </row>
    <row r="101" spans="3:14" ht="23.25" customHeight="1" x14ac:dyDescent="0.35">
      <c r="C101" s="309"/>
      <c r="D101" s="312"/>
      <c r="E101" s="312"/>
      <c r="F101" s="312"/>
      <c r="G101" s="309"/>
      <c r="H101" s="309"/>
      <c r="I101" s="310"/>
      <c r="J101" s="309"/>
      <c r="K101" s="309"/>
      <c r="L101" s="309"/>
      <c r="M101" s="309"/>
      <c r="N101" s="309"/>
    </row>
    <row r="102" spans="3:14" ht="23.25" customHeight="1" x14ac:dyDescent="0.35">
      <c r="C102" s="309"/>
      <c r="D102" s="312"/>
      <c r="E102" s="312"/>
      <c r="F102" s="312"/>
      <c r="G102" s="309"/>
      <c r="H102" s="309"/>
      <c r="I102" s="310"/>
      <c r="J102" s="309"/>
      <c r="K102" s="309"/>
      <c r="L102" s="309"/>
      <c r="M102" s="309"/>
      <c r="N102" s="309"/>
    </row>
    <row r="103" spans="3:14" ht="21.75" customHeight="1" x14ac:dyDescent="0.35">
      <c r="C103" s="309"/>
      <c r="D103" s="312"/>
      <c r="E103" s="312"/>
      <c r="F103" s="312"/>
      <c r="G103" s="309"/>
      <c r="H103" s="309"/>
      <c r="I103" s="310"/>
      <c r="J103" s="309"/>
      <c r="K103" s="309"/>
      <c r="L103" s="309"/>
      <c r="M103" s="309"/>
      <c r="N103" s="309"/>
    </row>
    <row r="104" spans="3:14" ht="16.5" customHeight="1" x14ac:dyDescent="0.35">
      <c r="C104" s="309"/>
      <c r="D104" s="312"/>
      <c r="E104" s="312"/>
      <c r="F104" s="312"/>
      <c r="G104" s="309"/>
      <c r="H104" s="309"/>
      <c r="I104" s="310"/>
      <c r="J104" s="309"/>
      <c r="K104" s="309"/>
      <c r="L104" s="309"/>
      <c r="M104" s="309"/>
      <c r="N104" s="309"/>
    </row>
    <row r="105" spans="3:14" ht="29.25" customHeight="1" x14ac:dyDescent="0.35">
      <c r="C105" s="309"/>
      <c r="D105" s="312"/>
      <c r="E105" s="312"/>
      <c r="F105" s="312"/>
      <c r="G105" s="309"/>
      <c r="H105" s="309"/>
      <c r="I105" s="310"/>
      <c r="J105" s="309"/>
      <c r="K105" s="309"/>
      <c r="L105" s="309"/>
      <c r="M105" s="309"/>
      <c r="N105" s="309"/>
    </row>
    <row r="106" spans="3:14" ht="24.75" customHeight="1" x14ac:dyDescent="0.35">
      <c r="C106" s="309"/>
      <c r="D106" s="312"/>
      <c r="E106" s="312"/>
      <c r="F106" s="312"/>
      <c r="G106" s="309"/>
      <c r="H106" s="309"/>
      <c r="I106" s="310"/>
      <c r="J106" s="309"/>
      <c r="K106" s="309"/>
      <c r="L106" s="309"/>
      <c r="M106" s="309"/>
      <c r="N106" s="309"/>
    </row>
    <row r="107" spans="3:14" ht="33" customHeight="1" x14ac:dyDescent="0.35">
      <c r="C107" s="309"/>
      <c r="D107" s="312"/>
      <c r="E107" s="312"/>
      <c r="F107" s="312"/>
      <c r="G107" s="309"/>
      <c r="H107" s="309"/>
      <c r="I107" s="310"/>
      <c r="J107" s="309"/>
      <c r="K107" s="309"/>
      <c r="L107" s="309"/>
      <c r="M107" s="309"/>
      <c r="N107" s="309"/>
    </row>
    <row r="109" spans="3:14" ht="15" customHeight="1" x14ac:dyDescent="0.35">
      <c r="C109" s="309"/>
      <c r="D109" s="312"/>
      <c r="E109" s="312"/>
      <c r="F109" s="312"/>
      <c r="G109" s="309"/>
      <c r="H109" s="309"/>
      <c r="I109" s="310"/>
      <c r="J109" s="309"/>
      <c r="K109" s="309"/>
      <c r="L109" s="309"/>
      <c r="M109" s="309"/>
      <c r="N109" s="309"/>
    </row>
    <row r="110" spans="3:14" ht="25.5" customHeight="1" x14ac:dyDescent="0.35">
      <c r="C110" s="309"/>
      <c r="D110" s="312"/>
      <c r="E110" s="312"/>
      <c r="F110" s="312"/>
      <c r="G110" s="309"/>
      <c r="H110" s="309"/>
      <c r="I110" s="310"/>
      <c r="J110" s="309"/>
      <c r="K110" s="309"/>
      <c r="L110" s="309"/>
      <c r="M110" s="309"/>
      <c r="N110" s="309"/>
    </row>
  </sheetData>
  <sheetProtection insertColumns="0" insertRows="0" deleteRows="0"/>
  <mergeCells count="13">
    <mergeCell ref="C1:F1"/>
    <mergeCell ref="B5:G5"/>
    <mergeCell ref="C6:G6"/>
    <mergeCell ref="C17:G17"/>
    <mergeCell ref="C28:G28"/>
    <mergeCell ref="D62:D63"/>
    <mergeCell ref="E62:E63"/>
    <mergeCell ref="F62:F63"/>
    <mergeCell ref="C2:E2"/>
    <mergeCell ref="C50:G50"/>
    <mergeCell ref="G62:G63"/>
    <mergeCell ref="C61:G61"/>
    <mergeCell ref="C39:G39"/>
  </mergeCells>
  <conditionalFormatting sqref="G48">
    <cfRule type="cellIs" dxfId="11" priority="8" operator="notEqual">
      <formula>$G$29</formula>
    </cfRule>
  </conditionalFormatting>
  <conditionalFormatting sqref="G15">
    <cfRule type="cellIs" dxfId="10" priority="7" operator="notEqual">
      <formula>$G$29</formula>
    </cfRule>
  </conditionalFormatting>
  <conditionalFormatting sqref="G26">
    <cfRule type="cellIs" dxfId="9" priority="6" operator="notEqual">
      <formula>$G$29</formula>
    </cfRule>
  </conditionalFormatting>
  <conditionalFormatting sqref="G37">
    <cfRule type="cellIs" dxfId="8" priority="2" operator="notEqual">
      <formula>$G$29</formula>
    </cfRule>
  </conditionalFormatting>
  <conditionalFormatting sqref="G59">
    <cfRule type="cellIs" dxfId="7" priority="1" operator="notEqual">
      <formula>$G$29</formula>
    </cfRule>
  </conditionalFormatting>
  <conditionalFormatting sqref="G73">
    <cfRule type="cellIs" dxfId="6" priority="9" operator="notEqual">
      <formula>#REF!</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70 C58 C47" xr:uid="{00000000-0002-0000-03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69 C57 C46" xr:uid="{00000000-0002-0000-0300-000001000000}"/>
    <dataValidation allowBlank="1" showInputMessage="1" showErrorMessage="1" prompt="Services contracted by an organization which follow the normal procurement processes." sqref="C11 C22 C33 C67 C55 C44" xr:uid="{00000000-0002-0000-0300-000002000000}"/>
    <dataValidation allowBlank="1" showInputMessage="1" showErrorMessage="1" prompt="Includes staff and non-staff travel paid for by the organization directly related to a project." sqref="C12 C23 C34 C68 C56 C45" xr:uid="{00000000-0002-0000-03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66 C54 C43" xr:uid="{00000000-0002-0000-03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65 C53 C42" xr:uid="{00000000-0002-0000-0300-000005000000}"/>
    <dataValidation allowBlank="1" showInputMessage="1" showErrorMessage="1" prompt="Includes all related staff and temporary staff costs including base salary, post adjustment and all staff entitlements." sqref="C8 C19 C30 C64 C52 C41" xr:uid="{00000000-0002-0000-0300-000006000000}"/>
    <dataValidation allowBlank="1" showInputMessage="1" showErrorMessage="1" prompt="Output totals must match the original total from Table 1, and will show as red if not. " sqref="G15" xr:uid="{00000000-0002-0000-0300-000007000000}"/>
  </dataValidations>
  <pageMargins left="0.7" right="0.7" top="0.75" bottom="0.75" header="0.3" footer="0.3"/>
  <pageSetup scale="74" orientation="landscape" r:id="rId1"/>
  <ignoredErrors>
    <ignoredError sqref="D6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B16"/>
  <sheetViews>
    <sheetView showGridLines="0" workbookViewId="0"/>
  </sheetViews>
  <sheetFormatPr defaultColWidth="8.81640625" defaultRowHeight="14.5" x14ac:dyDescent="0.35"/>
  <cols>
    <col min="2" max="2" width="73.1796875" customWidth="1"/>
  </cols>
  <sheetData>
    <row r="1" spans="2:2" ht="15" thickBot="1" x14ac:dyDescent="0.4"/>
    <row r="2" spans="2:2" ht="15" thickBot="1" x14ac:dyDescent="0.4">
      <c r="B2" s="77" t="s">
        <v>187</v>
      </c>
    </row>
    <row r="3" spans="2:2" x14ac:dyDescent="0.35">
      <c r="B3" s="78"/>
    </row>
    <row r="4" spans="2:2" ht="30.75" customHeight="1" x14ac:dyDescent="0.35">
      <c r="B4" s="79" t="s">
        <v>188</v>
      </c>
    </row>
    <row r="5" spans="2:2" ht="30.75" customHeight="1" x14ac:dyDescent="0.35">
      <c r="B5" s="79"/>
    </row>
    <row r="6" spans="2:2" ht="58" x14ac:dyDescent="0.35">
      <c r="B6" s="79" t="s">
        <v>189</v>
      </c>
    </row>
    <row r="7" spans="2:2" x14ac:dyDescent="0.35">
      <c r="B7" s="79"/>
    </row>
    <row r="8" spans="2:2" ht="58" x14ac:dyDescent="0.35">
      <c r="B8" s="79" t="s">
        <v>190</v>
      </c>
    </row>
    <row r="9" spans="2:2" x14ac:dyDescent="0.35">
      <c r="B9" s="79"/>
    </row>
    <row r="10" spans="2:2" ht="58" x14ac:dyDescent="0.35">
      <c r="B10" s="79" t="s">
        <v>191</v>
      </c>
    </row>
    <row r="11" spans="2:2" x14ac:dyDescent="0.35">
      <c r="B11" s="79"/>
    </row>
    <row r="12" spans="2:2" ht="29" x14ac:dyDescent="0.35">
      <c r="B12" s="79" t="s">
        <v>192</v>
      </c>
    </row>
    <row r="13" spans="2:2" x14ac:dyDescent="0.35">
      <c r="B13" s="79"/>
    </row>
    <row r="14" spans="2:2" ht="58" x14ac:dyDescent="0.35">
      <c r="B14" s="79" t="s">
        <v>193</v>
      </c>
    </row>
    <row r="15" spans="2:2" x14ac:dyDescent="0.35">
      <c r="B15" s="79"/>
    </row>
    <row r="16" spans="2:2" ht="44" thickBot="1" x14ac:dyDescent="0.4">
      <c r="B16" s="80" t="s">
        <v>194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D47"/>
  <sheetViews>
    <sheetView showGridLines="0" showZeros="0" zoomScale="80" zoomScaleNormal="80" zoomScaleSheetLayoutView="70" workbookViewId="0">
      <selection activeCell="D10" sqref="D10"/>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405" t="s">
        <v>195</v>
      </c>
      <c r="C2" s="406"/>
      <c r="D2" s="407"/>
    </row>
    <row r="3" spans="2:4" ht="15" thickBot="1" x14ac:dyDescent="0.4">
      <c r="B3" s="408"/>
      <c r="C3" s="409"/>
      <c r="D3" s="410"/>
    </row>
    <row r="4" spans="2:4" ht="15" thickBot="1" x14ac:dyDescent="0.4"/>
    <row r="5" spans="2:4" x14ac:dyDescent="0.35">
      <c r="B5" s="396" t="s">
        <v>196</v>
      </c>
      <c r="C5" s="397"/>
      <c r="D5" s="398"/>
    </row>
    <row r="6" spans="2:4" ht="15" thickBot="1" x14ac:dyDescent="0.4">
      <c r="B6" s="399"/>
      <c r="C6" s="400"/>
      <c r="D6" s="401"/>
    </row>
    <row r="7" spans="2:4" x14ac:dyDescent="0.35">
      <c r="B7" s="46" t="s">
        <v>197</v>
      </c>
      <c r="C7" s="394" t="e">
        <f>SUM(#REF!,#REF!,#REF!,#REF!)</f>
        <v>#REF!</v>
      </c>
      <c r="D7" s="395"/>
    </row>
    <row r="8" spans="2:4" x14ac:dyDescent="0.35">
      <c r="B8" s="46" t="s">
        <v>198</v>
      </c>
      <c r="C8" s="392" t="e">
        <f>SUM(D10:D14)</f>
        <v>#REF!</v>
      </c>
      <c r="D8" s="393"/>
    </row>
    <row r="9" spans="2:4" x14ac:dyDescent="0.35">
      <c r="B9" s="47" t="s">
        <v>199</v>
      </c>
      <c r="C9" s="48" t="s">
        <v>200</v>
      </c>
      <c r="D9" s="49" t="s">
        <v>201</v>
      </c>
    </row>
    <row r="10" spans="2:4" ht="35.15" customHeight="1" x14ac:dyDescent="0.35">
      <c r="B10" s="62"/>
      <c r="C10" s="51"/>
      <c r="D10" s="52" t="e">
        <f>$C$7*C10</f>
        <v>#REF!</v>
      </c>
    </row>
    <row r="11" spans="2:4" ht="35.15" customHeight="1" x14ac:dyDescent="0.35">
      <c r="B11" s="62"/>
      <c r="C11" s="51"/>
      <c r="D11" s="52" t="e">
        <f>C7*C11</f>
        <v>#REF!</v>
      </c>
    </row>
    <row r="12" spans="2:4" ht="35.15" customHeight="1" x14ac:dyDescent="0.35">
      <c r="B12" s="63"/>
      <c r="C12" s="51"/>
      <c r="D12" s="52" t="e">
        <f>C7*C12</f>
        <v>#REF!</v>
      </c>
    </row>
    <row r="13" spans="2:4" ht="35.15" customHeight="1" x14ac:dyDescent="0.35">
      <c r="B13" s="63"/>
      <c r="C13" s="51"/>
      <c r="D13" s="52" t="e">
        <f>C7*C13</f>
        <v>#REF!</v>
      </c>
    </row>
    <row r="14" spans="2:4" ht="35.15" customHeight="1" thickBot="1" x14ac:dyDescent="0.4">
      <c r="B14" s="64"/>
      <c r="C14" s="51"/>
      <c r="D14" s="56" t="e">
        <f>C7*C14</f>
        <v>#REF!</v>
      </c>
    </row>
    <row r="15" spans="2:4" ht="15" thickBot="1" x14ac:dyDescent="0.4"/>
    <row r="16" spans="2:4" x14ac:dyDescent="0.35">
      <c r="B16" s="396" t="s">
        <v>202</v>
      </c>
      <c r="C16" s="397"/>
      <c r="D16" s="398"/>
    </row>
    <row r="17" spans="2:4" ht="15" thickBot="1" x14ac:dyDescent="0.4">
      <c r="B17" s="402"/>
      <c r="C17" s="403"/>
      <c r="D17" s="404"/>
    </row>
    <row r="18" spans="2:4" x14ac:dyDescent="0.35">
      <c r="B18" s="46" t="s">
        <v>197</v>
      </c>
      <c r="C18" s="394" t="e">
        <f>SUM(#REF!,#REF!,#REF!,#REF!)</f>
        <v>#REF!</v>
      </c>
      <c r="D18" s="395"/>
    </row>
    <row r="19" spans="2:4" x14ac:dyDescent="0.35">
      <c r="B19" s="46" t="s">
        <v>198</v>
      </c>
      <c r="C19" s="392" t="e">
        <f>SUM(D21:D25)</f>
        <v>#REF!</v>
      </c>
      <c r="D19" s="393"/>
    </row>
    <row r="20" spans="2:4" x14ac:dyDescent="0.35">
      <c r="B20" s="47" t="s">
        <v>199</v>
      </c>
      <c r="C20" s="48" t="s">
        <v>200</v>
      </c>
      <c r="D20" s="49" t="s">
        <v>201</v>
      </c>
    </row>
    <row r="21" spans="2:4" ht="35.15" customHeight="1" x14ac:dyDescent="0.35">
      <c r="B21" s="50"/>
      <c r="C21" s="51"/>
      <c r="D21" s="52" t="e">
        <f>$C$18*C21</f>
        <v>#REF!</v>
      </c>
    </row>
    <row r="22" spans="2:4" ht="35.15" customHeight="1" x14ac:dyDescent="0.35">
      <c r="B22" s="53"/>
      <c r="C22" s="51"/>
      <c r="D22" s="52" t="e">
        <f>$C$18*C22</f>
        <v>#REF!</v>
      </c>
    </row>
    <row r="23" spans="2:4" ht="35.15" customHeight="1" x14ac:dyDescent="0.35">
      <c r="B23" s="54"/>
      <c r="C23" s="51"/>
      <c r="D23" s="52" t="e">
        <f>$C$18*C23</f>
        <v>#REF!</v>
      </c>
    </row>
    <row r="24" spans="2:4" ht="35.15" customHeight="1" x14ac:dyDescent="0.35">
      <c r="B24" s="54"/>
      <c r="C24" s="51"/>
      <c r="D24" s="52" t="e">
        <f>$C$18*C24</f>
        <v>#REF!</v>
      </c>
    </row>
    <row r="25" spans="2:4" ht="35.15" customHeight="1" thickBot="1" x14ac:dyDescent="0.4">
      <c r="B25" s="55"/>
      <c r="C25" s="51"/>
      <c r="D25" s="52" t="e">
        <f>$C$18*C25</f>
        <v>#REF!</v>
      </c>
    </row>
    <row r="26" spans="2:4" ht="15" thickBot="1" x14ac:dyDescent="0.4"/>
    <row r="27" spans="2:4" x14ac:dyDescent="0.35">
      <c r="B27" s="396" t="s">
        <v>203</v>
      </c>
      <c r="C27" s="397"/>
      <c r="D27" s="398"/>
    </row>
    <row r="28" spans="2:4" ht="15" thickBot="1" x14ac:dyDescent="0.4">
      <c r="B28" s="399"/>
      <c r="C28" s="400"/>
      <c r="D28" s="401"/>
    </row>
    <row r="29" spans="2:4" x14ac:dyDescent="0.35">
      <c r="B29" s="46" t="s">
        <v>197</v>
      </c>
      <c r="C29" s="394" t="e">
        <f>SUM(#REF!,#REF!,#REF!,#REF!)</f>
        <v>#REF!</v>
      </c>
      <c r="D29" s="395"/>
    </row>
    <row r="30" spans="2:4" x14ac:dyDescent="0.35">
      <c r="B30" s="46" t="s">
        <v>198</v>
      </c>
      <c r="C30" s="392" t="e">
        <f>SUM(D32:D36)</f>
        <v>#REF!</v>
      </c>
      <c r="D30" s="393"/>
    </row>
    <row r="31" spans="2:4" x14ac:dyDescent="0.35">
      <c r="B31" s="47" t="s">
        <v>199</v>
      </c>
      <c r="C31" s="48" t="s">
        <v>200</v>
      </c>
      <c r="D31" s="49" t="s">
        <v>201</v>
      </c>
    </row>
    <row r="32" spans="2:4" ht="35.15" customHeight="1" x14ac:dyDescent="0.35">
      <c r="B32" s="50"/>
      <c r="C32" s="51"/>
      <c r="D32" s="52" t="e">
        <f>$C$29*C32</f>
        <v>#REF!</v>
      </c>
    </row>
    <row r="33" spans="2:4" ht="35.15" customHeight="1" x14ac:dyDescent="0.35">
      <c r="B33" s="53"/>
      <c r="C33" s="51"/>
      <c r="D33" s="52" t="e">
        <f>$C$29*C33</f>
        <v>#REF!</v>
      </c>
    </row>
    <row r="34" spans="2:4" ht="35.15" customHeight="1" x14ac:dyDescent="0.35">
      <c r="B34" s="54"/>
      <c r="C34" s="51"/>
      <c r="D34" s="52" t="e">
        <f>$C$29*C34</f>
        <v>#REF!</v>
      </c>
    </row>
    <row r="35" spans="2:4" ht="35.15" customHeight="1" x14ac:dyDescent="0.35">
      <c r="B35" s="54"/>
      <c r="C35" s="51"/>
      <c r="D35" s="52" t="e">
        <f>$C$29*C35</f>
        <v>#REF!</v>
      </c>
    </row>
    <row r="36" spans="2:4" ht="35.15" customHeight="1" thickBot="1" x14ac:dyDescent="0.4">
      <c r="B36" s="55"/>
      <c r="C36" s="51"/>
      <c r="D36" s="52" t="e">
        <f>$C$29*C36</f>
        <v>#REF!</v>
      </c>
    </row>
    <row r="37" spans="2:4" ht="15" thickBot="1" x14ac:dyDescent="0.4"/>
    <row r="38" spans="2:4" x14ac:dyDescent="0.35">
      <c r="B38" s="396" t="s">
        <v>204</v>
      </c>
      <c r="C38" s="397"/>
      <c r="D38" s="398"/>
    </row>
    <row r="39" spans="2:4" ht="15" thickBot="1" x14ac:dyDescent="0.4">
      <c r="B39" s="399"/>
      <c r="C39" s="400"/>
      <c r="D39" s="401"/>
    </row>
    <row r="40" spans="2:4" x14ac:dyDescent="0.35">
      <c r="B40" s="46" t="s">
        <v>197</v>
      </c>
      <c r="C40" s="394" t="e">
        <f>SUM(#REF!,#REF!,#REF!,#REF!)</f>
        <v>#REF!</v>
      </c>
      <c r="D40" s="395"/>
    </row>
    <row r="41" spans="2:4" x14ac:dyDescent="0.35">
      <c r="B41" s="46" t="s">
        <v>198</v>
      </c>
      <c r="C41" s="392" t="e">
        <f>SUM(D43:D47)</f>
        <v>#REF!</v>
      </c>
      <c r="D41" s="393"/>
    </row>
    <row r="42" spans="2:4" x14ac:dyDescent="0.35">
      <c r="B42" s="47" t="s">
        <v>199</v>
      </c>
      <c r="C42" s="48" t="s">
        <v>200</v>
      </c>
      <c r="D42" s="49" t="s">
        <v>201</v>
      </c>
    </row>
    <row r="43" spans="2:4" ht="35.15" customHeight="1" x14ac:dyDescent="0.35">
      <c r="B43" s="50"/>
      <c r="C43" s="51"/>
      <c r="D43" s="52" t="e">
        <f>$C$40*C43</f>
        <v>#REF!</v>
      </c>
    </row>
    <row r="44" spans="2:4" ht="35.15" customHeight="1" x14ac:dyDescent="0.35">
      <c r="B44" s="53"/>
      <c r="C44" s="51"/>
      <c r="D44" s="52" t="e">
        <f>$C$40*C44</f>
        <v>#REF!</v>
      </c>
    </row>
    <row r="45" spans="2:4" ht="35.15" customHeight="1" x14ac:dyDescent="0.35">
      <c r="B45" s="54"/>
      <c r="C45" s="51"/>
      <c r="D45" s="52" t="e">
        <f>$C$40*C45</f>
        <v>#REF!</v>
      </c>
    </row>
    <row r="46" spans="2:4" ht="35.15" customHeight="1" x14ac:dyDescent="0.35">
      <c r="B46" s="54"/>
      <c r="C46" s="51"/>
      <c r="D46" s="52" t="e">
        <f>$C$40*C46</f>
        <v>#REF!</v>
      </c>
    </row>
    <row r="47" spans="2:4" ht="35.15" customHeight="1" thickBot="1" x14ac:dyDescent="0.4">
      <c r="B47" s="55"/>
      <c r="C47" s="51"/>
      <c r="D47" s="56"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Sheet2!$A$1:$A$170</xm:f>
          </x14:formula1>
          <xm:sqref>B10:B14 B21:B25 B32:B36 B43:B47</xm:sqref>
        </x14:dataValidation>
        <x14:dataValidation type="list" allowBlank="1" showInputMessage="1" showErrorMessage="1" xr:uid="{00000000-0002-0000-05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B1:G26"/>
  <sheetViews>
    <sheetView showGridLines="0" zoomScale="80" zoomScaleNormal="80" workbookViewId="0">
      <selection activeCell="N11" sqref="N11"/>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40" customFormat="1" ht="15.5" x14ac:dyDescent="0.35">
      <c r="B2" s="411" t="s">
        <v>205</v>
      </c>
      <c r="C2" s="412"/>
      <c r="D2" s="412"/>
      <c r="E2" s="412"/>
      <c r="F2" s="413"/>
    </row>
    <row r="3" spans="2:6" s="40" customFormat="1" ht="16" thickBot="1" x14ac:dyDescent="0.4">
      <c r="B3" s="414"/>
      <c r="C3" s="415"/>
      <c r="D3" s="415"/>
      <c r="E3" s="415"/>
      <c r="F3" s="416"/>
    </row>
    <row r="4" spans="2:6" s="40" customFormat="1" ht="16" thickBot="1" x14ac:dyDescent="0.4">
      <c r="B4" s="331"/>
      <c r="C4" s="331"/>
      <c r="D4" s="331"/>
      <c r="E4" s="331"/>
      <c r="F4" s="331"/>
    </row>
    <row r="5" spans="2:6" s="40" customFormat="1" ht="16" thickBot="1" x14ac:dyDescent="0.4">
      <c r="B5" s="389" t="s">
        <v>183</v>
      </c>
      <c r="C5" s="390"/>
      <c r="D5" s="390"/>
      <c r="E5" s="390"/>
      <c r="F5" s="391"/>
    </row>
    <row r="6" spans="2:6" s="40" customFormat="1" ht="15.5" x14ac:dyDescent="0.35">
      <c r="B6" s="38"/>
      <c r="C6" s="417" t="str">
        <f>+'2) By Category Phase I+II'!D4</f>
        <v>UNDP</v>
      </c>
      <c r="D6" s="417" t="str">
        <f>+'2) By Category Phase I+II'!E4</f>
        <v>UNODC</v>
      </c>
      <c r="E6" s="417" t="s">
        <v>10</v>
      </c>
      <c r="F6" s="388" t="s">
        <v>183</v>
      </c>
    </row>
    <row r="7" spans="2:6" s="40" customFormat="1" ht="15.5" x14ac:dyDescent="0.35">
      <c r="B7" s="38"/>
      <c r="C7" s="418"/>
      <c r="D7" s="418"/>
      <c r="E7" s="418"/>
      <c r="F7" s="341"/>
    </row>
    <row r="8" spans="2:6" s="40" customFormat="1" ht="31" x14ac:dyDescent="0.35">
      <c r="B8" s="5" t="s">
        <v>170</v>
      </c>
      <c r="C8" s="315">
        <f>'2) By Category Phase I+II'!D64</f>
        <v>361650.64</v>
      </c>
      <c r="D8" s="315">
        <f>'2) By Category Phase I+II'!E64</f>
        <v>279810.01</v>
      </c>
      <c r="E8" s="315">
        <f>'2) By Category Phase I+II'!F64</f>
        <v>32087</v>
      </c>
      <c r="F8" s="36">
        <f t="shared" ref="F8:F15" si="0">SUM(C8:E8)</f>
        <v>673547.65</v>
      </c>
    </row>
    <row r="9" spans="2:6" s="40" customFormat="1" ht="46.5" x14ac:dyDescent="0.35">
      <c r="B9" s="5" t="s">
        <v>171</v>
      </c>
      <c r="C9" s="315">
        <f>'2) By Category Phase I+II'!D65</f>
        <v>190486.71</v>
      </c>
      <c r="D9" s="315">
        <f>'2) By Category Phase I+II'!E65</f>
        <v>208527.7</v>
      </c>
      <c r="E9" s="315">
        <f>'2) By Category Phase I+II'!F65</f>
        <v>53427.060529370494</v>
      </c>
      <c r="F9" s="37">
        <f t="shared" si="0"/>
        <v>452441.47052937053</v>
      </c>
    </row>
    <row r="10" spans="2:6" s="40" customFormat="1" ht="62" x14ac:dyDescent="0.35">
      <c r="B10" s="5" t="s">
        <v>172</v>
      </c>
      <c r="C10" s="315">
        <f>'2) By Category Phase I+II'!D66</f>
        <v>13131.13</v>
      </c>
      <c r="D10" s="315">
        <f>'2) By Category Phase I+II'!E66</f>
        <v>179653.45</v>
      </c>
      <c r="E10" s="315">
        <f>'2) By Category Phase I+II'!F66</f>
        <v>9335</v>
      </c>
      <c r="F10" s="37">
        <f t="shared" si="0"/>
        <v>202119.58000000002</v>
      </c>
    </row>
    <row r="11" spans="2:6" s="40" customFormat="1" ht="31" x14ac:dyDescent="0.35">
      <c r="B11" s="8" t="s">
        <v>173</v>
      </c>
      <c r="C11" s="315">
        <f>'2) By Category Phase I+II'!D67</f>
        <v>677580.82000000007</v>
      </c>
      <c r="D11" s="315">
        <f>'2) By Category Phase I+II'!E67</f>
        <v>130225.35</v>
      </c>
      <c r="E11" s="315">
        <f>'2) By Category Phase I+II'!F67</f>
        <v>0</v>
      </c>
      <c r="F11" s="37">
        <f t="shared" si="0"/>
        <v>807806.17</v>
      </c>
    </row>
    <row r="12" spans="2:6" s="40" customFormat="1" ht="15.5" x14ac:dyDescent="0.35">
      <c r="B12" s="5" t="s">
        <v>174</v>
      </c>
      <c r="C12" s="315">
        <f>'2) By Category Phase I+II'!D68</f>
        <v>3512.55</v>
      </c>
      <c r="D12" s="315">
        <f>'2) By Category Phase I+II'!E68</f>
        <v>65457.08</v>
      </c>
      <c r="E12" s="315">
        <f>'2) By Category Phase I+II'!F68</f>
        <v>0</v>
      </c>
      <c r="F12" s="37">
        <f t="shared" si="0"/>
        <v>68969.63</v>
      </c>
    </row>
    <row r="13" spans="2:6" s="40" customFormat="1" ht="46.5" x14ac:dyDescent="0.35">
      <c r="B13" s="5" t="s">
        <v>175</v>
      </c>
      <c r="C13" s="315">
        <f>'2) By Category Phase I+II'!D69</f>
        <v>49879.14</v>
      </c>
      <c r="D13" s="315">
        <f>'2) By Category Phase I+II'!E69</f>
        <v>10000</v>
      </c>
      <c r="E13" s="315">
        <f>'2) By Category Phase I+II'!F69</f>
        <v>0</v>
      </c>
      <c r="F13" s="37">
        <f t="shared" si="0"/>
        <v>59879.14</v>
      </c>
    </row>
    <row r="14" spans="2:6" s="40" customFormat="1" ht="31.5" thickBot="1" x14ac:dyDescent="0.4">
      <c r="B14" s="81" t="s">
        <v>176</v>
      </c>
      <c r="C14" s="323">
        <f>'2) By Category Phase I+II'!D70</f>
        <v>261543.1119015475</v>
      </c>
      <c r="D14" s="323">
        <f>'2) By Category Phase I+II'!E70</f>
        <v>120796.10365425999</v>
      </c>
      <c r="E14" s="323">
        <f>'2) By Category Phase I+II'!F70</f>
        <v>125150.9382472875</v>
      </c>
      <c r="F14" s="82">
        <f t="shared" si="0"/>
        <v>507490.15380309499</v>
      </c>
    </row>
    <row r="15" spans="2:6" s="40" customFormat="1" ht="30" customHeight="1" x14ac:dyDescent="0.35">
      <c r="B15" s="332" t="s">
        <v>206</v>
      </c>
      <c r="C15" s="83">
        <f>SUM(C8:C14)</f>
        <v>1557784.1019015475</v>
      </c>
      <c r="D15" s="83">
        <f>SUM(D8:D14)</f>
        <v>994469.6936542599</v>
      </c>
      <c r="E15" s="83">
        <f>SUM(E8:E14)</f>
        <v>219999.998776658</v>
      </c>
      <c r="F15" s="84">
        <f t="shared" si="0"/>
        <v>2772253.7943324656</v>
      </c>
    </row>
    <row r="16" spans="2:6" s="40" customFormat="1" ht="19.5" customHeight="1" x14ac:dyDescent="0.35">
      <c r="B16" s="319" t="s">
        <v>185</v>
      </c>
      <c r="C16" s="85">
        <f>C15*0.07</f>
        <v>109044.88713310834</v>
      </c>
      <c r="D16" s="85">
        <f t="shared" ref="D16:F16" si="1">D15*0.07</f>
        <v>69612.878555798205</v>
      </c>
      <c r="E16" s="85">
        <f t="shared" si="1"/>
        <v>15399.999914366061</v>
      </c>
      <c r="F16" s="85">
        <f t="shared" si="1"/>
        <v>194057.76560327262</v>
      </c>
    </row>
    <row r="17" spans="2:7" s="40" customFormat="1" ht="25.5" customHeight="1" thickBot="1" x14ac:dyDescent="0.4">
      <c r="B17" s="86" t="s">
        <v>139</v>
      </c>
      <c r="C17" s="87">
        <f>C15+C16</f>
        <v>1666828.989034656</v>
      </c>
      <c r="D17" s="87">
        <f t="shared" ref="D17:F17" si="2">D15+D16</f>
        <v>1064082.5722100581</v>
      </c>
      <c r="E17" s="87">
        <f t="shared" si="2"/>
        <v>235399.99869102406</v>
      </c>
      <c r="F17" s="87">
        <f t="shared" si="2"/>
        <v>2966311.5599357383</v>
      </c>
      <c r="G17" s="331"/>
    </row>
    <row r="18" spans="2:7" s="40" customFormat="1" ht="16" thickBot="1" x14ac:dyDescent="0.4">
      <c r="B18" s="331"/>
      <c r="C18" s="331"/>
      <c r="D18" s="331"/>
      <c r="E18" s="331"/>
      <c r="F18" s="331"/>
      <c r="G18" s="331"/>
    </row>
    <row r="19" spans="2:7" s="40" customFormat="1" ht="15.75" customHeight="1" x14ac:dyDescent="0.35">
      <c r="B19" s="419" t="s">
        <v>207</v>
      </c>
      <c r="C19" s="420"/>
      <c r="D19" s="420"/>
      <c r="E19" s="420"/>
      <c r="F19" s="421"/>
      <c r="G19" s="333"/>
    </row>
    <row r="20" spans="2:7" ht="15.75" customHeight="1" x14ac:dyDescent="0.35">
      <c r="B20" s="422"/>
      <c r="C20" s="349" t="str">
        <f>+C6</f>
        <v>UNDP</v>
      </c>
      <c r="D20" s="349" t="str">
        <f>+D6</f>
        <v>UNODC</v>
      </c>
      <c r="E20" s="349" t="s">
        <v>10</v>
      </c>
      <c r="F20" s="349" t="s">
        <v>186</v>
      </c>
      <c r="G20" s="351" t="s">
        <v>145</v>
      </c>
    </row>
    <row r="21" spans="2:7" ht="15.75" customHeight="1" x14ac:dyDescent="0.35">
      <c r="B21" s="423"/>
      <c r="C21" s="350"/>
      <c r="D21" s="350"/>
      <c r="E21" s="350"/>
      <c r="F21" s="350"/>
      <c r="G21" s="341"/>
    </row>
    <row r="22" spans="2:7" ht="23.25" customHeight="1" x14ac:dyDescent="0.35">
      <c r="B22" s="7" t="s">
        <v>146</v>
      </c>
      <c r="C22" s="334">
        <f>+'1) Combined by budget activity'!D88</f>
        <v>674100</v>
      </c>
      <c r="D22" s="334">
        <f>+'1) Combined by budget activity'!E88</f>
        <v>561750</v>
      </c>
      <c r="E22" s="334">
        <f>+'1) Combined by budget activity'!F88</f>
        <v>164780</v>
      </c>
      <c r="F22" s="94">
        <f>SUM(C22:E22)</f>
        <v>1400630</v>
      </c>
      <c r="G22" s="2">
        <v>0.7</v>
      </c>
    </row>
    <row r="23" spans="2:7" ht="24.75" customHeight="1" x14ac:dyDescent="0.35">
      <c r="B23" s="7" t="s">
        <v>148</v>
      </c>
      <c r="C23" s="334">
        <f>+'1) Combined by budget activity'!D89</f>
        <v>288900</v>
      </c>
      <c r="D23" s="334">
        <f>+'1) Combined by budget activity'!E89</f>
        <v>240750</v>
      </c>
      <c r="E23" s="334">
        <f>+'1) Combined by budget activity'!F89</f>
        <v>70620</v>
      </c>
      <c r="F23" s="94">
        <f>SUM(C23:E23)</f>
        <v>600270</v>
      </c>
      <c r="G23" s="2">
        <v>0.3</v>
      </c>
    </row>
    <row r="24" spans="2:7" ht="24.75" customHeight="1" x14ac:dyDescent="0.35">
      <c r="B24" s="7" t="s">
        <v>147</v>
      </c>
      <c r="C24" s="334">
        <f>+'1) Combined by budget activity'!L88</f>
        <v>786450</v>
      </c>
      <c r="D24" s="334">
        <f>+'1) Combined by budget activity'!M88</f>
        <v>593549.99981999991</v>
      </c>
      <c r="E24" s="334">
        <v>0</v>
      </c>
      <c r="F24" s="94">
        <f>SUM(C24:E24)</f>
        <v>1379999.99982</v>
      </c>
      <c r="G24" s="2">
        <v>0.6</v>
      </c>
    </row>
    <row r="25" spans="2:7" ht="24.75" customHeight="1" x14ac:dyDescent="0.35">
      <c r="B25" s="7" t="s">
        <v>149</v>
      </c>
      <c r="C25" s="334">
        <f>+'1) Combined by budget activity'!L89</f>
        <v>524300</v>
      </c>
      <c r="D25" s="334">
        <f>+'1) Combined by budget activity'!M89</f>
        <v>395699.99988000002</v>
      </c>
      <c r="E25" s="334">
        <v>0</v>
      </c>
      <c r="F25" s="94">
        <f>SUM(C25:E25)</f>
        <v>919999.99988000002</v>
      </c>
      <c r="G25" s="2">
        <v>0.4</v>
      </c>
    </row>
    <row r="26" spans="2:7" ht="16" thickBot="1" x14ac:dyDescent="0.4">
      <c r="B26" s="3" t="s">
        <v>186</v>
      </c>
      <c r="C26" s="93">
        <f>SUM(C22:C25)</f>
        <v>2273750</v>
      </c>
      <c r="D26" s="93">
        <f t="shared" ref="D26:E26" si="3">SUM(D22:D25)</f>
        <v>1791749.9997</v>
      </c>
      <c r="E26" s="93">
        <f t="shared" si="3"/>
        <v>235400</v>
      </c>
      <c r="F26" s="94">
        <f>SUM(C26:E26)</f>
        <v>4300899.9997000005</v>
      </c>
      <c r="G26" s="95"/>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conditionalFormatting sqref="F17">
    <cfRule type="cellIs" dxfId="0" priority="1" operator="notEqual">
      <formula>#REF!</formula>
    </cfRule>
  </conditionalFormatting>
  <dataValidations disablePrompts="1" count="7">
    <dataValidation allowBlank="1" showInputMessage="1" showErrorMessage="1" prompt="Includes all related staff and temporary staff costs including base salary, post adjustment and all staff entitlements." sqref="B8" xr:uid="{00000000-0002-0000-07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7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700-000002000000}"/>
    <dataValidation allowBlank="1" showInputMessage="1" showErrorMessage="1" prompt="Includes staff and non-staff travel paid for by the organization directly related to a project." sqref="B12" xr:uid="{00000000-0002-0000-0700-000003000000}"/>
    <dataValidation allowBlank="1" showInputMessage="1" showErrorMessage="1" prompt="Services contracted by an organization which follow the normal procurement processes." sqref="B11" xr:uid="{00000000-0002-0000-07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7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700-000006000000}"/>
  </dataValidations>
  <pageMargins left="0.7" right="0.7" top="0.75" bottom="0.75" header="0.3" footer="0.3"/>
  <pageSetup orientation="portrait" r:id="rId1"/>
  <ignoredErrors>
    <ignoredError sqref="C7 C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76">
        <v>0</v>
      </c>
    </row>
    <row r="2" spans="1:1" x14ac:dyDescent="0.35">
      <c r="A2" s="76">
        <v>0.2</v>
      </c>
    </row>
    <row r="3" spans="1:1" x14ac:dyDescent="0.35">
      <c r="A3" s="76">
        <v>0.4</v>
      </c>
    </row>
    <row r="4" spans="1:1" x14ac:dyDescent="0.35">
      <c r="A4" s="76">
        <v>0.6</v>
      </c>
    </row>
    <row r="5" spans="1:1" x14ac:dyDescent="0.35">
      <c r="A5" s="76">
        <v>0.8</v>
      </c>
    </row>
    <row r="6" spans="1:1" x14ac:dyDescent="0.35">
      <c r="A6" s="76">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70"/>
  <sheetViews>
    <sheetView topLeftCell="A148" workbookViewId="0">
      <selection activeCell="D3" sqref="D3"/>
    </sheetView>
  </sheetViews>
  <sheetFormatPr defaultColWidth="8.81640625" defaultRowHeight="14.5" x14ac:dyDescent="0.35"/>
  <sheetData>
    <row r="1" spans="1:2" x14ac:dyDescent="0.35">
      <c r="A1" s="41" t="s">
        <v>208</v>
      </c>
      <c r="B1" s="42" t="s">
        <v>209</v>
      </c>
    </row>
    <row r="2" spans="1:2" x14ac:dyDescent="0.35">
      <c r="A2" s="43" t="s">
        <v>210</v>
      </c>
      <c r="B2" s="44" t="s">
        <v>211</v>
      </c>
    </row>
    <row r="3" spans="1:2" x14ac:dyDescent="0.35">
      <c r="A3" s="43" t="s">
        <v>212</v>
      </c>
      <c r="B3" s="44" t="s">
        <v>213</v>
      </c>
    </row>
    <row r="4" spans="1:2" x14ac:dyDescent="0.35">
      <c r="A4" s="43" t="s">
        <v>214</v>
      </c>
      <c r="B4" s="44" t="s">
        <v>215</v>
      </c>
    </row>
    <row r="5" spans="1:2" x14ac:dyDescent="0.35">
      <c r="A5" s="43" t="s">
        <v>216</v>
      </c>
      <c r="B5" s="44" t="s">
        <v>217</v>
      </c>
    </row>
    <row r="6" spans="1:2" x14ac:dyDescent="0.35">
      <c r="A6" s="43" t="s">
        <v>218</v>
      </c>
      <c r="B6" s="44" t="s">
        <v>219</v>
      </c>
    </row>
    <row r="7" spans="1:2" x14ac:dyDescent="0.35">
      <c r="A7" s="43" t="s">
        <v>220</v>
      </c>
      <c r="B7" s="44" t="s">
        <v>221</v>
      </c>
    </row>
    <row r="8" spans="1:2" x14ac:dyDescent="0.35">
      <c r="A8" s="43" t="s">
        <v>222</v>
      </c>
      <c r="B8" s="44" t="s">
        <v>223</v>
      </c>
    </row>
    <row r="9" spans="1:2" x14ac:dyDescent="0.35">
      <c r="A9" s="43" t="s">
        <v>224</v>
      </c>
      <c r="B9" s="44" t="s">
        <v>225</v>
      </c>
    </row>
    <row r="10" spans="1:2" x14ac:dyDescent="0.35">
      <c r="A10" s="43" t="s">
        <v>226</v>
      </c>
      <c r="B10" s="44" t="s">
        <v>227</v>
      </c>
    </row>
    <row r="11" spans="1:2" x14ac:dyDescent="0.35">
      <c r="A11" s="43" t="s">
        <v>228</v>
      </c>
      <c r="B11" s="44" t="s">
        <v>229</v>
      </c>
    </row>
    <row r="12" spans="1:2" x14ac:dyDescent="0.35">
      <c r="A12" s="43" t="s">
        <v>230</v>
      </c>
      <c r="B12" s="44" t="s">
        <v>231</v>
      </c>
    </row>
    <row r="13" spans="1:2" x14ac:dyDescent="0.35">
      <c r="A13" s="43" t="s">
        <v>232</v>
      </c>
      <c r="B13" s="44" t="s">
        <v>233</v>
      </c>
    </row>
    <row r="14" spans="1:2" x14ac:dyDescent="0.35">
      <c r="A14" s="43" t="s">
        <v>234</v>
      </c>
      <c r="B14" s="44" t="s">
        <v>235</v>
      </c>
    </row>
    <row r="15" spans="1:2" x14ac:dyDescent="0.35">
      <c r="A15" s="43" t="s">
        <v>236</v>
      </c>
      <c r="B15" s="44" t="s">
        <v>237</v>
      </c>
    </row>
    <row r="16" spans="1:2" x14ac:dyDescent="0.35">
      <c r="A16" s="43" t="s">
        <v>238</v>
      </c>
      <c r="B16" s="44" t="s">
        <v>239</v>
      </c>
    </row>
    <row r="17" spans="1:2" x14ac:dyDescent="0.35">
      <c r="A17" s="43" t="s">
        <v>240</v>
      </c>
      <c r="B17" s="44" t="s">
        <v>241</v>
      </c>
    </row>
    <row r="18" spans="1:2" x14ac:dyDescent="0.35">
      <c r="A18" s="43" t="s">
        <v>242</v>
      </c>
      <c r="B18" s="44" t="s">
        <v>243</v>
      </c>
    </row>
    <row r="19" spans="1:2" x14ac:dyDescent="0.35">
      <c r="A19" s="43" t="s">
        <v>244</v>
      </c>
      <c r="B19" s="44" t="s">
        <v>245</v>
      </c>
    </row>
    <row r="20" spans="1:2" x14ac:dyDescent="0.35">
      <c r="A20" s="43" t="s">
        <v>246</v>
      </c>
      <c r="B20" s="44" t="s">
        <v>247</v>
      </c>
    </row>
    <row r="21" spans="1:2" x14ac:dyDescent="0.35">
      <c r="A21" s="43" t="s">
        <v>248</v>
      </c>
      <c r="B21" s="44" t="s">
        <v>249</v>
      </c>
    </row>
    <row r="22" spans="1:2" x14ac:dyDescent="0.35">
      <c r="A22" s="43" t="s">
        <v>250</v>
      </c>
      <c r="B22" s="44" t="s">
        <v>251</v>
      </c>
    </row>
    <row r="23" spans="1:2" x14ac:dyDescent="0.35">
      <c r="A23" s="43" t="s">
        <v>252</v>
      </c>
      <c r="B23" s="44" t="s">
        <v>253</v>
      </c>
    </row>
    <row r="24" spans="1:2" x14ac:dyDescent="0.35">
      <c r="A24" s="43" t="s">
        <v>254</v>
      </c>
      <c r="B24" s="44" t="s">
        <v>255</v>
      </c>
    </row>
    <row r="25" spans="1:2" x14ac:dyDescent="0.35">
      <c r="A25" s="43" t="s">
        <v>256</v>
      </c>
      <c r="B25" s="44" t="s">
        <v>257</v>
      </c>
    </row>
    <row r="26" spans="1:2" x14ac:dyDescent="0.35">
      <c r="A26" s="43" t="s">
        <v>258</v>
      </c>
      <c r="B26" s="44" t="s">
        <v>259</v>
      </c>
    </row>
    <row r="27" spans="1:2" x14ac:dyDescent="0.35">
      <c r="A27" s="43" t="s">
        <v>260</v>
      </c>
      <c r="B27" s="44" t="s">
        <v>261</v>
      </c>
    </row>
    <row r="28" spans="1:2" x14ac:dyDescent="0.35">
      <c r="A28" s="43" t="s">
        <v>262</v>
      </c>
      <c r="B28" s="44" t="s">
        <v>263</v>
      </c>
    </row>
    <row r="29" spans="1:2" x14ac:dyDescent="0.35">
      <c r="A29" s="43" t="s">
        <v>264</v>
      </c>
      <c r="B29" s="44" t="s">
        <v>265</v>
      </c>
    </row>
    <row r="30" spans="1:2" x14ac:dyDescent="0.35">
      <c r="A30" s="43" t="s">
        <v>266</v>
      </c>
      <c r="B30" s="44" t="s">
        <v>267</v>
      </c>
    </row>
    <row r="31" spans="1:2" x14ac:dyDescent="0.35">
      <c r="A31" s="43" t="s">
        <v>268</v>
      </c>
      <c r="B31" s="44" t="s">
        <v>269</v>
      </c>
    </row>
    <row r="32" spans="1:2" x14ac:dyDescent="0.35">
      <c r="A32" s="43" t="s">
        <v>270</v>
      </c>
      <c r="B32" s="44" t="s">
        <v>271</v>
      </c>
    </row>
    <row r="33" spans="1:2" x14ac:dyDescent="0.35">
      <c r="A33" s="43" t="s">
        <v>272</v>
      </c>
      <c r="B33" s="44" t="s">
        <v>273</v>
      </c>
    </row>
    <row r="34" spans="1:2" x14ac:dyDescent="0.35">
      <c r="A34" s="43" t="s">
        <v>274</v>
      </c>
      <c r="B34" s="44" t="s">
        <v>275</v>
      </c>
    </row>
    <row r="35" spans="1:2" x14ac:dyDescent="0.35">
      <c r="A35" s="43" t="s">
        <v>276</v>
      </c>
      <c r="B35" s="44" t="s">
        <v>277</v>
      </c>
    </row>
    <row r="36" spans="1:2" x14ac:dyDescent="0.35">
      <c r="A36" s="43" t="s">
        <v>278</v>
      </c>
      <c r="B36" s="44" t="s">
        <v>279</v>
      </c>
    </row>
    <row r="37" spans="1:2" x14ac:dyDescent="0.35">
      <c r="A37" s="43" t="s">
        <v>280</v>
      </c>
      <c r="B37" s="44" t="s">
        <v>281</v>
      </c>
    </row>
    <row r="38" spans="1:2" x14ac:dyDescent="0.35">
      <c r="A38" s="43" t="s">
        <v>282</v>
      </c>
      <c r="B38" s="44" t="s">
        <v>283</v>
      </c>
    </row>
    <row r="39" spans="1:2" x14ac:dyDescent="0.35">
      <c r="A39" s="43" t="s">
        <v>284</v>
      </c>
      <c r="B39" s="44" t="s">
        <v>285</v>
      </c>
    </row>
    <row r="40" spans="1:2" x14ac:dyDescent="0.35">
      <c r="A40" s="43" t="s">
        <v>286</v>
      </c>
      <c r="B40" s="44" t="s">
        <v>287</v>
      </c>
    </row>
    <row r="41" spans="1:2" x14ac:dyDescent="0.35">
      <c r="A41" s="43" t="s">
        <v>288</v>
      </c>
      <c r="B41" s="44" t="s">
        <v>289</v>
      </c>
    </row>
    <row r="42" spans="1:2" x14ac:dyDescent="0.35">
      <c r="A42" s="43" t="s">
        <v>290</v>
      </c>
      <c r="B42" s="44" t="s">
        <v>291</v>
      </c>
    </row>
    <row r="43" spans="1:2" x14ac:dyDescent="0.35">
      <c r="A43" s="43" t="s">
        <v>292</v>
      </c>
      <c r="B43" s="44" t="s">
        <v>293</v>
      </c>
    </row>
    <row r="44" spans="1:2" x14ac:dyDescent="0.35">
      <c r="A44" s="43" t="s">
        <v>294</v>
      </c>
      <c r="B44" s="44" t="s">
        <v>295</v>
      </c>
    </row>
    <row r="45" spans="1:2" x14ac:dyDescent="0.35">
      <c r="A45" s="43" t="s">
        <v>296</v>
      </c>
      <c r="B45" s="44" t="s">
        <v>297</v>
      </c>
    </row>
    <row r="46" spans="1:2" x14ac:dyDescent="0.35">
      <c r="A46" s="43" t="s">
        <v>298</v>
      </c>
      <c r="B46" s="44" t="s">
        <v>299</v>
      </c>
    </row>
    <row r="47" spans="1:2" x14ac:dyDescent="0.35">
      <c r="A47" s="43" t="s">
        <v>300</v>
      </c>
      <c r="B47" s="44" t="s">
        <v>301</v>
      </c>
    </row>
    <row r="48" spans="1:2" x14ac:dyDescent="0.35">
      <c r="A48" s="43" t="s">
        <v>302</v>
      </c>
      <c r="B48" s="44" t="s">
        <v>303</v>
      </c>
    </row>
    <row r="49" spans="1:2" x14ac:dyDescent="0.35">
      <c r="A49" s="43" t="s">
        <v>304</v>
      </c>
      <c r="B49" s="44" t="s">
        <v>305</v>
      </c>
    </row>
    <row r="50" spans="1:2" x14ac:dyDescent="0.35">
      <c r="A50" s="43" t="s">
        <v>306</v>
      </c>
      <c r="B50" s="44" t="s">
        <v>307</v>
      </c>
    </row>
    <row r="51" spans="1:2" x14ac:dyDescent="0.35">
      <c r="A51" s="43" t="s">
        <v>308</v>
      </c>
      <c r="B51" s="44" t="s">
        <v>309</v>
      </c>
    </row>
    <row r="52" spans="1:2" x14ac:dyDescent="0.35">
      <c r="A52" s="43" t="s">
        <v>310</v>
      </c>
      <c r="B52" s="44" t="s">
        <v>311</v>
      </c>
    </row>
    <row r="53" spans="1:2" x14ac:dyDescent="0.35">
      <c r="A53" s="43" t="s">
        <v>312</v>
      </c>
      <c r="B53" s="44" t="s">
        <v>313</v>
      </c>
    </row>
    <row r="54" spans="1:2" x14ac:dyDescent="0.35">
      <c r="A54" s="43" t="s">
        <v>314</v>
      </c>
      <c r="B54" s="44" t="s">
        <v>315</v>
      </c>
    </row>
    <row r="55" spans="1:2" x14ac:dyDescent="0.35">
      <c r="A55" s="43" t="s">
        <v>316</v>
      </c>
      <c r="B55" s="44" t="s">
        <v>317</v>
      </c>
    </row>
    <row r="56" spans="1:2" x14ac:dyDescent="0.35">
      <c r="A56" s="43" t="s">
        <v>318</v>
      </c>
      <c r="B56" s="44" t="s">
        <v>319</v>
      </c>
    </row>
    <row r="57" spans="1:2" x14ac:dyDescent="0.35">
      <c r="A57" s="43" t="s">
        <v>320</v>
      </c>
      <c r="B57" s="44" t="s">
        <v>321</v>
      </c>
    </row>
    <row r="58" spans="1:2" x14ac:dyDescent="0.35">
      <c r="A58" s="43" t="s">
        <v>322</v>
      </c>
      <c r="B58" s="44" t="s">
        <v>323</v>
      </c>
    </row>
    <row r="59" spans="1:2" x14ac:dyDescent="0.35">
      <c r="A59" s="43" t="s">
        <v>324</v>
      </c>
      <c r="B59" s="44" t="s">
        <v>325</v>
      </c>
    </row>
    <row r="60" spans="1:2" x14ac:dyDescent="0.35">
      <c r="A60" s="43" t="s">
        <v>326</v>
      </c>
      <c r="B60" s="44" t="s">
        <v>327</v>
      </c>
    </row>
    <row r="61" spans="1:2" x14ac:dyDescent="0.35">
      <c r="A61" s="43" t="s">
        <v>328</v>
      </c>
      <c r="B61" s="44" t="s">
        <v>329</v>
      </c>
    </row>
    <row r="62" spans="1:2" x14ac:dyDescent="0.35">
      <c r="A62" s="43" t="s">
        <v>330</v>
      </c>
      <c r="B62" s="44" t="s">
        <v>331</v>
      </c>
    </row>
    <row r="63" spans="1:2" x14ac:dyDescent="0.35">
      <c r="A63" s="43" t="s">
        <v>332</v>
      </c>
      <c r="B63" s="44" t="s">
        <v>333</v>
      </c>
    </row>
    <row r="64" spans="1:2" x14ac:dyDescent="0.35">
      <c r="A64" s="43" t="s">
        <v>334</v>
      </c>
      <c r="B64" s="44" t="s">
        <v>335</v>
      </c>
    </row>
    <row r="65" spans="1:2" x14ac:dyDescent="0.35">
      <c r="A65" s="43" t="s">
        <v>336</v>
      </c>
      <c r="B65" s="44" t="s">
        <v>337</v>
      </c>
    </row>
    <row r="66" spans="1:2" x14ac:dyDescent="0.35">
      <c r="A66" s="43" t="s">
        <v>338</v>
      </c>
      <c r="B66" s="44" t="s">
        <v>339</v>
      </c>
    </row>
    <row r="67" spans="1:2" x14ac:dyDescent="0.35">
      <c r="A67" s="43" t="s">
        <v>340</v>
      </c>
      <c r="B67" s="44" t="s">
        <v>341</v>
      </c>
    </row>
    <row r="68" spans="1:2" x14ac:dyDescent="0.35">
      <c r="A68" s="43" t="s">
        <v>342</v>
      </c>
      <c r="B68" s="44" t="s">
        <v>343</v>
      </c>
    </row>
    <row r="69" spans="1:2" x14ac:dyDescent="0.35">
      <c r="A69" s="43" t="s">
        <v>344</v>
      </c>
      <c r="B69" s="44" t="s">
        <v>345</v>
      </c>
    </row>
    <row r="70" spans="1:2" x14ac:dyDescent="0.35">
      <c r="A70" s="43" t="s">
        <v>346</v>
      </c>
      <c r="B70" s="44" t="s">
        <v>347</v>
      </c>
    </row>
    <row r="71" spans="1:2" x14ac:dyDescent="0.35">
      <c r="A71" s="43" t="s">
        <v>348</v>
      </c>
      <c r="B71" s="44" t="s">
        <v>349</v>
      </c>
    </row>
    <row r="72" spans="1:2" x14ac:dyDescent="0.35">
      <c r="A72" s="43" t="s">
        <v>350</v>
      </c>
      <c r="B72" s="44" t="s">
        <v>351</v>
      </c>
    </row>
    <row r="73" spans="1:2" x14ac:dyDescent="0.35">
      <c r="A73" s="43" t="s">
        <v>352</v>
      </c>
      <c r="B73" s="44" t="s">
        <v>353</v>
      </c>
    </row>
    <row r="74" spans="1:2" x14ac:dyDescent="0.35">
      <c r="A74" s="43" t="s">
        <v>354</v>
      </c>
      <c r="B74" s="44" t="s">
        <v>355</v>
      </c>
    </row>
    <row r="75" spans="1:2" x14ac:dyDescent="0.35">
      <c r="A75" s="43" t="s">
        <v>356</v>
      </c>
      <c r="B75" s="45" t="s">
        <v>357</v>
      </c>
    </row>
    <row r="76" spans="1:2" x14ac:dyDescent="0.35">
      <c r="A76" s="43" t="s">
        <v>358</v>
      </c>
      <c r="B76" s="45" t="s">
        <v>359</v>
      </c>
    </row>
    <row r="77" spans="1:2" x14ac:dyDescent="0.35">
      <c r="A77" s="43" t="s">
        <v>360</v>
      </c>
      <c r="B77" s="45" t="s">
        <v>361</v>
      </c>
    </row>
    <row r="78" spans="1:2" x14ac:dyDescent="0.35">
      <c r="A78" s="43" t="s">
        <v>362</v>
      </c>
      <c r="B78" s="45" t="s">
        <v>363</v>
      </c>
    </row>
    <row r="79" spans="1:2" x14ac:dyDescent="0.35">
      <c r="A79" s="43" t="s">
        <v>364</v>
      </c>
      <c r="B79" s="45" t="s">
        <v>365</v>
      </c>
    </row>
    <row r="80" spans="1:2" x14ac:dyDescent="0.35">
      <c r="A80" s="43" t="s">
        <v>366</v>
      </c>
      <c r="B80" s="45" t="s">
        <v>367</v>
      </c>
    </row>
    <row r="81" spans="1:2" x14ac:dyDescent="0.35">
      <c r="A81" s="43" t="s">
        <v>368</v>
      </c>
      <c r="B81" s="45" t="s">
        <v>369</v>
      </c>
    </row>
    <row r="82" spans="1:2" x14ac:dyDescent="0.35">
      <c r="A82" s="43" t="s">
        <v>370</v>
      </c>
      <c r="B82" s="45" t="s">
        <v>371</v>
      </c>
    </row>
    <row r="83" spans="1:2" x14ac:dyDescent="0.35">
      <c r="A83" s="43" t="s">
        <v>372</v>
      </c>
      <c r="B83" s="45" t="s">
        <v>373</v>
      </c>
    </row>
    <row r="84" spans="1:2" x14ac:dyDescent="0.35">
      <c r="A84" s="43" t="s">
        <v>374</v>
      </c>
      <c r="B84" s="45" t="s">
        <v>375</v>
      </c>
    </row>
    <row r="85" spans="1:2" x14ac:dyDescent="0.35">
      <c r="A85" s="43" t="s">
        <v>376</v>
      </c>
      <c r="B85" s="45" t="s">
        <v>377</v>
      </c>
    </row>
    <row r="86" spans="1:2" x14ac:dyDescent="0.35">
      <c r="A86" s="43" t="s">
        <v>378</v>
      </c>
      <c r="B86" s="45" t="s">
        <v>379</v>
      </c>
    </row>
    <row r="87" spans="1:2" x14ac:dyDescent="0.35">
      <c r="A87" s="43" t="s">
        <v>380</v>
      </c>
      <c r="B87" s="45" t="s">
        <v>381</v>
      </c>
    </row>
    <row r="88" spans="1:2" x14ac:dyDescent="0.35">
      <c r="A88" s="43" t="s">
        <v>382</v>
      </c>
      <c r="B88" s="45" t="s">
        <v>383</v>
      </c>
    </row>
    <row r="89" spans="1:2" x14ac:dyDescent="0.35">
      <c r="A89" s="43" t="s">
        <v>384</v>
      </c>
      <c r="B89" s="45" t="s">
        <v>385</v>
      </c>
    </row>
    <row r="90" spans="1:2" x14ac:dyDescent="0.35">
      <c r="A90" s="43" t="s">
        <v>386</v>
      </c>
      <c r="B90" s="45" t="s">
        <v>387</v>
      </c>
    </row>
    <row r="91" spans="1:2" x14ac:dyDescent="0.35">
      <c r="A91" s="43" t="s">
        <v>388</v>
      </c>
      <c r="B91" s="45" t="s">
        <v>389</v>
      </c>
    </row>
    <row r="92" spans="1:2" x14ac:dyDescent="0.35">
      <c r="A92" s="43" t="s">
        <v>390</v>
      </c>
      <c r="B92" s="45" t="s">
        <v>391</v>
      </c>
    </row>
    <row r="93" spans="1:2" x14ac:dyDescent="0.35">
      <c r="A93" s="43" t="s">
        <v>392</v>
      </c>
      <c r="B93" s="45" t="s">
        <v>393</v>
      </c>
    </row>
    <row r="94" spans="1:2" x14ac:dyDescent="0.35">
      <c r="A94" s="43" t="s">
        <v>394</v>
      </c>
      <c r="B94" s="45" t="s">
        <v>395</v>
      </c>
    </row>
    <row r="95" spans="1:2" x14ac:dyDescent="0.35">
      <c r="A95" s="43" t="s">
        <v>396</v>
      </c>
      <c r="B95" s="45" t="s">
        <v>397</v>
      </c>
    </row>
    <row r="96" spans="1:2" x14ac:dyDescent="0.35">
      <c r="A96" s="43" t="s">
        <v>398</v>
      </c>
      <c r="B96" s="45" t="s">
        <v>399</v>
      </c>
    </row>
    <row r="97" spans="1:2" x14ac:dyDescent="0.35">
      <c r="A97" s="43" t="s">
        <v>400</v>
      </c>
      <c r="B97" s="45" t="s">
        <v>401</v>
      </c>
    </row>
    <row r="98" spans="1:2" x14ac:dyDescent="0.35">
      <c r="A98" s="43" t="s">
        <v>402</v>
      </c>
      <c r="B98" s="45" t="s">
        <v>403</v>
      </c>
    </row>
    <row r="99" spans="1:2" x14ac:dyDescent="0.35">
      <c r="A99" s="43" t="s">
        <v>404</v>
      </c>
      <c r="B99" s="45" t="s">
        <v>405</v>
      </c>
    </row>
    <row r="100" spans="1:2" x14ac:dyDescent="0.35">
      <c r="A100" s="43" t="s">
        <v>406</v>
      </c>
      <c r="B100" s="45" t="s">
        <v>407</v>
      </c>
    </row>
    <row r="101" spans="1:2" x14ac:dyDescent="0.35">
      <c r="A101" s="43" t="s">
        <v>408</v>
      </c>
      <c r="B101" s="45" t="s">
        <v>409</v>
      </c>
    </row>
    <row r="102" spans="1:2" x14ac:dyDescent="0.35">
      <c r="A102" s="43" t="s">
        <v>410</v>
      </c>
      <c r="B102" s="45" t="s">
        <v>411</v>
      </c>
    </row>
    <row r="103" spans="1:2" x14ac:dyDescent="0.35">
      <c r="A103" s="43" t="s">
        <v>412</v>
      </c>
      <c r="B103" s="45" t="s">
        <v>413</v>
      </c>
    </row>
    <row r="104" spans="1:2" x14ac:dyDescent="0.35">
      <c r="A104" s="43" t="s">
        <v>414</v>
      </c>
      <c r="B104" s="45" t="s">
        <v>415</v>
      </c>
    </row>
    <row r="105" spans="1:2" x14ac:dyDescent="0.35">
      <c r="A105" s="43" t="s">
        <v>416</v>
      </c>
      <c r="B105" s="45" t="s">
        <v>417</v>
      </c>
    </row>
    <row r="106" spans="1:2" x14ac:dyDescent="0.35">
      <c r="A106" s="43" t="s">
        <v>418</v>
      </c>
      <c r="B106" s="45" t="s">
        <v>419</v>
      </c>
    </row>
    <row r="107" spans="1:2" x14ac:dyDescent="0.35">
      <c r="A107" s="43" t="s">
        <v>420</v>
      </c>
      <c r="B107" s="45" t="s">
        <v>421</v>
      </c>
    </row>
    <row r="108" spans="1:2" x14ac:dyDescent="0.35">
      <c r="A108" s="43" t="s">
        <v>422</v>
      </c>
      <c r="B108" s="45" t="s">
        <v>423</v>
      </c>
    </row>
    <row r="109" spans="1:2" x14ac:dyDescent="0.35">
      <c r="A109" s="43" t="s">
        <v>424</v>
      </c>
      <c r="B109" s="45" t="s">
        <v>425</v>
      </c>
    </row>
    <row r="110" spans="1:2" x14ac:dyDescent="0.35">
      <c r="A110" s="43" t="s">
        <v>426</v>
      </c>
      <c r="B110" s="45" t="s">
        <v>427</v>
      </c>
    </row>
    <row r="111" spans="1:2" x14ac:dyDescent="0.35">
      <c r="A111" s="43" t="s">
        <v>428</v>
      </c>
      <c r="B111" s="45" t="s">
        <v>429</v>
      </c>
    </row>
    <row r="112" spans="1:2" x14ac:dyDescent="0.35">
      <c r="A112" s="43" t="s">
        <v>430</v>
      </c>
      <c r="B112" s="45" t="s">
        <v>431</v>
      </c>
    </row>
    <row r="113" spans="1:2" x14ac:dyDescent="0.35">
      <c r="A113" s="43" t="s">
        <v>432</v>
      </c>
      <c r="B113" s="45" t="s">
        <v>433</v>
      </c>
    </row>
    <row r="114" spans="1:2" x14ac:dyDescent="0.35">
      <c r="A114" s="43" t="s">
        <v>434</v>
      </c>
      <c r="B114" s="45" t="s">
        <v>435</v>
      </c>
    </row>
    <row r="115" spans="1:2" x14ac:dyDescent="0.35">
      <c r="A115" s="43" t="s">
        <v>436</v>
      </c>
      <c r="B115" s="45" t="s">
        <v>437</v>
      </c>
    </row>
    <row r="116" spans="1:2" x14ac:dyDescent="0.35">
      <c r="A116" s="43" t="s">
        <v>438</v>
      </c>
      <c r="B116" s="45" t="s">
        <v>439</v>
      </c>
    </row>
    <row r="117" spans="1:2" x14ac:dyDescent="0.35">
      <c r="A117" s="43" t="s">
        <v>440</v>
      </c>
      <c r="B117" s="45" t="s">
        <v>441</v>
      </c>
    </row>
    <row r="118" spans="1:2" x14ac:dyDescent="0.35">
      <c r="A118" s="43" t="s">
        <v>442</v>
      </c>
      <c r="B118" s="45" t="s">
        <v>443</v>
      </c>
    </row>
    <row r="119" spans="1:2" x14ac:dyDescent="0.35">
      <c r="A119" s="43" t="s">
        <v>444</v>
      </c>
      <c r="B119" s="45" t="s">
        <v>445</v>
      </c>
    </row>
    <row r="120" spans="1:2" x14ac:dyDescent="0.35">
      <c r="A120" s="43" t="s">
        <v>446</v>
      </c>
      <c r="B120" s="45" t="s">
        <v>447</v>
      </c>
    </row>
    <row r="121" spans="1:2" x14ac:dyDescent="0.35">
      <c r="A121" s="43" t="s">
        <v>448</v>
      </c>
      <c r="B121" s="45" t="s">
        <v>449</v>
      </c>
    </row>
    <row r="122" spans="1:2" x14ac:dyDescent="0.35">
      <c r="A122" s="43" t="s">
        <v>450</v>
      </c>
      <c r="B122" s="45" t="s">
        <v>451</v>
      </c>
    </row>
    <row r="123" spans="1:2" x14ac:dyDescent="0.35">
      <c r="A123" s="43" t="s">
        <v>452</v>
      </c>
      <c r="B123" s="45" t="s">
        <v>453</v>
      </c>
    </row>
    <row r="124" spans="1:2" x14ac:dyDescent="0.35">
      <c r="A124" s="43" t="s">
        <v>454</v>
      </c>
      <c r="B124" s="45" t="s">
        <v>455</v>
      </c>
    </row>
    <row r="125" spans="1:2" x14ac:dyDescent="0.35">
      <c r="A125" s="43" t="s">
        <v>456</v>
      </c>
      <c r="B125" s="45" t="s">
        <v>457</v>
      </c>
    </row>
    <row r="126" spans="1:2" x14ac:dyDescent="0.35">
      <c r="A126" s="43" t="s">
        <v>458</v>
      </c>
      <c r="B126" s="45" t="s">
        <v>459</v>
      </c>
    </row>
    <row r="127" spans="1:2" x14ac:dyDescent="0.35">
      <c r="A127" s="43" t="s">
        <v>460</v>
      </c>
      <c r="B127" s="45" t="s">
        <v>461</v>
      </c>
    </row>
    <row r="128" spans="1:2" x14ac:dyDescent="0.35">
      <c r="A128" s="43" t="s">
        <v>462</v>
      </c>
      <c r="B128" s="45" t="s">
        <v>463</v>
      </c>
    </row>
    <row r="129" spans="1:2" x14ac:dyDescent="0.35">
      <c r="A129" s="43" t="s">
        <v>464</v>
      </c>
      <c r="B129" s="45" t="s">
        <v>465</v>
      </c>
    </row>
    <row r="130" spans="1:2" x14ac:dyDescent="0.35">
      <c r="A130" s="43" t="s">
        <v>466</v>
      </c>
      <c r="B130" s="45" t="s">
        <v>467</v>
      </c>
    </row>
    <row r="131" spans="1:2" x14ac:dyDescent="0.35">
      <c r="A131" s="43" t="s">
        <v>468</v>
      </c>
      <c r="B131" s="45" t="s">
        <v>469</v>
      </c>
    </row>
    <row r="132" spans="1:2" x14ac:dyDescent="0.35">
      <c r="A132" s="43" t="s">
        <v>470</v>
      </c>
      <c r="B132" s="45" t="s">
        <v>471</v>
      </c>
    </row>
    <row r="133" spans="1:2" x14ac:dyDescent="0.35">
      <c r="A133" s="43" t="s">
        <v>472</v>
      </c>
      <c r="B133" s="45" t="s">
        <v>473</v>
      </c>
    </row>
    <row r="134" spans="1:2" x14ac:dyDescent="0.35">
      <c r="A134" s="43" t="s">
        <v>474</v>
      </c>
      <c r="B134" s="45" t="s">
        <v>475</v>
      </c>
    </row>
    <row r="135" spans="1:2" x14ac:dyDescent="0.35">
      <c r="A135" s="43" t="s">
        <v>476</v>
      </c>
      <c r="B135" s="45" t="s">
        <v>477</v>
      </c>
    </row>
    <row r="136" spans="1:2" x14ac:dyDescent="0.35">
      <c r="A136" s="43" t="s">
        <v>478</v>
      </c>
      <c r="B136" s="45" t="s">
        <v>479</v>
      </c>
    </row>
    <row r="137" spans="1:2" x14ac:dyDescent="0.35">
      <c r="A137" s="43" t="s">
        <v>480</v>
      </c>
      <c r="B137" s="45" t="s">
        <v>481</v>
      </c>
    </row>
    <row r="138" spans="1:2" x14ac:dyDescent="0.35">
      <c r="A138" s="43" t="s">
        <v>482</v>
      </c>
      <c r="B138" s="45" t="s">
        <v>483</v>
      </c>
    </row>
    <row r="139" spans="1:2" x14ac:dyDescent="0.35">
      <c r="A139" s="43" t="s">
        <v>484</v>
      </c>
      <c r="B139" s="45" t="s">
        <v>485</v>
      </c>
    </row>
    <row r="140" spans="1:2" x14ac:dyDescent="0.35">
      <c r="A140" s="43" t="s">
        <v>486</v>
      </c>
      <c r="B140" s="45" t="s">
        <v>487</v>
      </c>
    </row>
    <row r="141" spans="1:2" x14ac:dyDescent="0.35">
      <c r="A141" s="43" t="s">
        <v>488</v>
      </c>
      <c r="B141" s="45" t="s">
        <v>489</v>
      </c>
    </row>
    <row r="142" spans="1:2" x14ac:dyDescent="0.35">
      <c r="A142" s="43" t="s">
        <v>490</v>
      </c>
      <c r="B142" s="45" t="s">
        <v>491</v>
      </c>
    </row>
    <row r="143" spans="1:2" x14ac:dyDescent="0.35">
      <c r="A143" s="43" t="s">
        <v>492</v>
      </c>
      <c r="B143" s="45" t="s">
        <v>493</v>
      </c>
    </row>
    <row r="144" spans="1:2" x14ac:dyDescent="0.35">
      <c r="A144" s="43" t="s">
        <v>494</v>
      </c>
      <c r="B144" s="45" t="s">
        <v>495</v>
      </c>
    </row>
    <row r="145" spans="1:2" x14ac:dyDescent="0.35">
      <c r="A145" s="43" t="s">
        <v>496</v>
      </c>
      <c r="B145" s="45" t="s">
        <v>497</v>
      </c>
    </row>
    <row r="146" spans="1:2" x14ac:dyDescent="0.35">
      <c r="A146" s="43" t="s">
        <v>498</v>
      </c>
      <c r="B146" s="45" t="s">
        <v>499</v>
      </c>
    </row>
    <row r="147" spans="1:2" x14ac:dyDescent="0.35">
      <c r="A147" s="43" t="s">
        <v>500</v>
      </c>
      <c r="B147" s="45" t="s">
        <v>501</v>
      </c>
    </row>
    <row r="148" spans="1:2" x14ac:dyDescent="0.35">
      <c r="A148" s="43" t="s">
        <v>502</v>
      </c>
      <c r="B148" s="45" t="s">
        <v>503</v>
      </c>
    </row>
    <row r="149" spans="1:2" x14ac:dyDescent="0.35">
      <c r="A149" s="43" t="s">
        <v>504</v>
      </c>
      <c r="B149" s="45" t="s">
        <v>505</v>
      </c>
    </row>
    <row r="150" spans="1:2" x14ac:dyDescent="0.35">
      <c r="A150" s="43" t="s">
        <v>506</v>
      </c>
      <c r="B150" s="45" t="s">
        <v>507</v>
      </c>
    </row>
    <row r="151" spans="1:2" x14ac:dyDescent="0.35">
      <c r="A151" s="43" t="s">
        <v>508</v>
      </c>
      <c r="B151" s="45" t="s">
        <v>509</v>
      </c>
    </row>
    <row r="152" spans="1:2" x14ac:dyDescent="0.35">
      <c r="A152" s="43" t="s">
        <v>510</v>
      </c>
      <c r="B152" s="45" t="s">
        <v>511</v>
      </c>
    </row>
    <row r="153" spans="1:2" x14ac:dyDescent="0.35">
      <c r="A153" s="43" t="s">
        <v>512</v>
      </c>
      <c r="B153" s="45" t="s">
        <v>513</v>
      </c>
    </row>
    <row r="154" spans="1:2" x14ac:dyDescent="0.35">
      <c r="A154" s="43" t="s">
        <v>514</v>
      </c>
      <c r="B154" s="45" t="s">
        <v>515</v>
      </c>
    </row>
    <row r="155" spans="1:2" x14ac:dyDescent="0.35">
      <c r="A155" s="43" t="s">
        <v>516</v>
      </c>
      <c r="B155" s="45" t="s">
        <v>517</v>
      </c>
    </row>
    <row r="156" spans="1:2" x14ac:dyDescent="0.35">
      <c r="A156" s="43" t="s">
        <v>518</v>
      </c>
      <c r="B156" s="45" t="s">
        <v>519</v>
      </c>
    </row>
    <row r="157" spans="1:2" x14ac:dyDescent="0.35">
      <c r="A157" s="43" t="s">
        <v>520</v>
      </c>
      <c r="B157" s="45" t="s">
        <v>521</v>
      </c>
    </row>
    <row r="158" spans="1:2" x14ac:dyDescent="0.35">
      <c r="A158" s="43" t="s">
        <v>522</v>
      </c>
      <c r="B158" s="45" t="s">
        <v>523</v>
      </c>
    </row>
    <row r="159" spans="1:2" x14ac:dyDescent="0.35">
      <c r="A159" s="43" t="s">
        <v>524</v>
      </c>
      <c r="B159" s="45" t="s">
        <v>525</v>
      </c>
    </row>
    <row r="160" spans="1:2" x14ac:dyDescent="0.35">
      <c r="A160" s="43" t="s">
        <v>526</v>
      </c>
      <c r="B160" s="45" t="s">
        <v>527</v>
      </c>
    </row>
    <row r="161" spans="1:2" x14ac:dyDescent="0.35">
      <c r="A161" s="43" t="s">
        <v>528</v>
      </c>
      <c r="B161" s="45" t="s">
        <v>529</v>
      </c>
    </row>
    <row r="162" spans="1:2" x14ac:dyDescent="0.35">
      <c r="A162" s="43" t="s">
        <v>530</v>
      </c>
      <c r="B162" s="45" t="s">
        <v>531</v>
      </c>
    </row>
    <row r="163" spans="1:2" x14ac:dyDescent="0.35">
      <c r="A163" s="43" t="s">
        <v>532</v>
      </c>
      <c r="B163" s="45" t="s">
        <v>533</v>
      </c>
    </row>
    <row r="164" spans="1:2" x14ac:dyDescent="0.35">
      <c r="A164" s="43" t="s">
        <v>534</v>
      </c>
      <c r="B164" s="45" t="s">
        <v>535</v>
      </c>
    </row>
    <row r="165" spans="1:2" x14ac:dyDescent="0.35">
      <c r="A165" s="43" t="s">
        <v>536</v>
      </c>
      <c r="B165" s="45" t="s">
        <v>537</v>
      </c>
    </row>
    <row r="166" spans="1:2" x14ac:dyDescent="0.35">
      <c r="A166" s="43" t="s">
        <v>538</v>
      </c>
      <c r="B166" s="45" t="s">
        <v>539</v>
      </c>
    </row>
    <row r="167" spans="1:2" x14ac:dyDescent="0.35">
      <c r="A167" s="43" t="s">
        <v>540</v>
      </c>
      <c r="B167" s="45" t="s">
        <v>541</v>
      </c>
    </row>
    <row r="168" spans="1:2" x14ac:dyDescent="0.35">
      <c r="A168" s="43" t="s">
        <v>542</v>
      </c>
      <c r="B168" s="45" t="s">
        <v>543</v>
      </c>
    </row>
    <row r="169" spans="1:2" x14ac:dyDescent="0.35">
      <c r="A169" s="43" t="s">
        <v>544</v>
      </c>
      <c r="B169" s="45" t="s">
        <v>545</v>
      </c>
    </row>
    <row r="170" spans="1:2" x14ac:dyDescent="0.35">
      <c r="A170" s="43" t="s">
        <v>546</v>
      </c>
      <c r="B170" s="45" t="s">
        <v>547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Comments xmlns="f9695bc1-6109-4dcd-a27a-f8a0370b00e2">CDTOC Financial progress report, June 2024</Comments>
    <TaxCatchAll xmlns="cb759e4c-f0d7-4feb-bda3-ed2800574e06" xsi:nil="true"/>
    <DocumentType xmlns="f9695bc1-6109-4dcd-a27a-f8a0370b00e2">Progress report</DocumentType>
    <UploadedBy xmlns="b1528a4b-5ccb-40f7-a09e-43427183cd95">gedeon.behiguim@undp.org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MPTF_00006_00687</ProjectId>
    <FundCode xmlns="f9695bc1-6109-4dcd-a27a-f8a0370b00e2">MPTF_00006</FundCode>
    <Active xmlns="f9695bc1-6109-4dcd-a27a-f8a0370b00e2">Yes</Active>
    <DocumentDate xmlns="b1528a4b-5ccb-40f7-a09e-43427183cd95">2024-06-15T07:00:00+00:00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D847B9-CF58-480F-A08C-395C7331B6FD}"/>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cb09fd7c-61f1-47f7-81ed-9eb56917d085"/>
    <ds:schemaRef ds:uri="a3f81344-519f-4394-8ac0-5de97264b664"/>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Combined by budget activity</vt:lpstr>
      <vt:lpstr>2) By Category Phase I+II</vt:lpstr>
      <vt:lpstr>3) Explanatory Notes</vt:lpstr>
      <vt:lpstr>4) -For PBSO Use-</vt:lpstr>
      <vt:lpstr>5) -For MPTF Use-Phase I+ II</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00119444 Financial PBF CDTOC Phase II Progress report.xlsx</dc:title>
  <dc:subject/>
  <dc:creator>Jelena Zelenovic</dc:creator>
  <cp:keywords/>
  <dc:description/>
  <cp:lastModifiedBy>Lucas Rocha</cp:lastModifiedBy>
  <cp:revision/>
  <dcterms:created xsi:type="dcterms:W3CDTF">2017-11-15T21:17:43Z</dcterms:created>
  <dcterms:modified xsi:type="dcterms:W3CDTF">2024-06-20T09:53:45Z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