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fadiga_unfpa\Desktop\FAD 2024\PBF BF\Projet PBF 2024\Rapport semestriel 2024\Clean\"/>
    </mc:Choice>
  </mc:AlternateContent>
  <xr:revisionPtr revIDLastSave="0" documentId="8_{6092B5F2-9107-4CD4-9BA4-2EB0DD2D5D21}" xr6:coauthVersionLast="47" xr6:coauthVersionMax="47" xr10:uidLastSave="{00000000-0000-0000-0000-000000000000}"/>
  <bookViews>
    <workbookView xWindow="-110" yWindow="-110" windowWidth="19420" windowHeight="10300" activeTab="3" xr2:uid="{00000000-000D-0000-FFFF-FFFF00000000}"/>
  </bookViews>
  <sheets>
    <sheet name="Recap" sheetId="8" r:id="rId1"/>
    <sheet name="1) Tableau budgétaire 1 initial" sheetId="10" state="hidden" r:id="rId2"/>
    <sheet name="1) Tableau budgétaire 1_Rév (2)" sheetId="11" state="hidden" r:id="rId3"/>
    <sheet name="1) Tableau budgétaire 1_Révisé" sheetId="1" r:id="rId4"/>
    <sheet name="2) Tableau budgétaire 2" sheetId="5" r:id="rId5"/>
    <sheet name="5) Pour utilisation par MPTFO" sheetId="4" r:id="rId6"/>
    <sheet name="4) Pour utilisation par PBSO" sheetId="6" r:id="rId7"/>
    <sheet name="3) Notes d'explication" sheetId="3" r:id="rId8"/>
    <sheet name="Dropdowns" sheetId="9" state="hidden" r:id="rId9"/>
    <sheet name="Sheet2" sheetId="7" state="hidden" r:id="rId10"/>
  </sheets>
  <definedNames>
    <definedName name="_xlnm._FilterDatabase" localSheetId="1" hidden="1">'1) Tableau budgétaire 1 initial'!$B$14:$K$101</definedName>
    <definedName name="_xlnm._FilterDatabase" localSheetId="2" hidden="1">'1) Tableau budgétaire 1_Rév (2)'!$B$14:$K$115</definedName>
    <definedName name="_xlnm._FilterDatabase" localSheetId="3" hidden="1">'1) Tableau budgétaire 1_Révisé'!$B$14:$K$115</definedName>
    <definedName name="_xlnm.Print_Area" localSheetId="5">'5) Pour utilisation par MPTFO'!$A$1:$F$24</definedName>
    <definedName name="_xlnm.Print_Area" localSheetId="0">Recap!$B$1:$K$53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72" i="11" l="1"/>
  <c r="T588" i="1"/>
  <c r="X587" i="11" l="1"/>
  <c r="U561" i="11" l="1"/>
  <c r="U520" i="11"/>
  <c r="U522" i="11"/>
  <c r="U524" i="11"/>
  <c r="U525" i="11"/>
  <c r="U526" i="11"/>
  <c r="U527" i="11"/>
  <c r="U528" i="11"/>
  <c r="U529" i="11"/>
  <c r="U530" i="11"/>
  <c r="U534" i="11"/>
  <c r="U535" i="11"/>
  <c r="U536" i="11"/>
  <c r="U537" i="11"/>
  <c r="U538" i="11"/>
  <c r="U539" i="11"/>
  <c r="U541" i="11"/>
  <c r="U543" i="11"/>
  <c r="U545" i="11"/>
  <c r="U546" i="11"/>
  <c r="U547" i="11"/>
  <c r="U548" i="11"/>
  <c r="U549" i="11"/>
  <c r="U550" i="11"/>
  <c r="U551" i="11"/>
  <c r="U553" i="11"/>
  <c r="U555" i="11"/>
  <c r="U556" i="11"/>
  <c r="U557" i="11"/>
  <c r="U558" i="11"/>
  <c r="U559" i="11"/>
  <c r="U560" i="11"/>
  <c r="U476" i="11"/>
  <c r="U464" i="11"/>
  <c r="U465" i="11"/>
  <c r="U466" i="11"/>
  <c r="U467" i="11"/>
  <c r="U468" i="11"/>
  <c r="U469" i="11"/>
  <c r="U470" i="11"/>
  <c r="U471" i="11"/>
  <c r="U462" i="11"/>
  <c r="U461" i="11"/>
  <c r="U457" i="11"/>
  <c r="U456" i="11"/>
  <c r="U451" i="11"/>
  <c r="U433" i="11"/>
  <c r="U434" i="11"/>
  <c r="U435" i="11"/>
  <c r="U436" i="11"/>
  <c r="U437" i="11"/>
  <c r="U438" i="11"/>
  <c r="U439" i="11"/>
  <c r="U440" i="11"/>
  <c r="U441" i="11"/>
  <c r="U442" i="11"/>
  <c r="U443" i="11"/>
  <c r="U444" i="11"/>
  <c r="U445" i="11"/>
  <c r="U446" i="11"/>
  <c r="U447" i="11"/>
  <c r="U448" i="11"/>
  <c r="U449" i="11"/>
  <c r="U450" i="11"/>
  <c r="U452" i="11"/>
  <c r="U453" i="11"/>
  <c r="U454" i="11"/>
  <c r="U455" i="11"/>
  <c r="U458" i="11"/>
  <c r="U459" i="11"/>
  <c r="U460" i="11"/>
  <c r="U463" i="11"/>
  <c r="U472" i="11"/>
  <c r="U473" i="11"/>
  <c r="U474" i="11"/>
  <c r="U432" i="11"/>
  <c r="U388" i="11"/>
  <c r="U374" i="11"/>
  <c r="U371" i="11"/>
  <c r="U372" i="11"/>
  <c r="U373" i="11"/>
  <c r="U370" i="11"/>
  <c r="U361" i="11"/>
  <c r="U362" i="11"/>
  <c r="U363" i="11"/>
  <c r="U364" i="11"/>
  <c r="U365" i="11"/>
  <c r="U366" i="11"/>
  <c r="U367" i="11"/>
  <c r="U368" i="11"/>
  <c r="U369" i="11"/>
  <c r="U360" i="11"/>
  <c r="S388" i="11"/>
  <c r="U358" i="11"/>
  <c r="U354" i="11"/>
  <c r="U330" i="11"/>
  <c r="U331" i="11"/>
  <c r="U332" i="11"/>
  <c r="U333" i="11"/>
  <c r="U334" i="11"/>
  <c r="U335" i="11"/>
  <c r="U336" i="11"/>
  <c r="U337" i="11"/>
  <c r="U338" i="11"/>
  <c r="U339" i="11"/>
  <c r="U340" i="11"/>
  <c r="U341" i="11"/>
  <c r="U342" i="11"/>
  <c r="U343" i="11"/>
  <c r="U344" i="11"/>
  <c r="U345" i="11"/>
  <c r="U346" i="11"/>
  <c r="U347" i="11"/>
  <c r="U348" i="11"/>
  <c r="U349" i="11"/>
  <c r="U350" i="11"/>
  <c r="U351" i="11"/>
  <c r="U352" i="11"/>
  <c r="U353" i="11"/>
  <c r="U355" i="11"/>
  <c r="U356" i="11"/>
  <c r="U357" i="11"/>
  <c r="U329" i="11"/>
  <c r="U313" i="11"/>
  <c r="U289" i="11"/>
  <c r="U287" i="11"/>
  <c r="U288" i="11"/>
  <c r="U286" i="11"/>
  <c r="U260" i="11"/>
  <c r="U261" i="11"/>
  <c r="U262" i="11"/>
  <c r="U263" i="11"/>
  <c r="U264" i="11"/>
  <c r="U265" i="11"/>
  <c r="U266" i="11"/>
  <c r="U267" i="11"/>
  <c r="U268" i="11"/>
  <c r="U269" i="11"/>
  <c r="U270" i="11"/>
  <c r="U271" i="11"/>
  <c r="U272" i="11"/>
  <c r="U273" i="11"/>
  <c r="U274" i="11"/>
  <c r="U275" i="11"/>
  <c r="U276" i="11"/>
  <c r="U277" i="11"/>
  <c r="U278" i="11"/>
  <c r="U279" i="11"/>
  <c r="U280" i="11"/>
  <c r="U281" i="11"/>
  <c r="U282" i="11"/>
  <c r="U283" i="11"/>
  <c r="U284" i="11"/>
  <c r="U285" i="11"/>
  <c r="U259" i="11"/>
  <c r="U257" i="11"/>
  <c r="U249" i="11"/>
  <c r="U248" i="11"/>
  <c r="U243" i="11"/>
  <c r="U244" i="11"/>
  <c r="U245" i="11"/>
  <c r="U246" i="11"/>
  <c r="U247" i="11"/>
  <c r="U241" i="11"/>
  <c r="U242" i="11"/>
  <c r="U240" i="11"/>
  <c r="U238" i="11"/>
  <c r="U237" i="11"/>
  <c r="U236" i="11"/>
  <c r="U235" i="11"/>
  <c r="U233" i="11"/>
  <c r="U234" i="11"/>
  <c r="U232" i="11"/>
  <c r="U227" i="11"/>
  <c r="U228" i="11"/>
  <c r="U229" i="11"/>
  <c r="U230" i="11"/>
  <c r="U231" i="11"/>
  <c r="U226" i="11"/>
  <c r="U224" i="11"/>
  <c r="U225" i="11"/>
  <c r="U223" i="11"/>
  <c r="U220" i="11"/>
  <c r="U221" i="11"/>
  <c r="U218" i="11"/>
  <c r="U211" i="11"/>
  <c r="U212" i="11"/>
  <c r="U213" i="11"/>
  <c r="U214" i="11"/>
  <c r="U215" i="11"/>
  <c r="U216" i="11"/>
  <c r="U217" i="11"/>
  <c r="U210" i="11"/>
  <c r="U200" i="11"/>
  <c r="U191" i="11"/>
  <c r="U192" i="11"/>
  <c r="U193" i="11"/>
  <c r="U194" i="11"/>
  <c r="U195" i="11"/>
  <c r="U196" i="11"/>
  <c r="U197" i="11"/>
  <c r="U198" i="11"/>
  <c r="U190" i="11"/>
  <c r="U186" i="11"/>
  <c r="U187" i="11"/>
  <c r="U188" i="11"/>
  <c r="U185" i="11"/>
  <c r="U180" i="11"/>
  <c r="U145" i="11"/>
  <c r="U146" i="11"/>
  <c r="U147" i="11"/>
  <c r="U144" i="11"/>
  <c r="U140" i="11"/>
  <c r="U139" i="11"/>
  <c r="U135" i="11"/>
  <c r="U134" i="11"/>
  <c r="U120" i="11"/>
  <c r="U121" i="11"/>
  <c r="U122" i="11"/>
  <c r="U123" i="11"/>
  <c r="U124" i="11"/>
  <c r="U125" i="11"/>
  <c r="U126" i="11"/>
  <c r="U127" i="11"/>
  <c r="U128" i="11"/>
  <c r="U129" i="11"/>
  <c r="U130" i="11"/>
  <c r="U131" i="11"/>
  <c r="U132" i="11"/>
  <c r="U133" i="11"/>
  <c r="U136" i="11"/>
  <c r="U137" i="11"/>
  <c r="U138" i="11"/>
  <c r="U141" i="11"/>
  <c r="U142" i="11"/>
  <c r="U143" i="11"/>
  <c r="U148" i="11"/>
  <c r="U149" i="11"/>
  <c r="U150" i="11"/>
  <c r="U151" i="11"/>
  <c r="U152" i="11"/>
  <c r="U153" i="11"/>
  <c r="U154" i="11"/>
  <c r="U155" i="11"/>
  <c r="U156" i="11"/>
  <c r="U157" i="11"/>
  <c r="U158" i="11"/>
  <c r="U159" i="11"/>
  <c r="U160" i="11"/>
  <c r="U161" i="11"/>
  <c r="U162" i="11"/>
  <c r="U163" i="11"/>
  <c r="U164" i="11"/>
  <c r="U165" i="11"/>
  <c r="U166" i="11"/>
  <c r="U167" i="11"/>
  <c r="U168" i="11"/>
  <c r="U169" i="11"/>
  <c r="U170" i="11"/>
  <c r="U171" i="11"/>
  <c r="U172" i="11"/>
  <c r="U173" i="11"/>
  <c r="U174" i="11"/>
  <c r="U175" i="11"/>
  <c r="U176" i="11"/>
  <c r="U177" i="11"/>
  <c r="U178" i="11"/>
  <c r="U179" i="11"/>
  <c r="U181" i="11"/>
  <c r="U182" i="11"/>
  <c r="U183" i="11"/>
  <c r="U184" i="11"/>
  <c r="U189" i="11"/>
  <c r="U199" i="11"/>
  <c r="U202" i="11"/>
  <c r="U203" i="11"/>
  <c r="U204" i="11"/>
  <c r="U205" i="11"/>
  <c r="U206" i="11"/>
  <c r="U207" i="11"/>
  <c r="U208" i="11"/>
  <c r="U209" i="11"/>
  <c r="U219" i="11"/>
  <c r="U222" i="11"/>
  <c r="U239" i="11"/>
  <c r="U250" i="11"/>
  <c r="U251" i="11"/>
  <c r="U252" i="11"/>
  <c r="U253" i="11"/>
  <c r="U254" i="11"/>
  <c r="U255" i="11"/>
  <c r="U256" i="11"/>
  <c r="U119" i="11"/>
  <c r="S257" i="11"/>
  <c r="S103" i="11"/>
  <c r="U103" i="11"/>
  <c r="Y564" i="11" s="1"/>
  <c r="U74" i="11"/>
  <c r="U79" i="11"/>
  <c r="U80" i="11"/>
  <c r="U84" i="11"/>
  <c r="U85" i="11"/>
  <c r="U90" i="11"/>
  <c r="U95" i="11"/>
  <c r="U94" i="11"/>
  <c r="U65" i="11"/>
  <c r="U66" i="11"/>
  <c r="U67" i="11"/>
  <c r="U68" i="11"/>
  <c r="U69" i="11"/>
  <c r="U70" i="11"/>
  <c r="U71" i="11"/>
  <c r="U72" i="11"/>
  <c r="U73" i="11"/>
  <c r="U75" i="11"/>
  <c r="U76" i="11"/>
  <c r="U77" i="11"/>
  <c r="U78" i="11"/>
  <c r="U81" i="11"/>
  <c r="U82" i="11"/>
  <c r="U83" i="11"/>
  <c r="U86" i="11"/>
  <c r="U87" i="11"/>
  <c r="U88" i="11"/>
  <c r="U89" i="11"/>
  <c r="U91" i="11"/>
  <c r="U92" i="11"/>
  <c r="U93" i="11"/>
  <c r="U96" i="11"/>
  <c r="U97" i="11"/>
  <c r="U98" i="11"/>
  <c r="U99" i="11"/>
  <c r="U100" i="11"/>
  <c r="U101" i="11"/>
  <c r="U102" i="11"/>
  <c r="U64" i="11"/>
  <c r="U35" i="11"/>
  <c r="U16" i="11"/>
  <c r="U27" i="11"/>
  <c r="U26" i="11"/>
  <c r="U23" i="11"/>
  <c r="U21" i="11"/>
  <c r="U22" i="11"/>
  <c r="U24" i="11"/>
  <c r="U25" i="11"/>
  <c r="U28" i="11"/>
  <c r="U19" i="11"/>
  <c r="U18" i="11"/>
  <c r="U20" i="11"/>
  <c r="O590" i="11" l="1"/>
  <c r="D590" i="11"/>
  <c r="P585" i="11"/>
  <c r="O585" i="11"/>
  <c r="R584" i="11"/>
  <c r="R583" i="11"/>
  <c r="R582" i="11"/>
  <c r="R581" i="11"/>
  <c r="R580" i="11"/>
  <c r="Q579" i="11"/>
  <c r="P579" i="11"/>
  <c r="O579" i="11"/>
  <c r="F579" i="11"/>
  <c r="E579" i="11"/>
  <c r="D579" i="11"/>
  <c r="Q571" i="11"/>
  <c r="P571" i="11"/>
  <c r="O571" i="11"/>
  <c r="F571" i="11"/>
  <c r="E571" i="11"/>
  <c r="D571" i="11"/>
  <c r="Q561" i="11"/>
  <c r="I561" i="11"/>
  <c r="F561" i="11"/>
  <c r="E561" i="11"/>
  <c r="R560" i="11"/>
  <c r="R559" i="11"/>
  <c r="R558" i="11"/>
  <c r="R557" i="11"/>
  <c r="R556" i="11"/>
  <c r="R555" i="11"/>
  <c r="T554" i="11"/>
  <c r="T561" i="11" s="1"/>
  <c r="R554" i="11"/>
  <c r="R553" i="11"/>
  <c r="R552" i="11"/>
  <c r="R551" i="11"/>
  <c r="R550" i="11"/>
  <c r="R549" i="11"/>
  <c r="R548" i="11"/>
  <c r="R547" i="11"/>
  <c r="P547" i="11"/>
  <c r="R546" i="11"/>
  <c r="R545" i="11"/>
  <c r="P544" i="11"/>
  <c r="R543" i="11"/>
  <c r="R542" i="11"/>
  <c r="R541" i="11"/>
  <c r="R540" i="11"/>
  <c r="R539" i="11"/>
  <c r="G539" i="11"/>
  <c r="R535" i="11"/>
  <c r="G535" i="11"/>
  <c r="R534" i="11"/>
  <c r="G534" i="11"/>
  <c r="R533" i="11"/>
  <c r="G533" i="11"/>
  <c r="R532" i="11"/>
  <c r="G532" i="11"/>
  <c r="R531" i="11"/>
  <c r="G531" i="11"/>
  <c r="R530" i="11"/>
  <c r="G530" i="11"/>
  <c r="R529" i="11"/>
  <c r="G529" i="11"/>
  <c r="R528" i="11"/>
  <c r="G528" i="11"/>
  <c r="R527" i="11"/>
  <c r="G527" i="11"/>
  <c r="R526" i="11"/>
  <c r="G526" i="11"/>
  <c r="R525" i="11"/>
  <c r="G525" i="11"/>
  <c r="R524" i="11"/>
  <c r="G524" i="11"/>
  <c r="R523" i="11"/>
  <c r="G523" i="11"/>
  <c r="R522" i="11"/>
  <c r="G522" i="11"/>
  <c r="O521" i="11"/>
  <c r="R521" i="11" s="1"/>
  <c r="D521" i="11"/>
  <c r="G521" i="11" s="1"/>
  <c r="R520" i="11"/>
  <c r="G520" i="11"/>
  <c r="O519" i="11"/>
  <c r="O561" i="11" s="1"/>
  <c r="G519" i="11"/>
  <c r="D519" i="11"/>
  <c r="D561" i="11" s="1"/>
  <c r="T516" i="11"/>
  <c r="Q516" i="11"/>
  <c r="P516" i="11"/>
  <c r="O516" i="11"/>
  <c r="I516" i="11"/>
  <c r="F516" i="11"/>
  <c r="E516" i="11"/>
  <c r="D516" i="11"/>
  <c r="R515" i="11"/>
  <c r="G515" i="11"/>
  <c r="R514" i="11"/>
  <c r="G514" i="11"/>
  <c r="R513" i="11"/>
  <c r="G513" i="11"/>
  <c r="R512" i="11"/>
  <c r="G512" i="11"/>
  <c r="R511" i="11"/>
  <c r="G511" i="11"/>
  <c r="R510" i="11"/>
  <c r="G510" i="11"/>
  <c r="R509" i="11"/>
  <c r="G509" i="11"/>
  <c r="R508" i="11"/>
  <c r="G508" i="11"/>
  <c r="R507" i="11"/>
  <c r="G507" i="11"/>
  <c r="R506" i="11"/>
  <c r="G506" i="11"/>
  <c r="T504" i="11"/>
  <c r="Q504" i="11"/>
  <c r="P504" i="11"/>
  <c r="O504" i="11"/>
  <c r="I504" i="11"/>
  <c r="F504" i="11"/>
  <c r="E504" i="11"/>
  <c r="D504" i="11"/>
  <c r="R503" i="11"/>
  <c r="G503" i="11"/>
  <c r="R502" i="11"/>
  <c r="G502" i="11"/>
  <c r="R501" i="11"/>
  <c r="G501" i="11"/>
  <c r="R500" i="11"/>
  <c r="G500" i="11"/>
  <c r="R499" i="11"/>
  <c r="G499" i="11"/>
  <c r="R498" i="11"/>
  <c r="G498" i="11"/>
  <c r="R497" i="11"/>
  <c r="G497" i="11"/>
  <c r="R496" i="11"/>
  <c r="G496" i="11"/>
  <c r="R495" i="11"/>
  <c r="G495" i="11"/>
  <c r="R494" i="11"/>
  <c r="G494" i="11"/>
  <c r="R493" i="11"/>
  <c r="G493" i="11"/>
  <c r="R492" i="11"/>
  <c r="G492" i="11"/>
  <c r="R491" i="11"/>
  <c r="G491" i="11"/>
  <c r="R490" i="11"/>
  <c r="G490" i="11"/>
  <c r="R489" i="11"/>
  <c r="G489" i="11"/>
  <c r="R488" i="11"/>
  <c r="G488" i="11"/>
  <c r="R487" i="11"/>
  <c r="G487" i="11"/>
  <c r="R486" i="11"/>
  <c r="G486" i="11"/>
  <c r="R485" i="11"/>
  <c r="G485" i="11"/>
  <c r="R484" i="11"/>
  <c r="G484" i="11"/>
  <c r="R483" i="11"/>
  <c r="G483" i="11"/>
  <c r="R482" i="11"/>
  <c r="G482" i="11"/>
  <c r="R481" i="11"/>
  <c r="G481" i="11"/>
  <c r="R480" i="11"/>
  <c r="G480" i="11"/>
  <c r="R479" i="11"/>
  <c r="G479" i="11"/>
  <c r="R478" i="11"/>
  <c r="G478" i="11"/>
  <c r="T476" i="11"/>
  <c r="Q476" i="11"/>
  <c r="P476" i="11"/>
  <c r="O476" i="11"/>
  <c r="I476" i="11"/>
  <c r="F476" i="11"/>
  <c r="E476" i="11"/>
  <c r="D476" i="11"/>
  <c r="R475" i="11"/>
  <c r="G475" i="11"/>
  <c r="R474" i="11"/>
  <c r="G474" i="11"/>
  <c r="R473" i="11"/>
  <c r="G473" i="11"/>
  <c r="R472" i="11"/>
  <c r="G472" i="11"/>
  <c r="R471" i="11"/>
  <c r="G471" i="11"/>
  <c r="R470" i="11"/>
  <c r="R469" i="11"/>
  <c r="R468" i="11"/>
  <c r="R467" i="11"/>
  <c r="R466" i="11"/>
  <c r="R465" i="11"/>
  <c r="R464" i="11"/>
  <c r="R463" i="11"/>
  <c r="R462" i="11"/>
  <c r="R461" i="11"/>
  <c r="R460" i="11"/>
  <c r="R459" i="11"/>
  <c r="R458" i="11"/>
  <c r="R457" i="11"/>
  <c r="R456" i="11"/>
  <c r="R455" i="11"/>
  <c r="R454" i="11"/>
  <c r="R453" i="11"/>
  <c r="R452" i="11"/>
  <c r="R451" i="11"/>
  <c r="R450" i="11"/>
  <c r="G450" i="11"/>
  <c r="R449" i="11"/>
  <c r="G449" i="11"/>
  <c r="R448" i="11"/>
  <c r="G448" i="11"/>
  <c r="R447" i="11"/>
  <c r="G447" i="11"/>
  <c r="R446" i="11"/>
  <c r="G446" i="11"/>
  <c r="R445" i="11"/>
  <c r="G445" i="11"/>
  <c r="R444" i="11"/>
  <c r="G444" i="11"/>
  <c r="R443" i="11"/>
  <c r="G443" i="11"/>
  <c r="R442" i="11"/>
  <c r="G442" i="11"/>
  <c r="R441" i="11"/>
  <c r="G441" i="11"/>
  <c r="R440" i="11"/>
  <c r="G440" i="11"/>
  <c r="R439" i="11"/>
  <c r="G439" i="11"/>
  <c r="R438" i="11"/>
  <c r="G438" i="11"/>
  <c r="R437" i="11"/>
  <c r="G437" i="11"/>
  <c r="R436" i="11"/>
  <c r="G436" i="11"/>
  <c r="R435" i="11"/>
  <c r="G435" i="11"/>
  <c r="R434" i="11"/>
  <c r="G434" i="11"/>
  <c r="R433" i="11"/>
  <c r="G433" i="11"/>
  <c r="R432" i="11"/>
  <c r="G432" i="11"/>
  <c r="R431" i="11"/>
  <c r="G431" i="11"/>
  <c r="G476" i="11" s="1"/>
  <c r="T429" i="11"/>
  <c r="Q429" i="11"/>
  <c r="P429" i="11"/>
  <c r="O429" i="11"/>
  <c r="I429" i="11"/>
  <c r="F429" i="11"/>
  <c r="E429" i="11"/>
  <c r="D429" i="11"/>
  <c r="R428" i="11"/>
  <c r="G428" i="11"/>
  <c r="R427" i="11"/>
  <c r="G427" i="11"/>
  <c r="R426" i="11"/>
  <c r="G426" i="11"/>
  <c r="R425" i="11"/>
  <c r="G425" i="11"/>
  <c r="R424" i="11"/>
  <c r="G424" i="11"/>
  <c r="R423" i="11"/>
  <c r="G423" i="11"/>
  <c r="R422" i="11"/>
  <c r="G422" i="11"/>
  <c r="R421" i="11"/>
  <c r="G421" i="11"/>
  <c r="R420" i="11"/>
  <c r="G420" i="11"/>
  <c r="R419" i="11"/>
  <c r="G419" i="11"/>
  <c r="R418" i="11"/>
  <c r="G418" i="11"/>
  <c r="R417" i="11"/>
  <c r="G417" i="11"/>
  <c r="R416" i="11"/>
  <c r="G416" i="11"/>
  <c r="R415" i="11"/>
  <c r="G415" i="11"/>
  <c r="R414" i="11"/>
  <c r="G414" i="11"/>
  <c r="R413" i="11"/>
  <c r="G413" i="11"/>
  <c r="R412" i="11"/>
  <c r="G412" i="11"/>
  <c r="R411" i="11"/>
  <c r="G411" i="11"/>
  <c r="R410" i="11"/>
  <c r="G410" i="11"/>
  <c r="R409" i="11"/>
  <c r="G409" i="11"/>
  <c r="R408" i="11"/>
  <c r="G408" i="11"/>
  <c r="R407" i="11"/>
  <c r="G407" i="11"/>
  <c r="R406" i="11"/>
  <c r="G406" i="11"/>
  <c r="R405" i="11"/>
  <c r="G405" i="11"/>
  <c r="G429" i="11" s="1"/>
  <c r="R404" i="11"/>
  <c r="G404" i="11"/>
  <c r="T400" i="11"/>
  <c r="Q400" i="11"/>
  <c r="P400" i="11"/>
  <c r="O400" i="11"/>
  <c r="I400" i="11"/>
  <c r="F400" i="11"/>
  <c r="E400" i="11"/>
  <c r="D400" i="11"/>
  <c r="R399" i="11"/>
  <c r="G399" i="11"/>
  <c r="R398" i="11"/>
  <c r="G398" i="11"/>
  <c r="R397" i="11"/>
  <c r="G397" i="11"/>
  <c r="R396" i="11"/>
  <c r="G396" i="11"/>
  <c r="R395" i="11"/>
  <c r="G395" i="11"/>
  <c r="R394" i="11"/>
  <c r="G394" i="11"/>
  <c r="R393" i="11"/>
  <c r="G393" i="11"/>
  <c r="R392" i="11"/>
  <c r="G392" i="11"/>
  <c r="R391" i="11"/>
  <c r="G391" i="11"/>
  <c r="R390" i="11"/>
  <c r="G390" i="11"/>
  <c r="T388" i="11"/>
  <c r="Q388" i="11"/>
  <c r="P388" i="11"/>
  <c r="O388" i="11"/>
  <c r="I388" i="11"/>
  <c r="F388" i="11"/>
  <c r="E388" i="11"/>
  <c r="D388" i="11"/>
  <c r="R387" i="11"/>
  <c r="G387" i="11"/>
  <c r="R386" i="11"/>
  <c r="G386" i="11"/>
  <c r="R385" i="11"/>
  <c r="G385" i="11"/>
  <c r="R384" i="11"/>
  <c r="G384" i="11"/>
  <c r="R383" i="11"/>
  <c r="G383" i="11"/>
  <c r="R382" i="11"/>
  <c r="G382" i="11"/>
  <c r="R381" i="11"/>
  <c r="G381" i="11"/>
  <c r="R380" i="11"/>
  <c r="G380" i="11"/>
  <c r="R379" i="11"/>
  <c r="G379" i="11"/>
  <c r="R378" i="11"/>
  <c r="G378" i="11"/>
  <c r="R377" i="11"/>
  <c r="G377" i="11"/>
  <c r="R375" i="11"/>
  <c r="G375" i="11"/>
  <c r="R374" i="11"/>
  <c r="G374" i="11"/>
  <c r="R373" i="11"/>
  <c r="R372" i="11"/>
  <c r="R371" i="11"/>
  <c r="G371" i="11"/>
  <c r="P370" i="11"/>
  <c r="R370" i="11" s="1"/>
  <c r="G370" i="11"/>
  <c r="R368" i="11"/>
  <c r="G368" i="11"/>
  <c r="R367" i="11"/>
  <c r="G367" i="11"/>
  <c r="R366" i="11"/>
  <c r="G366" i="11"/>
  <c r="R365" i="11"/>
  <c r="G365" i="11"/>
  <c r="R364" i="11"/>
  <c r="G364" i="11"/>
  <c r="R363" i="11"/>
  <c r="G363" i="11"/>
  <c r="R362" i="11"/>
  <c r="G362" i="11"/>
  <c r="R361" i="11"/>
  <c r="G361" i="11"/>
  <c r="R360" i="11"/>
  <c r="G360" i="11"/>
  <c r="H388" i="11" s="1"/>
  <c r="T358" i="11"/>
  <c r="Q358" i="11"/>
  <c r="P358" i="11"/>
  <c r="O358" i="11"/>
  <c r="I358" i="11"/>
  <c r="F358" i="11"/>
  <c r="E358" i="11"/>
  <c r="D358" i="11"/>
  <c r="R357" i="11"/>
  <c r="R356" i="11"/>
  <c r="R355" i="11"/>
  <c r="R354" i="11"/>
  <c r="R353" i="11"/>
  <c r="G353" i="11"/>
  <c r="R352" i="11"/>
  <c r="G352" i="11"/>
  <c r="R351" i="11"/>
  <c r="G351" i="11"/>
  <c r="R350" i="11"/>
  <c r="G350" i="11"/>
  <c r="R349" i="11"/>
  <c r="G349" i="11"/>
  <c r="R348" i="11"/>
  <c r="G348" i="11"/>
  <c r="R347" i="11"/>
  <c r="G347" i="11"/>
  <c r="R346" i="11"/>
  <c r="G346" i="11"/>
  <c r="R345" i="11"/>
  <c r="G345" i="11"/>
  <c r="R344" i="11"/>
  <c r="G344" i="11"/>
  <c r="R343" i="11"/>
  <c r="G343" i="11"/>
  <c r="R342" i="11"/>
  <c r="G342" i="11"/>
  <c r="R341" i="11"/>
  <c r="G341" i="11"/>
  <c r="R340" i="11"/>
  <c r="G340" i="11"/>
  <c r="R339" i="11"/>
  <c r="G339" i="11"/>
  <c r="R338" i="11"/>
  <c r="G338" i="11"/>
  <c r="R337" i="11"/>
  <c r="G337" i="11"/>
  <c r="R336" i="11"/>
  <c r="G336" i="11"/>
  <c r="R335" i="11"/>
  <c r="G335" i="11"/>
  <c r="R334" i="11"/>
  <c r="G334" i="11"/>
  <c r="R333" i="11"/>
  <c r="G333" i="11"/>
  <c r="R332" i="11"/>
  <c r="G332" i="11"/>
  <c r="R331" i="11"/>
  <c r="G331" i="11"/>
  <c r="R330" i="11"/>
  <c r="G330" i="11"/>
  <c r="R329" i="11"/>
  <c r="G329" i="11"/>
  <c r="T325" i="11"/>
  <c r="Q325" i="11"/>
  <c r="P325" i="11"/>
  <c r="O325" i="11"/>
  <c r="I325" i="11"/>
  <c r="F325" i="11"/>
  <c r="E325" i="11"/>
  <c r="D325" i="11"/>
  <c r="R324" i="11"/>
  <c r="G324" i="11"/>
  <c r="R323" i="11"/>
  <c r="G323" i="11"/>
  <c r="R322" i="11"/>
  <c r="G322" i="11"/>
  <c r="R321" i="11"/>
  <c r="G321" i="11"/>
  <c r="R320" i="11"/>
  <c r="G320" i="11"/>
  <c r="R319" i="11"/>
  <c r="G319" i="11"/>
  <c r="R318" i="11"/>
  <c r="G318" i="11"/>
  <c r="R317" i="11"/>
  <c r="G317" i="11"/>
  <c r="R316" i="11"/>
  <c r="R325" i="11" s="1"/>
  <c r="G316" i="11"/>
  <c r="R315" i="11"/>
  <c r="G315" i="11"/>
  <c r="T313" i="11"/>
  <c r="Q313" i="11"/>
  <c r="P313" i="11"/>
  <c r="I313" i="11"/>
  <c r="F313" i="11"/>
  <c r="E313" i="11"/>
  <c r="R312" i="11"/>
  <c r="G312" i="11"/>
  <c r="R311" i="11"/>
  <c r="G311" i="11"/>
  <c r="R310" i="11"/>
  <c r="G310" i="11"/>
  <c r="R309" i="11"/>
  <c r="G309" i="11"/>
  <c r="R308" i="11"/>
  <c r="G308" i="11"/>
  <c r="R307" i="11"/>
  <c r="G307" i="11"/>
  <c r="R306" i="11"/>
  <c r="G306" i="11"/>
  <c r="R305" i="11"/>
  <c r="G305" i="11"/>
  <c r="R304" i="11"/>
  <c r="G304" i="11"/>
  <c r="R303" i="11"/>
  <c r="G303" i="11"/>
  <c r="R302" i="11"/>
  <c r="G302" i="11"/>
  <c r="R301" i="11"/>
  <c r="G301" i="11"/>
  <c r="R300" i="11"/>
  <c r="G300" i="11"/>
  <c r="R299" i="11"/>
  <c r="G299" i="11"/>
  <c r="R298" i="11"/>
  <c r="G298" i="11"/>
  <c r="R297" i="11"/>
  <c r="G297" i="11"/>
  <c r="R296" i="11"/>
  <c r="G296" i="11"/>
  <c r="R295" i="11"/>
  <c r="G295" i="11"/>
  <c r="R294" i="11"/>
  <c r="R293" i="11"/>
  <c r="R292" i="11"/>
  <c r="R291" i="11"/>
  <c r="R290" i="11"/>
  <c r="R289" i="11"/>
  <c r="R288" i="11"/>
  <c r="R287" i="11"/>
  <c r="G287" i="11"/>
  <c r="R286" i="11"/>
  <c r="R285" i="11"/>
  <c r="R284" i="11"/>
  <c r="G284" i="11"/>
  <c r="R283" i="11"/>
  <c r="G283" i="11"/>
  <c r="R282" i="11"/>
  <c r="G282" i="11"/>
  <c r="R281" i="11"/>
  <c r="G281" i="11"/>
  <c r="R280" i="11"/>
  <c r="G280" i="11"/>
  <c r="R279" i="11"/>
  <c r="G279" i="11"/>
  <c r="R278" i="11"/>
  <c r="G278" i="11"/>
  <c r="R277" i="11"/>
  <c r="G277" i="11"/>
  <c r="R276" i="11"/>
  <c r="G276" i="11"/>
  <c r="R275" i="11"/>
  <c r="G275" i="11"/>
  <c r="R274" i="11"/>
  <c r="G274" i="11"/>
  <c r="R273" i="11"/>
  <c r="G273" i="11"/>
  <c r="R272" i="11"/>
  <c r="G272" i="11"/>
  <c r="R271" i="11"/>
  <c r="G271" i="11"/>
  <c r="O270" i="11"/>
  <c r="R270" i="11" s="1"/>
  <c r="D270" i="11"/>
  <c r="G270" i="11" s="1"/>
  <c r="R269" i="11"/>
  <c r="G269" i="11"/>
  <c r="R268" i="11"/>
  <c r="G268" i="11"/>
  <c r="R267" i="11"/>
  <c r="G267" i="11"/>
  <c r="R266" i="11"/>
  <c r="G266" i="11"/>
  <c r="R265" i="11"/>
  <c r="G265" i="11"/>
  <c r="R264" i="11"/>
  <c r="G264" i="11"/>
  <c r="R263" i="11"/>
  <c r="G263" i="11"/>
  <c r="R262" i="11"/>
  <c r="G262" i="11"/>
  <c r="R261" i="11"/>
  <c r="G261" i="11"/>
  <c r="R260" i="11"/>
  <c r="G260" i="11"/>
  <c r="R259" i="11"/>
  <c r="G259" i="11"/>
  <c r="Q257" i="11"/>
  <c r="O257" i="11"/>
  <c r="I257" i="11"/>
  <c r="F257" i="11"/>
  <c r="D257" i="11"/>
  <c r="R256" i="11"/>
  <c r="G256" i="11"/>
  <c r="R255" i="11"/>
  <c r="G255" i="11"/>
  <c r="R254" i="11"/>
  <c r="G254" i="11"/>
  <c r="R253" i="11"/>
  <c r="G253" i="11"/>
  <c r="R252" i="11"/>
  <c r="G252" i="11"/>
  <c r="R251" i="11"/>
  <c r="G251" i="11"/>
  <c r="R250" i="11"/>
  <c r="R249" i="11"/>
  <c r="R248" i="11"/>
  <c r="R247" i="11"/>
  <c r="R246" i="11"/>
  <c r="R245" i="11"/>
  <c r="R244" i="11"/>
  <c r="R243" i="11"/>
  <c r="R242" i="11"/>
  <c r="R241" i="11"/>
  <c r="R240" i="11"/>
  <c r="R239" i="11"/>
  <c r="R238" i="11"/>
  <c r="R237" i="11"/>
  <c r="R236" i="11"/>
  <c r="R235" i="11"/>
  <c r="R234" i="11"/>
  <c r="R233" i="11"/>
  <c r="R232" i="11"/>
  <c r="R231" i="11"/>
  <c r="R230" i="11"/>
  <c r="R229" i="11"/>
  <c r="R228" i="11"/>
  <c r="R227" i="11"/>
  <c r="R226" i="11"/>
  <c r="R225" i="11"/>
  <c r="R224" i="11"/>
  <c r="R223" i="11"/>
  <c r="R222" i="11"/>
  <c r="R221" i="11"/>
  <c r="R220" i="11"/>
  <c r="R219" i="11"/>
  <c r="R218" i="11"/>
  <c r="R217" i="11"/>
  <c r="R216" i="11"/>
  <c r="R215" i="11"/>
  <c r="R214" i="11"/>
  <c r="R213" i="11"/>
  <c r="R212" i="11"/>
  <c r="R211" i="11"/>
  <c r="R210" i="11"/>
  <c r="R209" i="11"/>
  <c r="G209" i="11"/>
  <c r="R208" i="11"/>
  <c r="G208" i="11"/>
  <c r="R207" i="11"/>
  <c r="G207" i="11"/>
  <c r="R206" i="11"/>
  <c r="G206" i="11"/>
  <c r="R205" i="11"/>
  <c r="G205" i="11"/>
  <c r="R203" i="11"/>
  <c r="G203" i="11"/>
  <c r="R202" i="11"/>
  <c r="G202" i="11"/>
  <c r="R201" i="11"/>
  <c r="G201" i="11"/>
  <c r="R200" i="11"/>
  <c r="G200" i="11"/>
  <c r="R199" i="11"/>
  <c r="G199" i="11"/>
  <c r="R198" i="11"/>
  <c r="G198" i="11"/>
  <c r="R197" i="11"/>
  <c r="G197" i="11"/>
  <c r="R196" i="11"/>
  <c r="G196" i="11"/>
  <c r="R195" i="11"/>
  <c r="G195" i="11"/>
  <c r="R194" i="11"/>
  <c r="G194" i="11"/>
  <c r="R193" i="11"/>
  <c r="G193" i="11"/>
  <c r="R192" i="11"/>
  <c r="G192" i="11"/>
  <c r="R191" i="11"/>
  <c r="G191" i="11"/>
  <c r="R190" i="11"/>
  <c r="G190" i="11"/>
  <c r="R189" i="11"/>
  <c r="G189" i="11"/>
  <c r="T188" i="11"/>
  <c r="T257" i="11" s="1"/>
  <c r="R188" i="11"/>
  <c r="G188" i="11"/>
  <c r="R187" i="11"/>
  <c r="G187" i="11"/>
  <c r="R186" i="11"/>
  <c r="G186" i="11"/>
  <c r="P185" i="11"/>
  <c r="R185" i="11" s="1"/>
  <c r="E185" i="11"/>
  <c r="E257" i="11" s="1"/>
  <c r="R184" i="11"/>
  <c r="G184" i="11"/>
  <c r="R183" i="11"/>
  <c r="G183" i="11"/>
  <c r="R182" i="11"/>
  <c r="G182" i="11"/>
  <c r="R181" i="11"/>
  <c r="G181" i="11"/>
  <c r="R180" i="11"/>
  <c r="G180" i="11"/>
  <c r="R179" i="11"/>
  <c r="G179" i="11"/>
  <c r="R178" i="11"/>
  <c r="G178" i="11"/>
  <c r="R177" i="11"/>
  <c r="G177" i="11"/>
  <c r="R176" i="11"/>
  <c r="G176" i="11"/>
  <c r="R175" i="11"/>
  <c r="G175" i="11"/>
  <c r="R174" i="11"/>
  <c r="G174" i="11"/>
  <c r="R173" i="11"/>
  <c r="G173" i="11"/>
  <c r="R172" i="11"/>
  <c r="G172" i="11"/>
  <c r="R171" i="11"/>
  <c r="G171" i="11"/>
  <c r="R170" i="11"/>
  <c r="G170" i="11"/>
  <c r="R169" i="11"/>
  <c r="G169" i="11"/>
  <c r="R168" i="11"/>
  <c r="G168" i="11"/>
  <c r="R167" i="11"/>
  <c r="G167" i="11"/>
  <c r="R166" i="11"/>
  <c r="G166" i="11"/>
  <c r="R165" i="11"/>
  <c r="G165" i="11"/>
  <c r="R164" i="11"/>
  <c r="G164" i="11"/>
  <c r="R163" i="11"/>
  <c r="G163" i="11"/>
  <c r="R162" i="11"/>
  <c r="G162" i="11"/>
  <c r="R161" i="11"/>
  <c r="G161" i="11"/>
  <c r="R160" i="11"/>
  <c r="G160" i="11"/>
  <c r="R159" i="11"/>
  <c r="G159" i="11"/>
  <c r="R158" i="11"/>
  <c r="G158" i="11"/>
  <c r="R157" i="11"/>
  <c r="G157" i="11"/>
  <c r="R156" i="11"/>
  <c r="G156" i="11"/>
  <c r="R155" i="11"/>
  <c r="G155" i="11"/>
  <c r="R154" i="11"/>
  <c r="G154" i="11"/>
  <c r="R153" i="11"/>
  <c r="G153" i="11"/>
  <c r="R152" i="11"/>
  <c r="G152" i="11"/>
  <c r="R151" i="11"/>
  <c r="G151" i="11"/>
  <c r="R150" i="11"/>
  <c r="G150" i="11"/>
  <c r="R149" i="11"/>
  <c r="G149" i="11"/>
  <c r="R148" i="11"/>
  <c r="G148" i="11"/>
  <c r="R147" i="11"/>
  <c r="G147" i="11"/>
  <c r="R146" i="11"/>
  <c r="G146" i="11"/>
  <c r="R145" i="11"/>
  <c r="R144" i="11"/>
  <c r="G144" i="11"/>
  <c r="R143" i="11"/>
  <c r="G143" i="11"/>
  <c r="R142" i="11"/>
  <c r="G142" i="11"/>
  <c r="R141" i="11"/>
  <c r="G141" i="11"/>
  <c r="R140" i="11"/>
  <c r="G140" i="11"/>
  <c r="R139" i="11"/>
  <c r="G139" i="11"/>
  <c r="R138" i="11"/>
  <c r="G138" i="11"/>
  <c r="R137" i="11"/>
  <c r="G137" i="11"/>
  <c r="R136" i="11"/>
  <c r="G136" i="11"/>
  <c r="R135" i="11"/>
  <c r="G135" i="11"/>
  <c r="R134" i="11"/>
  <c r="G134" i="11"/>
  <c r="R133" i="11"/>
  <c r="G133" i="11"/>
  <c r="R132" i="11"/>
  <c r="G132" i="11"/>
  <c r="R131" i="11"/>
  <c r="G131" i="11"/>
  <c r="R130" i="11"/>
  <c r="G130" i="11"/>
  <c r="R129" i="11"/>
  <c r="G129" i="11"/>
  <c r="R128" i="11"/>
  <c r="G128" i="11"/>
  <c r="R127" i="11"/>
  <c r="G127" i="11"/>
  <c r="R126" i="11"/>
  <c r="G126" i="11"/>
  <c r="R125" i="11"/>
  <c r="G125" i="11"/>
  <c r="R124" i="11"/>
  <c r="G124" i="11"/>
  <c r="R123" i="11"/>
  <c r="G123" i="11"/>
  <c r="R122" i="11"/>
  <c r="G122" i="11"/>
  <c r="R121" i="11"/>
  <c r="G121" i="11"/>
  <c r="R120" i="11"/>
  <c r="G120" i="11"/>
  <c r="R119" i="11"/>
  <c r="G119" i="11"/>
  <c r="T115" i="11"/>
  <c r="Q115" i="11"/>
  <c r="P115" i="11"/>
  <c r="O115" i="11"/>
  <c r="I115" i="11"/>
  <c r="F115" i="11"/>
  <c r="E115" i="11"/>
  <c r="D115" i="11"/>
  <c r="R114" i="11"/>
  <c r="G114" i="11"/>
  <c r="R113" i="11"/>
  <c r="G113" i="11"/>
  <c r="R112" i="11"/>
  <c r="G112" i="11"/>
  <c r="R111" i="11"/>
  <c r="G111" i="11"/>
  <c r="R110" i="11"/>
  <c r="G110" i="11"/>
  <c r="R109" i="11"/>
  <c r="G109" i="11"/>
  <c r="R108" i="11"/>
  <c r="G108" i="11"/>
  <c r="R107" i="11"/>
  <c r="G107" i="11"/>
  <c r="R106" i="11"/>
  <c r="G106" i="11"/>
  <c r="R105" i="11"/>
  <c r="G105" i="11"/>
  <c r="H115" i="11" s="1"/>
  <c r="T103" i="11"/>
  <c r="Q103" i="11"/>
  <c r="P103" i="11"/>
  <c r="O103" i="11"/>
  <c r="I103" i="11"/>
  <c r="F103" i="11"/>
  <c r="E103" i="11"/>
  <c r="D103" i="11"/>
  <c r="R102" i="11"/>
  <c r="G102" i="11"/>
  <c r="R101" i="11"/>
  <c r="R100" i="11"/>
  <c r="R99" i="11"/>
  <c r="R98" i="11"/>
  <c r="R97" i="11"/>
  <c r="R96" i="11"/>
  <c r="R95" i="11"/>
  <c r="R94" i="11"/>
  <c r="R93" i="11"/>
  <c r="R92" i="11"/>
  <c r="G92" i="11"/>
  <c r="R91" i="11"/>
  <c r="G91" i="11"/>
  <c r="R90" i="11"/>
  <c r="G90" i="11"/>
  <c r="R89" i="11"/>
  <c r="G89" i="11"/>
  <c r="R88" i="11"/>
  <c r="G88" i="11"/>
  <c r="R87" i="11"/>
  <c r="G87" i="11"/>
  <c r="R86" i="11"/>
  <c r="G86" i="11"/>
  <c r="R85" i="11"/>
  <c r="G85" i="11"/>
  <c r="R84" i="11"/>
  <c r="G84" i="11"/>
  <c r="R83" i="11"/>
  <c r="G83" i="11"/>
  <c r="R82" i="11"/>
  <c r="G82" i="11"/>
  <c r="R81" i="11"/>
  <c r="G81" i="11"/>
  <c r="R80" i="11"/>
  <c r="G80" i="11"/>
  <c r="R79" i="11"/>
  <c r="G79" i="11"/>
  <c r="R78" i="11"/>
  <c r="G78" i="11"/>
  <c r="R77" i="11"/>
  <c r="G77" i="11"/>
  <c r="R76" i="11"/>
  <c r="G76" i="11"/>
  <c r="R75" i="11"/>
  <c r="G75" i="11"/>
  <c r="R74" i="11"/>
  <c r="G74" i="11"/>
  <c r="R73" i="11"/>
  <c r="G73" i="11"/>
  <c r="R72" i="11"/>
  <c r="G72" i="11"/>
  <c r="R71" i="11"/>
  <c r="G71" i="11"/>
  <c r="R70" i="11"/>
  <c r="G70" i="11"/>
  <c r="R69" i="11"/>
  <c r="G69" i="11"/>
  <c r="R68" i="11"/>
  <c r="G68" i="11"/>
  <c r="R67" i="11"/>
  <c r="G67" i="11"/>
  <c r="R66" i="11"/>
  <c r="G66" i="11"/>
  <c r="R65" i="11"/>
  <c r="G65" i="11"/>
  <c r="R64" i="11"/>
  <c r="G64" i="11"/>
  <c r="T62" i="11"/>
  <c r="Q62" i="11"/>
  <c r="P62" i="11"/>
  <c r="I62" i="11"/>
  <c r="F62" i="11"/>
  <c r="E62" i="11"/>
  <c r="R61" i="11"/>
  <c r="G61" i="11"/>
  <c r="R60" i="11"/>
  <c r="G60" i="11"/>
  <c r="R59" i="11"/>
  <c r="G59" i="11"/>
  <c r="R58" i="11"/>
  <c r="G58" i="11"/>
  <c r="R57" i="11"/>
  <c r="G57" i="11"/>
  <c r="R56" i="11"/>
  <c r="G56" i="11"/>
  <c r="R55" i="11"/>
  <c r="G55" i="11"/>
  <c r="R54" i="11"/>
  <c r="G54" i="11"/>
  <c r="R53" i="11"/>
  <c r="G53" i="11"/>
  <c r="R52" i="11"/>
  <c r="G52" i="11"/>
  <c r="R51" i="11"/>
  <c r="G51" i="11"/>
  <c r="R50" i="11"/>
  <c r="G50" i="11"/>
  <c r="R49" i="11"/>
  <c r="G49" i="11"/>
  <c r="R48" i="11"/>
  <c r="G48" i="11"/>
  <c r="R47" i="11"/>
  <c r="G47" i="11"/>
  <c r="R46" i="11"/>
  <c r="G46" i="11"/>
  <c r="R45" i="11"/>
  <c r="O45" i="11"/>
  <c r="D45" i="11"/>
  <c r="G45" i="11" s="1"/>
  <c r="O44" i="11"/>
  <c r="O62" i="11" s="1"/>
  <c r="D44" i="11"/>
  <c r="G44" i="11" s="1"/>
  <c r="R43" i="11"/>
  <c r="G43" i="11"/>
  <c r="R42" i="11"/>
  <c r="G42" i="11"/>
  <c r="R41" i="11"/>
  <c r="G41" i="11"/>
  <c r="R40" i="11"/>
  <c r="G40" i="11"/>
  <c r="R39" i="11"/>
  <c r="G39" i="11"/>
  <c r="R38" i="11"/>
  <c r="G38" i="11"/>
  <c r="R37" i="11"/>
  <c r="G37" i="11"/>
  <c r="T35" i="11"/>
  <c r="Q35" i="11"/>
  <c r="Q572" i="11" s="1"/>
  <c r="P35" i="11"/>
  <c r="O35" i="11"/>
  <c r="I35" i="11"/>
  <c r="F35" i="11"/>
  <c r="E35" i="11"/>
  <c r="D35" i="11"/>
  <c r="R34" i="11"/>
  <c r="G34" i="11"/>
  <c r="R33" i="11"/>
  <c r="G33" i="11"/>
  <c r="R32" i="11"/>
  <c r="G32" i="11"/>
  <c r="R31" i="11"/>
  <c r="G31" i="11"/>
  <c r="R30" i="11"/>
  <c r="G30" i="11"/>
  <c r="R29" i="11"/>
  <c r="G29" i="11"/>
  <c r="R28" i="11"/>
  <c r="G28" i="11"/>
  <c r="R27" i="11"/>
  <c r="G27" i="11"/>
  <c r="R26" i="11"/>
  <c r="G26" i="11"/>
  <c r="R25" i="11"/>
  <c r="G25" i="11"/>
  <c r="R24" i="11"/>
  <c r="G24" i="11"/>
  <c r="R23" i="11"/>
  <c r="G23" i="11"/>
  <c r="R22" i="11"/>
  <c r="G22" i="11"/>
  <c r="R20" i="11"/>
  <c r="G20" i="11"/>
  <c r="R19" i="11"/>
  <c r="G19" i="11"/>
  <c r="R18" i="11"/>
  <c r="G18" i="11"/>
  <c r="R17" i="11"/>
  <c r="G17" i="11"/>
  <c r="R16" i="11"/>
  <c r="G16" i="11"/>
  <c r="O313" i="11" l="1"/>
  <c r="O572" i="11" s="1"/>
  <c r="H400" i="11"/>
  <c r="H476" i="11"/>
  <c r="H516" i="11"/>
  <c r="P257" i="11"/>
  <c r="S476" i="11"/>
  <c r="S35" i="11"/>
  <c r="H103" i="11"/>
  <c r="S115" i="11"/>
  <c r="H313" i="11"/>
  <c r="S358" i="11"/>
  <c r="R400" i="11"/>
  <c r="R476" i="11"/>
  <c r="R516" i="11"/>
  <c r="I587" i="11"/>
  <c r="F572" i="11"/>
  <c r="F573" i="11" s="1"/>
  <c r="F574" i="11" s="1"/>
  <c r="G358" i="11"/>
  <c r="H35" i="11"/>
  <c r="R103" i="11"/>
  <c r="S313" i="11"/>
  <c r="D313" i="11"/>
  <c r="H325" i="11"/>
  <c r="H429" i="11"/>
  <c r="H504" i="11"/>
  <c r="G35" i="11"/>
  <c r="S429" i="11"/>
  <c r="S504" i="11"/>
  <c r="P573" i="11"/>
  <c r="P574" i="11" s="1"/>
  <c r="T572" i="11"/>
  <c r="T587" i="11"/>
  <c r="D572" i="11"/>
  <c r="G561" i="11"/>
  <c r="Q573" i="11"/>
  <c r="Q574" i="11"/>
  <c r="G62" i="11"/>
  <c r="E572" i="11"/>
  <c r="D62" i="11"/>
  <c r="R257" i="11"/>
  <c r="R519" i="11"/>
  <c r="R313" i="11"/>
  <c r="R388" i="11"/>
  <c r="R504" i="11"/>
  <c r="R544" i="11"/>
  <c r="R585" i="11"/>
  <c r="S584" i="11" s="1"/>
  <c r="H62" i="11"/>
  <c r="D587" i="11" s="1"/>
  <c r="G103" i="11"/>
  <c r="G115" i="11"/>
  <c r="G313" i="11"/>
  <c r="G325" i="11"/>
  <c r="R358" i="11"/>
  <c r="S400" i="11"/>
  <c r="S516" i="11"/>
  <c r="H358" i="11"/>
  <c r="R429" i="11"/>
  <c r="R115" i="11"/>
  <c r="H561" i="11"/>
  <c r="R44" i="11"/>
  <c r="S62" i="11" s="1"/>
  <c r="S325" i="11"/>
  <c r="G388" i="11"/>
  <c r="G400" i="11"/>
  <c r="G504" i="11"/>
  <c r="G516" i="11"/>
  <c r="R35" i="11"/>
  <c r="G185" i="11"/>
  <c r="G257" i="11" s="1"/>
  <c r="O573" i="11" l="1"/>
  <c r="O574" i="11" s="1"/>
  <c r="R572" i="11"/>
  <c r="R62" i="11"/>
  <c r="H257" i="11"/>
  <c r="F582" i="11"/>
  <c r="F580" i="11"/>
  <c r="F581" i="11"/>
  <c r="S582" i="11"/>
  <c r="S581" i="11"/>
  <c r="S583" i="11"/>
  <c r="E573" i="11"/>
  <c r="E574" i="11" s="1"/>
  <c r="S561" i="11"/>
  <c r="O587" i="11" s="1"/>
  <c r="R561" i="11"/>
  <c r="S580" i="11"/>
  <c r="D574" i="11"/>
  <c r="G572" i="11"/>
  <c r="D573" i="11"/>
  <c r="S585" i="11" l="1"/>
  <c r="R573" i="11"/>
  <c r="R574" i="11" s="1"/>
  <c r="E581" i="11"/>
  <c r="E580" i="11"/>
  <c r="E582" i="11"/>
  <c r="D580" i="11"/>
  <c r="D581" i="11"/>
  <c r="G581" i="11" s="1"/>
  <c r="D582" i="11"/>
  <c r="F585" i="11"/>
  <c r="G574" i="11"/>
  <c r="G573" i="11"/>
  <c r="I588" i="11"/>
  <c r="O591" i="11" l="1"/>
  <c r="T588" i="11"/>
  <c r="O588" i="11"/>
  <c r="G582" i="11"/>
  <c r="E585" i="11"/>
  <c r="D591" i="11"/>
  <c r="D588" i="11"/>
  <c r="D585" i="11"/>
  <c r="G580" i="11"/>
  <c r="G585" i="11" s="1"/>
  <c r="T554" i="1" l="1"/>
  <c r="T188" i="1"/>
  <c r="T561" i="1" l="1"/>
  <c r="N45" i="8" l="1"/>
  <c r="N46" i="8"/>
  <c r="N47" i="8"/>
  <c r="N48" i="8"/>
  <c r="N49" i="8"/>
  <c r="N50" i="8"/>
  <c r="N44" i="8"/>
  <c r="M51" i="8"/>
  <c r="N51" i="8" s="1"/>
  <c r="L51" i="8"/>
  <c r="E37" i="8"/>
  <c r="E36" i="8"/>
  <c r="D37" i="8"/>
  <c r="D36" i="8"/>
  <c r="O21" i="8"/>
  <c r="O19" i="8"/>
  <c r="M27" i="8"/>
  <c r="N26" i="8"/>
  <c r="M26" i="8"/>
  <c r="N25" i="8"/>
  <c r="M25" i="8"/>
  <c r="O25" i="8" s="1"/>
  <c r="M24" i="8"/>
  <c r="M20" i="8"/>
  <c r="M18" i="8" s="1"/>
  <c r="M17" i="8"/>
  <c r="O17" i="8" s="1"/>
  <c r="N15" i="8"/>
  <c r="M16" i="8"/>
  <c r="O16" i="8" s="1"/>
  <c r="M13" i="8"/>
  <c r="M12" i="8"/>
  <c r="O12" i="8" s="1"/>
  <c r="N13" i="8"/>
  <c r="N18" i="8"/>
  <c r="N7" i="8"/>
  <c r="M7" i="8"/>
  <c r="O9" i="8"/>
  <c r="O8" i="8"/>
  <c r="M10" i="8"/>
  <c r="O10" i="8" s="1"/>
  <c r="O7" i="8" s="1"/>
  <c r="O26" i="8" l="1"/>
  <c r="F36" i="8"/>
  <c r="O13" i="8"/>
  <c r="O20" i="8"/>
  <c r="F37" i="8"/>
  <c r="M15" i="8"/>
  <c r="O15" i="8" s="1"/>
  <c r="O27" i="8"/>
  <c r="M52" i="8"/>
  <c r="M53" i="8"/>
  <c r="L52" i="8"/>
  <c r="N52" i="8" s="1"/>
  <c r="O18" i="8"/>
  <c r="O11" i="8"/>
  <c r="M23" i="8"/>
  <c r="M11" i="8"/>
  <c r="M22" i="8" s="1"/>
  <c r="N11" i="8"/>
  <c r="N22" i="8" s="1"/>
  <c r="L53" i="8" l="1"/>
  <c r="N53" i="8" s="1"/>
  <c r="M28" i="8"/>
  <c r="M29" i="8" s="1"/>
  <c r="M30" i="8" s="1"/>
  <c r="O22" i="8"/>
  <c r="R145" i="1"/>
  <c r="P544" i="1"/>
  <c r="P547" i="1" l="1"/>
  <c r="N24" i="8" s="1"/>
  <c r="O24" i="8" l="1"/>
  <c r="O23" i="8" s="1"/>
  <c r="N23" i="8"/>
  <c r="N28" i="8" s="1"/>
  <c r="P370" i="1"/>
  <c r="N29" i="8" l="1"/>
  <c r="O28" i="8"/>
  <c r="R226" i="1"/>
  <c r="R227" i="1"/>
  <c r="R228"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N30" i="8" l="1"/>
  <c r="O30" i="8" s="1"/>
  <c r="O29" i="8"/>
  <c r="O590" i="1"/>
  <c r="R218" i="1"/>
  <c r="R219" i="1"/>
  <c r="R220" i="1"/>
  <c r="R221" i="1"/>
  <c r="R222" i="1"/>
  <c r="R211" i="1"/>
  <c r="R212" i="1"/>
  <c r="R213" i="1"/>
  <c r="R214" i="1"/>
  <c r="R215" i="1"/>
  <c r="R216" i="1"/>
  <c r="P561" i="1"/>
  <c r="T178" i="5"/>
  <c r="T179" i="5" l="1"/>
  <c r="T180" i="5"/>
  <c r="T181" i="5"/>
  <c r="T182" i="5"/>
  <c r="T183" i="5"/>
  <c r="R372" i="1"/>
  <c r="R373" i="1"/>
  <c r="R247" i="1"/>
  <c r="P313" i="1"/>
  <c r="R240" i="1"/>
  <c r="R241" i="1"/>
  <c r="R242" i="1"/>
  <c r="R243" i="1"/>
  <c r="R244" i="1"/>
  <c r="R245" i="1"/>
  <c r="R246" i="1"/>
  <c r="P22" i="4" l="1"/>
  <c r="Q22" i="4"/>
  <c r="P23" i="4"/>
  <c r="P24" i="4"/>
  <c r="O23" i="4"/>
  <c r="O24" i="4"/>
  <c r="O22" i="4"/>
  <c r="P26" i="4"/>
  <c r="P25" i="4"/>
  <c r="R97" i="1"/>
  <c r="R541" i="1"/>
  <c r="R542" i="1"/>
  <c r="R543" i="1"/>
  <c r="R544" i="1"/>
  <c r="R545" i="1"/>
  <c r="R546" i="1"/>
  <c r="R547" i="1"/>
  <c r="R548" i="1"/>
  <c r="R549" i="1"/>
  <c r="R550" i="1"/>
  <c r="R551" i="1"/>
  <c r="R552" i="1"/>
  <c r="R553" i="1"/>
  <c r="R554" i="1"/>
  <c r="R555" i="1"/>
  <c r="R556" i="1"/>
  <c r="R557" i="1"/>
  <c r="R558" i="1"/>
  <c r="R559" i="1"/>
  <c r="R560" i="1"/>
  <c r="R540" i="1"/>
  <c r="R539"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354" i="1"/>
  <c r="R355" i="1"/>
  <c r="R356" i="1"/>
  <c r="R357" i="1"/>
  <c r="R236" i="1"/>
  <c r="R237" i="1"/>
  <c r="R238" i="1"/>
  <c r="R234" i="1"/>
  <c r="R230" i="1"/>
  <c r="R231" i="1"/>
  <c r="R232" i="1"/>
  <c r="R210" i="1"/>
  <c r="R217" i="1"/>
  <c r="R223" i="1"/>
  <c r="R224" i="1"/>
  <c r="R225" i="1"/>
  <c r="R229" i="1"/>
  <c r="R233" i="1"/>
  <c r="R235" i="1"/>
  <c r="R239" i="1"/>
  <c r="R248" i="1"/>
  <c r="R249" i="1"/>
  <c r="R250" i="1"/>
  <c r="R93" i="1"/>
  <c r="R94" i="1"/>
  <c r="R95" i="1"/>
  <c r="R96" i="1"/>
  <c r="R98" i="1"/>
  <c r="R99" i="1"/>
  <c r="R100" i="1"/>
  <c r="R101" i="1"/>
  <c r="Q26" i="4"/>
  <c r="Q15" i="4"/>
  <c r="Q16" i="4" s="1"/>
  <c r="Q7" i="4"/>
  <c r="P7" i="4"/>
  <c r="O7" i="4"/>
  <c r="T184" i="5"/>
  <c r="T177" i="5" s="1"/>
  <c r="S179" i="5"/>
  <c r="S180" i="5"/>
  <c r="S181" i="5"/>
  <c r="S182" i="5"/>
  <c r="S183" i="5"/>
  <c r="S184" i="5"/>
  <c r="T168" i="5"/>
  <c r="T169" i="5"/>
  <c r="T170" i="5"/>
  <c r="T171" i="5"/>
  <c r="T172" i="5"/>
  <c r="T173" i="5"/>
  <c r="T167" i="5"/>
  <c r="S168" i="5"/>
  <c r="S169" i="5"/>
  <c r="S170" i="5"/>
  <c r="S171" i="5"/>
  <c r="S172" i="5"/>
  <c r="S173" i="5"/>
  <c r="S167" i="5"/>
  <c r="T157" i="5"/>
  <c r="T158" i="5"/>
  <c r="T159" i="5"/>
  <c r="T160" i="5"/>
  <c r="T161" i="5"/>
  <c r="T162" i="5"/>
  <c r="T156" i="5"/>
  <c r="S157" i="5"/>
  <c r="S158" i="5"/>
  <c r="S159" i="5"/>
  <c r="S160" i="5"/>
  <c r="S161" i="5"/>
  <c r="S162" i="5"/>
  <c r="S156" i="5"/>
  <c r="T146" i="5"/>
  <c r="T147" i="5"/>
  <c r="T148" i="5"/>
  <c r="T149" i="5"/>
  <c r="T150" i="5"/>
  <c r="T151" i="5"/>
  <c r="T145" i="5"/>
  <c r="S146" i="5"/>
  <c r="S147" i="5"/>
  <c r="S148" i="5"/>
  <c r="S149" i="5"/>
  <c r="S150" i="5"/>
  <c r="S151" i="5"/>
  <c r="S145" i="5"/>
  <c r="T135" i="5"/>
  <c r="T136" i="5"/>
  <c r="T137" i="5"/>
  <c r="T138" i="5"/>
  <c r="T139" i="5"/>
  <c r="T140" i="5"/>
  <c r="T134" i="5"/>
  <c r="S135" i="5"/>
  <c r="S136" i="5"/>
  <c r="S137" i="5"/>
  <c r="S138" i="5"/>
  <c r="S139" i="5"/>
  <c r="S140" i="5"/>
  <c r="S134" i="5"/>
  <c r="T122" i="5"/>
  <c r="T123" i="5"/>
  <c r="T124" i="5"/>
  <c r="T125" i="5"/>
  <c r="T126" i="5"/>
  <c r="T127" i="5"/>
  <c r="T121" i="5"/>
  <c r="S122" i="5"/>
  <c r="S123" i="5"/>
  <c r="S124" i="5"/>
  <c r="S125" i="5"/>
  <c r="S126" i="5"/>
  <c r="S127" i="5"/>
  <c r="S121" i="5"/>
  <c r="T111" i="5"/>
  <c r="T112" i="5"/>
  <c r="T113" i="5"/>
  <c r="T114" i="5"/>
  <c r="T115" i="5"/>
  <c r="T116" i="5"/>
  <c r="T110" i="5"/>
  <c r="S111" i="5"/>
  <c r="S112" i="5"/>
  <c r="S113" i="5"/>
  <c r="S114" i="5"/>
  <c r="S115" i="5"/>
  <c r="S116" i="5"/>
  <c r="S110" i="5"/>
  <c r="T100" i="5"/>
  <c r="T101" i="5"/>
  <c r="T102" i="5"/>
  <c r="T103" i="5"/>
  <c r="T104" i="5"/>
  <c r="T105" i="5"/>
  <c r="T99" i="5"/>
  <c r="S100" i="5"/>
  <c r="S101" i="5"/>
  <c r="S102" i="5"/>
  <c r="S103" i="5"/>
  <c r="S104" i="5"/>
  <c r="S105" i="5"/>
  <c r="S99" i="5"/>
  <c r="T87" i="5"/>
  <c r="T88" i="5"/>
  <c r="T89" i="5"/>
  <c r="T90" i="5"/>
  <c r="T91" i="5"/>
  <c r="T92" i="5"/>
  <c r="T86" i="5"/>
  <c r="S87" i="5"/>
  <c r="S88" i="5"/>
  <c r="S89" i="5"/>
  <c r="S90" i="5"/>
  <c r="S91" i="5"/>
  <c r="S92" i="5"/>
  <c r="S86" i="5"/>
  <c r="T76" i="5"/>
  <c r="T77" i="5"/>
  <c r="T78" i="5"/>
  <c r="T79" i="5"/>
  <c r="T80" i="5"/>
  <c r="T81" i="5"/>
  <c r="T75" i="5"/>
  <c r="S76" i="5"/>
  <c r="S77" i="5"/>
  <c r="S78" i="5"/>
  <c r="S80" i="5"/>
  <c r="S81" i="5"/>
  <c r="S75" i="5"/>
  <c r="T65" i="5"/>
  <c r="T66" i="5"/>
  <c r="T67" i="5"/>
  <c r="T68" i="5"/>
  <c r="T69" i="5"/>
  <c r="T70" i="5"/>
  <c r="T64" i="5"/>
  <c r="S65" i="5"/>
  <c r="S66" i="5"/>
  <c r="S67" i="5"/>
  <c r="S68" i="5"/>
  <c r="S69" i="5"/>
  <c r="S70" i="5"/>
  <c r="S64" i="5"/>
  <c r="T53" i="5"/>
  <c r="T54" i="5"/>
  <c r="T55" i="5"/>
  <c r="T56" i="5"/>
  <c r="T57" i="5"/>
  <c r="T58" i="5"/>
  <c r="T52" i="5"/>
  <c r="S53" i="5"/>
  <c r="S54" i="5"/>
  <c r="S55" i="5"/>
  <c r="S56" i="5"/>
  <c r="S57" i="5"/>
  <c r="S58" i="5"/>
  <c r="S52" i="5"/>
  <c r="T42" i="5"/>
  <c r="T43" i="5"/>
  <c r="T44" i="5"/>
  <c r="T45" i="5"/>
  <c r="T46" i="5"/>
  <c r="T47" i="5"/>
  <c r="T41" i="5"/>
  <c r="S42" i="5"/>
  <c r="S43" i="5"/>
  <c r="S44" i="5"/>
  <c r="S45" i="5"/>
  <c r="S46" i="5"/>
  <c r="S47" i="5"/>
  <c r="S41" i="5"/>
  <c r="T31" i="5"/>
  <c r="T32" i="5"/>
  <c r="T33" i="5"/>
  <c r="T34" i="5"/>
  <c r="T35" i="5"/>
  <c r="T36" i="5"/>
  <c r="T30" i="5"/>
  <c r="S31" i="5"/>
  <c r="S32" i="5"/>
  <c r="S33" i="5"/>
  <c r="S34" i="5"/>
  <c r="S36" i="5"/>
  <c r="S30" i="5"/>
  <c r="T19" i="5"/>
  <c r="T20" i="5"/>
  <c r="T21" i="5"/>
  <c r="T22" i="5"/>
  <c r="T23" i="5"/>
  <c r="T25" i="5"/>
  <c r="T24" i="5"/>
  <c r="S25" i="5"/>
  <c r="S19" i="5"/>
  <c r="S20" i="5"/>
  <c r="S21" i="5"/>
  <c r="S22" i="5"/>
  <c r="S23" i="5"/>
  <c r="S24" i="5"/>
  <c r="K25" i="5"/>
  <c r="K19" i="5"/>
  <c r="K20" i="5"/>
  <c r="K21" i="5"/>
  <c r="K22" i="5"/>
  <c r="K23" i="5"/>
  <c r="K24" i="5"/>
  <c r="U189" i="5"/>
  <c r="U184" i="5"/>
  <c r="U183" i="5"/>
  <c r="U182" i="5"/>
  <c r="U181" i="5"/>
  <c r="U180" i="5"/>
  <c r="U179" i="5"/>
  <c r="U178" i="5"/>
  <c r="U173" i="5"/>
  <c r="U172" i="5"/>
  <c r="U171" i="5"/>
  <c r="U170" i="5"/>
  <c r="U169" i="5"/>
  <c r="U168" i="5"/>
  <c r="U167" i="5"/>
  <c r="U162" i="5"/>
  <c r="U161" i="5"/>
  <c r="U160" i="5"/>
  <c r="U159" i="5"/>
  <c r="U158" i="5"/>
  <c r="U157" i="5"/>
  <c r="U156" i="5"/>
  <c r="U151" i="5"/>
  <c r="U150" i="5"/>
  <c r="U149" i="5"/>
  <c r="U148" i="5"/>
  <c r="U147" i="5"/>
  <c r="U146" i="5"/>
  <c r="U145" i="5"/>
  <c r="U140" i="5"/>
  <c r="U139" i="5"/>
  <c r="U138" i="5"/>
  <c r="U137" i="5"/>
  <c r="U136" i="5"/>
  <c r="U135" i="5"/>
  <c r="U134" i="5"/>
  <c r="U127" i="5"/>
  <c r="U126" i="5"/>
  <c r="U125" i="5"/>
  <c r="U124" i="5"/>
  <c r="U123" i="5"/>
  <c r="U122" i="5"/>
  <c r="U121" i="5"/>
  <c r="U116" i="5"/>
  <c r="U115" i="5"/>
  <c r="U114" i="5"/>
  <c r="U113" i="5"/>
  <c r="U112" i="5"/>
  <c r="U111" i="5"/>
  <c r="U110" i="5"/>
  <c r="U105" i="5"/>
  <c r="U104" i="5"/>
  <c r="U103" i="5"/>
  <c r="U102" i="5"/>
  <c r="U101" i="5"/>
  <c r="U100" i="5"/>
  <c r="U99" i="5"/>
  <c r="U92" i="5"/>
  <c r="U91" i="5"/>
  <c r="U90" i="5"/>
  <c r="U89" i="5"/>
  <c r="U88" i="5"/>
  <c r="U87" i="5"/>
  <c r="U86" i="5"/>
  <c r="U81" i="5"/>
  <c r="U80" i="5"/>
  <c r="U79" i="5"/>
  <c r="U78" i="5"/>
  <c r="U77" i="5"/>
  <c r="U76" i="5"/>
  <c r="U75" i="5"/>
  <c r="U70" i="5"/>
  <c r="U69" i="5"/>
  <c r="U68" i="5"/>
  <c r="U67" i="5"/>
  <c r="U66" i="5"/>
  <c r="U65" i="5"/>
  <c r="U64" i="5"/>
  <c r="U58" i="5"/>
  <c r="U57" i="5"/>
  <c r="U56" i="5"/>
  <c r="U55" i="5"/>
  <c r="U54" i="5"/>
  <c r="U53" i="5"/>
  <c r="U52" i="5"/>
  <c r="U47" i="5"/>
  <c r="U46" i="5"/>
  <c r="U45" i="5"/>
  <c r="U44" i="5"/>
  <c r="U43" i="5"/>
  <c r="U42" i="5"/>
  <c r="U41" i="5"/>
  <c r="U36" i="5"/>
  <c r="U35" i="5"/>
  <c r="U34" i="5"/>
  <c r="U33" i="5"/>
  <c r="U32" i="5"/>
  <c r="U31" i="5"/>
  <c r="U30" i="5"/>
  <c r="U25" i="5"/>
  <c r="U24" i="5"/>
  <c r="U23" i="5"/>
  <c r="U22" i="5"/>
  <c r="U21" i="5"/>
  <c r="U20" i="5"/>
  <c r="U19" i="5"/>
  <c r="R408" i="1"/>
  <c r="R407" i="1"/>
  <c r="R406" i="1"/>
  <c r="R405" i="1"/>
  <c r="R404" i="1"/>
  <c r="R371" i="1"/>
  <c r="R370" i="1"/>
  <c r="R368" i="1"/>
  <c r="R367" i="1"/>
  <c r="R366" i="1"/>
  <c r="R365" i="1"/>
  <c r="R364" i="1"/>
  <c r="R363" i="1"/>
  <c r="R362" i="1"/>
  <c r="R361" i="1"/>
  <c r="R360" i="1"/>
  <c r="R353" i="1"/>
  <c r="R352" i="1"/>
  <c r="R351" i="1"/>
  <c r="R350" i="1"/>
  <c r="R349" i="1"/>
  <c r="R348" i="1"/>
  <c r="R347" i="1"/>
  <c r="R346" i="1"/>
  <c r="R345" i="1"/>
  <c r="R344" i="1"/>
  <c r="R343" i="1"/>
  <c r="R342" i="1"/>
  <c r="R341" i="1"/>
  <c r="R340" i="1"/>
  <c r="R339" i="1"/>
  <c r="R338" i="1"/>
  <c r="R337" i="1"/>
  <c r="R336" i="1"/>
  <c r="R335" i="1"/>
  <c r="R334" i="1"/>
  <c r="R333" i="1"/>
  <c r="R332" i="1"/>
  <c r="R331" i="1"/>
  <c r="R330" i="1"/>
  <c r="R329" i="1"/>
  <c r="R283" i="1"/>
  <c r="R282" i="1"/>
  <c r="R281" i="1"/>
  <c r="R280" i="1"/>
  <c r="R279" i="1"/>
  <c r="R278" i="1"/>
  <c r="R277" i="1"/>
  <c r="R276" i="1"/>
  <c r="R275" i="1"/>
  <c r="R274" i="1"/>
  <c r="R273" i="1"/>
  <c r="R272" i="1"/>
  <c r="R271" i="1"/>
  <c r="O270" i="1"/>
  <c r="O313" i="1" s="1"/>
  <c r="R269" i="1"/>
  <c r="R268" i="1"/>
  <c r="R267" i="1"/>
  <c r="R266" i="1"/>
  <c r="R265" i="1"/>
  <c r="R264" i="1"/>
  <c r="R263" i="1"/>
  <c r="R262" i="1"/>
  <c r="R261" i="1"/>
  <c r="R260" i="1"/>
  <c r="R259" i="1"/>
  <c r="R209" i="1"/>
  <c r="R208" i="1"/>
  <c r="R207" i="1"/>
  <c r="R206" i="1"/>
  <c r="R205" i="1"/>
  <c r="R203" i="1"/>
  <c r="R202" i="1"/>
  <c r="R201" i="1"/>
  <c r="R200" i="1"/>
  <c r="R199" i="1"/>
  <c r="R198" i="1"/>
  <c r="R197" i="1"/>
  <c r="R196" i="1"/>
  <c r="R195" i="1"/>
  <c r="R194" i="1"/>
  <c r="R193" i="1"/>
  <c r="R192" i="1"/>
  <c r="R191" i="1"/>
  <c r="R190" i="1"/>
  <c r="R189" i="1"/>
  <c r="R188" i="1"/>
  <c r="R187" i="1"/>
  <c r="R186" i="1"/>
  <c r="P185" i="1"/>
  <c r="R185" i="1" s="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1" i="1"/>
  <c r="R60" i="1"/>
  <c r="R59" i="1"/>
  <c r="R58" i="1"/>
  <c r="R57" i="1"/>
  <c r="R56" i="1"/>
  <c r="R55" i="1"/>
  <c r="R54" i="1"/>
  <c r="R53" i="1"/>
  <c r="R52" i="1"/>
  <c r="R51" i="1"/>
  <c r="R50" i="1"/>
  <c r="R49" i="1"/>
  <c r="R48" i="1"/>
  <c r="R47" i="1"/>
  <c r="R46" i="1"/>
  <c r="O45" i="1"/>
  <c r="R45" i="1" s="1"/>
  <c r="O44" i="1"/>
  <c r="R43" i="1"/>
  <c r="R42" i="1"/>
  <c r="R41" i="1"/>
  <c r="R40" i="1"/>
  <c r="R39" i="1"/>
  <c r="R38" i="1"/>
  <c r="R37" i="1"/>
  <c r="R29" i="1"/>
  <c r="R28" i="1"/>
  <c r="R27" i="1"/>
  <c r="R26" i="1"/>
  <c r="R25" i="1"/>
  <c r="R24" i="1"/>
  <c r="R23" i="1"/>
  <c r="R22" i="1"/>
  <c r="R20" i="1"/>
  <c r="R19" i="1"/>
  <c r="R18" i="1"/>
  <c r="R17" i="1"/>
  <c r="R16" i="1"/>
  <c r="T358" i="1"/>
  <c r="Q358" i="1"/>
  <c r="P358" i="1"/>
  <c r="O358" i="1"/>
  <c r="F358" i="1"/>
  <c r="I358" i="1"/>
  <c r="E358" i="1"/>
  <c r="D358" i="1"/>
  <c r="G251" i="1"/>
  <c r="R251" i="1"/>
  <c r="G269" i="1"/>
  <c r="D270" i="1"/>
  <c r="G270" i="1" s="1"/>
  <c r="G271" i="1"/>
  <c r="G272" i="1"/>
  <c r="G273" i="1"/>
  <c r="G209" i="1"/>
  <c r="G208" i="1"/>
  <c r="G207" i="1"/>
  <c r="G206" i="1"/>
  <c r="G205" i="1"/>
  <c r="Q579" i="1"/>
  <c r="P579" i="1"/>
  <c r="O579" i="1"/>
  <c r="Q571" i="1"/>
  <c r="P571" i="1"/>
  <c r="O571" i="1"/>
  <c r="Q561" i="1"/>
  <c r="R535" i="1"/>
  <c r="R534" i="1"/>
  <c r="R533" i="1"/>
  <c r="R532" i="1"/>
  <c r="R531" i="1"/>
  <c r="R530" i="1"/>
  <c r="R529" i="1"/>
  <c r="R528" i="1"/>
  <c r="R527" i="1"/>
  <c r="R526" i="1"/>
  <c r="R525" i="1"/>
  <c r="R524" i="1"/>
  <c r="R523" i="1"/>
  <c r="R522" i="1"/>
  <c r="O521" i="1"/>
  <c r="R520" i="1"/>
  <c r="O519" i="1"/>
  <c r="T516" i="1"/>
  <c r="Q516" i="1"/>
  <c r="P516" i="1"/>
  <c r="O516" i="1"/>
  <c r="R515" i="1"/>
  <c r="R514" i="1"/>
  <c r="R513" i="1"/>
  <c r="R512" i="1"/>
  <c r="R511" i="1"/>
  <c r="R510" i="1"/>
  <c r="R509" i="1"/>
  <c r="R508" i="1"/>
  <c r="R507" i="1"/>
  <c r="R506" i="1"/>
  <c r="T504" i="1"/>
  <c r="Q504" i="1"/>
  <c r="P504" i="1"/>
  <c r="O504" i="1"/>
  <c r="R503" i="1"/>
  <c r="R502" i="1"/>
  <c r="R501" i="1"/>
  <c r="R500" i="1"/>
  <c r="R499" i="1"/>
  <c r="R498" i="1"/>
  <c r="R497" i="1"/>
  <c r="R496" i="1"/>
  <c r="R495" i="1"/>
  <c r="R494" i="1"/>
  <c r="R493" i="1"/>
  <c r="R492" i="1"/>
  <c r="R491" i="1"/>
  <c r="R490" i="1"/>
  <c r="R489" i="1"/>
  <c r="R488" i="1"/>
  <c r="R487" i="1"/>
  <c r="R486" i="1"/>
  <c r="R485" i="1"/>
  <c r="R484" i="1"/>
  <c r="R483" i="1"/>
  <c r="R482" i="1"/>
  <c r="R481" i="1"/>
  <c r="R480" i="1"/>
  <c r="R479" i="1"/>
  <c r="R478" i="1"/>
  <c r="T476" i="1"/>
  <c r="Q476" i="1"/>
  <c r="P476" i="1"/>
  <c r="O476" i="1"/>
  <c r="R450" i="1"/>
  <c r="R449" i="1"/>
  <c r="R448" i="1"/>
  <c r="R447" i="1"/>
  <c r="R446" i="1"/>
  <c r="R445" i="1"/>
  <c r="R444" i="1"/>
  <c r="R443" i="1"/>
  <c r="R442" i="1"/>
  <c r="R441" i="1"/>
  <c r="R440" i="1"/>
  <c r="R439" i="1"/>
  <c r="R438" i="1"/>
  <c r="R437" i="1"/>
  <c r="R436" i="1"/>
  <c r="R435" i="1"/>
  <c r="R434" i="1"/>
  <c r="R433" i="1"/>
  <c r="R432" i="1"/>
  <c r="R431" i="1"/>
  <c r="T429" i="1"/>
  <c r="Q429" i="1"/>
  <c r="P429" i="1"/>
  <c r="O429" i="1"/>
  <c r="R428" i="1"/>
  <c r="R427" i="1"/>
  <c r="R426" i="1"/>
  <c r="R425" i="1"/>
  <c r="R424" i="1"/>
  <c r="R423" i="1"/>
  <c r="R422" i="1"/>
  <c r="R421" i="1"/>
  <c r="R420" i="1"/>
  <c r="R419" i="1"/>
  <c r="R418" i="1"/>
  <c r="R417" i="1"/>
  <c r="R416" i="1"/>
  <c r="R415" i="1"/>
  <c r="R414" i="1"/>
  <c r="R413" i="1"/>
  <c r="R412" i="1"/>
  <c r="R411" i="1"/>
  <c r="R410" i="1"/>
  <c r="R409" i="1"/>
  <c r="T400" i="1"/>
  <c r="Q400" i="1"/>
  <c r="P400" i="1"/>
  <c r="O400" i="1"/>
  <c r="R399" i="1"/>
  <c r="R398" i="1"/>
  <c r="R397" i="1"/>
  <c r="R396" i="1"/>
  <c r="R395" i="1"/>
  <c r="R394" i="1"/>
  <c r="R393" i="1"/>
  <c r="R392" i="1"/>
  <c r="R391" i="1"/>
  <c r="R390" i="1"/>
  <c r="T388" i="1"/>
  <c r="Q388" i="1"/>
  <c r="P388" i="1"/>
  <c r="O388" i="1"/>
  <c r="R387" i="1"/>
  <c r="R386" i="1"/>
  <c r="R385" i="1"/>
  <c r="R384" i="1"/>
  <c r="R383" i="1"/>
  <c r="R382" i="1"/>
  <c r="R381" i="1"/>
  <c r="R380" i="1"/>
  <c r="R379" i="1"/>
  <c r="R378" i="1"/>
  <c r="R377" i="1"/>
  <c r="R375" i="1"/>
  <c r="R374" i="1"/>
  <c r="T325" i="1"/>
  <c r="Q325" i="1"/>
  <c r="P325" i="1"/>
  <c r="O325" i="1"/>
  <c r="R324" i="1"/>
  <c r="R323" i="1"/>
  <c r="R322" i="1"/>
  <c r="R321" i="1"/>
  <c r="R320" i="1"/>
  <c r="R319" i="1"/>
  <c r="R318" i="1"/>
  <c r="R317" i="1"/>
  <c r="R316" i="1"/>
  <c r="R315" i="1"/>
  <c r="T313" i="1"/>
  <c r="Q313" i="1"/>
  <c r="R284" i="1"/>
  <c r="T257" i="1"/>
  <c r="Q257" i="1"/>
  <c r="R256" i="1"/>
  <c r="R255" i="1"/>
  <c r="R254" i="1"/>
  <c r="R253" i="1"/>
  <c r="R252" i="1"/>
  <c r="T115" i="1"/>
  <c r="Q115" i="1"/>
  <c r="P115" i="1"/>
  <c r="O115" i="1"/>
  <c r="R114" i="1"/>
  <c r="R113" i="1"/>
  <c r="R112" i="1"/>
  <c r="R111" i="1"/>
  <c r="R110" i="1"/>
  <c r="R109" i="1"/>
  <c r="R108" i="1"/>
  <c r="R107" i="1"/>
  <c r="R106" i="1"/>
  <c r="R105" i="1"/>
  <c r="T103" i="1"/>
  <c r="Q103" i="1"/>
  <c r="P103" i="1"/>
  <c r="O103" i="1"/>
  <c r="R102" i="1"/>
  <c r="T62" i="1"/>
  <c r="Q62" i="1"/>
  <c r="P62" i="1"/>
  <c r="T35" i="1"/>
  <c r="Q35" i="1"/>
  <c r="P35" i="1"/>
  <c r="O35" i="1"/>
  <c r="R34" i="1"/>
  <c r="R33" i="1"/>
  <c r="R32" i="1"/>
  <c r="R31" i="1"/>
  <c r="R30" i="1"/>
  <c r="E27" i="8"/>
  <c r="D27" i="8"/>
  <c r="E26" i="8"/>
  <c r="D26" i="8"/>
  <c r="E25" i="8"/>
  <c r="D25" i="8"/>
  <c r="E24" i="8"/>
  <c r="K27" i="8"/>
  <c r="Q27" i="8" s="1"/>
  <c r="J27" i="8"/>
  <c r="P27" i="8" s="1"/>
  <c r="K26" i="8"/>
  <c r="Q26" i="8" s="1"/>
  <c r="J26" i="8"/>
  <c r="K25" i="8"/>
  <c r="J25" i="8"/>
  <c r="P25" i="8" s="1"/>
  <c r="K24" i="8"/>
  <c r="Q24" i="8" s="1"/>
  <c r="D7" i="4"/>
  <c r="M189" i="5"/>
  <c r="L189" i="5"/>
  <c r="K189" i="5"/>
  <c r="F189" i="5"/>
  <c r="T587" i="1" l="1"/>
  <c r="T572" i="1"/>
  <c r="S103" i="1"/>
  <c r="I25" i="8"/>
  <c r="Q25" i="8"/>
  <c r="R25" i="8" s="1"/>
  <c r="R27" i="8"/>
  <c r="H26" i="8"/>
  <c r="P26" i="8"/>
  <c r="R26" i="8" s="1"/>
  <c r="S358" i="1"/>
  <c r="I26" i="8"/>
  <c r="U18" i="5"/>
  <c r="U109" i="5"/>
  <c r="T98" i="5"/>
  <c r="T144" i="5"/>
  <c r="U98" i="5"/>
  <c r="T51" i="5"/>
  <c r="S98" i="5"/>
  <c r="S144" i="5"/>
  <c r="S63" i="5"/>
  <c r="U85" i="5"/>
  <c r="U177" i="5"/>
  <c r="S51" i="5"/>
  <c r="T85" i="5"/>
  <c r="T133" i="5"/>
  <c r="U74" i="5"/>
  <c r="U166" i="5"/>
  <c r="T40" i="5"/>
  <c r="S85" i="5"/>
  <c r="S133" i="5"/>
  <c r="H27" i="8"/>
  <c r="U63" i="5"/>
  <c r="U155" i="5"/>
  <c r="S40" i="5"/>
  <c r="T74" i="5"/>
  <c r="T120" i="5"/>
  <c r="T166" i="5"/>
  <c r="U51" i="5"/>
  <c r="U144" i="5"/>
  <c r="T29" i="5"/>
  <c r="S120" i="5"/>
  <c r="S166" i="5"/>
  <c r="U40" i="5"/>
  <c r="U133" i="5"/>
  <c r="S26" i="5"/>
  <c r="S18" i="5"/>
  <c r="T18" i="5"/>
  <c r="T155" i="5"/>
  <c r="I27" i="8"/>
  <c r="U29" i="5"/>
  <c r="U120" i="5"/>
  <c r="S109" i="5"/>
  <c r="S155" i="5"/>
  <c r="T109" i="5"/>
  <c r="T63" i="5"/>
  <c r="T190" i="5"/>
  <c r="S257" i="1"/>
  <c r="R584" i="1"/>
  <c r="S388" i="1"/>
  <c r="V33" i="5"/>
  <c r="V111" i="5"/>
  <c r="V148" i="5"/>
  <c r="V21" i="5"/>
  <c r="V112" i="5"/>
  <c r="V31" i="5"/>
  <c r="V32" i="5"/>
  <c r="V113" i="5"/>
  <c r="V150" i="5"/>
  <c r="V168" i="5"/>
  <c r="V68" i="5"/>
  <c r="V77" i="5"/>
  <c r="V123" i="5"/>
  <c r="V160" i="5"/>
  <c r="V169" i="5"/>
  <c r="R583" i="1"/>
  <c r="O561" i="1"/>
  <c r="O26" i="4"/>
  <c r="O25" i="4"/>
  <c r="V56" i="5"/>
  <c r="S476" i="1"/>
  <c r="V182" i="5"/>
  <c r="T106" i="5"/>
  <c r="V101" i="5"/>
  <c r="V66" i="5"/>
  <c r="V67" i="5"/>
  <c r="V87" i="5"/>
  <c r="V125" i="5"/>
  <c r="V179" i="5"/>
  <c r="V136" i="5"/>
  <c r="U152" i="5"/>
  <c r="V53" i="5"/>
  <c r="V100" i="5"/>
  <c r="V180" i="5"/>
  <c r="V44" i="5"/>
  <c r="T128" i="5"/>
  <c r="T174" i="5"/>
  <c r="U196" i="5"/>
  <c r="U82" i="5"/>
  <c r="S174" i="5"/>
  <c r="V124" i="5"/>
  <c r="U59" i="5"/>
  <c r="U192" i="5"/>
  <c r="U37" i="5"/>
  <c r="V78" i="5"/>
  <c r="S106" i="5"/>
  <c r="U128" i="5"/>
  <c r="V88" i="5"/>
  <c r="U106" i="5"/>
  <c r="R519" i="1"/>
  <c r="S178" i="5"/>
  <c r="R44" i="1"/>
  <c r="S62" i="1" s="1"/>
  <c r="S35" i="5"/>
  <c r="V35" i="5" s="1"/>
  <c r="R270" i="1"/>
  <c r="R313" i="1" s="1"/>
  <c r="S79" i="5"/>
  <c r="S194" i="5" s="1"/>
  <c r="O12" i="4" s="1"/>
  <c r="U26" i="5"/>
  <c r="U194" i="5"/>
  <c r="V23" i="5"/>
  <c r="U48" i="5"/>
  <c r="U71" i="5"/>
  <c r="U93" i="5"/>
  <c r="U117" i="5"/>
  <c r="U141" i="5"/>
  <c r="U163" i="5"/>
  <c r="U174" i="5"/>
  <c r="U190" i="5"/>
  <c r="U193" i="5"/>
  <c r="U195" i="5"/>
  <c r="V172" i="5"/>
  <c r="U185" i="5"/>
  <c r="V34" i="5"/>
  <c r="T37" i="5"/>
  <c r="V41" i="5"/>
  <c r="V46" i="5"/>
  <c r="V45" i="5"/>
  <c r="V47" i="5"/>
  <c r="V43" i="5"/>
  <c r="T48" i="5"/>
  <c r="V55" i="5"/>
  <c r="V54" i="5"/>
  <c r="V64" i="5"/>
  <c r="V69" i="5"/>
  <c r="V81" i="5"/>
  <c r="V80" i="5"/>
  <c r="V76" i="5"/>
  <c r="V89" i="5"/>
  <c r="V92" i="5"/>
  <c r="V103" i="5"/>
  <c r="V102" i="5"/>
  <c r="V115" i="5"/>
  <c r="V114" i="5"/>
  <c r="V122" i="5"/>
  <c r="V126" i="5"/>
  <c r="V140" i="5"/>
  <c r="V149" i="5"/>
  <c r="V146" i="5"/>
  <c r="V147" i="5"/>
  <c r="V158" i="5"/>
  <c r="V173" i="5"/>
  <c r="V171" i="5"/>
  <c r="V170" i="5"/>
  <c r="V184" i="5"/>
  <c r="V181" i="5"/>
  <c r="Q17" i="4"/>
  <c r="V183" i="5"/>
  <c r="T185" i="5"/>
  <c r="V162" i="5"/>
  <c r="V156" i="5"/>
  <c r="T163" i="5"/>
  <c r="T152" i="5"/>
  <c r="V145" i="5"/>
  <c r="V151" i="5"/>
  <c r="V139" i="5"/>
  <c r="V137" i="5"/>
  <c r="V138" i="5"/>
  <c r="V134" i="5"/>
  <c r="T141" i="5"/>
  <c r="S141" i="5"/>
  <c r="V127" i="5"/>
  <c r="V121" i="5"/>
  <c r="V116" i="5"/>
  <c r="V110" i="5"/>
  <c r="T117" i="5"/>
  <c r="V105" i="5"/>
  <c r="V104" i="5"/>
  <c r="V91" i="5"/>
  <c r="V90" i="5"/>
  <c r="V86" i="5"/>
  <c r="T93" i="5"/>
  <c r="T82" i="5"/>
  <c r="T194" i="5"/>
  <c r="V70" i="5"/>
  <c r="T71" i="5"/>
  <c r="S71" i="5"/>
  <c r="V57" i="5"/>
  <c r="T59" i="5"/>
  <c r="V58" i="5"/>
  <c r="S59" i="5"/>
  <c r="T192" i="5"/>
  <c r="P10" i="4" s="1"/>
  <c r="S48" i="5"/>
  <c r="V36" i="5"/>
  <c r="S196" i="5"/>
  <c r="O14" i="4" s="1"/>
  <c r="V25" i="5"/>
  <c r="U191" i="5"/>
  <c r="T196" i="5"/>
  <c r="S192" i="5"/>
  <c r="O10" i="4" s="1"/>
  <c r="V19" i="5"/>
  <c r="V22" i="5"/>
  <c r="S193" i="5"/>
  <c r="O11" i="4" s="1"/>
  <c r="T195" i="5"/>
  <c r="V20" i="5"/>
  <c r="S191" i="5"/>
  <c r="O9" i="4" s="1"/>
  <c r="T193" i="5"/>
  <c r="T26" i="5"/>
  <c r="S117" i="5"/>
  <c r="S163" i="5"/>
  <c r="V42" i="5"/>
  <c r="V65" i="5"/>
  <c r="V75" i="5"/>
  <c r="V135" i="5"/>
  <c r="V159" i="5"/>
  <c r="V161" i="5"/>
  <c r="V167" i="5"/>
  <c r="S128" i="5"/>
  <c r="S152" i="5"/>
  <c r="T191" i="5"/>
  <c r="S93" i="5"/>
  <c r="V30" i="5"/>
  <c r="V52" i="5"/>
  <c r="V99" i="5"/>
  <c r="V157" i="5"/>
  <c r="R358" i="1"/>
  <c r="O257" i="1"/>
  <c r="Q572" i="1"/>
  <c r="Q573" i="1" s="1"/>
  <c r="Q574" i="1" s="1"/>
  <c r="R476" i="1"/>
  <c r="S115" i="1"/>
  <c r="L25" i="8"/>
  <c r="R400" i="1"/>
  <c r="S516" i="1"/>
  <c r="R388" i="1"/>
  <c r="S504" i="1"/>
  <c r="R516" i="1"/>
  <c r="R115" i="1"/>
  <c r="S400" i="1"/>
  <c r="R504" i="1"/>
  <c r="L27" i="8"/>
  <c r="S325" i="1"/>
  <c r="S429" i="1"/>
  <c r="K23" i="8"/>
  <c r="L26" i="8"/>
  <c r="I24" i="8"/>
  <c r="H25" i="8"/>
  <c r="R103" i="1"/>
  <c r="S35" i="1"/>
  <c r="R257" i="1"/>
  <c r="R429" i="1"/>
  <c r="O62" i="1"/>
  <c r="R325" i="1"/>
  <c r="R35" i="1"/>
  <c r="P257" i="1"/>
  <c r="P572" i="1" s="1"/>
  <c r="R521" i="1"/>
  <c r="V98" i="5" l="1"/>
  <c r="Q23" i="8"/>
  <c r="V120" i="5"/>
  <c r="V133" i="5"/>
  <c r="V51" i="5"/>
  <c r="V18" i="5"/>
  <c r="I23" i="8"/>
  <c r="V85" i="5"/>
  <c r="V155" i="5"/>
  <c r="V40" i="5"/>
  <c r="V166" i="5"/>
  <c r="V144" i="5"/>
  <c r="V63" i="5"/>
  <c r="P14" i="4"/>
  <c r="P13" i="4"/>
  <c r="V109" i="5"/>
  <c r="S74" i="5"/>
  <c r="V74" i="5" s="1"/>
  <c r="V178" i="5"/>
  <c r="S177" i="5"/>
  <c r="V177" i="5" s="1"/>
  <c r="S29" i="5"/>
  <c r="V29" i="5" s="1"/>
  <c r="S313" i="1"/>
  <c r="P11" i="4"/>
  <c r="P8" i="4"/>
  <c r="P12" i="4"/>
  <c r="P9" i="4"/>
  <c r="S561" i="1"/>
  <c r="R561" i="1"/>
  <c r="S185" i="5"/>
  <c r="V185" i="5" s="1"/>
  <c r="R62" i="1"/>
  <c r="V174" i="5"/>
  <c r="V106" i="5"/>
  <c r="V48" i="5"/>
  <c r="V79" i="5"/>
  <c r="S37" i="5"/>
  <c r="V37" i="5" s="1"/>
  <c r="S82" i="5"/>
  <c r="V82" i="5" s="1"/>
  <c r="S190" i="5"/>
  <c r="O8" i="4" s="1"/>
  <c r="V128" i="5"/>
  <c r="V93" i="5"/>
  <c r="U197" i="5"/>
  <c r="U198" i="5" s="1"/>
  <c r="U199" i="5" s="1"/>
  <c r="V59" i="5"/>
  <c r="V163" i="5"/>
  <c r="V152" i="5"/>
  <c r="V141" i="5"/>
  <c r="V117" i="5"/>
  <c r="V194" i="5"/>
  <c r="V192" i="5"/>
  <c r="V71" i="5"/>
  <c r="V191" i="5"/>
  <c r="V196" i="5"/>
  <c r="V193" i="5"/>
  <c r="T197" i="5"/>
  <c r="O572" i="1"/>
  <c r="R572" i="1" s="1"/>
  <c r="P573" i="1"/>
  <c r="P574" i="1" s="1"/>
  <c r="O587" i="1" l="1"/>
  <c r="T198" i="5"/>
  <c r="T199" i="5" s="1"/>
  <c r="V190" i="5"/>
  <c r="O573" i="1"/>
  <c r="O574" i="1" s="1"/>
  <c r="R573" i="1"/>
  <c r="R574" i="1" s="1"/>
  <c r="O591" i="1" l="1"/>
  <c r="O588" i="1"/>
  <c r="F179" i="5" l="1"/>
  <c r="F180" i="5"/>
  <c r="F181" i="5"/>
  <c r="F182" i="5"/>
  <c r="F183" i="5"/>
  <c r="F184" i="5"/>
  <c r="F178" i="5"/>
  <c r="E179" i="5"/>
  <c r="E180" i="5"/>
  <c r="E181" i="5"/>
  <c r="E182" i="5"/>
  <c r="E183" i="5"/>
  <c r="E184" i="5"/>
  <c r="E178" i="5"/>
  <c r="D179" i="5"/>
  <c r="D180" i="5"/>
  <c r="D181" i="5"/>
  <c r="D182" i="5"/>
  <c r="D183" i="5"/>
  <c r="D184" i="5"/>
  <c r="F168" i="5"/>
  <c r="F169" i="5"/>
  <c r="F170" i="5"/>
  <c r="F171" i="5"/>
  <c r="F172" i="5"/>
  <c r="F173" i="5"/>
  <c r="F167" i="5"/>
  <c r="E168" i="5"/>
  <c r="E169" i="5"/>
  <c r="E170" i="5"/>
  <c r="E171" i="5"/>
  <c r="E172" i="5"/>
  <c r="E173" i="5"/>
  <c r="E167" i="5"/>
  <c r="D168" i="5"/>
  <c r="D169" i="5"/>
  <c r="D170" i="5"/>
  <c r="D171" i="5"/>
  <c r="D172" i="5"/>
  <c r="D173" i="5"/>
  <c r="D167" i="5"/>
  <c r="F157" i="5"/>
  <c r="F158" i="5"/>
  <c r="F159" i="5"/>
  <c r="F160" i="5"/>
  <c r="F161" i="5"/>
  <c r="F162" i="5"/>
  <c r="F156" i="5"/>
  <c r="E157" i="5"/>
  <c r="E158" i="5"/>
  <c r="E159" i="5"/>
  <c r="E160" i="5"/>
  <c r="E161" i="5"/>
  <c r="E162" i="5"/>
  <c r="E156" i="5"/>
  <c r="D157" i="5"/>
  <c r="D158" i="5"/>
  <c r="D159" i="5"/>
  <c r="D160" i="5"/>
  <c r="D161" i="5"/>
  <c r="D162" i="5"/>
  <c r="D156" i="5"/>
  <c r="F135" i="5"/>
  <c r="F136" i="5"/>
  <c r="F137" i="5"/>
  <c r="F138" i="5"/>
  <c r="F139" i="5"/>
  <c r="F140" i="5"/>
  <c r="F134" i="5"/>
  <c r="E135" i="5"/>
  <c r="E136" i="5"/>
  <c r="E137" i="5"/>
  <c r="E138" i="5"/>
  <c r="E139" i="5"/>
  <c r="E140" i="5"/>
  <c r="E134" i="5"/>
  <c r="D135" i="5"/>
  <c r="D136" i="5"/>
  <c r="D137" i="5"/>
  <c r="D138" i="5"/>
  <c r="D139" i="5"/>
  <c r="D140" i="5"/>
  <c r="D134" i="5"/>
  <c r="F122" i="5"/>
  <c r="F123" i="5"/>
  <c r="F124" i="5"/>
  <c r="F125" i="5"/>
  <c r="F126" i="5"/>
  <c r="F127" i="5"/>
  <c r="F121" i="5"/>
  <c r="E122" i="5"/>
  <c r="E123" i="5"/>
  <c r="E124" i="5"/>
  <c r="E125" i="5"/>
  <c r="E126" i="5"/>
  <c r="E127" i="5"/>
  <c r="E121" i="5"/>
  <c r="D122" i="5"/>
  <c r="D123" i="5"/>
  <c r="D124" i="5"/>
  <c r="D125" i="5"/>
  <c r="D126" i="5"/>
  <c r="D127" i="5"/>
  <c r="D121" i="5"/>
  <c r="F111" i="5"/>
  <c r="F112" i="5"/>
  <c r="F113" i="5"/>
  <c r="F114" i="5"/>
  <c r="F115" i="5"/>
  <c r="F116" i="5"/>
  <c r="F110" i="5"/>
  <c r="E111" i="5"/>
  <c r="E112" i="5"/>
  <c r="E113" i="5"/>
  <c r="E114" i="5"/>
  <c r="E115" i="5"/>
  <c r="E116" i="5"/>
  <c r="E110" i="5"/>
  <c r="D111" i="5"/>
  <c r="D112" i="5"/>
  <c r="D113" i="5"/>
  <c r="D114" i="5"/>
  <c r="D115" i="5"/>
  <c r="D116" i="5"/>
  <c r="D110" i="5"/>
  <c r="F100" i="5"/>
  <c r="F101" i="5"/>
  <c r="F102" i="5"/>
  <c r="F103" i="5"/>
  <c r="F104" i="5"/>
  <c r="F105" i="5"/>
  <c r="F99" i="5"/>
  <c r="E100" i="5"/>
  <c r="E101" i="5"/>
  <c r="E102" i="5"/>
  <c r="E103" i="5"/>
  <c r="E104" i="5"/>
  <c r="E105" i="5"/>
  <c r="E99" i="5"/>
  <c r="D100" i="5"/>
  <c r="D101" i="5"/>
  <c r="D102" i="5"/>
  <c r="D103" i="5"/>
  <c r="D104" i="5"/>
  <c r="D105" i="5"/>
  <c r="D99" i="5"/>
  <c r="F87" i="5"/>
  <c r="F88" i="5"/>
  <c r="F89" i="5"/>
  <c r="F90" i="5"/>
  <c r="F91" i="5"/>
  <c r="F92" i="5"/>
  <c r="F86" i="5"/>
  <c r="E87" i="5"/>
  <c r="E88" i="5"/>
  <c r="E89" i="5"/>
  <c r="E90" i="5"/>
  <c r="E91" i="5"/>
  <c r="E92" i="5"/>
  <c r="E86" i="5"/>
  <c r="D87" i="5"/>
  <c r="D88" i="5"/>
  <c r="D89" i="5"/>
  <c r="D90" i="5"/>
  <c r="D91" i="5"/>
  <c r="D92" i="5"/>
  <c r="D86" i="5"/>
  <c r="F76" i="5"/>
  <c r="F77" i="5"/>
  <c r="F78" i="5"/>
  <c r="F79" i="5"/>
  <c r="F80" i="5"/>
  <c r="F81" i="5"/>
  <c r="F75" i="5"/>
  <c r="E76" i="5"/>
  <c r="E77" i="5"/>
  <c r="E78" i="5"/>
  <c r="E79" i="5"/>
  <c r="E80" i="5"/>
  <c r="E81" i="5"/>
  <c r="E75" i="5"/>
  <c r="D76" i="5"/>
  <c r="D77" i="5"/>
  <c r="D78" i="5"/>
  <c r="D80" i="5"/>
  <c r="D81" i="5"/>
  <c r="D75" i="5"/>
  <c r="F53" i="5"/>
  <c r="F54" i="5"/>
  <c r="F55" i="5"/>
  <c r="F56" i="5"/>
  <c r="F57" i="5"/>
  <c r="F58" i="5"/>
  <c r="F52" i="5"/>
  <c r="E53" i="5"/>
  <c r="E54" i="5"/>
  <c r="E55" i="5"/>
  <c r="E56" i="5"/>
  <c r="E57" i="5"/>
  <c r="E58" i="5"/>
  <c r="E52" i="5"/>
  <c r="D53" i="5"/>
  <c r="D54" i="5"/>
  <c r="D55" i="5"/>
  <c r="D56" i="5"/>
  <c r="D57" i="5"/>
  <c r="D58" i="5"/>
  <c r="D52" i="5"/>
  <c r="D65" i="5"/>
  <c r="D66" i="5"/>
  <c r="D67" i="5"/>
  <c r="D68" i="5"/>
  <c r="D69" i="5"/>
  <c r="D70" i="5"/>
  <c r="D64" i="5"/>
  <c r="E65" i="5"/>
  <c r="E66" i="5"/>
  <c r="E67" i="5"/>
  <c r="E68" i="5"/>
  <c r="E69" i="5"/>
  <c r="E70" i="5"/>
  <c r="E64" i="5"/>
  <c r="F51" i="5"/>
  <c r="E51" i="5"/>
  <c r="D51" i="5"/>
  <c r="F42" i="5"/>
  <c r="F43" i="5"/>
  <c r="F44" i="5"/>
  <c r="F45" i="5"/>
  <c r="F46" i="5"/>
  <c r="F47" i="5"/>
  <c r="F41" i="5"/>
  <c r="E42" i="5"/>
  <c r="E43" i="5"/>
  <c r="E44" i="5"/>
  <c r="E45" i="5"/>
  <c r="E46" i="5"/>
  <c r="E47" i="5"/>
  <c r="E41" i="5"/>
  <c r="D42" i="5"/>
  <c r="D43" i="5"/>
  <c r="D44" i="5"/>
  <c r="D45" i="5"/>
  <c r="D46" i="5"/>
  <c r="D47" i="5"/>
  <c r="D41" i="5"/>
  <c r="F31" i="5"/>
  <c r="F32" i="5"/>
  <c r="F33" i="5"/>
  <c r="F34" i="5"/>
  <c r="F35" i="5"/>
  <c r="F36" i="5"/>
  <c r="F30" i="5"/>
  <c r="E31" i="5"/>
  <c r="E32" i="5"/>
  <c r="E33" i="5"/>
  <c r="E34" i="5"/>
  <c r="E35" i="5"/>
  <c r="E36" i="5"/>
  <c r="E30" i="5"/>
  <c r="D31" i="5"/>
  <c r="D32" i="5"/>
  <c r="D33" i="5"/>
  <c r="D34" i="5"/>
  <c r="D36" i="5"/>
  <c r="D30" i="5"/>
  <c r="F20" i="5"/>
  <c r="F21" i="5"/>
  <c r="F22" i="5"/>
  <c r="F23" i="5"/>
  <c r="F24" i="5"/>
  <c r="F25" i="5"/>
  <c r="F19" i="5"/>
  <c r="E20" i="5"/>
  <c r="E21" i="5"/>
  <c r="E22" i="5"/>
  <c r="E23" i="5"/>
  <c r="E24" i="5"/>
  <c r="E25" i="5"/>
  <c r="E19" i="5"/>
  <c r="D20" i="5"/>
  <c r="D21" i="5"/>
  <c r="D22" i="5"/>
  <c r="D23" i="5"/>
  <c r="D24" i="5"/>
  <c r="D25" i="5"/>
  <c r="D19" i="5"/>
  <c r="M184" i="5"/>
  <c r="L184" i="5"/>
  <c r="K184" i="5"/>
  <c r="M183" i="5"/>
  <c r="L183" i="5"/>
  <c r="K183" i="5"/>
  <c r="M182" i="5"/>
  <c r="L182" i="5"/>
  <c r="K182" i="5"/>
  <c r="M181" i="5"/>
  <c r="L181" i="5"/>
  <c r="K181" i="5"/>
  <c r="M180" i="5"/>
  <c r="L180" i="5"/>
  <c r="K180" i="5"/>
  <c r="M179" i="5"/>
  <c r="L179" i="5"/>
  <c r="K179" i="5"/>
  <c r="M178" i="5"/>
  <c r="L178" i="5"/>
  <c r="M173" i="5"/>
  <c r="L173" i="5"/>
  <c r="K173" i="5"/>
  <c r="M172" i="5"/>
  <c r="L172" i="5"/>
  <c r="K172" i="5"/>
  <c r="M171" i="5"/>
  <c r="L171" i="5"/>
  <c r="K171" i="5"/>
  <c r="M170" i="5"/>
  <c r="L170" i="5"/>
  <c r="K170" i="5"/>
  <c r="M169" i="5"/>
  <c r="L169" i="5"/>
  <c r="K169" i="5"/>
  <c r="M168" i="5"/>
  <c r="L168" i="5"/>
  <c r="K168" i="5"/>
  <c r="M167" i="5"/>
  <c r="L167" i="5"/>
  <c r="K167" i="5"/>
  <c r="M162" i="5"/>
  <c r="L162" i="5"/>
  <c r="K162" i="5"/>
  <c r="M161" i="5"/>
  <c r="L161" i="5"/>
  <c r="K161" i="5"/>
  <c r="M160" i="5"/>
  <c r="L160" i="5"/>
  <c r="K160" i="5"/>
  <c r="M159" i="5"/>
  <c r="L159" i="5"/>
  <c r="K159" i="5"/>
  <c r="M158" i="5"/>
  <c r="L158" i="5"/>
  <c r="K158" i="5"/>
  <c r="M157" i="5"/>
  <c r="L157" i="5"/>
  <c r="K157" i="5"/>
  <c r="M156" i="5"/>
  <c r="L156" i="5"/>
  <c r="K156" i="5"/>
  <c r="M151" i="5"/>
  <c r="L151" i="5"/>
  <c r="K151" i="5"/>
  <c r="M150" i="5"/>
  <c r="L150" i="5"/>
  <c r="K150" i="5"/>
  <c r="M149" i="5"/>
  <c r="L149" i="5"/>
  <c r="K149" i="5"/>
  <c r="M148" i="5"/>
  <c r="L148" i="5"/>
  <c r="K148" i="5"/>
  <c r="M147" i="5"/>
  <c r="L147" i="5"/>
  <c r="K147" i="5"/>
  <c r="M146" i="5"/>
  <c r="L146" i="5"/>
  <c r="K146" i="5"/>
  <c r="M145" i="5"/>
  <c r="L145" i="5"/>
  <c r="K145" i="5"/>
  <c r="M140" i="5"/>
  <c r="L140" i="5"/>
  <c r="K140" i="5"/>
  <c r="M139" i="5"/>
  <c r="L139" i="5"/>
  <c r="K139" i="5"/>
  <c r="M138" i="5"/>
  <c r="L138" i="5"/>
  <c r="K138" i="5"/>
  <c r="M137" i="5"/>
  <c r="L137" i="5"/>
  <c r="K137" i="5"/>
  <c r="M136" i="5"/>
  <c r="L136" i="5"/>
  <c r="K136" i="5"/>
  <c r="M135" i="5"/>
  <c r="L135" i="5"/>
  <c r="K135" i="5"/>
  <c r="M134" i="5"/>
  <c r="L134" i="5"/>
  <c r="K134" i="5"/>
  <c r="M127" i="5"/>
  <c r="L127" i="5"/>
  <c r="K127" i="5"/>
  <c r="M126" i="5"/>
  <c r="L126" i="5"/>
  <c r="K126" i="5"/>
  <c r="M125" i="5"/>
  <c r="L125" i="5"/>
  <c r="K125" i="5"/>
  <c r="M124" i="5"/>
  <c r="L124" i="5"/>
  <c r="K124" i="5"/>
  <c r="M123" i="5"/>
  <c r="L123" i="5"/>
  <c r="K123" i="5"/>
  <c r="M122" i="5"/>
  <c r="L122" i="5"/>
  <c r="K122" i="5"/>
  <c r="M121" i="5"/>
  <c r="L121" i="5"/>
  <c r="K121" i="5"/>
  <c r="M116" i="5"/>
  <c r="L116" i="5"/>
  <c r="K116" i="5"/>
  <c r="M115" i="5"/>
  <c r="L115" i="5"/>
  <c r="K115" i="5"/>
  <c r="M114" i="5"/>
  <c r="L114" i="5"/>
  <c r="K114" i="5"/>
  <c r="M113" i="5"/>
  <c r="L113" i="5"/>
  <c r="K113" i="5"/>
  <c r="M112" i="5"/>
  <c r="L112" i="5"/>
  <c r="K112" i="5"/>
  <c r="M111" i="5"/>
  <c r="L111" i="5"/>
  <c r="K111" i="5"/>
  <c r="M110" i="5"/>
  <c r="L110" i="5"/>
  <c r="K110" i="5"/>
  <c r="M105" i="5"/>
  <c r="L105" i="5"/>
  <c r="K105" i="5"/>
  <c r="M104" i="5"/>
  <c r="L104" i="5"/>
  <c r="K104" i="5"/>
  <c r="M103" i="5"/>
  <c r="L103" i="5"/>
  <c r="K103" i="5"/>
  <c r="M102" i="5"/>
  <c r="L102" i="5"/>
  <c r="K102" i="5"/>
  <c r="M101" i="5"/>
  <c r="L101" i="5"/>
  <c r="K101" i="5"/>
  <c r="M100" i="5"/>
  <c r="L100" i="5"/>
  <c r="K100" i="5"/>
  <c r="M99" i="5"/>
  <c r="L99" i="5"/>
  <c r="K99" i="5"/>
  <c r="M92" i="5"/>
  <c r="L92" i="5"/>
  <c r="K92" i="5"/>
  <c r="M91" i="5"/>
  <c r="L91" i="5"/>
  <c r="K91" i="5"/>
  <c r="M90" i="5"/>
  <c r="L90" i="5"/>
  <c r="K90" i="5"/>
  <c r="M89" i="5"/>
  <c r="L89" i="5"/>
  <c r="K89" i="5"/>
  <c r="M88" i="5"/>
  <c r="L88" i="5"/>
  <c r="K88" i="5"/>
  <c r="M87" i="5"/>
  <c r="L87" i="5"/>
  <c r="K87" i="5"/>
  <c r="M86" i="5"/>
  <c r="L86" i="5"/>
  <c r="K86" i="5"/>
  <c r="M81" i="5"/>
  <c r="L81" i="5"/>
  <c r="K81" i="5"/>
  <c r="M80" i="5"/>
  <c r="L80" i="5"/>
  <c r="K80" i="5"/>
  <c r="M79" i="5"/>
  <c r="L79" i="5"/>
  <c r="M78" i="5"/>
  <c r="L78" i="5"/>
  <c r="K78" i="5"/>
  <c r="M77" i="5"/>
  <c r="L77" i="5"/>
  <c r="K77" i="5"/>
  <c r="M76" i="5"/>
  <c r="L76" i="5"/>
  <c r="K76" i="5"/>
  <c r="M75" i="5"/>
  <c r="L75" i="5"/>
  <c r="K75" i="5"/>
  <c r="M25" i="5"/>
  <c r="L25" i="5"/>
  <c r="M24" i="5"/>
  <c r="L24" i="5"/>
  <c r="M23" i="5"/>
  <c r="L23" i="5"/>
  <c r="M22" i="5"/>
  <c r="L22" i="5"/>
  <c r="M21" i="5"/>
  <c r="L21" i="5"/>
  <c r="M20" i="5"/>
  <c r="L20" i="5"/>
  <c r="M19" i="5"/>
  <c r="L19" i="5"/>
  <c r="M36" i="5"/>
  <c r="L36" i="5"/>
  <c r="K36" i="5"/>
  <c r="M35" i="5"/>
  <c r="L35" i="5"/>
  <c r="M34" i="5"/>
  <c r="L34" i="5"/>
  <c r="K34" i="5"/>
  <c r="M33" i="5"/>
  <c r="L33" i="5"/>
  <c r="K33" i="5"/>
  <c r="M32" i="5"/>
  <c r="L32" i="5"/>
  <c r="K32" i="5"/>
  <c r="M31" i="5"/>
  <c r="L31" i="5"/>
  <c r="K31" i="5"/>
  <c r="M30" i="5"/>
  <c r="L30" i="5"/>
  <c r="K30" i="5"/>
  <c r="M47" i="5"/>
  <c r="L47" i="5"/>
  <c r="K47" i="5"/>
  <c r="M46" i="5"/>
  <c r="L46" i="5"/>
  <c r="K46" i="5"/>
  <c r="M45" i="5"/>
  <c r="L45" i="5"/>
  <c r="K45" i="5"/>
  <c r="M44" i="5"/>
  <c r="L44" i="5"/>
  <c r="K44" i="5"/>
  <c r="M43" i="5"/>
  <c r="L43" i="5"/>
  <c r="K43" i="5"/>
  <c r="M42" i="5"/>
  <c r="L42" i="5"/>
  <c r="K42" i="5"/>
  <c r="M41" i="5"/>
  <c r="L41" i="5"/>
  <c r="K41" i="5"/>
  <c r="M58" i="5"/>
  <c r="L58" i="5"/>
  <c r="K58" i="5"/>
  <c r="M57" i="5"/>
  <c r="L57" i="5"/>
  <c r="K57" i="5"/>
  <c r="M56" i="5"/>
  <c r="L56" i="5"/>
  <c r="K56" i="5"/>
  <c r="M55" i="5"/>
  <c r="L55" i="5"/>
  <c r="K55" i="5"/>
  <c r="M54" i="5"/>
  <c r="L54" i="5"/>
  <c r="K54" i="5"/>
  <c r="M53" i="5"/>
  <c r="L53" i="5"/>
  <c r="K53" i="5"/>
  <c r="M52" i="5"/>
  <c r="L52" i="5"/>
  <c r="K52" i="5"/>
  <c r="M70" i="5"/>
  <c r="L70" i="5"/>
  <c r="K70" i="5"/>
  <c r="M69" i="5"/>
  <c r="L69" i="5"/>
  <c r="K69" i="5"/>
  <c r="M68" i="5"/>
  <c r="L68" i="5"/>
  <c r="K68" i="5"/>
  <c r="M67" i="5"/>
  <c r="L67" i="5"/>
  <c r="K67" i="5"/>
  <c r="M66" i="5"/>
  <c r="L66" i="5"/>
  <c r="K66" i="5"/>
  <c r="M65" i="5"/>
  <c r="L65" i="5"/>
  <c r="K65" i="5"/>
  <c r="M64" i="5"/>
  <c r="L64" i="5"/>
  <c r="K64" i="5"/>
  <c r="D474" i="10"/>
  <c r="F465" i="10"/>
  <c r="E465" i="10"/>
  <c r="D465" i="10"/>
  <c r="F457" i="10"/>
  <c r="E457" i="10"/>
  <c r="D457" i="10"/>
  <c r="I447" i="10"/>
  <c r="F447" i="10"/>
  <c r="F177" i="5" s="1"/>
  <c r="E447" i="10"/>
  <c r="E177" i="5" s="1"/>
  <c r="G446" i="10"/>
  <c r="G442" i="10"/>
  <c r="G441" i="10"/>
  <c r="G440" i="10"/>
  <c r="G439" i="10"/>
  <c r="G438" i="10"/>
  <c r="G437" i="10"/>
  <c r="G436" i="10"/>
  <c r="G435" i="10"/>
  <c r="G434" i="10"/>
  <c r="G433" i="10"/>
  <c r="G432" i="10"/>
  <c r="G431" i="10"/>
  <c r="G430" i="10"/>
  <c r="G429" i="10"/>
  <c r="D428" i="10"/>
  <c r="D178" i="5" s="1"/>
  <c r="G427" i="10"/>
  <c r="G426" i="10"/>
  <c r="I423" i="10"/>
  <c r="F423" i="10"/>
  <c r="F166" i="5" s="1"/>
  <c r="E423" i="10"/>
  <c r="E166" i="5" s="1"/>
  <c r="D423" i="10"/>
  <c r="D166" i="5" s="1"/>
  <c r="G422" i="10"/>
  <c r="G421" i="10"/>
  <c r="G420" i="10"/>
  <c r="G419" i="10"/>
  <c r="G418" i="10"/>
  <c r="G417" i="10"/>
  <c r="G416" i="10"/>
  <c r="G415" i="10"/>
  <c r="G414" i="10"/>
  <c r="G413" i="10"/>
  <c r="I411" i="10"/>
  <c r="F411" i="10"/>
  <c r="E411" i="10"/>
  <c r="E21" i="8" s="1"/>
  <c r="D411" i="10"/>
  <c r="D21" i="8" s="1"/>
  <c r="G410" i="10"/>
  <c r="G409" i="10"/>
  <c r="G408" i="10"/>
  <c r="G407" i="10"/>
  <c r="G406" i="10"/>
  <c r="G405" i="10"/>
  <c r="G404" i="10"/>
  <c r="G403" i="10"/>
  <c r="G402" i="10"/>
  <c r="M401" i="10"/>
  <c r="G401" i="10"/>
  <c r="G400" i="10"/>
  <c r="G399" i="10"/>
  <c r="G398" i="10"/>
  <c r="G397" i="10"/>
  <c r="M396" i="10"/>
  <c r="G396" i="10"/>
  <c r="G395" i="10"/>
  <c r="G394" i="10"/>
  <c r="G393" i="10"/>
  <c r="G392" i="10"/>
  <c r="M391" i="10"/>
  <c r="G391" i="10"/>
  <c r="G390" i="10"/>
  <c r="G389" i="10"/>
  <c r="G388" i="10"/>
  <c r="G387" i="10"/>
  <c r="G386" i="10"/>
  <c r="M385" i="10"/>
  <c r="G385" i="10"/>
  <c r="I383" i="10"/>
  <c r="F383" i="10"/>
  <c r="E383" i="10"/>
  <c r="E20" i="8" s="1"/>
  <c r="D383" i="10"/>
  <c r="D20" i="8" s="1"/>
  <c r="G382" i="10"/>
  <c r="G381" i="10"/>
  <c r="G380" i="10"/>
  <c r="G379" i="10"/>
  <c r="G378" i="10"/>
  <c r="G377" i="10"/>
  <c r="G376" i="10"/>
  <c r="G375" i="10"/>
  <c r="G374" i="10"/>
  <c r="M373" i="10"/>
  <c r="G373" i="10"/>
  <c r="G372" i="10"/>
  <c r="G371" i="10"/>
  <c r="G370" i="10"/>
  <c r="G369" i="10"/>
  <c r="M368" i="10"/>
  <c r="G368" i="10"/>
  <c r="G367" i="10"/>
  <c r="G366" i="10"/>
  <c r="G365" i="10"/>
  <c r="G364" i="10"/>
  <c r="M363" i="10"/>
  <c r="G363" i="10"/>
  <c r="G362" i="10"/>
  <c r="G361" i="10"/>
  <c r="G360" i="10"/>
  <c r="G359" i="10"/>
  <c r="M358" i="10"/>
  <c r="G358" i="10"/>
  <c r="I356" i="10"/>
  <c r="F356" i="10"/>
  <c r="E356" i="10"/>
  <c r="E19" i="8" s="1"/>
  <c r="D356" i="10"/>
  <c r="D19" i="8" s="1"/>
  <c r="G355" i="10"/>
  <c r="G354" i="10"/>
  <c r="G353" i="10"/>
  <c r="G352" i="10"/>
  <c r="G351" i="10"/>
  <c r="G350" i="10"/>
  <c r="G349" i="10"/>
  <c r="G348" i="10"/>
  <c r="G347" i="10"/>
  <c r="G346" i="10"/>
  <c r="G345" i="10"/>
  <c r="G344" i="10"/>
  <c r="G343" i="10"/>
  <c r="G342" i="10"/>
  <c r="M341" i="10"/>
  <c r="G341" i="10"/>
  <c r="G340" i="10"/>
  <c r="G339" i="10"/>
  <c r="G338" i="10"/>
  <c r="G337" i="10"/>
  <c r="M336" i="10"/>
  <c r="G336" i="10"/>
  <c r="G335" i="10"/>
  <c r="G334" i="10"/>
  <c r="G333" i="10"/>
  <c r="G332" i="10"/>
  <c r="M331" i="10"/>
  <c r="G331" i="10"/>
  <c r="I327" i="10"/>
  <c r="F327" i="10"/>
  <c r="E327" i="10"/>
  <c r="D327" i="10"/>
  <c r="G326" i="10"/>
  <c r="G325" i="10"/>
  <c r="G324" i="10"/>
  <c r="G323" i="10"/>
  <c r="G322" i="10"/>
  <c r="G321" i="10"/>
  <c r="G320" i="10"/>
  <c r="G319" i="10"/>
  <c r="G318" i="10"/>
  <c r="G317" i="10"/>
  <c r="I315" i="10"/>
  <c r="F315" i="10"/>
  <c r="E315" i="10"/>
  <c r="E17" i="8" s="1"/>
  <c r="D315" i="10"/>
  <c r="D17" i="8" s="1"/>
  <c r="G314" i="10"/>
  <c r="G313" i="10"/>
  <c r="G312" i="10"/>
  <c r="G311" i="10"/>
  <c r="G310" i="10"/>
  <c r="G309" i="10"/>
  <c r="G308" i="10"/>
  <c r="G307" i="10"/>
  <c r="G306" i="10"/>
  <c r="G305" i="10"/>
  <c r="G304" i="10"/>
  <c r="G303" i="10"/>
  <c r="G302" i="10"/>
  <c r="M301" i="10"/>
  <c r="G301" i="10"/>
  <c r="G300" i="10"/>
  <c r="G298" i="10"/>
  <c r="G297" i="10"/>
  <c r="G296" i="10"/>
  <c r="G295" i="10"/>
  <c r="G294" i="10"/>
  <c r="G293" i="10"/>
  <c r="G292" i="10"/>
  <c r="M291" i="10"/>
  <c r="G291" i="10"/>
  <c r="G290" i="10"/>
  <c r="I288" i="10"/>
  <c r="F288" i="10"/>
  <c r="F98" i="5" s="1"/>
  <c r="E288" i="10"/>
  <c r="E16" i="8" s="1"/>
  <c r="D288" i="10"/>
  <c r="D16" i="8" s="1"/>
  <c r="G287" i="10"/>
  <c r="G286" i="10"/>
  <c r="G285" i="10"/>
  <c r="G284" i="10"/>
  <c r="M283" i="10"/>
  <c r="G283" i="10"/>
  <c r="G282" i="10"/>
  <c r="G281" i="10"/>
  <c r="G280" i="10"/>
  <c r="G279" i="10"/>
  <c r="G278" i="10"/>
  <c r="G277" i="10"/>
  <c r="G276" i="10"/>
  <c r="G275" i="10"/>
  <c r="G274" i="10"/>
  <c r="G273" i="10"/>
  <c r="G272" i="10"/>
  <c r="G271" i="10"/>
  <c r="G270" i="10"/>
  <c r="G269" i="10"/>
  <c r="G268" i="10"/>
  <c r="G267" i="10"/>
  <c r="G266" i="10"/>
  <c r="G265" i="10"/>
  <c r="G264" i="10"/>
  <c r="G263" i="10"/>
  <c r="I259" i="10"/>
  <c r="F259" i="10"/>
  <c r="F85" i="5" s="1"/>
  <c r="E259" i="10"/>
  <c r="E85" i="5" s="1"/>
  <c r="D259" i="10"/>
  <c r="D85" i="5" s="1"/>
  <c r="G258" i="10"/>
  <c r="G257" i="10"/>
  <c r="G256" i="10"/>
  <c r="G255" i="10"/>
  <c r="G254" i="10"/>
  <c r="G253" i="10"/>
  <c r="G252" i="10"/>
  <c r="G251" i="10"/>
  <c r="G250" i="10"/>
  <c r="G249" i="10"/>
  <c r="I247" i="10"/>
  <c r="F247" i="10"/>
  <c r="F74" i="5" s="1"/>
  <c r="E247" i="10"/>
  <c r="E13" i="8" s="1"/>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M223" i="10"/>
  <c r="G223" i="10"/>
  <c r="G222" i="10"/>
  <c r="G221" i="10"/>
  <c r="G220" i="10"/>
  <c r="G219" i="10"/>
  <c r="G218" i="10"/>
  <c r="M217" i="10"/>
  <c r="G217" i="10"/>
  <c r="G216" i="10"/>
  <c r="G215" i="10"/>
  <c r="G214" i="10"/>
  <c r="D213" i="10"/>
  <c r="G213" i="10" s="1"/>
  <c r="G212" i="10"/>
  <c r="G211" i="10"/>
  <c r="G210" i="10"/>
  <c r="G209" i="10"/>
  <c r="M208" i="10"/>
  <c r="G208" i="10"/>
  <c r="G207" i="10"/>
  <c r="G206" i="10"/>
  <c r="G205" i="10"/>
  <c r="G204" i="10"/>
  <c r="M203" i="10"/>
  <c r="G203" i="10"/>
  <c r="G202" i="10"/>
  <c r="I200" i="10"/>
  <c r="F200" i="10"/>
  <c r="E200" i="10"/>
  <c r="E12" i="8" s="1"/>
  <c r="D200" i="10"/>
  <c r="D12" i="8" s="1"/>
  <c r="G199" i="10"/>
  <c r="G198" i="10"/>
  <c r="G197" i="10"/>
  <c r="G196" i="10"/>
  <c r="G195" i="10"/>
  <c r="G194" i="10"/>
  <c r="G193" i="10"/>
  <c r="G192" i="10"/>
  <c r="G191" i="10"/>
  <c r="G190" i="10"/>
  <c r="G189" i="10"/>
  <c r="G188" i="10"/>
  <c r="G187" i="10"/>
  <c r="G186" i="10"/>
  <c r="G185" i="10"/>
  <c r="G184" i="10"/>
  <c r="G183" i="10"/>
  <c r="G182" i="10"/>
  <c r="G181" i="10"/>
  <c r="M180" i="10"/>
  <c r="G180" i="10"/>
  <c r="G179" i="10"/>
  <c r="G178" i="10"/>
  <c r="G177" i="10"/>
  <c r="G176" i="10"/>
  <c r="M175" i="10"/>
  <c r="G175" i="10"/>
  <c r="G174" i="10"/>
  <c r="G173" i="10"/>
  <c r="G172" i="10"/>
  <c r="G171" i="10"/>
  <c r="G170" i="10"/>
  <c r="G169" i="10"/>
  <c r="G168" i="10"/>
  <c r="G167" i="10"/>
  <c r="G166" i="10"/>
  <c r="G165" i="10"/>
  <c r="G164" i="10"/>
  <c r="G163" i="10"/>
  <c r="G162" i="10"/>
  <c r="M161" i="10"/>
  <c r="G161" i="10"/>
  <c r="G160" i="10"/>
  <c r="G159" i="10"/>
  <c r="G158" i="10"/>
  <c r="G157" i="10"/>
  <c r="G156" i="10"/>
  <c r="G155" i="10"/>
  <c r="G154" i="10"/>
  <c r="G153" i="10"/>
  <c r="G152" i="10"/>
  <c r="M151" i="10"/>
  <c r="G151" i="10"/>
  <c r="G150" i="10"/>
  <c r="G149" i="10"/>
  <c r="G148" i="10"/>
  <c r="G147" i="10"/>
  <c r="M146" i="10"/>
  <c r="G146" i="10"/>
  <c r="G145" i="10"/>
  <c r="G144" i="10"/>
  <c r="G143" i="10"/>
  <c r="G142" i="10"/>
  <c r="G141" i="10"/>
  <c r="M140" i="10"/>
  <c r="G140" i="10"/>
  <c r="G139" i="10"/>
  <c r="G138" i="10"/>
  <c r="G137" i="10"/>
  <c r="G136" i="10"/>
  <c r="M135" i="10"/>
  <c r="G135" i="10"/>
  <c r="G134" i="10"/>
  <c r="G133" i="10"/>
  <c r="G132" i="10"/>
  <c r="M131" i="10"/>
  <c r="G131" i="10"/>
  <c r="G130" i="10"/>
  <c r="G129" i="10"/>
  <c r="G128" i="10"/>
  <c r="G127" i="10"/>
  <c r="M126" i="10"/>
  <c r="G126" i="10"/>
  <c r="G125" i="10"/>
  <c r="G124" i="10"/>
  <c r="G123" i="10"/>
  <c r="G122" i="10"/>
  <c r="M121" i="10"/>
  <c r="G121" i="10"/>
  <c r="G120" i="10"/>
  <c r="G119" i="10"/>
  <c r="G118" i="10"/>
  <c r="G117" i="10"/>
  <c r="M116" i="10"/>
  <c r="G116" i="10"/>
  <c r="G115" i="10"/>
  <c r="G114" i="10"/>
  <c r="G113" i="10"/>
  <c r="G112" i="10"/>
  <c r="M111" i="10"/>
  <c r="G111" i="10"/>
  <c r="G110" i="10"/>
  <c r="G109" i="10"/>
  <c r="G108" i="10"/>
  <c r="G107" i="10"/>
  <c r="M106" i="10"/>
  <c r="G106" i="10"/>
  <c r="G105" i="10"/>
  <c r="I101" i="10"/>
  <c r="F101" i="10"/>
  <c r="E101" i="10"/>
  <c r="D101" i="10"/>
  <c r="G100" i="10"/>
  <c r="G99" i="10"/>
  <c r="G98" i="10"/>
  <c r="G97" i="10"/>
  <c r="G96" i="10"/>
  <c r="G95" i="10"/>
  <c r="G94" i="10"/>
  <c r="G93" i="10"/>
  <c r="G92" i="10"/>
  <c r="G91" i="10"/>
  <c r="I89" i="10"/>
  <c r="F89" i="10"/>
  <c r="F40" i="5" s="1"/>
  <c r="E89" i="10"/>
  <c r="E10" i="8" s="1"/>
  <c r="D89" i="10"/>
  <c r="D10" i="8" s="1"/>
  <c r="G88" i="10"/>
  <c r="G87" i="10"/>
  <c r="G86" i="10"/>
  <c r="M85" i="10"/>
  <c r="G85" i="10"/>
  <c r="G84" i="10"/>
  <c r="G83" i="10"/>
  <c r="G82" i="10"/>
  <c r="G81" i="10"/>
  <c r="M80" i="10"/>
  <c r="G80" i="10"/>
  <c r="G79" i="10"/>
  <c r="G78" i="10"/>
  <c r="G77" i="10"/>
  <c r="G76" i="10"/>
  <c r="M75" i="10"/>
  <c r="G75" i="10"/>
  <c r="G74" i="10"/>
  <c r="G73" i="10"/>
  <c r="G72" i="10"/>
  <c r="G71" i="10"/>
  <c r="M70" i="10"/>
  <c r="G70" i="10"/>
  <c r="G69" i="10"/>
  <c r="G68" i="10"/>
  <c r="G67" i="10"/>
  <c r="G66" i="10"/>
  <c r="M65" i="10"/>
  <c r="G65" i="10"/>
  <c r="G64" i="10"/>
  <c r="I62" i="10"/>
  <c r="F62" i="10"/>
  <c r="E62" i="10"/>
  <c r="E9" i="8" s="1"/>
  <c r="G61" i="10"/>
  <c r="G60" i="10"/>
  <c r="G59" i="10"/>
  <c r="G58" i="10"/>
  <c r="M57" i="10"/>
  <c r="G57" i="10"/>
  <c r="G56" i="10"/>
  <c r="G55" i="10"/>
  <c r="G54" i="10"/>
  <c r="M53" i="10"/>
  <c r="G53" i="10"/>
  <c r="G52" i="10"/>
  <c r="G51" i="10"/>
  <c r="G50" i="10"/>
  <c r="M49" i="10"/>
  <c r="G49" i="10"/>
  <c r="G48" i="10"/>
  <c r="G47" i="10"/>
  <c r="G46" i="10"/>
  <c r="D45" i="10"/>
  <c r="G45" i="10" s="1"/>
  <c r="D44" i="10"/>
  <c r="G43" i="10"/>
  <c r="G42" i="10"/>
  <c r="M41" i="10"/>
  <c r="G41" i="10"/>
  <c r="G40" i="10"/>
  <c r="M39" i="10"/>
  <c r="G39" i="10"/>
  <c r="G38" i="10"/>
  <c r="G37" i="10"/>
  <c r="I35" i="10"/>
  <c r="F35" i="10"/>
  <c r="E35" i="10"/>
  <c r="E8" i="8" s="1"/>
  <c r="D35" i="10"/>
  <c r="D8" i="8" s="1"/>
  <c r="G34" i="10"/>
  <c r="G33" i="10"/>
  <c r="G32" i="10"/>
  <c r="G31" i="10"/>
  <c r="G30" i="10"/>
  <c r="G29" i="10"/>
  <c r="G28" i="10"/>
  <c r="M27" i="10"/>
  <c r="G27" i="10"/>
  <c r="G26" i="10"/>
  <c r="G25" i="10"/>
  <c r="M24" i="10"/>
  <c r="G24" i="10"/>
  <c r="G23" i="10"/>
  <c r="G22" i="10"/>
  <c r="G20" i="10"/>
  <c r="G19" i="10"/>
  <c r="M18" i="10"/>
  <c r="G18" i="10"/>
  <c r="G17" i="10"/>
  <c r="G16" i="10"/>
  <c r="M28" i="10" l="1"/>
  <c r="D62" i="10"/>
  <c r="D9" i="8" s="1"/>
  <c r="G423" i="10"/>
  <c r="H315" i="10"/>
  <c r="H288" i="10"/>
  <c r="H356" i="10"/>
  <c r="H383" i="10"/>
  <c r="G383" i="10"/>
  <c r="D29" i="5"/>
  <c r="D35" i="5"/>
  <c r="G315" i="10"/>
  <c r="D98" i="5"/>
  <c r="H35" i="10"/>
  <c r="H259" i="10"/>
  <c r="G356" i="10"/>
  <c r="H411" i="10"/>
  <c r="D40" i="5"/>
  <c r="E74" i="5"/>
  <c r="E98" i="5"/>
  <c r="G89" i="10"/>
  <c r="D247" i="10"/>
  <c r="G327" i="10"/>
  <c r="H423" i="10"/>
  <c r="D447" i="10"/>
  <c r="D177" i="5" s="1"/>
  <c r="D24" i="8"/>
  <c r="E40" i="5"/>
  <c r="D79" i="5"/>
  <c r="N123" i="5"/>
  <c r="N161" i="5"/>
  <c r="N151" i="5"/>
  <c r="N67" i="5"/>
  <c r="N46" i="5"/>
  <c r="N114" i="5"/>
  <c r="N137" i="5"/>
  <c r="N88" i="5"/>
  <c r="N102" i="5"/>
  <c r="N122" i="5"/>
  <c r="N140" i="5"/>
  <c r="N183" i="5"/>
  <c r="N112" i="5"/>
  <c r="N162" i="5"/>
  <c r="N22" i="5"/>
  <c r="N103" i="5"/>
  <c r="N157" i="5"/>
  <c r="N80" i="5"/>
  <c r="N92" i="5"/>
  <c r="N148" i="5"/>
  <c r="N81" i="5"/>
  <c r="N90" i="5"/>
  <c r="M141" i="5"/>
  <c r="N172" i="5"/>
  <c r="N57" i="5"/>
  <c r="N124" i="5"/>
  <c r="N135" i="5"/>
  <c r="N158" i="5"/>
  <c r="N104" i="5"/>
  <c r="N180" i="5"/>
  <c r="N91" i="5"/>
  <c r="N113" i="5"/>
  <c r="N147" i="5"/>
  <c r="N173" i="5"/>
  <c r="N182" i="5"/>
  <c r="N116" i="5"/>
  <c r="N125" i="5"/>
  <c r="N136" i="5"/>
  <c r="N170" i="5"/>
  <c r="N54" i="5"/>
  <c r="N78" i="5"/>
  <c r="N87" i="5"/>
  <c r="N105" i="5"/>
  <c r="N138" i="5"/>
  <c r="N146" i="5"/>
  <c r="N149" i="5"/>
  <c r="N169" i="5"/>
  <c r="M106" i="5"/>
  <c r="N66" i="5"/>
  <c r="N32" i="5"/>
  <c r="N101" i="5"/>
  <c r="N139" i="5"/>
  <c r="N150" i="5"/>
  <c r="N181" i="5"/>
  <c r="N69" i="5"/>
  <c r="M82" i="5"/>
  <c r="N115" i="5"/>
  <c r="N126" i="5"/>
  <c r="N156" i="5"/>
  <c r="N159" i="5"/>
  <c r="N179" i="5"/>
  <c r="N184" i="5"/>
  <c r="M117" i="5"/>
  <c r="N21" i="5"/>
  <c r="M93" i="5"/>
  <c r="N89" i="5"/>
  <c r="N111" i="5"/>
  <c r="N127" i="5"/>
  <c r="N160" i="5"/>
  <c r="N168" i="5"/>
  <c r="N171" i="5"/>
  <c r="N43" i="5"/>
  <c r="N77" i="5"/>
  <c r="H101" i="10"/>
  <c r="F458" i="10"/>
  <c r="G101" i="10"/>
  <c r="I471" i="10"/>
  <c r="E458" i="10"/>
  <c r="E459" i="10" s="1"/>
  <c r="E460" i="10" s="1"/>
  <c r="H200" i="10"/>
  <c r="M196" i="5"/>
  <c r="L59" i="5"/>
  <c r="K48" i="5"/>
  <c r="L26" i="5"/>
  <c r="K106" i="5"/>
  <c r="K128" i="5"/>
  <c r="K152" i="5"/>
  <c r="K174" i="5"/>
  <c r="M194" i="5"/>
  <c r="K192" i="5"/>
  <c r="N76" i="5"/>
  <c r="N134" i="5"/>
  <c r="M59" i="5"/>
  <c r="N44" i="5"/>
  <c r="L37" i="5"/>
  <c r="N33" i="5"/>
  <c r="N36" i="5"/>
  <c r="M26" i="5"/>
  <c r="N25" i="5"/>
  <c r="L82" i="5"/>
  <c r="L106" i="5"/>
  <c r="L196" i="5"/>
  <c r="L128" i="5"/>
  <c r="L152" i="5"/>
  <c r="M163" i="5"/>
  <c r="L174" i="5"/>
  <c r="M192" i="5"/>
  <c r="M185" i="5"/>
  <c r="N86" i="5"/>
  <c r="N100" i="5"/>
  <c r="N110" i="5"/>
  <c r="K71" i="5"/>
  <c r="L71" i="5"/>
  <c r="M71" i="5"/>
  <c r="N70" i="5"/>
  <c r="L48" i="5"/>
  <c r="N65" i="5"/>
  <c r="N55" i="5"/>
  <c r="N58" i="5"/>
  <c r="M48" i="5"/>
  <c r="N47" i="5"/>
  <c r="M37" i="5"/>
  <c r="N20" i="5"/>
  <c r="L194" i="5"/>
  <c r="J12" i="4" s="1"/>
  <c r="M128" i="5"/>
  <c r="M152" i="5"/>
  <c r="M174" i="5"/>
  <c r="K193" i="5"/>
  <c r="L195" i="5"/>
  <c r="K196" i="5"/>
  <c r="R14" i="4" s="1"/>
  <c r="M191" i="5"/>
  <c r="K59" i="5"/>
  <c r="N68" i="5"/>
  <c r="N42" i="5"/>
  <c r="N23" i="5"/>
  <c r="L192" i="5"/>
  <c r="K191" i="5"/>
  <c r="L193" i="5"/>
  <c r="R11" i="4" s="1"/>
  <c r="M195" i="5"/>
  <c r="N56" i="5"/>
  <c r="N31" i="5"/>
  <c r="N53" i="5"/>
  <c r="N45" i="5"/>
  <c r="N34" i="5"/>
  <c r="L93" i="5"/>
  <c r="L117" i="5"/>
  <c r="L141" i="5"/>
  <c r="L163" i="5"/>
  <c r="L191" i="5"/>
  <c r="M193" i="5"/>
  <c r="L185" i="5"/>
  <c r="K141" i="5"/>
  <c r="K163" i="5"/>
  <c r="L190" i="5"/>
  <c r="P15" i="4" s="1"/>
  <c r="K117" i="5"/>
  <c r="M190" i="5"/>
  <c r="K93" i="5"/>
  <c r="N75" i="5"/>
  <c r="N99" i="5"/>
  <c r="N121" i="5"/>
  <c r="N145" i="5"/>
  <c r="N167" i="5"/>
  <c r="N19" i="5"/>
  <c r="N30" i="5"/>
  <c r="N41" i="5"/>
  <c r="N52" i="5"/>
  <c r="N64" i="5"/>
  <c r="H247" i="10"/>
  <c r="G44" i="10"/>
  <c r="G62" i="10" s="1"/>
  <c r="H89" i="10"/>
  <c r="F459" i="10"/>
  <c r="F460" i="10" s="1"/>
  <c r="M44" i="10"/>
  <c r="M62" i="10" s="1"/>
  <c r="G200" i="10"/>
  <c r="M212" i="10"/>
  <c r="G428" i="10"/>
  <c r="H447" i="10" s="1"/>
  <c r="G247" i="10"/>
  <c r="G259" i="10"/>
  <c r="G288" i="10"/>
  <c r="G35" i="10"/>
  <c r="D18" i="5" s="1"/>
  <c r="H62" i="10"/>
  <c r="H327" i="10"/>
  <c r="G411" i="10"/>
  <c r="G447" i="10" l="1"/>
  <c r="D458" i="10"/>
  <c r="D459" i="10" s="1"/>
  <c r="D460" i="10" s="1"/>
  <c r="D13" i="8"/>
  <c r="D74" i="5"/>
  <c r="P16" i="4"/>
  <c r="P17" i="4" s="1"/>
  <c r="R9" i="4"/>
  <c r="R10" i="4"/>
  <c r="N163" i="5"/>
  <c r="N71" i="5"/>
  <c r="N174" i="5"/>
  <c r="J10" i="4"/>
  <c r="J46" i="8"/>
  <c r="P46" i="8" s="1"/>
  <c r="N152" i="5"/>
  <c r="I46" i="8"/>
  <c r="O46" i="8" s="1"/>
  <c r="I10" i="4"/>
  <c r="N93" i="5"/>
  <c r="J14" i="4"/>
  <c r="J50" i="8"/>
  <c r="P50" i="8" s="1"/>
  <c r="N128" i="5"/>
  <c r="I9" i="4"/>
  <c r="I45" i="8"/>
  <c r="O45" i="8" s="1"/>
  <c r="J45" i="8"/>
  <c r="P45" i="8" s="1"/>
  <c r="J9" i="4"/>
  <c r="N59" i="5"/>
  <c r="J48" i="8"/>
  <c r="P48" i="8" s="1"/>
  <c r="N48" i="5"/>
  <c r="N106" i="5"/>
  <c r="J49" i="8"/>
  <c r="P49" i="8" s="1"/>
  <c r="J13" i="4"/>
  <c r="I47" i="8"/>
  <c r="O47" i="8" s="1"/>
  <c r="I11" i="4"/>
  <c r="J8" i="4"/>
  <c r="J44" i="8"/>
  <c r="P44" i="8" s="1"/>
  <c r="J47" i="8"/>
  <c r="P47" i="8" s="1"/>
  <c r="J11" i="4"/>
  <c r="I14" i="4"/>
  <c r="I50" i="8"/>
  <c r="O50" i="8" s="1"/>
  <c r="N192" i="5"/>
  <c r="N193" i="5"/>
  <c r="N191" i="5"/>
  <c r="M197" i="5"/>
  <c r="M198" i="5" s="1"/>
  <c r="M199" i="5" s="1"/>
  <c r="N196" i="5"/>
  <c r="D471" i="10"/>
  <c r="N117" i="5"/>
  <c r="L197" i="5"/>
  <c r="N141" i="5"/>
  <c r="F468" i="10"/>
  <c r="F466" i="10"/>
  <c r="F467" i="10"/>
  <c r="E467" i="10"/>
  <c r="E468" i="10"/>
  <c r="E466" i="10"/>
  <c r="Q50" i="8" l="1"/>
  <c r="Q46" i="8"/>
  <c r="Q45" i="8"/>
  <c r="Q47" i="8"/>
  <c r="P51" i="8"/>
  <c r="P52" i="8" s="1"/>
  <c r="P53" i="8" s="1"/>
  <c r="G458" i="10"/>
  <c r="G459" i="10" s="1"/>
  <c r="G460" i="10" s="1"/>
  <c r="E469" i="10"/>
  <c r="K10" i="4"/>
  <c r="S10" i="4" s="1"/>
  <c r="K45" i="8"/>
  <c r="K50" i="8"/>
  <c r="K9" i="4"/>
  <c r="S9" i="4" s="1"/>
  <c r="L198" i="5"/>
  <c r="J51" i="8"/>
  <c r="J15" i="4"/>
  <c r="K11" i="4"/>
  <c r="S11" i="4" s="1"/>
  <c r="K47" i="8"/>
  <c r="K14" i="4"/>
  <c r="S14" i="4" s="1"/>
  <c r="K46" i="8"/>
  <c r="D467" i="10"/>
  <c r="G467" i="10" s="1"/>
  <c r="D468" i="10"/>
  <c r="G468" i="10" s="1"/>
  <c r="D466" i="10"/>
  <c r="F469" i="10"/>
  <c r="I472" i="10" l="1"/>
  <c r="L199" i="5"/>
  <c r="J53" i="8" s="1"/>
  <c r="J52" i="8"/>
  <c r="J16" i="4"/>
  <c r="D475" i="10"/>
  <c r="D472" i="10"/>
  <c r="D469" i="10"/>
  <c r="G466" i="10"/>
  <c r="G469" i="10" s="1"/>
  <c r="J17" i="4" l="1"/>
  <c r="G188" i="1"/>
  <c r="E185" i="1" l="1"/>
  <c r="D519" i="1"/>
  <c r="G88" i="1"/>
  <c r="G89" i="1"/>
  <c r="G90" i="1"/>
  <c r="G91" i="1"/>
  <c r="G92" i="1"/>
  <c r="G284" i="1"/>
  <c r="G303" i="1"/>
  <c r="G304" i="1"/>
  <c r="G305" i="1"/>
  <c r="G306" i="1"/>
  <c r="G307" i="1"/>
  <c r="G308" i="1"/>
  <c r="G309" i="1"/>
  <c r="G310" i="1"/>
  <c r="G311" i="1"/>
  <c r="G312" i="1"/>
  <c r="G533" i="1" l="1"/>
  <c r="G532" i="1"/>
  <c r="G534" i="1"/>
  <c r="D148" i="5" l="1"/>
  <c r="I504" i="1"/>
  <c r="I561" i="1"/>
  <c r="D590" i="1"/>
  <c r="I476" i="1"/>
  <c r="I429" i="1"/>
  <c r="I388" i="1"/>
  <c r="I313" i="1"/>
  <c r="I257" i="1"/>
  <c r="I103" i="1"/>
  <c r="I62" i="1"/>
  <c r="I35" i="1"/>
  <c r="E561" i="1"/>
  <c r="L177" i="5" s="1"/>
  <c r="F15" i="5"/>
  <c r="E189" i="5"/>
  <c r="D189" i="5"/>
  <c r="D521" i="1" l="1"/>
  <c r="K178" i="5" l="1"/>
  <c r="J24" i="8"/>
  <c r="P24" i="8" s="1"/>
  <c r="D561" i="1"/>
  <c r="K177" i="5" s="1"/>
  <c r="K79" i="5"/>
  <c r="P23" i="8" l="1"/>
  <c r="R24" i="8"/>
  <c r="R23" i="8" s="1"/>
  <c r="K185" i="5"/>
  <c r="N185" i="5" s="1"/>
  <c r="N178" i="5"/>
  <c r="K190" i="5"/>
  <c r="K194" i="5"/>
  <c r="R12" i="4" s="1"/>
  <c r="N79" i="5"/>
  <c r="K82" i="5"/>
  <c r="N82" i="5" s="1"/>
  <c r="L24" i="8"/>
  <c r="L23" i="8" s="1"/>
  <c r="J23" i="8"/>
  <c r="H24" i="8"/>
  <c r="H23" i="8" s="1"/>
  <c r="C21" i="8"/>
  <c r="C20" i="8"/>
  <c r="C19" i="8"/>
  <c r="C17" i="8"/>
  <c r="C16" i="8"/>
  <c r="C13" i="8"/>
  <c r="C12" i="8"/>
  <c r="C10" i="8"/>
  <c r="C9" i="8"/>
  <c r="C8" i="8"/>
  <c r="R8" i="4" l="1"/>
  <c r="N194" i="5"/>
  <c r="I48" i="8"/>
  <c r="I12" i="4"/>
  <c r="K12" i="4" s="1"/>
  <c r="S12" i="4" s="1"/>
  <c r="I44" i="8"/>
  <c r="I8" i="4"/>
  <c r="K8" i="4" s="1"/>
  <c r="N190" i="5"/>
  <c r="G520" i="1"/>
  <c r="G521" i="1"/>
  <c r="G522" i="1"/>
  <c r="G523" i="1"/>
  <c r="G524" i="1"/>
  <c r="G525" i="1"/>
  <c r="G526" i="1"/>
  <c r="G527" i="1"/>
  <c r="G528" i="1"/>
  <c r="G529" i="1"/>
  <c r="G530" i="1"/>
  <c r="D45" i="1"/>
  <c r="D44" i="1"/>
  <c r="K48" i="8" l="1"/>
  <c r="O48" i="8"/>
  <c r="Q48" i="8" s="1"/>
  <c r="K44" i="8"/>
  <c r="O44" i="8"/>
  <c r="S8" i="4"/>
  <c r="K35" i="5"/>
  <c r="K37" i="5" s="1"/>
  <c r="N37" i="5" s="1"/>
  <c r="E257" i="1"/>
  <c r="G190" i="1"/>
  <c r="G191" i="1"/>
  <c r="G192" i="1"/>
  <c r="G193" i="1"/>
  <c r="G194" i="1"/>
  <c r="G195" i="1"/>
  <c r="G196" i="1"/>
  <c r="G197" i="1"/>
  <c r="G198" i="1"/>
  <c r="G199" i="1"/>
  <c r="G200" i="1"/>
  <c r="G201" i="1"/>
  <c r="G202" i="1"/>
  <c r="G203" i="1"/>
  <c r="G252" i="1"/>
  <c r="G253" i="1"/>
  <c r="G254" i="1"/>
  <c r="G255" i="1"/>
  <c r="G256" i="1"/>
  <c r="Q44" i="8" l="1"/>
  <c r="N35" i="5"/>
  <c r="K12" i="8"/>
  <c r="Q12" i="8" s="1"/>
  <c r="L63" i="5"/>
  <c r="D476" i="1"/>
  <c r="G482" i="1"/>
  <c r="G374" i="1"/>
  <c r="G371" i="1"/>
  <c r="G370" i="1"/>
  <c r="G377" i="1"/>
  <c r="G479" i="1"/>
  <c r="G480" i="1"/>
  <c r="G481" i="1"/>
  <c r="G483" i="1"/>
  <c r="G484" i="1"/>
  <c r="G485" i="1"/>
  <c r="G486" i="1"/>
  <c r="G487" i="1"/>
  <c r="G488" i="1"/>
  <c r="G489" i="1"/>
  <c r="G490" i="1"/>
  <c r="G491" i="1"/>
  <c r="G492" i="1"/>
  <c r="G493" i="1"/>
  <c r="G494" i="1"/>
  <c r="G495" i="1"/>
  <c r="G496" i="1"/>
  <c r="G497" i="1"/>
  <c r="G498" i="1"/>
  <c r="G499" i="1"/>
  <c r="G500" i="1"/>
  <c r="G501" i="1"/>
  <c r="G432" i="1"/>
  <c r="G433" i="1"/>
  <c r="G434" i="1"/>
  <c r="G435" i="1"/>
  <c r="G436" i="1"/>
  <c r="G437" i="1"/>
  <c r="G438" i="1"/>
  <c r="G439" i="1"/>
  <c r="G440" i="1"/>
  <c r="G441" i="1"/>
  <c r="G442" i="1"/>
  <c r="G443" i="1"/>
  <c r="G444" i="1"/>
  <c r="G445" i="1"/>
  <c r="G446" i="1"/>
  <c r="G447" i="1"/>
  <c r="G448" i="1"/>
  <c r="G449" i="1"/>
  <c r="G450" i="1"/>
  <c r="G405" i="1"/>
  <c r="G406" i="1"/>
  <c r="G407" i="1"/>
  <c r="G408" i="1"/>
  <c r="G409" i="1"/>
  <c r="G410" i="1"/>
  <c r="G411" i="1"/>
  <c r="G412" i="1"/>
  <c r="G413" i="1"/>
  <c r="G414" i="1"/>
  <c r="G415" i="1"/>
  <c r="G416" i="1"/>
  <c r="G417" i="1"/>
  <c r="G418" i="1"/>
  <c r="G419" i="1"/>
  <c r="G361" i="1"/>
  <c r="G362" i="1"/>
  <c r="G363" i="1"/>
  <c r="G364" i="1"/>
  <c r="G365" i="1"/>
  <c r="G366" i="1"/>
  <c r="G367" i="1"/>
  <c r="G368" i="1"/>
  <c r="G375" i="1"/>
  <c r="G330" i="1"/>
  <c r="G331" i="1"/>
  <c r="G332" i="1"/>
  <c r="G333" i="1"/>
  <c r="G334" i="1"/>
  <c r="G335" i="1"/>
  <c r="G336" i="1"/>
  <c r="G337" i="1"/>
  <c r="G338" i="1"/>
  <c r="G339" i="1"/>
  <c r="G340" i="1"/>
  <c r="G341" i="1"/>
  <c r="G342" i="1"/>
  <c r="G343" i="1"/>
  <c r="G344" i="1"/>
  <c r="G345" i="1"/>
  <c r="G346" i="1"/>
  <c r="G347" i="1"/>
  <c r="G348" i="1"/>
  <c r="G349" i="1"/>
  <c r="G350" i="1"/>
  <c r="G351" i="1"/>
  <c r="G352" i="1"/>
  <c r="G353" i="1"/>
  <c r="G329" i="1"/>
  <c r="H358" i="1" l="1"/>
  <c r="G358" i="1"/>
  <c r="J20" i="8"/>
  <c r="P20" i="8" s="1"/>
  <c r="K144" i="5"/>
  <c r="I12" i="8"/>
  <c r="G41" i="1"/>
  <c r="G42" i="1"/>
  <c r="H20" i="8" l="1"/>
  <c r="D23" i="8"/>
  <c r="E23" i="8"/>
  <c r="G20" i="1"/>
  <c r="G279" i="1" l="1"/>
  <c r="G280" i="1"/>
  <c r="G281" i="1"/>
  <c r="G282" i="1"/>
  <c r="G283" i="1"/>
  <c r="G287" i="1"/>
  <c r="G295" i="1"/>
  <c r="G296" i="1"/>
  <c r="G297" i="1"/>
  <c r="G298" i="1"/>
  <c r="G299" i="1"/>
  <c r="G300" i="1"/>
  <c r="G301" i="1"/>
  <c r="G302" i="1"/>
  <c r="G139" i="1"/>
  <c r="G140" i="1"/>
  <c r="G141" i="1"/>
  <c r="G142" i="1"/>
  <c r="G143" i="1"/>
  <c r="G144"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9" i="1"/>
  <c r="G52" i="1"/>
  <c r="G53" i="1"/>
  <c r="G54" i="1"/>
  <c r="G55" i="1"/>
  <c r="G56" i="1"/>
  <c r="G519" i="1" l="1"/>
  <c r="D146" i="5"/>
  <c r="E146" i="5"/>
  <c r="F146" i="5"/>
  <c r="D147" i="5"/>
  <c r="E147" i="5"/>
  <c r="F147" i="5"/>
  <c r="E148" i="5"/>
  <c r="F148" i="5"/>
  <c r="D149" i="5"/>
  <c r="E149" i="5"/>
  <c r="F149" i="5"/>
  <c r="D150" i="5"/>
  <c r="E150" i="5"/>
  <c r="F150" i="5"/>
  <c r="D151" i="5"/>
  <c r="E151" i="5"/>
  <c r="F151" i="5"/>
  <c r="F145" i="5"/>
  <c r="E145" i="5"/>
  <c r="D145" i="5"/>
  <c r="F65" i="5"/>
  <c r="F66" i="5"/>
  <c r="F67" i="5"/>
  <c r="F68" i="5"/>
  <c r="F69" i="5"/>
  <c r="F70" i="5"/>
  <c r="F64" i="5"/>
  <c r="I516" i="1"/>
  <c r="G539" i="1"/>
  <c r="G531" i="1"/>
  <c r="G535" i="1"/>
  <c r="G515" i="1"/>
  <c r="G514" i="1"/>
  <c r="G513" i="1"/>
  <c r="G512" i="1"/>
  <c r="G511" i="1"/>
  <c r="G510" i="1"/>
  <c r="G509" i="1"/>
  <c r="G508" i="1"/>
  <c r="G507" i="1"/>
  <c r="G506" i="1"/>
  <c r="G503" i="1"/>
  <c r="G502" i="1"/>
  <c r="G478" i="1"/>
  <c r="G475" i="1"/>
  <c r="G474" i="1"/>
  <c r="G473" i="1"/>
  <c r="G472" i="1"/>
  <c r="G471" i="1"/>
  <c r="G431" i="1"/>
  <c r="G428" i="1"/>
  <c r="G427" i="1"/>
  <c r="G426" i="1"/>
  <c r="G425" i="1"/>
  <c r="G424" i="1"/>
  <c r="G423" i="1"/>
  <c r="G422" i="1"/>
  <c r="G421" i="1"/>
  <c r="G420" i="1"/>
  <c r="G404" i="1"/>
  <c r="G399" i="1"/>
  <c r="G398" i="1"/>
  <c r="G397" i="1"/>
  <c r="G396" i="1"/>
  <c r="G395" i="1"/>
  <c r="G394" i="1"/>
  <c r="G393" i="1"/>
  <c r="G392" i="1"/>
  <c r="G391" i="1"/>
  <c r="G390" i="1"/>
  <c r="G387" i="1"/>
  <c r="G386" i="1"/>
  <c r="G385" i="1"/>
  <c r="G384" i="1"/>
  <c r="G383" i="1"/>
  <c r="G382" i="1"/>
  <c r="G381" i="1"/>
  <c r="G380" i="1"/>
  <c r="G379" i="1"/>
  <c r="G378" i="1"/>
  <c r="G360" i="1"/>
  <c r="G324" i="1"/>
  <c r="G323" i="1"/>
  <c r="G322" i="1"/>
  <c r="G321" i="1"/>
  <c r="G320" i="1"/>
  <c r="G319" i="1"/>
  <c r="G318" i="1"/>
  <c r="G317" i="1"/>
  <c r="G316" i="1"/>
  <c r="G315" i="1"/>
  <c r="G278" i="1"/>
  <c r="G277" i="1"/>
  <c r="G276" i="1"/>
  <c r="G275" i="1"/>
  <c r="G274" i="1"/>
  <c r="G268" i="1"/>
  <c r="G267" i="1"/>
  <c r="G266" i="1"/>
  <c r="G265" i="1"/>
  <c r="G264" i="1"/>
  <c r="G263" i="1"/>
  <c r="G262" i="1"/>
  <c r="G261" i="1"/>
  <c r="G260" i="1"/>
  <c r="G259" i="1"/>
  <c r="G138" i="1"/>
  <c r="G137" i="1"/>
  <c r="G136" i="1"/>
  <c r="G135" i="1"/>
  <c r="G134" i="1"/>
  <c r="G133" i="1"/>
  <c r="G132" i="1"/>
  <c r="G131" i="1"/>
  <c r="G130" i="1"/>
  <c r="G129" i="1"/>
  <c r="G128" i="1"/>
  <c r="G127" i="1"/>
  <c r="G126" i="1"/>
  <c r="G125" i="1"/>
  <c r="G124" i="1"/>
  <c r="G123" i="1"/>
  <c r="G122" i="1"/>
  <c r="G121" i="1"/>
  <c r="G120" i="1"/>
  <c r="G119" i="1"/>
  <c r="G114" i="1"/>
  <c r="G113" i="1"/>
  <c r="G112" i="1"/>
  <c r="G111" i="1"/>
  <c r="G110" i="1"/>
  <c r="G109" i="1"/>
  <c r="G108" i="1"/>
  <c r="G107" i="1"/>
  <c r="G106" i="1"/>
  <c r="G105" i="1"/>
  <c r="G102" i="1"/>
  <c r="G87" i="1"/>
  <c r="G86" i="1"/>
  <c r="G85" i="1"/>
  <c r="G84" i="1"/>
  <c r="G83" i="1"/>
  <c r="G82" i="1"/>
  <c r="G81" i="1"/>
  <c r="G80" i="1"/>
  <c r="G79" i="1"/>
  <c r="G78" i="1"/>
  <c r="G77" i="1"/>
  <c r="G76" i="1"/>
  <c r="G75" i="1"/>
  <c r="G74" i="1"/>
  <c r="G73" i="1"/>
  <c r="G72" i="1"/>
  <c r="G71" i="1"/>
  <c r="G70" i="1"/>
  <c r="G69" i="1"/>
  <c r="G68" i="1"/>
  <c r="G67" i="1"/>
  <c r="G66" i="1"/>
  <c r="G65" i="1"/>
  <c r="G64" i="1"/>
  <c r="F35" i="1"/>
  <c r="M18" i="5" s="1"/>
  <c r="F62" i="1"/>
  <c r="M29" i="5" s="1"/>
  <c r="G61" i="1"/>
  <c r="G60" i="1"/>
  <c r="G59" i="1"/>
  <c r="G58" i="1"/>
  <c r="G57" i="1"/>
  <c r="G51" i="1"/>
  <c r="G50" i="1"/>
  <c r="G49" i="1"/>
  <c r="G48" i="1"/>
  <c r="G47" i="1"/>
  <c r="G46" i="1"/>
  <c r="G45" i="1"/>
  <c r="G44" i="1"/>
  <c r="G43" i="1"/>
  <c r="G40" i="1"/>
  <c r="G39" i="1"/>
  <c r="G38" i="1"/>
  <c r="G37" i="1"/>
  <c r="G17" i="1"/>
  <c r="G18" i="1"/>
  <c r="G19" i="1"/>
  <c r="G22" i="1"/>
  <c r="G23" i="1"/>
  <c r="G24" i="1"/>
  <c r="G25" i="1"/>
  <c r="G26" i="1"/>
  <c r="G27" i="1"/>
  <c r="G28" i="1"/>
  <c r="G29" i="1"/>
  <c r="G30" i="1"/>
  <c r="G31" i="1"/>
  <c r="G32" i="1"/>
  <c r="G33" i="1"/>
  <c r="G34" i="1"/>
  <c r="G16" i="1"/>
  <c r="H257" i="1" l="1"/>
  <c r="H388" i="1"/>
  <c r="H476" i="1"/>
  <c r="H103" i="1"/>
  <c r="H504" i="1"/>
  <c r="H313" i="1"/>
  <c r="H35" i="1"/>
  <c r="G148" i="5"/>
  <c r="H62" i="1"/>
  <c r="H429" i="1"/>
  <c r="H561" i="1"/>
  <c r="G429" i="1"/>
  <c r="G504" i="1"/>
  <c r="G476" i="1"/>
  <c r="G388" i="1"/>
  <c r="G561" i="1"/>
  <c r="E190" i="5"/>
  <c r="E196" i="5"/>
  <c r="E195" i="5"/>
  <c r="E192" i="5"/>
  <c r="E194" i="5"/>
  <c r="E191" i="5"/>
  <c r="F195" i="5"/>
  <c r="F192" i="5"/>
  <c r="F190" i="5"/>
  <c r="F191" i="5"/>
  <c r="F196" i="5"/>
  <c r="F193" i="5"/>
  <c r="D196" i="5"/>
  <c r="D193" i="5"/>
  <c r="D190" i="5"/>
  <c r="D44" i="8" s="1"/>
  <c r="G44" i="8" s="1"/>
  <c r="D195" i="5"/>
  <c r="D194" i="5"/>
  <c r="D191" i="5"/>
  <c r="F194" i="5"/>
  <c r="D192" i="5"/>
  <c r="H400" i="1"/>
  <c r="H115" i="1"/>
  <c r="H325" i="1"/>
  <c r="H516" i="1"/>
  <c r="E48" i="5"/>
  <c r="F48" i="5"/>
  <c r="G47" i="5"/>
  <c r="G516" i="1"/>
  <c r="G325" i="1"/>
  <c r="G400" i="1"/>
  <c r="G313" i="1"/>
  <c r="G257" i="1"/>
  <c r="G115" i="1"/>
  <c r="G103" i="1"/>
  <c r="G35" i="1"/>
  <c r="F24" i="4"/>
  <c r="F23" i="4"/>
  <c r="F22" i="4"/>
  <c r="E50" i="8" l="1"/>
  <c r="H50" i="8" s="1"/>
  <c r="D587" i="1"/>
  <c r="I400" i="1"/>
  <c r="I325" i="1"/>
  <c r="I115" i="1"/>
  <c r="I587" i="1" l="1"/>
  <c r="G19" i="5"/>
  <c r="G20" i="5"/>
  <c r="G21" i="5"/>
  <c r="G22" i="5"/>
  <c r="G23" i="5"/>
  <c r="G24" i="5"/>
  <c r="G25" i="5"/>
  <c r="D50" i="8" l="1"/>
  <c r="G50" i="8" s="1"/>
  <c r="D45" i="8"/>
  <c r="G45" i="8" s="1"/>
  <c r="D47" i="8"/>
  <c r="G47" i="8" s="1"/>
  <c r="D48" i="8"/>
  <c r="G48" i="8" s="1"/>
  <c r="D49" i="8"/>
  <c r="C21" i="4"/>
  <c r="D197" i="5" l="1"/>
  <c r="C10" i="4"/>
  <c r="G10" i="4" s="1"/>
  <c r="D46" i="8"/>
  <c r="G46" i="8" s="1"/>
  <c r="C7" i="4"/>
  <c r="D51" i="8" l="1"/>
  <c r="D198" i="5"/>
  <c r="D199" i="5" s="1"/>
  <c r="E476" i="1"/>
  <c r="D15" i="5"/>
  <c r="E579" i="1"/>
  <c r="P21" i="4" s="1"/>
  <c r="F579" i="1"/>
  <c r="D579" i="1"/>
  <c r="O21" i="4" s="1"/>
  <c r="E571" i="1"/>
  <c r="F571" i="1"/>
  <c r="D571" i="1"/>
  <c r="F185" i="5"/>
  <c r="D185" i="5"/>
  <c r="G184" i="5"/>
  <c r="G183" i="5"/>
  <c r="G182" i="5"/>
  <c r="G180" i="5"/>
  <c r="G179" i="5"/>
  <c r="G178" i="5"/>
  <c r="F561" i="1"/>
  <c r="M177" i="5" s="1"/>
  <c r="N177" i="5" s="1"/>
  <c r="K20" i="8" l="1"/>
  <c r="Q20" i="8" s="1"/>
  <c r="R20" i="8" s="1"/>
  <c r="L144" i="5"/>
  <c r="G177" i="5"/>
  <c r="G62" i="1"/>
  <c r="D14" i="4"/>
  <c r="H14" i="4" s="1"/>
  <c r="E49" i="8"/>
  <c r="H49" i="8" s="1"/>
  <c r="C14" i="4"/>
  <c r="G14" i="4" s="1"/>
  <c r="C11" i="4"/>
  <c r="G11" i="4" s="1"/>
  <c r="C12" i="4"/>
  <c r="G12" i="4" s="1"/>
  <c r="C13" i="4"/>
  <c r="C8" i="4"/>
  <c r="G8" i="4" s="1"/>
  <c r="E15" i="5"/>
  <c r="G145" i="5"/>
  <c r="G146" i="5"/>
  <c r="G147" i="5"/>
  <c r="G149" i="5"/>
  <c r="G150" i="5"/>
  <c r="G151" i="5"/>
  <c r="D152" i="5"/>
  <c r="E152" i="5"/>
  <c r="F152" i="5"/>
  <c r="G156" i="5"/>
  <c r="G157" i="5"/>
  <c r="G158" i="5"/>
  <c r="G159" i="5"/>
  <c r="G160" i="5"/>
  <c r="G161" i="5"/>
  <c r="G162" i="5"/>
  <c r="D163" i="5"/>
  <c r="E163" i="5"/>
  <c r="F163" i="5"/>
  <c r="G167" i="5"/>
  <c r="G168" i="5"/>
  <c r="G169" i="5"/>
  <c r="G170" i="5"/>
  <c r="G171" i="5"/>
  <c r="G172" i="5"/>
  <c r="G173" i="5"/>
  <c r="D174" i="5"/>
  <c r="E174" i="5"/>
  <c r="F174" i="5"/>
  <c r="F141" i="5"/>
  <c r="E141" i="5"/>
  <c r="D141" i="5"/>
  <c r="G140" i="5"/>
  <c r="G139" i="5"/>
  <c r="G138" i="5"/>
  <c r="G137" i="5"/>
  <c r="G136" i="5"/>
  <c r="G135" i="5"/>
  <c r="G134" i="5"/>
  <c r="G110" i="5"/>
  <c r="G111" i="5"/>
  <c r="G112" i="5"/>
  <c r="G113" i="5"/>
  <c r="G114" i="5"/>
  <c r="G115" i="5"/>
  <c r="G116" i="5"/>
  <c r="D117" i="5"/>
  <c r="E117" i="5"/>
  <c r="F117" i="5"/>
  <c r="G121" i="5"/>
  <c r="G122" i="5"/>
  <c r="G123" i="5"/>
  <c r="G124" i="5"/>
  <c r="G125" i="5"/>
  <c r="G126" i="5"/>
  <c r="G127" i="5"/>
  <c r="D128" i="5"/>
  <c r="E128" i="5"/>
  <c r="F128" i="5"/>
  <c r="F106" i="5"/>
  <c r="E106" i="5"/>
  <c r="D106" i="5"/>
  <c r="G105" i="5"/>
  <c r="G104" i="5"/>
  <c r="G103" i="5"/>
  <c r="G102" i="5"/>
  <c r="G101" i="5"/>
  <c r="G100" i="5"/>
  <c r="G99" i="5"/>
  <c r="G75" i="5"/>
  <c r="G76" i="5"/>
  <c r="G77" i="5"/>
  <c r="G78" i="5"/>
  <c r="G79" i="5"/>
  <c r="G80" i="5"/>
  <c r="G81" i="5"/>
  <c r="D82" i="5"/>
  <c r="E82" i="5"/>
  <c r="F82" i="5"/>
  <c r="G86" i="5"/>
  <c r="G87" i="5"/>
  <c r="G88" i="5"/>
  <c r="G89" i="5"/>
  <c r="G90" i="5"/>
  <c r="G91" i="5"/>
  <c r="G92" i="5"/>
  <c r="D93" i="5"/>
  <c r="E93" i="5"/>
  <c r="F93" i="5"/>
  <c r="G64" i="5"/>
  <c r="G65" i="5"/>
  <c r="G66" i="5"/>
  <c r="G67" i="5"/>
  <c r="G68" i="5"/>
  <c r="G69" i="5"/>
  <c r="G70" i="5"/>
  <c r="D71" i="5"/>
  <c r="E71" i="5"/>
  <c r="F71" i="5"/>
  <c r="G30" i="5"/>
  <c r="G31" i="5"/>
  <c r="G32" i="5"/>
  <c r="G33" i="5"/>
  <c r="G34" i="5"/>
  <c r="G35" i="5"/>
  <c r="G36" i="5"/>
  <c r="D37" i="5"/>
  <c r="E37" i="5"/>
  <c r="F37" i="5"/>
  <c r="G41" i="5"/>
  <c r="G42" i="5"/>
  <c r="G43" i="5"/>
  <c r="G44" i="5"/>
  <c r="G45" i="5"/>
  <c r="G46" i="5"/>
  <c r="D48" i="5"/>
  <c r="G48" i="5" s="1"/>
  <c r="G52" i="5"/>
  <c r="G53" i="5"/>
  <c r="G54" i="5"/>
  <c r="G55" i="5"/>
  <c r="G56" i="5"/>
  <c r="G57" i="5"/>
  <c r="G58" i="5"/>
  <c r="D59" i="5"/>
  <c r="E59" i="5"/>
  <c r="F59" i="5"/>
  <c r="E26" i="5"/>
  <c r="F26" i="5"/>
  <c r="D26" i="5"/>
  <c r="I20" i="8" l="1"/>
  <c r="L20" i="8"/>
  <c r="E193" i="5"/>
  <c r="G181" i="5"/>
  <c r="E185" i="5"/>
  <c r="G185" i="5" s="1"/>
  <c r="G71" i="5"/>
  <c r="G163" i="5"/>
  <c r="D9" i="4"/>
  <c r="H9" i="4" s="1"/>
  <c r="E45" i="8"/>
  <c r="H45" i="8" s="1"/>
  <c r="E8" i="4"/>
  <c r="F197" i="5"/>
  <c r="E10" i="4"/>
  <c r="E14" i="4"/>
  <c r="F14" i="4" s="1"/>
  <c r="E9" i="4"/>
  <c r="D8" i="4"/>
  <c r="H8" i="4" s="1"/>
  <c r="E44" i="8"/>
  <c r="H44" i="8" s="1"/>
  <c r="D10" i="4"/>
  <c r="H10" i="4" s="1"/>
  <c r="E46" i="8"/>
  <c r="H46" i="8" s="1"/>
  <c r="E11" i="4"/>
  <c r="E12" i="4"/>
  <c r="E13" i="4"/>
  <c r="D12" i="4"/>
  <c r="H12" i="4" s="1"/>
  <c r="E48" i="8"/>
  <c r="H48" i="8" s="1"/>
  <c r="G26" i="5"/>
  <c r="G128" i="5"/>
  <c r="C9" i="4"/>
  <c r="G9" i="4" s="1"/>
  <c r="G195" i="5"/>
  <c r="F49" i="8" s="1"/>
  <c r="G190" i="5"/>
  <c r="F44" i="8" s="1"/>
  <c r="D13" i="4"/>
  <c r="H13" i="4" s="1"/>
  <c r="G191" i="5"/>
  <c r="F45" i="8" s="1"/>
  <c r="G196" i="5"/>
  <c r="F50" i="8" s="1"/>
  <c r="G194" i="5"/>
  <c r="F48" i="8" s="1"/>
  <c r="G192" i="5"/>
  <c r="F46" i="8" s="1"/>
  <c r="G117" i="5"/>
  <c r="G141" i="5"/>
  <c r="G152" i="5"/>
  <c r="G174" i="5"/>
  <c r="G82" i="5"/>
  <c r="G106" i="5"/>
  <c r="G93" i="5"/>
  <c r="G37" i="5"/>
  <c r="G59" i="5"/>
  <c r="E516" i="1"/>
  <c r="L166" i="5" s="1"/>
  <c r="F516" i="1"/>
  <c r="M166" i="5" s="1"/>
  <c r="E504" i="1"/>
  <c r="F504" i="1"/>
  <c r="M155" i="5" s="1"/>
  <c r="E144" i="5"/>
  <c r="F476" i="1"/>
  <c r="M144" i="5" s="1"/>
  <c r="N144" i="5" s="1"/>
  <c r="E429" i="1"/>
  <c r="F429" i="1"/>
  <c r="M133" i="5" s="1"/>
  <c r="E400" i="1"/>
  <c r="L120" i="5" s="1"/>
  <c r="F400" i="1"/>
  <c r="M120" i="5" s="1"/>
  <c r="E388" i="1"/>
  <c r="F388" i="1"/>
  <c r="M109" i="5" s="1"/>
  <c r="M98" i="5"/>
  <c r="E325" i="1"/>
  <c r="L85" i="5" s="1"/>
  <c r="F325" i="1"/>
  <c r="M85" i="5" s="1"/>
  <c r="E313" i="1"/>
  <c r="F313" i="1"/>
  <c r="M74" i="5" s="1"/>
  <c r="F257" i="1"/>
  <c r="M63" i="5" s="1"/>
  <c r="E115" i="1"/>
  <c r="L51" i="5" s="1"/>
  <c r="F115" i="1"/>
  <c r="M51" i="5" s="1"/>
  <c r="E103" i="1"/>
  <c r="F103" i="1"/>
  <c r="M40" i="5" s="1"/>
  <c r="E62" i="1"/>
  <c r="F29" i="5"/>
  <c r="D62" i="1"/>
  <c r="F18" i="5"/>
  <c r="E35" i="1"/>
  <c r="K10" i="8" l="1"/>
  <c r="L40" i="5"/>
  <c r="K16" i="8"/>
  <c r="Q16" i="8" s="1"/>
  <c r="L98" i="5"/>
  <c r="K8" i="8"/>
  <c r="L18" i="5"/>
  <c r="K19" i="8"/>
  <c r="Q19" i="8" s="1"/>
  <c r="L133" i="5"/>
  <c r="L109" i="5"/>
  <c r="K17" i="8"/>
  <c r="J9" i="8"/>
  <c r="K29" i="5"/>
  <c r="K13" i="8"/>
  <c r="Q13" i="8" s="1"/>
  <c r="Q11" i="8" s="1"/>
  <c r="L74" i="5"/>
  <c r="K21" i="8"/>
  <c r="L155" i="5"/>
  <c r="L29" i="5"/>
  <c r="K9" i="8"/>
  <c r="E572" i="1"/>
  <c r="E573" i="1" s="1"/>
  <c r="E197" i="5"/>
  <c r="E198" i="5" s="1"/>
  <c r="F8" i="4"/>
  <c r="L8" i="4" s="1"/>
  <c r="F12" i="4"/>
  <c r="L12" i="4" s="1"/>
  <c r="F13" i="4"/>
  <c r="F10" i="4"/>
  <c r="L10" i="4" s="1"/>
  <c r="C15" i="4"/>
  <c r="F9" i="4"/>
  <c r="L9" i="4" s="1"/>
  <c r="E15" i="8"/>
  <c r="E47" i="8"/>
  <c r="H47" i="8" s="1"/>
  <c r="D11" i="4"/>
  <c r="H11" i="4" s="1"/>
  <c r="G193" i="5"/>
  <c r="F47" i="8" s="1"/>
  <c r="F572" i="1"/>
  <c r="E15" i="4"/>
  <c r="F144" i="5"/>
  <c r="F25" i="8"/>
  <c r="E14" i="8"/>
  <c r="E120" i="5"/>
  <c r="E155" i="5"/>
  <c r="E29" i="5"/>
  <c r="F120" i="5"/>
  <c r="F109" i="5"/>
  <c r="F155" i="5"/>
  <c r="F63" i="5"/>
  <c r="F133" i="5"/>
  <c r="F198" i="5"/>
  <c r="E109" i="5"/>
  <c r="E63" i="5"/>
  <c r="E133" i="5"/>
  <c r="E18" i="5"/>
  <c r="I17" i="8" l="1"/>
  <c r="Q17" i="8"/>
  <c r="Q15" i="8" s="1"/>
  <c r="I8" i="8"/>
  <c r="Q8" i="8"/>
  <c r="I9" i="8"/>
  <c r="Q9" i="8"/>
  <c r="I21" i="8"/>
  <c r="Q21" i="8"/>
  <c r="Q18" i="8" s="1"/>
  <c r="I10" i="8"/>
  <c r="Q10" i="8"/>
  <c r="H9" i="8"/>
  <c r="P9" i="8"/>
  <c r="L9" i="8"/>
  <c r="N29" i="5"/>
  <c r="I19" i="8"/>
  <c r="K18" i="8"/>
  <c r="I13" i="8"/>
  <c r="I11" i="8" s="1"/>
  <c r="K11" i="8"/>
  <c r="K7" i="8"/>
  <c r="K15" i="8"/>
  <c r="I16" i="8"/>
  <c r="C16" i="4"/>
  <c r="G197" i="5"/>
  <c r="F51" i="8" s="1"/>
  <c r="E52" i="8"/>
  <c r="H52" i="8" s="1"/>
  <c r="E51" i="8"/>
  <c r="H51" i="8" s="1"/>
  <c r="D15" i="4"/>
  <c r="F11" i="4"/>
  <c r="L11" i="4" s="1"/>
  <c r="E199" i="5"/>
  <c r="E11" i="8"/>
  <c r="E16" i="4"/>
  <c r="E17" i="4" s="1"/>
  <c r="E7" i="8"/>
  <c r="G29" i="5"/>
  <c r="E18" i="8"/>
  <c r="F9" i="8"/>
  <c r="F199" i="5"/>
  <c r="D53" i="8"/>
  <c r="D52" i="8"/>
  <c r="F573" i="1"/>
  <c r="F574" i="1" s="1"/>
  <c r="E574" i="1"/>
  <c r="D516" i="1"/>
  <c r="K166" i="5" s="1"/>
  <c r="N166" i="5" s="1"/>
  <c r="D504" i="1"/>
  <c r="D144" i="5"/>
  <c r="G144" i="5" s="1"/>
  <c r="D429" i="1"/>
  <c r="D400" i="1"/>
  <c r="K120" i="5" s="1"/>
  <c r="N120" i="5" s="1"/>
  <c r="D388" i="1"/>
  <c r="D325" i="1"/>
  <c r="K85" i="5" s="1"/>
  <c r="N85" i="5" s="1"/>
  <c r="D313" i="1"/>
  <c r="D257" i="1"/>
  <c r="D115" i="1"/>
  <c r="K51" i="5" s="1"/>
  <c r="N51" i="5" s="1"/>
  <c r="D103" i="1"/>
  <c r="D35" i="1"/>
  <c r="R9" i="8" l="1"/>
  <c r="I18" i="8"/>
  <c r="I7" i="8"/>
  <c r="I15" i="8"/>
  <c r="I22" i="8" s="1"/>
  <c r="Q7" i="8"/>
  <c r="Q22" i="8" s="1"/>
  <c r="Q28" i="8" s="1"/>
  <c r="Q29" i="8" s="1"/>
  <c r="Q30" i="8" s="1"/>
  <c r="J16" i="8"/>
  <c r="P16" i="8" s="1"/>
  <c r="K98" i="5"/>
  <c r="N98" i="5" s="1"/>
  <c r="F17" i="8"/>
  <c r="K109" i="5"/>
  <c r="N109" i="5" s="1"/>
  <c r="J17" i="8"/>
  <c r="P17" i="8" s="1"/>
  <c r="R17" i="8" s="1"/>
  <c r="J8" i="8"/>
  <c r="P8" i="8" s="1"/>
  <c r="R8" i="8" s="1"/>
  <c r="K18" i="5"/>
  <c r="N18" i="5" s="1"/>
  <c r="J10" i="8"/>
  <c r="K40" i="5"/>
  <c r="N40" i="5" s="1"/>
  <c r="K133" i="5"/>
  <c r="N133" i="5" s="1"/>
  <c r="J19" i="8"/>
  <c r="P19" i="8" s="1"/>
  <c r="R19" i="8" s="1"/>
  <c r="K63" i="5"/>
  <c r="N63" i="5" s="1"/>
  <c r="J12" i="8"/>
  <c r="P12" i="8" s="1"/>
  <c r="R12" i="8" s="1"/>
  <c r="J21" i="8"/>
  <c r="P21" i="8" s="1"/>
  <c r="K155" i="5"/>
  <c r="N155" i="5" s="1"/>
  <c r="J13" i="8"/>
  <c r="K74" i="5"/>
  <c r="N74" i="5" s="1"/>
  <c r="K22" i="8"/>
  <c r="K28" i="8" s="1"/>
  <c r="K29" i="8" s="1"/>
  <c r="K30" i="8" s="1"/>
  <c r="D16" i="4"/>
  <c r="H15" i="4"/>
  <c r="C17" i="4"/>
  <c r="D572" i="1"/>
  <c r="G572" i="1" s="1"/>
  <c r="G198" i="5"/>
  <c r="F52" i="8" s="1"/>
  <c r="E53" i="8"/>
  <c r="H53" i="8" s="1"/>
  <c r="E22" i="8"/>
  <c r="E28" i="8" s="1"/>
  <c r="E29" i="8" s="1"/>
  <c r="E30" i="8" s="1"/>
  <c r="F581" i="1"/>
  <c r="F582" i="1"/>
  <c r="F580" i="1"/>
  <c r="E581" i="1"/>
  <c r="E580" i="1"/>
  <c r="E582" i="1"/>
  <c r="F15" i="4"/>
  <c r="F16" i="4" s="1"/>
  <c r="F21" i="8"/>
  <c r="D15" i="8"/>
  <c r="F16" i="8"/>
  <c r="C29" i="6"/>
  <c r="C18" i="6"/>
  <c r="G51" i="5"/>
  <c r="F24" i="8"/>
  <c r="D155" i="5"/>
  <c r="G155" i="5" s="1"/>
  <c r="F26" i="8"/>
  <c r="G166" i="5"/>
  <c r="F27" i="8"/>
  <c r="G74" i="5"/>
  <c r="F13" i="8"/>
  <c r="D120" i="5"/>
  <c r="G120" i="5" s="1"/>
  <c r="G85" i="5"/>
  <c r="D14" i="8"/>
  <c r="F14" i="8" s="1"/>
  <c r="D109" i="5"/>
  <c r="G109" i="5" s="1"/>
  <c r="F20" i="8"/>
  <c r="G18" i="5"/>
  <c r="G98" i="5"/>
  <c r="D133" i="5"/>
  <c r="G133" i="5" s="1"/>
  <c r="C40" i="6"/>
  <c r="D63" i="5"/>
  <c r="G63" i="5" s="1"/>
  <c r="G40" i="5"/>
  <c r="C7" i="6"/>
  <c r="D10" i="6" s="1"/>
  <c r="P15" i="8" l="1"/>
  <c r="R15" i="8" s="1"/>
  <c r="R16" i="8"/>
  <c r="P18" i="8"/>
  <c r="R18" i="8" s="1"/>
  <c r="R21" i="8"/>
  <c r="L10" i="8"/>
  <c r="P10" i="8"/>
  <c r="R10" i="8" s="1"/>
  <c r="R7" i="8" s="1"/>
  <c r="H13" i="8"/>
  <c r="P13" i="8"/>
  <c r="D24" i="4"/>
  <c r="D23" i="4"/>
  <c r="E24" i="4"/>
  <c r="Q24" i="4"/>
  <c r="E23" i="4"/>
  <c r="Q23" i="4"/>
  <c r="L21" i="8"/>
  <c r="H21" i="8"/>
  <c r="L8" i="8"/>
  <c r="J7" i="8"/>
  <c r="L7" i="8" s="1"/>
  <c r="H8" i="8"/>
  <c r="L12" i="8"/>
  <c r="J11" i="8"/>
  <c r="L11" i="8" s="1"/>
  <c r="H12" i="8"/>
  <c r="H16" i="8"/>
  <c r="J15" i="8"/>
  <c r="L15" i="8" s="1"/>
  <c r="L16" i="8"/>
  <c r="H17" i="8"/>
  <c r="L17" i="8"/>
  <c r="H19" i="8"/>
  <c r="L19" i="8"/>
  <c r="J18" i="8"/>
  <c r="L13" i="8"/>
  <c r="F15" i="8"/>
  <c r="D17" i="4"/>
  <c r="H16" i="4"/>
  <c r="H17" i="4" s="1"/>
  <c r="F10" i="8"/>
  <c r="H10" i="8"/>
  <c r="D573" i="1"/>
  <c r="D574" i="1" s="1"/>
  <c r="G199" i="5"/>
  <c r="F53" i="8" s="1"/>
  <c r="D18" i="8"/>
  <c r="D11" i="8"/>
  <c r="F8" i="8"/>
  <c r="D7" i="8"/>
  <c r="I588" i="1"/>
  <c r="F17" i="4"/>
  <c r="F585" i="1"/>
  <c r="Q25" i="4" s="1"/>
  <c r="E22" i="4"/>
  <c r="E585" i="1"/>
  <c r="F12" i="8"/>
  <c r="F11" i="8" s="1"/>
  <c r="F19" i="8"/>
  <c r="F18" i="8" s="1"/>
  <c r="D22" i="4"/>
  <c r="E33" i="8"/>
  <c r="E34" i="8"/>
  <c r="E35" i="8"/>
  <c r="F23" i="8"/>
  <c r="D45" i="6"/>
  <c r="D47" i="6"/>
  <c r="D46" i="6"/>
  <c r="D43" i="6"/>
  <c r="D44" i="6"/>
  <c r="D34" i="6"/>
  <c r="D36" i="6"/>
  <c r="D32" i="6"/>
  <c r="D33" i="6"/>
  <c r="D35" i="6"/>
  <c r="D24" i="6"/>
  <c r="D25" i="6"/>
  <c r="D21" i="6"/>
  <c r="D22" i="6"/>
  <c r="D23" i="6"/>
  <c r="D12" i="6"/>
  <c r="D11" i="6"/>
  <c r="D14" i="6"/>
  <c r="D13" i="6"/>
  <c r="P7" i="8" l="1"/>
  <c r="R13" i="8"/>
  <c r="R11" i="8" s="1"/>
  <c r="P11" i="8"/>
  <c r="P22" i="8" s="1"/>
  <c r="H15" i="8"/>
  <c r="L18" i="8"/>
  <c r="J22" i="8"/>
  <c r="H11" i="8"/>
  <c r="H18" i="8"/>
  <c r="H7" i="8"/>
  <c r="D22" i="8"/>
  <c r="D28" i="8" s="1"/>
  <c r="F7" i="8"/>
  <c r="F22" i="8" s="1"/>
  <c r="D582" i="1"/>
  <c r="D581" i="1"/>
  <c r="D580" i="1"/>
  <c r="G573" i="1"/>
  <c r="G574" i="1" s="1"/>
  <c r="C30" i="6"/>
  <c r="C41" i="6"/>
  <c r="C19" i="6"/>
  <c r="C8" i="6"/>
  <c r="R22" i="8" l="1"/>
  <c r="P28" i="8"/>
  <c r="G580" i="1"/>
  <c r="G581" i="1"/>
  <c r="G582" i="1"/>
  <c r="J28" i="8"/>
  <c r="L22" i="8"/>
  <c r="H22" i="8"/>
  <c r="H28" i="8" s="1"/>
  <c r="D591" i="1"/>
  <c r="D588" i="1"/>
  <c r="D585" i="1"/>
  <c r="F28" i="8"/>
  <c r="D29" i="8"/>
  <c r="C23" i="4"/>
  <c r="C24" i="4"/>
  <c r="C22" i="4"/>
  <c r="P29" i="8" l="1"/>
  <c r="R28" i="8"/>
  <c r="G585" i="1"/>
  <c r="L28" i="8"/>
  <c r="J29" i="8"/>
  <c r="H29" i="8"/>
  <c r="D30" i="8"/>
  <c r="F30" i="8" s="1"/>
  <c r="F29" i="8"/>
  <c r="G30" i="8" l="1"/>
  <c r="G23" i="8"/>
  <c r="G28" i="8"/>
  <c r="I28" i="8" s="1"/>
  <c r="R29" i="8"/>
  <c r="P30" i="8"/>
  <c r="R30" i="8" s="1"/>
  <c r="L29" i="8"/>
  <c r="J30" i="8"/>
  <c r="L30" i="8" s="1"/>
  <c r="H30" i="8"/>
  <c r="I30" i="8" s="1"/>
  <c r="I29" i="8"/>
  <c r="G18" i="8"/>
  <c r="G7" i="8"/>
  <c r="D35" i="8"/>
  <c r="F35" i="8" s="1"/>
  <c r="D34" i="8"/>
  <c r="F34" i="8" s="1"/>
  <c r="D33" i="8"/>
  <c r="F33" i="8" s="1"/>
  <c r="S30" i="8" l="1"/>
  <c r="S23" i="8"/>
  <c r="S7" i="8"/>
  <c r="S18" i="8"/>
  <c r="S15" i="8"/>
  <c r="S11" i="8"/>
  <c r="S28" i="8"/>
  <c r="G11" i="8"/>
  <c r="G15" i="8"/>
  <c r="K195" i="5" l="1"/>
  <c r="N24" i="5"/>
  <c r="K26" i="5"/>
  <c r="N26" i="5" s="1"/>
  <c r="N195" i="5" l="1"/>
  <c r="V26" i="5"/>
  <c r="V24" i="5"/>
  <c r="S195" i="5"/>
  <c r="O13" i="4" s="1"/>
  <c r="K197" i="5"/>
  <c r="I13" i="4"/>
  <c r="I49" i="8"/>
  <c r="O49" i="8" s="1"/>
  <c r="Q49" i="8" l="1"/>
  <c r="O51" i="8"/>
  <c r="R13" i="4"/>
  <c r="O15" i="4"/>
  <c r="V195" i="5"/>
  <c r="S197" i="5"/>
  <c r="G49" i="8"/>
  <c r="K49" i="8"/>
  <c r="G13" i="4"/>
  <c r="K13" i="4"/>
  <c r="L13" i="4" s="1"/>
  <c r="I15" i="4"/>
  <c r="N197" i="5"/>
  <c r="I51" i="8"/>
  <c r="K198" i="5"/>
  <c r="I52" i="8" s="1"/>
  <c r="Q51" i="8" l="1"/>
  <c r="O52" i="8"/>
  <c r="Q52" i="8" s="1"/>
  <c r="S13" i="4"/>
  <c r="O16" i="4"/>
  <c r="O17" i="4" s="1"/>
  <c r="R15" i="4"/>
  <c r="V197" i="5"/>
  <c r="V198" i="5" s="1"/>
  <c r="V199" i="5" s="1"/>
  <c r="S198" i="5"/>
  <c r="S199" i="5" s="1"/>
  <c r="K199" i="5"/>
  <c r="G51" i="8"/>
  <c r="K51" i="8"/>
  <c r="N198" i="5"/>
  <c r="N199" i="5" s="1"/>
  <c r="K15" i="4"/>
  <c r="G15" i="4"/>
  <c r="I16" i="4"/>
  <c r="I17" i="4" s="1"/>
  <c r="K52" i="8"/>
  <c r="G52" i="8"/>
  <c r="O53" i="8" l="1"/>
  <c r="Q53" i="8" s="1"/>
  <c r="I53" i="8"/>
  <c r="G53" i="8" s="1"/>
  <c r="R16" i="4"/>
  <c r="S15" i="4"/>
  <c r="K16" i="4"/>
  <c r="L16" i="4" s="1"/>
  <c r="G16" i="4"/>
  <c r="G17" i="4" s="1"/>
  <c r="K53" i="8" l="1"/>
  <c r="R17" i="4"/>
  <c r="S16" i="4"/>
  <c r="K17" i="4"/>
  <c r="O585" i="1"/>
  <c r="P585" i="1"/>
  <c r="R580" i="1"/>
  <c r="R582" i="1"/>
  <c r="R581" i="1"/>
  <c r="S17" i="4" l="1"/>
  <c r="R585" i="1"/>
  <c r="S580" i="1" s="1"/>
  <c r="R22" i="4" s="1"/>
  <c r="S583" i="1" l="1"/>
  <c r="R25" i="4" s="1"/>
  <c r="S581" i="1"/>
  <c r="R23" i="4" s="1"/>
  <c r="S584" i="1"/>
  <c r="R26" i="4" s="1"/>
  <c r="S582" i="1"/>
  <c r="R24" i="4" s="1"/>
  <c r="S585" i="1" l="1"/>
</calcChain>
</file>

<file path=xl/sharedStrings.xml><?xml version="1.0" encoding="utf-8"?>
<sst xmlns="http://schemas.openxmlformats.org/spreadsheetml/2006/main" count="3643" uniqueCount="957">
  <si>
    <t>Projet : Prévention et gestion des conflits dans la Région de l’Est - Burkina Faso</t>
  </si>
  <si>
    <t>RECAPITULATIF DU BUDGET</t>
  </si>
  <si>
    <t>BUDGET INITIAL</t>
  </si>
  <si>
    <t>AJUSTEMENTS</t>
  </si>
  <si>
    <t>BUDGET REVISE</t>
  </si>
  <si>
    <t>Ref de Resultats / Produits</t>
  </si>
  <si>
    <t>Formulation des produits</t>
  </si>
  <si>
    <t>PNUD</t>
  </si>
  <si>
    <t>FAO</t>
  </si>
  <si>
    <t>TOTAL BUDGET</t>
  </si>
  <si>
    <t>%</t>
  </si>
  <si>
    <t>TOTAL</t>
  </si>
  <si>
    <t>RESULTAT 1: La compréhension des facteurs sociaux ainsi que la dynamique des conflits au niveau de la région de l’Est est améliorée et l’utilisation des connaissances acquises permet de formuler une réponse programmatique à même de promouvoir une gestion inclusive et transparente du foncier et des ressources naturelles</t>
  </si>
  <si>
    <t xml:space="preserve">Produit 1.1: </t>
  </si>
  <si>
    <t xml:space="preserve">Produit 1.2: </t>
  </si>
  <si>
    <t xml:space="preserve">Produit 1.3: </t>
  </si>
  <si>
    <t xml:space="preserve">RESULTAT 2: Les moyens d’existence durables sont protégés, diversifiés et améliorés, dans le respect de la gestion durable du foncier et des ressources naturelles </t>
  </si>
  <si>
    <t>Produit 2.1</t>
  </si>
  <si>
    <t xml:space="preserve">Produit 2.2 </t>
  </si>
  <si>
    <t xml:space="preserve">Produit 2.3 </t>
  </si>
  <si>
    <t xml:space="preserve">RESULTAT 3:  Les acteurs et leaders communautaires impliqués dans la gestion du foncier et des ressources naturelles connaissent et appliquent mieux les instruments et textes relatifs au cadre institutionnel et légal.   </t>
  </si>
  <si>
    <t xml:space="preserve">Produit 3.1 </t>
  </si>
  <si>
    <t>Produit 3.2</t>
  </si>
  <si>
    <t>RESULTAT 4: Les mécanismes traditionnels et modernes de prévention et de gestion de conflits sont plus opérationnels, inclusifs et travaillent en intelligence dans la prévention et la gestion des conflits</t>
  </si>
  <si>
    <t>Produit 4.1</t>
  </si>
  <si>
    <t>Produit 4.2</t>
  </si>
  <si>
    <t>Produit 4.3</t>
  </si>
  <si>
    <t>SOUS TOTAL DES ACTIVITES</t>
  </si>
  <si>
    <t>Resultat 5: Coordination, Suivi-Evaluation et Gestion</t>
  </si>
  <si>
    <t>Coût de personnel du projet si pas inclus dans les activites si-dessus</t>
  </si>
  <si>
    <t>Coûts operationnels si pas inclus dans les activites si-dessus</t>
  </si>
  <si>
    <t>Suivi Evaluation</t>
  </si>
  <si>
    <t>Evaluation finale du projet</t>
  </si>
  <si>
    <t>SOUS TOTAL ACTIVITES + COORDINATION ET GESTION</t>
  </si>
  <si>
    <t>GMS / Couts indirects (7%):</t>
  </si>
  <si>
    <t>BUDGET TOTAL DU PROJET</t>
  </si>
  <si>
    <t>TRANCHES DE VERSEMENTS</t>
  </si>
  <si>
    <t xml:space="preserve">TOTAL </t>
  </si>
  <si>
    <t>Première tranche 35%</t>
  </si>
  <si>
    <t>Deuxième tranche 35%</t>
  </si>
  <si>
    <t>Troisième tranche 30%</t>
  </si>
  <si>
    <t>RECAPITULATIF DU BUDGET PAR CATEGORIE UNDG</t>
  </si>
  <si>
    <t>Organisation recipiendiaire 1</t>
  </si>
  <si>
    <t>Organisation recipiendiaire 2</t>
  </si>
  <si>
    <t>Totaux</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</si>
  <si>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</si>
  <si>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</si>
  <si>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</si>
  <si>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</si>
  <si>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</si>
  <si>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</si>
  <si>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</si>
  <si>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Sous-budget total du projet</t>
  </si>
  <si>
    <t>Coûts indirects (7%):</t>
  </si>
  <si>
    <t>Annexe D - Budget du projet PBF</t>
  </si>
  <si>
    <t>Instructions:</t>
  </si>
  <si>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Ensuite, divisez chaque budget en fonction</t>
    </r>
    <r>
      <rPr>
        <b/>
        <sz val="16"/>
        <color theme="1"/>
        <rFont val="Calibri"/>
        <family val="2"/>
        <scheme val="minor"/>
      </rPr>
      <t xml:space="preserve"> des catégories de budget des Nations Unies dans la feuille 2.
3. </t>
    </r>
    <r>
      <rPr>
        <sz val="16"/>
        <color theme="1"/>
        <rFont val="Calibri"/>
        <family val="2"/>
        <scheme val="minor"/>
      </rPr>
      <t>Assurez-vous d’inclure</t>
    </r>
    <r>
      <rPr>
        <b/>
        <sz val="16"/>
        <color theme="1"/>
        <rFont val="Calibri"/>
        <family val="2"/>
        <scheme val="minor"/>
      </rPr>
      <t xml:space="preserve"> %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toutes </t>
    </r>
    <r>
      <rPr>
        <sz val="16"/>
        <color theme="1"/>
        <rFont val="Calibri"/>
        <family val="2"/>
        <scheme val="minor"/>
      </rPr>
      <t>les organisations / résultats / réalisations / activités qui ne sont pas nécessaires. NE PAS supprimer les cellules.</t>
    </r>
    <r>
      <rPr>
        <b/>
        <sz val="16"/>
        <color theme="1"/>
        <rFont val="Calibri"/>
        <family val="2"/>
        <scheme val="minor"/>
      </rPr>
      <t xml:space="preserve">
6. Ne pas ajuster les montants des tranches</t>
    </r>
    <r>
      <rPr>
        <sz val="16"/>
        <color theme="1"/>
        <rFont val="Calibri"/>
        <family val="2"/>
        <scheme val="minor"/>
      </rPr>
      <t xml:space="preserve"> sans consulter PBSO.</t>
    </r>
  </si>
  <si>
    <t>Tableau 1 - Budget du projet PBF par résultat, produit et activité</t>
  </si>
  <si>
    <t>Nombre de resultat/ produit</t>
  </si>
  <si>
    <t>Formulation du resultat/ produit/activite</t>
  </si>
  <si>
    <t>Organisation recipiendiaire 1 (budget en USD)
PNUD</t>
  </si>
  <si>
    <t>Organisation recipiendiaire 2 (budget en USD)
FAO</t>
  </si>
  <si>
    <t xml:space="preserve">Organisation recipiendiaire 3 (budget en USD)
</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</si>
  <si>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</si>
  <si>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</si>
  <si>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</si>
  <si>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Notes quelconque le cas echeant (.e.g sur types des entrants ou justification du budget)</t>
  </si>
  <si>
    <t>Catégorie UNDG</t>
  </si>
  <si>
    <t xml:space="preserve">RESULTAT 1: </t>
  </si>
  <si>
    <t>La compréhension des facteurs sociaux ainsi que la dynamique des conflits au niveau de la région de l’Est est améliorée et l’utilisation des connaissances acquises permet de formuler une réponse programmatique à même de promouvoir une gestion inclusive et transparente du foncier et des ressources naturelles</t>
  </si>
  <si>
    <t>Produit 1.1:</t>
  </si>
  <si>
    <t xml:space="preserve">La situation de référence pour une meilleure gestion des conflits liés au foncier et aux ressources naturelles est établie </t>
  </si>
  <si>
    <t xml:space="preserve">Activite 1.1.1: Réaliser la phase préliminaire d’analyse (desk review, Scoping, cartographie des acteurs, Identification des zones d’intervention du projet) </t>
  </si>
  <si>
    <t>Constituer une equipe pour mener l'analyse</t>
  </si>
  <si>
    <r>
      <t xml:space="preserve">Consultance </t>
    </r>
    <r>
      <rPr>
        <i/>
        <sz val="12"/>
        <color theme="1"/>
        <rFont val="Calibri"/>
        <family val="2"/>
        <scheme val="minor"/>
      </rPr>
      <t>(Implementation Interpeace)</t>
    </r>
  </si>
  <si>
    <t>Realiser des recherches dans les centres de documentations prives et publiques</t>
  </si>
  <si>
    <r>
      <t xml:space="preserve">Perdiem pour les membres de l'equipe qui se deplacent </t>
    </r>
    <r>
      <rPr>
        <i/>
        <sz val="12"/>
        <color theme="1"/>
        <rFont val="Calibri"/>
        <family val="2"/>
        <scheme val="minor"/>
      </rPr>
      <t>(Implementation Interpeace)</t>
    </r>
  </si>
  <si>
    <t>Mener des entretiens avec des personnes cles (notables, leader…)</t>
  </si>
  <si>
    <r>
      <t xml:space="preserve">Frais pour les enqueteurs </t>
    </r>
    <r>
      <rPr>
        <i/>
        <sz val="12"/>
        <color theme="1"/>
        <rFont val="Calibri"/>
        <family val="2"/>
        <scheme val="minor"/>
      </rPr>
      <t>(Implementation Interpeace)</t>
    </r>
  </si>
  <si>
    <t>Realiser des visites de terrain</t>
  </si>
  <si>
    <t>Frais de deplacement et perdiem (Implementation Interpeace)</t>
  </si>
  <si>
    <t>Analyser les donnees receuillies et produire le rapport preliminaire</t>
  </si>
  <si>
    <r>
      <t xml:space="preserve">Paiement des personnes de support dans le processus </t>
    </r>
    <r>
      <rPr>
        <i/>
        <sz val="12"/>
        <color theme="1"/>
        <rFont val="Calibri"/>
        <family val="2"/>
        <scheme val="minor"/>
      </rPr>
      <t>(Implementation Interpeace)</t>
    </r>
  </si>
  <si>
    <t>Activite 1.1.2: Réaliser la situation de référence (Baseline participative) avec les communautés</t>
  </si>
  <si>
    <t>Collecter les donnees sur le terrain</t>
  </si>
  <si>
    <r>
      <t xml:space="preserve">Paiement enqueteurs </t>
    </r>
    <r>
      <rPr>
        <i/>
        <sz val="12"/>
        <color theme="1"/>
        <rFont val="Calibri"/>
        <family val="2"/>
        <scheme val="minor"/>
      </rPr>
      <t>(Implementation Interpeace)</t>
    </r>
  </si>
  <si>
    <t>Realiser des  mapping communautaires</t>
  </si>
  <si>
    <r>
      <t xml:space="preserve">Perdiem de l'equipe </t>
    </r>
    <r>
      <rPr>
        <i/>
        <sz val="12"/>
        <color theme="1"/>
        <rFont val="Calibri"/>
        <family val="2"/>
        <scheme val="minor"/>
      </rPr>
      <t>(Implementation Interpeace)</t>
    </r>
  </si>
  <si>
    <t>Mener des consultations avec les autorites regionales et des acteurs des la societe civile</t>
  </si>
  <si>
    <r>
      <t xml:space="preserve">Frais de l'equipe de terrain </t>
    </r>
    <r>
      <rPr>
        <i/>
        <sz val="12"/>
        <color theme="1"/>
        <rFont val="Calibri"/>
        <family val="2"/>
        <scheme val="minor"/>
      </rPr>
      <t>(Implementation Interpeace)</t>
    </r>
  </si>
  <si>
    <t>Produire un rapport avec des recommandations</t>
  </si>
  <si>
    <r>
      <t xml:space="preserve">Frais pour un assistant au consultant principal </t>
    </r>
    <r>
      <rPr>
        <i/>
        <sz val="12"/>
        <color theme="1"/>
        <rFont val="Calibri"/>
        <family val="2"/>
        <scheme val="minor"/>
      </rPr>
      <t>(Implementation Interpeace)</t>
    </r>
  </si>
  <si>
    <t xml:space="preserve">Activite 1.1.3: Organiser des ateliers sur l’analyse systémique et définition de la stratégie de Consultation locale </t>
  </si>
  <si>
    <t>Organiser des ateliers pour faciliter les echanges entre les differents acteurs</t>
  </si>
  <si>
    <r>
      <t xml:space="preserve">Location d'espace, restauration </t>
    </r>
    <r>
      <rPr>
        <i/>
        <sz val="12"/>
        <color theme="1"/>
        <rFont val="Calibri"/>
        <family val="2"/>
        <scheme val="minor"/>
      </rPr>
      <t>(Implementation Interpeace)</t>
    </r>
  </si>
  <si>
    <t>Selectionner des animateurs pour animer les ateliers</t>
  </si>
  <si>
    <r>
      <t xml:space="preserve">Frais pour les animateurs de l'atelier </t>
    </r>
    <r>
      <rPr>
        <i/>
        <sz val="12"/>
        <color theme="1"/>
        <rFont val="Calibri"/>
        <family val="2"/>
        <scheme val="minor"/>
      </rPr>
      <t>(Implementation Interpeace)</t>
    </r>
  </si>
  <si>
    <t>Faciliter le deplacement des participants</t>
  </si>
  <si>
    <r>
      <t xml:space="preserve">Defraiement des participants </t>
    </r>
    <r>
      <rPr>
        <i/>
        <sz val="12"/>
        <color theme="1"/>
        <rFont val="Calibri"/>
        <family val="2"/>
        <scheme val="minor"/>
      </rPr>
      <t>(Implementation Interpeace)</t>
    </r>
  </si>
  <si>
    <t>Activite 1.1.4:</t>
  </si>
  <si>
    <t>Total pour produit 1.1</t>
  </si>
  <si>
    <t>Produit 1.2:</t>
  </si>
  <si>
    <t xml:space="preserve">Les principales sources de conflit et les facteurs de résilience dans la région de l’Est sont identifiés et mis à la disposition des acteurs et partenaires au développement </t>
  </si>
  <si>
    <t>Activite 1.2.1: Former les équipes de recherche et mobiliser les relais facilitateurs</t>
  </si>
  <si>
    <t>Selection et organisation de formation pour l'equipe de terrain</t>
  </si>
  <si>
    <r>
      <t xml:space="preserve">Location d'espace, restauration, materiels didactiques </t>
    </r>
    <r>
      <rPr>
        <i/>
        <sz val="12"/>
        <color theme="1"/>
        <rFont val="Calibri"/>
        <family val="2"/>
        <scheme val="minor"/>
      </rPr>
      <t>(Implementation Interpeace)</t>
    </r>
  </si>
  <si>
    <t>Selection et mobilisation des relais facilitateurs</t>
  </si>
  <si>
    <t>Frais pour les facilitateurs</t>
  </si>
  <si>
    <t>Productions de materiels la formation</t>
  </si>
  <si>
    <r>
      <t xml:space="preserve">Provisions, produits de base, materiels </t>
    </r>
    <r>
      <rPr>
        <i/>
        <sz val="12"/>
        <color theme="1"/>
        <rFont val="Calibri"/>
        <family val="2"/>
        <scheme val="minor"/>
      </rPr>
      <t>(Implementation Interpeace)</t>
    </r>
  </si>
  <si>
    <t>Activite 1.2.2: Conduire les consultations locales dans les zones d’intervention</t>
  </si>
  <si>
    <t>Organisation d'atelier d'echange dans les localites ciblees</t>
  </si>
  <si>
    <t>Collecter des inforamtions a l'aide des consultations</t>
  </si>
  <si>
    <r>
      <t xml:space="preserve">Paiement des allocations des enqueteurs journaliers </t>
    </r>
    <r>
      <rPr>
        <i/>
        <sz val="12"/>
        <color theme="1"/>
        <rFont val="Calibri"/>
        <family val="2"/>
        <scheme val="minor"/>
      </rPr>
      <t>(Implementation Interpeace)</t>
    </r>
  </si>
  <si>
    <t>Faciliter les sejours/visites sur le terrain lors des consultations</t>
  </si>
  <si>
    <r>
      <t xml:space="preserve">Perdiem </t>
    </r>
    <r>
      <rPr>
        <i/>
        <sz val="12"/>
        <color theme="1"/>
        <rFont val="Calibri"/>
        <family val="2"/>
        <scheme val="minor"/>
      </rPr>
      <t>(Implementation Interpeace)</t>
    </r>
  </si>
  <si>
    <t xml:space="preserve">Activite 1.2.3: Mener des consultations sectorielles avec les autorités locales et leaders communautaires et coutumiers </t>
  </si>
  <si>
    <t>Faciliter le deplacement pour l'equipe</t>
  </si>
  <si>
    <r>
      <t xml:space="preserve">Frais de deplacement et perdiem </t>
    </r>
    <r>
      <rPr>
        <i/>
        <sz val="12"/>
        <color theme="1"/>
        <rFont val="Calibri"/>
        <family val="2"/>
        <scheme val="minor"/>
      </rPr>
      <t>(Implementation Interpeace)</t>
    </r>
  </si>
  <si>
    <t>Organsation de rencontres en petit groupe avec les leaders et/ou autorites locales</t>
  </si>
  <si>
    <t>Organiser des rencontres d'echanges individuels avec les autorites locales et coutumieres</t>
  </si>
  <si>
    <r>
      <t xml:space="preserve">Restauration </t>
    </r>
    <r>
      <rPr>
        <i/>
        <sz val="12"/>
        <color theme="1"/>
        <rFont val="Calibri"/>
        <family val="2"/>
        <scheme val="minor"/>
      </rPr>
      <t>(Implementation Interpeace)</t>
    </r>
  </si>
  <si>
    <t xml:space="preserve">Activite 1.2.4: Organiser des séances de restitution – validation avec les acteurs locaux  </t>
  </si>
  <si>
    <t>Organisation d'ateliers d'echanges sur les donnees collectees</t>
  </si>
  <si>
    <t>Facilier le deplaceement des participants</t>
  </si>
  <si>
    <r>
      <t xml:space="preserve">Frais de deplacement </t>
    </r>
    <r>
      <rPr>
        <i/>
        <sz val="12"/>
        <color theme="1"/>
        <rFont val="Calibri"/>
        <family val="2"/>
        <scheme val="minor"/>
      </rPr>
      <t>(Implementation Interpeace)</t>
    </r>
  </si>
  <si>
    <t>Monter une equipe pour la synthese des ateliers afin de produire un document</t>
  </si>
  <si>
    <r>
      <t xml:space="preserve">Paiement des frais de l'equipe constituee pour la synthese </t>
    </r>
    <r>
      <rPr>
        <i/>
        <sz val="12"/>
        <color theme="1"/>
        <rFont val="Calibri"/>
        <family val="2"/>
        <scheme val="minor"/>
      </rPr>
      <t>(Implementation Interpeace)</t>
    </r>
  </si>
  <si>
    <t xml:space="preserve">Activite 1.2.5: Organiser des ateliers d’analyse participative et synthèse des données collectées durant la phase de consultations </t>
  </si>
  <si>
    <t xml:space="preserve">Organisation d'ateliers pour l'analyse participative </t>
  </si>
  <si>
    <t>Monter une equipe pour la synthese des ateliers</t>
  </si>
  <si>
    <t xml:space="preserve">Activite 1.2.6: Réaliser 04 vidéo capsules thématiques de la phase de consultation </t>
  </si>
  <si>
    <t>Selection d'un consultant ou d'une firme specialiste en videographie pour la realisation des videos</t>
  </si>
  <si>
    <r>
      <t xml:space="preserve">Contrat de consultation </t>
    </r>
    <r>
      <rPr>
        <i/>
        <sz val="12"/>
        <color theme="1"/>
        <rFont val="Calibri"/>
        <family val="2"/>
        <scheme val="minor"/>
      </rPr>
      <t>(Implementation Interpeace)</t>
    </r>
  </si>
  <si>
    <t>Total pour produit 1.2</t>
  </si>
  <si>
    <t>Produit 1.3:</t>
  </si>
  <si>
    <t xml:space="preserve">Une stratégie régionale et les priorités de consolidation de la paix sont formulées et partagées entre les différents acteurs de la région de l’Est </t>
  </si>
  <si>
    <t xml:space="preserve">Activite 1.3.1: Organiser 03 Groupes d’appui Support au projet  </t>
  </si>
  <si>
    <t>Organiser des rencontres d'echanges dans les communautes pour selectionner les membres des groupes d'appui</t>
  </si>
  <si>
    <t>Organiser des formations pour les membres choisis ou designes</t>
  </si>
  <si>
    <t>Equiper les groupes d'appui supports</t>
  </si>
  <si>
    <r>
      <t xml:space="preserve">Achat de materiels </t>
    </r>
    <r>
      <rPr>
        <i/>
        <sz val="12"/>
        <color theme="1"/>
        <rFont val="Calibri"/>
        <family val="2"/>
        <scheme val="minor"/>
      </rPr>
      <t>(Implementation Interpeace)</t>
    </r>
  </si>
  <si>
    <t>Faciliter le deplacement des participants aux formations</t>
  </si>
  <si>
    <t xml:space="preserve">Activite 1.3.2: Finaliser les rapports et le plan de renforcement des capacités </t>
  </si>
  <si>
    <t>Organiser des ateliers de travail avec les acteurs concernes pour la finalisation des rapports et des plans de renforcement de capacites</t>
  </si>
  <si>
    <r>
      <t xml:space="preserve">Location d'espace, de materiel et restauration </t>
    </r>
    <r>
      <rPr>
        <i/>
        <sz val="12"/>
        <color theme="1"/>
        <rFont val="Calibri"/>
        <family val="2"/>
        <scheme val="minor"/>
      </rPr>
      <t>(Implementation Interpeace)</t>
    </r>
  </si>
  <si>
    <t>Mettre en page et imprimer les rapports</t>
  </si>
  <si>
    <r>
      <t xml:space="preserve">Travaux graphiques et impression </t>
    </r>
    <r>
      <rPr>
        <i/>
        <sz val="12"/>
        <color theme="1"/>
        <rFont val="Calibri"/>
        <family val="2"/>
        <scheme val="minor"/>
      </rPr>
      <t>(Implementation Interpeace)</t>
    </r>
  </si>
  <si>
    <t>Faciliter le deplacement des participants aux seances</t>
  </si>
  <si>
    <t xml:space="preserve">Activite 1.3.3: Organiser des foras régionaux de partage des résultats </t>
  </si>
  <si>
    <t>Organisation de fora par secteur pour la dissemination des resultats dans les municipalites ciblees par le projet</t>
  </si>
  <si>
    <r>
      <t>Location d'espace, de materiel et restauration</t>
    </r>
    <r>
      <rPr>
        <i/>
        <sz val="12"/>
        <color theme="1"/>
        <rFont val="Calibri"/>
        <family val="2"/>
        <scheme val="minor"/>
      </rPr>
      <t xml:space="preserve"> (Implementation Interpeace)</t>
    </r>
  </si>
  <si>
    <t xml:space="preserve">Activite 1.3.4: Disséminer le rapport final et sessions de diffusion des vidéo capsule </t>
  </si>
  <si>
    <t>Organiser des plenieres pour dans les localites ciblees par le projet</t>
  </si>
  <si>
    <t>Restauration (Implementation Interpeace)</t>
  </si>
  <si>
    <t>Deploiement de l'equipe sur le terrain</t>
  </si>
  <si>
    <t>Perdiem et frais de deplacement (Implementation Interpeace)</t>
  </si>
  <si>
    <t>Activite 1.3.5: Organiser un atelier « clinique » de renforcement et de révision de la stratégie d’intervention du projet</t>
  </si>
  <si>
    <t>Organisation d'atelier</t>
  </si>
  <si>
    <t>Facilitation du deplacement des participants</t>
  </si>
  <si>
    <t>Total pour produit 1.3</t>
  </si>
  <si>
    <t>Produit 1.4:</t>
  </si>
  <si>
    <t>Activite 1.4.1:</t>
  </si>
  <si>
    <t>Activite 1.4.2:</t>
  </si>
  <si>
    <t>Total pour produit 1.4</t>
  </si>
  <si>
    <t xml:space="preserve">RESULTAT 2: </t>
  </si>
  <si>
    <t xml:space="preserve">Les moyens d’existence durables, sensible à la paix et à la cohésion sociale sont protégés, diversifiés et améliorés, dans le respect de la gestion durable du foncier et des ressources naturelles  </t>
  </si>
  <si>
    <t xml:space="preserve">Les capacités techniques et/ou économiques des différents acteurs concernés sont renforcées en vue de l’amélioration de leurs conditions de vie, dans le respect des dispositions de prévention et de gestion des conflits </t>
  </si>
  <si>
    <t>Activite 2.1.1: Mettre en place au moins (3) sites de production maraichère/jardins nutritifs au profit des femmes et des jeunes</t>
  </si>
  <si>
    <t>Doter les espaces des infrastructures et del'outillage necessaire</t>
  </si>
  <si>
    <t>Contrat avec une entreprise qui peut faire des forages ou reparer les points d'eau choisis</t>
  </si>
  <si>
    <t>Organiser les groupes de beneficiaires</t>
  </si>
  <si>
    <t>Frais de deplacement et Perdiem</t>
  </si>
  <si>
    <t>Amenager les sites de production</t>
  </si>
  <si>
    <t>Passer un contrat avec un fournisseur ayant la capacite de tout founir</t>
  </si>
  <si>
    <t>Activite 2.1.2: Mettre en place 1 ferme pilote de production intégrée (à l’exemple de celles promues par le Ministère en charge de l’agriculture)</t>
  </si>
  <si>
    <t>Securisation des fermes</t>
  </si>
  <si>
    <t>Contrat de service</t>
  </si>
  <si>
    <t>Intrants et materiels</t>
  </si>
  <si>
    <t>Frais pour les animateurs de terrain</t>
  </si>
  <si>
    <t>Techniciens et ouvriers pour la gestion des fermes</t>
  </si>
  <si>
    <t>Travaux de protection et de securisation de l'espace</t>
  </si>
  <si>
    <t>Activite 2.1.3: Mettre en place des unités de transformation des PFNL dotées de technologies de cuisson propres et innovantes qui valorisent les résidus agro-alimentaires</t>
  </si>
  <si>
    <t>Selection des espaces et amenagement des unites de transformation avec l'implication des differents groupes sociaux des communautes</t>
  </si>
  <si>
    <t>Frais pour les journaliers</t>
  </si>
  <si>
    <t>Equiper les unites des materiels necessaires</t>
  </si>
  <si>
    <t>Materiels et equipements</t>
  </si>
  <si>
    <t>Activite 2.1.4: Doter en équipements de production/ transformation/ conservation, les sites de maraichage/ jardins nutritifs  et des fermes pilotes</t>
  </si>
  <si>
    <t>Equiper les jeunes et les femmes en materiels de production, transformation et conservation dans les sites de maraichers</t>
  </si>
  <si>
    <t>Equiper les fermes pilotes en materiels</t>
  </si>
  <si>
    <t>Achat des materiels</t>
  </si>
  <si>
    <t>Activite 2.1.5: Fournir des intrants pour la réalisation du  maraichage/ jardins nutritifs et des fermes pilotes</t>
  </si>
  <si>
    <t>Approvisionner les femmes et les jeunes en intrants</t>
  </si>
  <si>
    <t>Achat d'intrants</t>
  </si>
  <si>
    <t>Approvisionner les fermes pilotes en intrants</t>
  </si>
  <si>
    <t>Activite 2.1.6: Former les femmes et les jeunes à l’utilisation et à l’entretien des  différents équipements dotés</t>
  </si>
  <si>
    <t>Realiser des ateliers de formation pratiques pour les femmes et les jeunnes</t>
  </si>
  <si>
    <t>Espace et restauration</t>
  </si>
  <si>
    <t>Selectionner un animateur pour la preparation et la dispensation des formation</t>
  </si>
  <si>
    <t>Frais pour l'animateur</t>
  </si>
  <si>
    <t>Facliter le deplacement des participants</t>
  </si>
  <si>
    <t>Frais de deplacement</t>
  </si>
  <si>
    <t>Activite 2.1.7: Former des  formateurs endogènes aux nouvelles technologies de production améliorée du compost et des intrants biologiques</t>
  </si>
  <si>
    <t>Organiser des ateliers de formation pratiques pour les formateurs endogenes</t>
  </si>
  <si>
    <t>Location d'espace, restauration, materiels didactique</t>
  </si>
  <si>
    <t>Selectionner deux formateurs</t>
  </si>
  <si>
    <t>Consultant</t>
  </si>
  <si>
    <t>Faciliter le deplacement des partipants</t>
  </si>
  <si>
    <t>Defraiement des participants</t>
  </si>
  <si>
    <t>Activite 2.1.8: Former les femmes et les jeunes à l’esprit d’entreprenariat et à l’élaboration de plans d’affaires pour la gestion des infrastructures communautaires (unités de transformation et magasins de stockage)</t>
  </si>
  <si>
    <t>Selection de formateurs dans le domaine</t>
  </si>
  <si>
    <t>Honoraire des formateurs</t>
  </si>
  <si>
    <t>Organiser des ateliers adaptes aux femmes et aux jeunes</t>
  </si>
  <si>
    <t>Location d'espace, restauration, materiels didactiques</t>
  </si>
  <si>
    <t>Activite 2.1.9: Former les femmes et les jeunes aux bonnes pratiques de transformation et de commercialisation des PFNL et agropastoraux</t>
  </si>
  <si>
    <t>Organisation d'ateliers de formation</t>
  </si>
  <si>
    <t>Activite 2.1.10:  Réaliser / réhabiliter des infrastructures d’appui au pastoralisme (aires de pâtures, parcs, forage, sécurisation des pistes à bétail</t>
  </si>
  <si>
    <t>Selection d'une firme de construction</t>
  </si>
  <si>
    <t>La firme sera en charge de tout pour la construction (main d'oeuvre, materiaux et demarche administrative)</t>
  </si>
  <si>
    <t>Determiner avec les autorites et les communautes les espaces pour les construction</t>
  </si>
  <si>
    <t>Deplacement et restauration</t>
  </si>
  <si>
    <t xml:space="preserve">Activite 2.1.11: Contribuer à la mise en place des comités de gestion des infrastructures communautaires </t>
  </si>
  <si>
    <t>Realisation de rencontres communautaires</t>
  </si>
  <si>
    <t>Activite 2.1.12: Contribuer au renforcement durable de capacités de gestion des infrastructures communautaires.</t>
  </si>
  <si>
    <t>Realisation d'une formation en fonction des besoins identifies</t>
  </si>
  <si>
    <t>Location de salle, restauration, materiels didactiques</t>
  </si>
  <si>
    <t>Dotation des comites d'outils et de materiels de suivi</t>
  </si>
  <si>
    <t>Equipements et materiels</t>
  </si>
  <si>
    <t>Selection d'un formateur ou d'un cabinet</t>
  </si>
  <si>
    <t>Consultation</t>
  </si>
  <si>
    <t>Activite 2.1.13: Accompagner la mise en place d’un système de financement innovant pour les jeunes et les femmes.</t>
  </si>
  <si>
    <t>Mise en place du systeme</t>
  </si>
  <si>
    <t>Activite 2.1.14: Restaurer 200 ha de terres et de paysage dégradés au profit des femmes et des jeunes pour la mise en valeur agricole ou pastorale</t>
  </si>
  <si>
    <t>Realisation de travaux a haute intensite de main d'oeuvre pour restaurer les terres</t>
  </si>
  <si>
    <t>Service d'une entreprise</t>
  </si>
  <si>
    <t>Activité 2.1.15: Redynamiser/créer des cadres de concertations locaux sur le foncier rural et la gestion concertée des ressources naturelles (au moins 10 Commissions Foncières Villageoises redynamiser/créer)</t>
  </si>
  <si>
    <t>Frais de deplacement pour l'identification des cadres de concertation existants</t>
  </si>
  <si>
    <t>Defraiement de journaliers a travers des organisatons locales</t>
  </si>
  <si>
    <t>Frais pour les animateurs des Formations des membres des cadres de concertation</t>
  </si>
  <si>
    <t>Frais animateurs a travers organisation locale</t>
  </si>
  <si>
    <t>Frais de deplacement pour les participants</t>
  </si>
  <si>
    <t>Location de salle et restaurattion</t>
  </si>
  <si>
    <t>Achat de materiels pour les cadres de concertation</t>
  </si>
  <si>
    <t>Activité 2.1.16: Encadrer des agriculteurs, agro-pasteurs et pasteurs (y compris des femmes et des jeunes) dans la production durable d'aliments de bétail (Fauche et Conservation fourrage, culture fourragère) et les doter en Kit communautaires de production et en semences</t>
  </si>
  <si>
    <t>Frais pour les animateurs des Formations pratiques pour les agriculteurs, agropasteurs et pasteurs</t>
  </si>
  <si>
    <t>Honoraire consultants</t>
  </si>
  <si>
    <t>Organisation d'ateliers</t>
  </si>
  <si>
    <t>Achat de kit communautaire de production des semences</t>
  </si>
  <si>
    <t>Activité 2.1.17: Mettre en place 3 parcs à PFNL (reboisement, RNA, ..) ou Conservation et régénération de forêts villageoises à dominance de PFNL</t>
  </si>
  <si>
    <t>Realisation de travaux a haute intensite de main d'oeuvre pour conserver et / ou regenerer les forets villageois</t>
  </si>
  <si>
    <t>Consultance</t>
  </si>
  <si>
    <t xml:space="preserve">Achat des arbustes et autres produits </t>
  </si>
  <si>
    <t>Activite 2.1.:</t>
  </si>
  <si>
    <t>Total pour produit 2.1</t>
  </si>
  <si>
    <t>Produit 2.2</t>
  </si>
  <si>
    <t>La gestion partagée et concertée du foncier et des ressources naturelles est promue auprès des différents acteurs concernés</t>
  </si>
  <si>
    <t>Activite 2.2.1: Former les responsables des collectivités et les acteurs ruraux sur les textes législatifs et règlementaires en lien avec le foncier et la gestion durable des ressources naturelles (GRN)</t>
  </si>
  <si>
    <t>Organiser des ateliers de formation</t>
  </si>
  <si>
    <t>Organiser une ceremonie d'ouverture des ateliers de formations</t>
  </si>
  <si>
    <t>Perdiem</t>
  </si>
  <si>
    <t>Selectionner un cabinet pour preparer les modules et animer les formations</t>
  </si>
  <si>
    <t>Un cabinet de formation qui peut offrir tout le paquet de formation</t>
  </si>
  <si>
    <t>Activite 2.2.2: Former les détenteurs de droits fonciers et les notabilités concernés sur la sécurisation foncière des exploitations agricoles, particulièrement celle des femmes et des groupes les plus à risque</t>
  </si>
  <si>
    <t>Un cabinet de formation qui peut offrir tout le paquet</t>
  </si>
  <si>
    <t xml:space="preserve">Activite 2.2.3: Former / recycler les agriculteurs, agropasteurs et les pasteurs sur les techniques et technologies de gestion rationnelle des ressources naturelles   </t>
  </si>
  <si>
    <t>Contrat avec un cabinet competent</t>
  </si>
  <si>
    <t>Organiser les ateliers de formation</t>
  </si>
  <si>
    <t>Activite 2.2.4: Doter les agropasteurs de 10 biodigesteurs pour une production durable de gaz et d’effluant pour la production de compost en vue de l’amélioration de la fertilité des sols</t>
  </si>
  <si>
    <t>Selection d'un prestataire pouvant fournir les biodigesteurs</t>
  </si>
  <si>
    <t>Achat de materiel</t>
  </si>
  <si>
    <t>Activite 2.2.5: Mettre en place 4 parcs à PFNL (reboisement, RNA, ..) ou Conservation et régénération de forêts villageoises à dominance de PFNL</t>
  </si>
  <si>
    <t xml:space="preserve">Selectionner un fournisseur pour les plantules. </t>
  </si>
  <si>
    <t>Implementation par une organisation locale</t>
  </si>
  <si>
    <t>Appuyer un comité de suivi des plantes pour chaque parc</t>
  </si>
  <si>
    <t>Activite 2.2.:</t>
  </si>
  <si>
    <t>Total pour produit 2.2</t>
  </si>
  <si>
    <t>Produit 2.3</t>
  </si>
  <si>
    <t>Activite 2.3.1:</t>
  </si>
  <si>
    <t>Activite 2.3.2:</t>
  </si>
  <si>
    <t>Total pour produit 2.3</t>
  </si>
  <si>
    <t xml:space="preserve">RESULTAT 3: </t>
  </si>
  <si>
    <t xml:space="preserve">Les acteurs et leaders communautaires impliqués dans la gestion du foncier et des ressources naturelles connaissent et appliquent mieux les instruments et textes relatifs au cadre institutionnel et légal.   </t>
  </si>
  <si>
    <t>Produit 3.1</t>
  </si>
  <si>
    <t>Les acteurs impliqués dans la gestion du foncier et des ressources naturelles ont une bonne connaissance du cadre institutionnel et légal y relatif</t>
  </si>
  <si>
    <t>Activite 3.1.1: Elaborer un recueil des textes régissant la gestion du foncier et des ressources naturelles, assorti d’un guide simplifié à l’usage des différents acteurs concernés</t>
  </si>
  <si>
    <t>Selectionner un cabinet de consultation pour mener la recherche, realiser la compilation et le guide simplifie</t>
  </si>
  <si>
    <t>Un cabinet specialise dans le domaine pour faire le travail en 50 jours</t>
  </si>
  <si>
    <t xml:space="preserve">Activite 3.1.2: Elaborer un recueil identifiant les différents acteurs et structures impliqués dans la gestion du foncier et des ressources naturelles, leurs rôles et responsabilités et les interrelations entre eux. </t>
  </si>
  <si>
    <t>Selectionner un cabinet de consultation pour faire l'identification des acteurs et la presentation de leurs roles et leur interelations</t>
  </si>
  <si>
    <t>Activite 3.1.3: Editer les deux recueils en 1000 exemplaires chacun</t>
  </si>
  <si>
    <t>Mettre en page et reproduire les recueils de texte (2000 unites en tout)</t>
  </si>
  <si>
    <t>Choix d'une imprimerie ou d'une edition</t>
  </si>
  <si>
    <t>Activite 3.1.4: Vulgariser les deux recueils auprès des structures techniques (décentralisées et locales), des autorités coutumières et religieuses, des CVD, des OSC, notamment les organisations d’agriculteurs et d’éleveurs.</t>
  </si>
  <si>
    <t>Informer les cibles sur l'existence des receuils et faire des dons aux organismes locaux</t>
  </si>
  <si>
    <t>Frais des sensibilisateurs - a implementer par une organisation locale</t>
  </si>
  <si>
    <t>Faciliter le deplacement des animateurs</t>
  </si>
  <si>
    <t>Frais de deplacement - a implementer par une organisation locale</t>
  </si>
  <si>
    <t>Activite 3.1.5: Former des cadres des services techniques compétents (agriculture, élevage, environnement, eau) sur les dispositions légales et institutionnelles sur la gestion du foncier et des ressources naturelles leur permettant d’assurer efficacement le suivi de la Gestion Durable de Ressources Naturelles (GDRN) et l’application des textes réglementaires, dans une perspective de prévention et de gestion des conflits.</t>
  </si>
  <si>
    <t>Location d'espace, restauration, mateirles didactiques</t>
  </si>
  <si>
    <t>Frais de deplacement et perdiem</t>
  </si>
  <si>
    <t>Choix d'un cabinet competent</t>
  </si>
  <si>
    <t>Total pour produit 3.1</t>
  </si>
  <si>
    <t>Produit 3.2:</t>
  </si>
  <si>
    <t>Les acteurs impliqués dans la gestion du foncier et des ressources naturelles mettent en œuvre le cadre institutionnel et légal</t>
  </si>
  <si>
    <t>Activite 3.2.1: Apporter un appui technique et matériel aux institutions nationales et de la région de l’Est dans l’activation au niveau local des dispositifs de la loi foncière Loi N° 034-2009/AN portant régime foncier rural, particulièrement sur la mise en place de deux cadres des structures locales de gestion foncière : (i) la commission foncière villageoise et (ii) les instances locales de concertation.  (iii) des chartes foncières locales.</t>
  </si>
  <si>
    <t>Doter les instututions nationales et regionales d'un expert ou un cabinet pour les conseiller sur les meilleures dispositions a prendre pour activer les prescrits de cette loi</t>
  </si>
  <si>
    <t>Consultant ou cabinet maitrisant la loi avec une bonne comprehension de la societe burkinabe</t>
  </si>
  <si>
    <t>Doter les institutions nationales et regionales de materiels mobiliers</t>
  </si>
  <si>
    <t>Achat de materiels</t>
  </si>
  <si>
    <t>Activite 3.2.2: Former les membres des commissions foncières villageoises et des instances locales de concertation des communes d’intervention sur leur rôles et responsabilités.</t>
  </si>
  <si>
    <t>Location d'espace, restauration</t>
  </si>
  <si>
    <t>Activite 3.2.3: Mettre en place et animer des clubs dimitra  dans les communes d’intervention</t>
  </si>
  <si>
    <t>Faciliter les clubs dimitra</t>
  </si>
  <si>
    <t>Fournir du materiel au club Dimitra</t>
  </si>
  <si>
    <t>Achat de materiels (table, chaise,fournitures de bureau)</t>
  </si>
  <si>
    <t>Activite 3.2.4:</t>
  </si>
  <si>
    <t>Activite 3.2.5:</t>
  </si>
  <si>
    <t>Total pour produit 3.2</t>
  </si>
  <si>
    <t>Produit 3.3</t>
  </si>
  <si>
    <t>Activite 3.3.1:</t>
  </si>
  <si>
    <t>Activite 3.3.2:</t>
  </si>
  <si>
    <t>Total pour produit 3.3</t>
  </si>
  <si>
    <t xml:space="preserve">RESULTAT 4: </t>
  </si>
  <si>
    <t>Les mécanismes traditionnels et modernes de prévention et de gestion de conflits sont plus opérationnels, inclusifs et travaillent en intelligence dans la prévention et la gestion des conflits</t>
  </si>
  <si>
    <t>Les structures locales d’intercession et de médiation couvrant la région de l’Est du Burkina Faso sont identifiées, répertoriées et évaluées</t>
  </si>
  <si>
    <t>Activite 4.1.1: Identifier les structures locales d’intercession et de médiation de la région de l’Est (Mapping)</t>
  </si>
  <si>
    <t xml:space="preserve">Selectionner un consultant pour realiser le mapping </t>
  </si>
  <si>
    <t xml:space="preserve">Consultation individuelle </t>
  </si>
  <si>
    <t>Activite 4.1.2: Préparer et divulguer (aux autorités locales et centrales, aux groupes cibles et aux structures) un répertoire (base de données) des structures locales d’intercession et de médiation opérant dans les zones cibles.</t>
  </si>
  <si>
    <t xml:space="preserve">Realiser la conception et la mise en page du repertoire </t>
  </si>
  <si>
    <t>Contrat avec une imprimerie ou une edition</t>
  </si>
  <si>
    <t>Rendre disponible le repertoire en version electronique et papier</t>
  </si>
  <si>
    <t>Informer les autorites et les autres structures ciblees de la disponibilite du repertoire</t>
  </si>
  <si>
    <t>Realiser des seances d'information publique (spot, camion sonore)</t>
  </si>
  <si>
    <t>Activite 4.1.3: Recueillir les avis des populations, et notamment des agriculteurs, éleveurs, les gestionnaires des parcs et zones de chasse, et des déplacés internes sur les mécanismes traditionnels et modernes d’alerte précoce et de gestion des conflits</t>
  </si>
  <si>
    <t>Produire un rapport sur la perception des gens des differents mecanismes existants</t>
  </si>
  <si>
    <t>A implementer par une organisation locale</t>
  </si>
  <si>
    <t>Activite 4.1.4:</t>
  </si>
  <si>
    <t>Activite 4.1.5:</t>
  </si>
  <si>
    <t>Total pour produit 4.1</t>
  </si>
  <si>
    <t>Les structures locales d’intercession et de médiation de la région de l’Est sont rendus inclusifs et légitimes, et disposent de capacités à prévenir et gérer les conflits locaux de façon pacifique.</t>
  </si>
  <si>
    <t>Activite 4.2.1: Sur la base des avis des populations, appuyer les leaders des groupes cibles à mener un plaidoyer au niveau communautaire pour l’inclusion de représentants des différents groupes affectés par les conflits locaux dans les mécanismes, en assurant une représentation d’au moins 30% de jeunes et des femmes dans ces groupes.</t>
  </si>
  <si>
    <t>Organiser des rencontres communautaires</t>
  </si>
  <si>
    <t>Organiser des rencontres d'information et de discussion avec les leaders</t>
  </si>
  <si>
    <t>Faciliter le deplacement des acteurs</t>
  </si>
  <si>
    <t>Activite 4.2.2: Mener des activités d’information et de sensibilisation sur l’importance des textes relatifs à l’inclusion des jeunes et des femmes dans la prévention des conflits et la consolidation de la paix</t>
  </si>
  <si>
    <t>Realiser une campagne de sensibilisation</t>
  </si>
  <si>
    <t>Defraiement des sensibilisateurs</t>
  </si>
  <si>
    <t>Activite 4.2.3: Former les membres des structures locales d’intercession et de médiation de la région de l’Est, y compris les jeunes et les femmes en techniques d’analyse des conflit, d’alerte précoce et médiation inter et intra- communautaire afin qu’ils puissent animer les systèmes d’alerte précoce et gérer de manière pacifique les conflits locaux.</t>
  </si>
  <si>
    <t xml:space="preserve">Selectionner un consultant pour realiser les formation </t>
  </si>
  <si>
    <t>Consultation individuelle</t>
  </si>
  <si>
    <t>Activite 4.2.4: Organiser chaque six mois, une réunion entre les populations cibles et les mécanismes répertoriés au sein de chaque commune cible afin de renforcer la confiance des populations dans ces structures rendues plus inclusives et légitimes</t>
  </si>
  <si>
    <t>Organiser les reunions dans des espaces convenables</t>
  </si>
  <si>
    <t>Facliter les deplacements des cadres</t>
  </si>
  <si>
    <t>Perdiem et frais de deplacement</t>
  </si>
  <si>
    <t>Activite 4.2.5:</t>
  </si>
  <si>
    <t>Total pour produit 4.2</t>
  </si>
  <si>
    <t>Chacune des communes ciblées dispose d’une analyse locale de conflits complétée par un plan d’action (réalisée conjointement par les structures locales de médiation).</t>
  </si>
  <si>
    <t>Activite 4.3.1: Assister les structures locales d’intercession identifiées dans la réalisation d’une étude sur les conflits communautaires dans les communes cibles de la région de l’Est en vue de l’élaboration d’un plan d’action pour la prévention et la résolution pacifique des conflits par commune.</t>
  </si>
  <si>
    <t>Selectionner un consultant pour accompagner les sutructures locales</t>
  </si>
  <si>
    <t>Appuyer financierement les structures dans la collecte des donnees</t>
  </si>
  <si>
    <t>Frais pour les collecteurs de donnees</t>
  </si>
  <si>
    <t>Rendre disponible les plans</t>
  </si>
  <si>
    <t>Mise en page et impression</t>
  </si>
  <si>
    <t>Activite 4.3.2: Partager et discuter avec les populations, les autorités locales et les mécanismes d’alerte précoce des résultats de l’étude et organiser des consultations avec les populations dans chaque commune pour l’élaboration d’un plan d’action pour la prévention et la résolution pacifique des conflits par commune.</t>
  </si>
  <si>
    <t>Organiser des ateliers de restitution et proposition des axes du plan d'action</t>
  </si>
  <si>
    <t xml:space="preserve">Activite 4.3.3: Apporter un appui technique et financier aux mécanismes d’alerte précoce pour l’élaboration d’un plan d’action pour la prévention et la résolution pacifique des conflits dans chacune des communes cibles </t>
  </si>
  <si>
    <t>Organisation des ateliers d'echange sur les axes du plan</t>
  </si>
  <si>
    <t>Espace, restauration</t>
  </si>
  <si>
    <t>Elaboration des plans</t>
  </si>
  <si>
    <t>Presentation et valiadtion des plans via un forum local</t>
  </si>
  <si>
    <t>Espace, restauration, materiels de support</t>
  </si>
  <si>
    <t>Activite 4.3.4: Élaborer un lien très clair entre les mécanismes d’alerte précoce et les autorités locale afin de faire remonter l’alerte sur un conflit (réel ou potentiel) à temps afin de prévoir une réponse adéquate de l’état</t>
  </si>
  <si>
    <t>Organiser des rencontres de discussion entre les autorites et les comites dans les communes</t>
  </si>
  <si>
    <t>Restauration</t>
  </si>
  <si>
    <t>Doter les comites des materiels necessaires pour faire remonter les informations</t>
  </si>
  <si>
    <t>Activite 4.3.5:</t>
  </si>
  <si>
    <t>Total pour produit 4.3</t>
  </si>
  <si>
    <t>Produit 4.4</t>
  </si>
  <si>
    <t>Activite 4.4.1:</t>
  </si>
  <si>
    <t>Activite 4.4.2:</t>
  </si>
  <si>
    <t>Total pour produit 4.4</t>
  </si>
  <si>
    <t>Cout de personnel du projet si pas inclus dans les activites si-dessus</t>
  </si>
  <si>
    <t>Coordonnateur du projet (P3) (50%)</t>
  </si>
  <si>
    <t>Assistant admin/fin (SB3)</t>
  </si>
  <si>
    <t>Chauffeur (SB2)</t>
  </si>
  <si>
    <t>Point focal Expert national,</t>
  </si>
  <si>
    <t>Assistant Terrain</t>
  </si>
  <si>
    <t>Couts operationnels si pas inclus dans les activites si-dessus</t>
  </si>
  <si>
    <t>Un véhicule 4x4 équipé de radio</t>
  </si>
  <si>
    <t>Matériels informatiques et mobilier de bureau</t>
  </si>
  <si>
    <t>Frais généraux et fonctionnement</t>
  </si>
  <si>
    <t>Budget de suivi</t>
  </si>
  <si>
    <t>Activités de suivi</t>
  </si>
  <si>
    <t>Budget pour l'évaluation finale indépendante</t>
  </si>
  <si>
    <t>Coûts supplémentaires total</t>
  </si>
  <si>
    <t>Organisation recipiendiaire 1
PNUD</t>
  </si>
  <si>
    <t>Recipient Organization 2
FAO</t>
  </si>
  <si>
    <t xml:space="preserve">Recipient Organization 3
</t>
  </si>
  <si>
    <t>Répartition des tranches basée sur la performance</t>
  </si>
  <si>
    <t>Tranche %</t>
  </si>
  <si>
    <t>Première tranche</t>
  </si>
  <si>
    <t>Deuxième tranche</t>
  </si>
  <si>
    <t>Troisième tranche</t>
  </si>
  <si>
    <r>
      <t xml:space="preserve">$ alloué à GEWE </t>
    </r>
    <r>
      <rPr>
        <sz val="11"/>
        <color theme="1"/>
        <rFont val="Calibri"/>
        <family val="2"/>
        <scheme val="minor"/>
      </rPr>
      <t>(inclut coûts indirects)</t>
    </r>
  </si>
  <si>
    <t>Total des dépenses</t>
  </si>
  <si>
    <t>% alloué à GEWE</t>
  </si>
  <si>
    <t>Taux d'exécution</t>
  </si>
  <si>
    <t xml:space="preserve"> </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</si>
  <si>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</si>
  <si>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</si>
  <si>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</si>
  <si>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Budget initial</t>
  </si>
  <si>
    <t>Nouveau budget</t>
  </si>
  <si>
    <t>Activite 1.3.6: Elaborer une stratégie régionale de consolidation de la paix</t>
  </si>
  <si>
    <t>Recruter un consultant pour appuyer l'élaboration de la stratégie</t>
  </si>
  <si>
    <t>Organiser un atelier régional de validation de la stratégie</t>
  </si>
  <si>
    <t>Editer et diffuser la stratégie auprès des acteurs</t>
  </si>
  <si>
    <t>Tenir une rencontre de priorisation des activités avec les autorités régionales</t>
  </si>
  <si>
    <t>Elaborer un plan de mise en œuvre opérationnel chiffré</t>
  </si>
  <si>
    <t>Assurer le suivi de la mise en œuvre du plan opérationnel</t>
  </si>
  <si>
    <t xml:space="preserve">Elaborer un plan d'appropriation et de communication </t>
  </si>
  <si>
    <t>Procéder à l'évaluation du plan</t>
  </si>
  <si>
    <t>Récupérer 200ha de terre à travers l'approche Cash for Work</t>
  </si>
  <si>
    <t>Frais pour le CASH Transfert</t>
  </si>
  <si>
    <t>Valoriser les 200ha de terre récupérées</t>
  </si>
  <si>
    <t>Activite 2.1.18 : Doter 10 femmes dont 4 PDIs de biodigesteurs pour une production durable de gaz et d’effluant pour la production de compost en vue de l’amélioration de la fertilité des sols</t>
  </si>
  <si>
    <t>Activité 2.1.19 : Réaliser 3 infrastructures de conservation de l’oignon (Rudu);</t>
  </si>
  <si>
    <t>Activité 2.1.22 : Mettre en place et animer 5 Associations Villageoises d’Epargne et de Crédits (AVEC) autour des sites maraichers</t>
  </si>
  <si>
    <t>Activité 2.1.24 : Doter les organisations de femmes et de jeunes de 20 biodigesteurs y compris les infrastructures et équipements de stockages et de transport d’eau (empluvium, futs - citernes de stockages…)</t>
  </si>
  <si>
    <t>Proceder à la sélection des organisations de femmes et de jeunes bénéficiaires</t>
  </si>
  <si>
    <t>Selectionner les prestataires pouvant fournir les biodigesteurs</t>
  </si>
  <si>
    <t>Recruter des prestataires pour réaliser les biodigesteurs et les infrastructures connexes</t>
  </si>
  <si>
    <t>Assurer la reception, la formation et la mise en production</t>
  </si>
  <si>
    <t xml:space="preserve">Activité 2.1.25 : Doter les organisations de femmes et de jeunes en animaux de stabulation pour la production de déjection </t>
  </si>
  <si>
    <t>Acquérir les animaux</t>
  </si>
  <si>
    <t>Acquérir les aliments</t>
  </si>
  <si>
    <t>Activité 2.1.26 : Installer et mettre en valeur 16 dispositifs de production hors sol afin de permettre un fonctionnement continu du bio digesteur et réduire les conflits liés au foncier (PDI et population hôtes)</t>
  </si>
  <si>
    <t>Selectionner les bénéficiaires</t>
  </si>
  <si>
    <t>Acquerir/mettre en place le substrat de production</t>
  </si>
  <si>
    <t>Recruter des prestataires pour installer les dispositifs</t>
  </si>
  <si>
    <t xml:space="preserve">Mettre en production </t>
  </si>
  <si>
    <t>Selectionner un formateur</t>
  </si>
  <si>
    <t>Activité 2.1.28 : Réaliser 05 forages positifs et réhabiliter 3 forages en panne afin de réduire la pression humaine au tour des points d’eau dans les zone de concentration des PDIs pour réduire les conflits y afférant</t>
  </si>
  <si>
    <t>Selectionner un prestataire</t>
  </si>
  <si>
    <t>Réaliser/réhabiliter les forages</t>
  </si>
  <si>
    <t>Mettre en place un comité de gestion</t>
  </si>
  <si>
    <t xml:space="preserve">Activite 2.2.5: </t>
  </si>
  <si>
    <t>Activité 2.2.4 : Organiser et animer 4 sessions (3 communales et 01 régionale) de débats informés sur les textes régissant l’agropastoralisme et les conflits y afférents au profit de 100 agro pasteurs ;</t>
  </si>
  <si>
    <t>Activité 2.2.5 : Former 250 jeunes et femmes sur les textes législatifs relatifs au foncier et à la gestion des conflits</t>
  </si>
  <si>
    <t>Activité 2.2.6 : Organiser une session de sensibilisation au profit des PDI et des communautés d’accueil sur la gestion des ressources naturelles</t>
  </si>
  <si>
    <t>Activité 3.1.7 :  Organiser des session de renforcement des capacités sur les textes et lois en matière de gestion du foncier et des ressources naturelles au profit des directions techniques et des collectivités (Agriculture, élevage, DREA, collectivités…)</t>
  </si>
  <si>
    <t>Selectionner un prestataire pour preparer les modules et animer les formations</t>
  </si>
  <si>
    <t xml:space="preserve">Recrutement d'un prestataire </t>
  </si>
  <si>
    <t>Organiser les sessions de formation</t>
  </si>
  <si>
    <t>Prise en charge des participant</t>
  </si>
  <si>
    <t>Elaborer des plans de restitution</t>
  </si>
  <si>
    <t>Disponibilité des plans de restitution</t>
  </si>
  <si>
    <t>Activité 4.2.5 : Organiser 03 journées des communautés pour le renforcement de la cohésion sociale (valorisation de l’alliance, parenté à plaisanterie, sports…)</t>
  </si>
  <si>
    <t>Selection des personnes ressources pour préparation des communications introductives</t>
  </si>
  <si>
    <t>Recrutement de communicateurs</t>
  </si>
  <si>
    <t>Organiser les journées</t>
  </si>
  <si>
    <t>Location d'espace, rafraichissements</t>
  </si>
  <si>
    <t>Faciliter le déplacement des acteurs</t>
  </si>
  <si>
    <t>Frais de transport</t>
  </si>
  <si>
    <t>Activité 4.2.6 : Réaliser 10 émissions radio thématiques en langues locales sur les différents textes liés au foncier (la loi -034/AN de 2009 portant régime foncier rural, les attestations de possession foncière rurale)</t>
  </si>
  <si>
    <t>Selectionner un prestataire pour la conception et réalisation des émissions</t>
  </si>
  <si>
    <t>Recrutement prestataire</t>
  </si>
  <si>
    <t>diffuser les émission</t>
  </si>
  <si>
    <t>Selection de radios communautaires; diffusion et suivi</t>
  </si>
  <si>
    <t>Activité 4.2.7 : Réaliser 07 séances de sensibilisations sur les conflits communautaires à travers différents canaux (diffusion de Capsule vidéo, diffusion réseaux sociaux, débats informels, causeries-débats…)</t>
  </si>
  <si>
    <t>Selectionner un prestataire pour la conception et réalisation des outils</t>
  </si>
  <si>
    <t>Activité 4.2.8 : Organiser des campagnes de sensibilisation des populations sur le vivre ensemble et les dangers de la stigmatisation des communautés via la réalisation de 12 émissions radiophoniques dans 05 langues locales</t>
  </si>
  <si>
    <t>Selectionner un prestataire pour la conception et réalisation des message</t>
  </si>
  <si>
    <t>diffuser les messages</t>
  </si>
  <si>
    <t>Activité 4.2.9 : Renforcer les capacités techniques et matériel des structures de prévention et de gestion des conflits (CFV, CCFV, démembrements de l’ONAPREGECC, ECOPARE, CDM, relais de veille communautaires…) des communes d’intervention du projet
Thématiques au regard des besoins exprimés : 
•	Rôles, attributions et fonctionnement 
•	Loi 034 portant régime foncier rural et les lois connexes 
•	Méthodes de prévention et gestion des conflits 
•	Mécanismes d’alerte précoce</t>
  </si>
  <si>
    <t>Réaliser un diagnostic organisation pour identifier les besoins</t>
  </si>
  <si>
    <t>Recrutement d'un évaluateur indépendant</t>
  </si>
  <si>
    <t>Acquérir le matériel</t>
  </si>
  <si>
    <t>Dotation en kit de monitoring et mobilier de bureau</t>
  </si>
  <si>
    <t>Former les membres des structures</t>
  </si>
  <si>
    <t>Location d'espace, restauration, frais de déplacement</t>
  </si>
  <si>
    <t>Elaborer un plan de transfert des connaissances</t>
  </si>
  <si>
    <t>Disponilité des plans</t>
  </si>
  <si>
    <t xml:space="preserve">Réaliser un documentaire de diffusion des résultats de consolidation de paix atteints par le projet </t>
  </si>
  <si>
    <t>Quatrième tranche</t>
  </si>
  <si>
    <t>Cinquième tranche</t>
  </si>
  <si>
    <t>Instructions :</t>
  </si>
  <si>
    <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scheme val="minor"/>
      </rPr>
      <t>en rouge</t>
    </r>
    <r>
      <rPr>
        <b/>
        <sz val="16"/>
        <color theme="1"/>
        <rFont val="Calibri"/>
        <family val="2"/>
        <scheme val="minor"/>
      </rPr>
      <t>.</t>
    </r>
  </si>
  <si>
    <t>Tableau 2 - Répartition des produits par catégories de budget de l’ONU</t>
  </si>
  <si>
    <t>Nouveau Buget</t>
  </si>
  <si>
    <t>BUDGET REVISE Y COMPRIS L'EXTENSION</t>
  </si>
  <si>
    <t>Organisation recipiendiaire 2
FAO</t>
  </si>
  <si>
    <t xml:space="preserve">Organisation recipiendiaire 1
</t>
  </si>
  <si>
    <t>RESULTAT 1</t>
  </si>
  <si>
    <t>Produit 1.1</t>
  </si>
  <si>
    <t>Total pour produit 1.1 (du tableau 1)</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</si>
  <si>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</si>
  <si>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</si>
  <si>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</si>
  <si>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</si>
  <si>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</si>
  <si>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</si>
  <si>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</si>
  <si>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</si>
  <si>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</si>
  <si>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</si>
  <si>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</si>
  <si>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RESULTAT 3</t>
  </si>
  <si>
    <t>Total pour produit 3.1 (du tableau 1)</t>
  </si>
  <si>
    <t>Total pour produit 3.2 (du tableau 1)</t>
  </si>
  <si>
    <t>Total pour produit 3.3 (du tableau 1)</t>
  </si>
  <si>
    <t>RESULTAT 4</t>
  </si>
  <si>
    <t>Total pour produit 4.1 (du tableau 1)</t>
  </si>
  <si>
    <t>Poduit 4.2</t>
  </si>
  <si>
    <t>Total pour produit 4.2 (du tableau 1)</t>
  </si>
  <si>
    <t>Total pour produit 4.3 (du tableau 1)</t>
  </si>
  <si>
    <t>Total pour produit 4.4 (du tableau 1)</t>
  </si>
  <si>
    <t xml:space="preserve">Coûts supplémentaires </t>
  </si>
  <si>
    <t>Total des coûts supplémentaires (du tableau 1)</t>
  </si>
  <si>
    <t>Organisation recipiendiaire 3</t>
  </si>
  <si>
    <t>Totals</t>
  </si>
  <si>
    <t>For MPTFO Use</t>
  </si>
  <si>
    <t>Nouveau</t>
  </si>
  <si>
    <t>% Variation</t>
  </si>
  <si>
    <t>Recipient Organization</t>
  </si>
  <si>
    <t>Recipient Agency 2</t>
  </si>
  <si>
    <t>Recipient Agency 3</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</si>
  <si>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</si>
  <si>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</si>
  <si>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</si>
  <si>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</si>
  <si>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</si>
  <si>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</si>
  <si>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</si>
  <si>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</si>
  <si>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</si>
  <si>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0%</t>
  </si>
  <si>
    <t>Performance-Based Tranche Breakdown</t>
  </si>
  <si>
    <t>Recip Agency 2</t>
  </si>
  <si>
    <t>Recip Agency 3</t>
  </si>
  <si>
    <t>First Tranche:</t>
  </si>
  <si>
    <t>Second Tranche:</t>
  </si>
  <si>
    <t>Third Tranche:</t>
  </si>
  <si>
    <t>fourth Tranche:</t>
  </si>
  <si>
    <t>fifth Tranche:</t>
  </si>
  <si>
    <t>For PBSO Use</t>
  </si>
  <si>
    <t>Outcome 1</t>
  </si>
  <si>
    <t>Outcome Budget</t>
  </si>
  <si>
    <t>Total Outcome Budget Towards SDGs</t>
  </si>
  <si>
    <t>SDG</t>
  </si>
  <si>
    <t>SDG %</t>
  </si>
  <si>
    <t>Total Towards SDG</t>
  </si>
  <si>
    <t>Outcome 2</t>
  </si>
  <si>
    <t>Outcome 3</t>
  </si>
  <si>
    <t>Outcome 4</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</si>
  <si>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</si>
  <si>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</si>
  <si>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</si>
  <si>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</si>
  <si>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</si>
  <si>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</si>
  <si>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</si>
  <si>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</si>
  <si>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</si>
  <si>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</si>
  <si>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</si>
  <si>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</si>
  <si>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</si>
  <si>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</si>
  <si>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</si>
  <si>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</si>
  <si>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</si>
  <si>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</si>
  <si>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</si>
  <si>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</si>
  <si>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</si>
  <si>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</si>
  <si>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</si>
  <si>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</si>
  <si>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</si>
  <si>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</si>
  <si>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</si>
  <si>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</si>
  <si>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</si>
  <si>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</si>
  <si>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</si>
  <si>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</si>
  <si>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</si>
  <si>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</si>
  <si>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</si>
  <si>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</si>
  <si>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</si>
  <si>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</si>
  <si>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</si>
  <si>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</si>
  <si>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</si>
  <si>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</si>
  <si>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</si>
  <si>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</si>
  <si>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</si>
  <si>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</si>
  <si>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</si>
  <si>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</si>
  <si>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</si>
  <si>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</si>
  <si>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</si>
  <si>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</si>
  <si>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</si>
  <si>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</si>
  <si>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</si>
  <si>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</si>
  <si>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</si>
  <si>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</si>
  <si>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</si>
  <si>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</si>
  <si>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</si>
  <si>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</si>
  <si>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</si>
  <si>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</si>
  <si>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</si>
  <si>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</si>
  <si>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</si>
  <si>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</si>
  <si>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</si>
  <si>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</si>
  <si>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</si>
  <si>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</si>
  <si>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</si>
  <si>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</si>
  <si>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</si>
  <si>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</si>
  <si>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</si>
  <si>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</si>
  <si>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</si>
  <si>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</si>
  <si>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</si>
  <si>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</si>
  <si>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</si>
  <si>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</si>
  <si>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</si>
  <si>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</si>
  <si>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</si>
  <si>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</si>
  <si>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</si>
  <si>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</si>
  <si>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</si>
  <si>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</si>
  <si>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</si>
  <si>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</si>
  <si>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</si>
  <si>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</si>
  <si>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</si>
  <si>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</si>
  <si>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</si>
  <si>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</si>
  <si>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</si>
  <si>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</si>
  <si>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</si>
  <si>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</si>
  <si>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</si>
  <si>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</si>
  <si>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</si>
  <si>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</si>
  <si>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</si>
  <si>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</si>
  <si>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</si>
  <si>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</si>
  <si>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</si>
  <si>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</si>
  <si>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</si>
  <si>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</si>
  <si>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</si>
  <si>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</si>
  <si>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</si>
  <si>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</si>
  <si>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</si>
  <si>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</si>
  <si>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</si>
  <si>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</si>
  <si>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</si>
  <si>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</si>
  <si>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</si>
  <si>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</si>
  <si>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</si>
  <si>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</si>
  <si>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</si>
  <si>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</si>
  <si>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</si>
  <si>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</si>
  <si>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</si>
  <si>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</si>
  <si>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</si>
  <si>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</si>
  <si>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</si>
  <si>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</si>
  <si>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</si>
  <si>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</si>
  <si>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</si>
  <si>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</si>
  <si>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</si>
  <si>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</si>
  <si>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</si>
  <si>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</si>
  <si>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</si>
  <si>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</si>
  <si>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</si>
  <si>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</si>
  <si>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</si>
  <si>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</si>
  <si>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</si>
  <si>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</si>
  <si>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</si>
  <si>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</si>
  <si>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</si>
  <si>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</si>
  <si>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</si>
  <si>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</si>
  <si>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</si>
  <si>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</si>
  <si>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</si>
  <si>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</si>
  <si>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</si>
  <si>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</si>
  <si>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</si>
  <si>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</si>
  <si>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</si>
  <si>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</si>
  <si>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</si>
  <si>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</si>
  <si>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</si>
  <si>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</si>
  <si>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</si>
  <si>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</si>
  <si>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</si>
  <si>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</si>
  <si>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</si>
  <si>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</si>
  <si>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</si>
  <si>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</si>
  <si>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</si>
  <si>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</si>
  <si>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</si>
  <si>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</si>
  <si>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</si>
  <si>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</si>
  <si>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</si>
  <si>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</si>
  <si>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</si>
  <si>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</si>
  <si>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</si>
  <si>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</si>
  <si>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</si>
  <si>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</si>
  <si>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</si>
  <si>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</si>
  <si>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</si>
  <si>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</si>
  <si>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</si>
  <si>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</si>
  <si>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</si>
  <si>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</si>
  <si>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</si>
  <si>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</si>
  <si>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</si>
  <si>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</si>
  <si>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</si>
  <si>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</si>
  <si>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</si>
  <si>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</si>
  <si>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</si>
  <si>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</si>
  <si>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</si>
  <si>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</si>
  <si>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</si>
  <si>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</si>
  <si>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</si>
  <si>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</si>
  <si>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</si>
  <si>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</si>
  <si>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</si>
  <si>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</si>
  <si>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</si>
  <si>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</si>
  <si>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</si>
  <si>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</si>
  <si>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</si>
  <si>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</si>
  <si>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</si>
  <si>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</si>
  <si>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</si>
  <si>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</si>
  <si>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</si>
  <si>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</si>
  <si>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</si>
  <si>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</si>
  <si>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</si>
  <si>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</si>
  <si>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</si>
  <si>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</si>
  <si>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</si>
  <si>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</si>
  <si>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</si>
  <si>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</si>
  <si>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</si>
  <si>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</si>
  <si>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</si>
  <si>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</si>
  <si>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</si>
  <si>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</si>
  <si>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</si>
  <si>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</si>
  <si>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</si>
  <si>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</si>
  <si>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</si>
  <si>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</si>
  <si>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</si>
  <si>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</si>
  <si>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</si>
  <si>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</si>
  <si>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</si>
  <si>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</si>
  <si>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</si>
  <si>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</si>
  <si>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</si>
  <si>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</si>
  <si>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</si>
  <si>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</si>
  <si>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</si>
  <si>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</si>
  <si>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</si>
  <si>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</si>
  <si>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</si>
  <si>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</si>
  <si>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</si>
  <si>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</si>
  <si>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</si>
  <si>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</si>
  <si>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</si>
  <si>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</si>
  <si>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</si>
  <si>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</si>
  <si>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</si>
  <si>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</si>
  <si>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</si>
  <si>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</si>
  <si>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</si>
  <si>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</si>
  <si>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</si>
  <si>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</si>
  <si>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</si>
  <si>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</si>
  <si>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</si>
  <si>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</si>
  <si>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</si>
  <si>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</si>
  <si>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</si>
  <si>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</si>
  <si>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</si>
  <si>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</si>
  <si>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</si>
  <si>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</si>
  <si>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</si>
  <si>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</si>
  <si>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</si>
  <si>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</si>
  <si>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</si>
  <si>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</si>
  <si>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</si>
  <si>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</si>
  <si>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</si>
  <si>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</si>
  <si>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</si>
  <si>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</si>
  <si>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</si>
  <si>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</si>
  <si>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</si>
  <si>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</si>
  <si>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</si>
  <si>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</si>
  <si>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</si>
  <si>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</si>
  <si>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</si>
  <si>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</si>
  <si>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</si>
  <si>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</si>
  <si>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</si>
  <si>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</si>
  <si>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</si>
  <si>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</si>
  <si>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</si>
  <si>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</si>
  <si>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</si>
  <si>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</si>
  <si>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</si>
  <si>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</si>
  <si>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</si>
  <si>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</si>
  <si>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</si>
  <si>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</si>
  <si>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</si>
  <si>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</si>
  <si>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</si>
  <si>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</si>
  <si>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Selection d'un prestataire pour la réalisation des infrastrcucture</t>
  </si>
  <si>
    <t>location de salle, pause café, pause dejeuner</t>
  </si>
  <si>
    <t>deplacement des participants</t>
  </si>
  <si>
    <t>Equipement de transformation</t>
  </si>
  <si>
    <t>location de salle, pause café, pause dejeuner…</t>
  </si>
  <si>
    <t>Matériel de formation</t>
  </si>
  <si>
    <t>Matériel pour les AVEC</t>
  </si>
  <si>
    <t>Achat d'animaux, aliment bétail et matériel de construction des ateliers</t>
  </si>
  <si>
    <t>soin des animaux</t>
  </si>
  <si>
    <t>CASH for work</t>
  </si>
  <si>
    <t>Recrutement d'un IMF pour le paiement du cash</t>
  </si>
  <si>
    <t>Fourniture d'intrants aux beneficiaires</t>
  </si>
  <si>
    <t>Chargé de sécurité</t>
  </si>
  <si>
    <t>opération officer</t>
  </si>
  <si>
    <t>Organiser un atelier de cadrage</t>
  </si>
  <si>
    <t>Former les clubs Dimitra</t>
  </si>
  <si>
    <t>Achat de materiels (téléphones, radio solaire)</t>
  </si>
  <si>
    <t>Deplacement des membres des CD</t>
  </si>
  <si>
    <t>Prise en charge des participants aux feormations</t>
  </si>
  <si>
    <t>Consultante expert Consolidation de la Paix</t>
  </si>
  <si>
    <t>Mission de suivi</t>
  </si>
  <si>
    <t>Equipement vehicule</t>
  </si>
  <si>
    <t xml:space="preserve">Selection d'une firme de construction </t>
  </si>
  <si>
    <t>Dispenser la formation en technique de production hors sol et en bio pesticide</t>
  </si>
  <si>
    <t>Activité 2.1.30 : Renforcer le fonctionnement de 2 sites maraichers existant (diagnostic, canalisations, renforcement de la disponibilité en eau…)</t>
  </si>
  <si>
    <t>Activité 2.1.31 : Aménager et mettre en valeur 1 sites irrigués pour la production fourragère</t>
  </si>
  <si>
    <t>Activité 2.1.33 : Former 125 ( soit 25 par commune) producteurs en techniques de Conservation des Eaux et des Sols / Défenses et Restauration des Sols (CES / DRS) et sur les techniques et technologies de gestion rationnelle des ressources naturelles</t>
  </si>
  <si>
    <t>Dispenser la formation en techniques de Conservation des Eaux et des Sols / Défenses et Restauration des Sols (CES / DRS) et sur les techniques et technologies de gestion rationnelle des ressources naturelles</t>
  </si>
  <si>
    <t xml:space="preserve">Dispenser la formation </t>
  </si>
  <si>
    <t>Organiser les sessions de sensibilisation</t>
  </si>
  <si>
    <t>Organiser des seances de sensibilisation sur la sécurisation foncière auprès des groupements</t>
  </si>
  <si>
    <t>Activité 3.2.4 : Sensibiliser les acteurs sur la sécurisation foncière et les documents y afférent (APFR, Prêts de terres, dons, locations…)</t>
  </si>
  <si>
    <t>Location de salle</t>
  </si>
  <si>
    <t>restauration des participants</t>
  </si>
  <si>
    <t>prise en charge des participants</t>
  </si>
  <si>
    <t>Activité 2.1.27 : Former 16 groupements de producteurs en techniques de production hors sol et en fabrication de bio pesticide</t>
  </si>
  <si>
    <t>BUDGET FINAL</t>
  </si>
  <si>
    <r>
      <t xml:space="preserve">Activité 2.1.29 : Récupérer et mettre en valeur </t>
    </r>
    <r>
      <rPr>
        <sz val="12"/>
        <color rgb="FF00B0F0"/>
        <rFont val="Calibri"/>
        <family val="2"/>
        <scheme val="minor"/>
      </rPr>
      <t>150 ha</t>
    </r>
    <r>
      <rPr>
        <sz val="12"/>
        <color rgb="FFFF0000"/>
        <rFont val="Calibri"/>
        <family val="2"/>
        <scheme val="minor"/>
      </rPr>
      <t xml:space="preserve"> de terres dégradées </t>
    </r>
  </si>
  <si>
    <r>
      <t xml:space="preserve">Activité 2.1.23 : Développer </t>
    </r>
    <r>
      <rPr>
        <sz val="12"/>
        <color rgb="FF00B0F0"/>
        <rFont val="Calibri"/>
        <family val="2"/>
        <scheme val="minor"/>
      </rPr>
      <t>30</t>
    </r>
    <r>
      <rPr>
        <sz val="12"/>
        <color rgb="FFFF0000"/>
        <rFont val="Calibri"/>
        <family val="2"/>
        <scheme val="minor"/>
      </rPr>
      <t xml:space="preserve"> ateliers d’embouches ovines au profits des PDI et communautés d’accueil ( femmes et des jeunes)</t>
    </r>
  </si>
  <si>
    <r>
      <t>Activité 2.1.21 : Former</t>
    </r>
    <r>
      <rPr>
        <sz val="12"/>
        <color rgb="FF00B0F0"/>
        <rFont val="Calibri"/>
        <family val="2"/>
        <scheme val="minor"/>
      </rPr>
      <t xml:space="preserve"> 30</t>
    </r>
    <r>
      <rPr>
        <sz val="12"/>
        <color rgb="FFFF0000"/>
        <rFont val="Calibri"/>
        <family val="2"/>
        <scheme val="minor"/>
      </rPr>
      <t xml:space="preserve"> personnes (PDI et  populations hôtes) sur les techniques et technologies de transformation, de conservation et de commercialisation des produits maraichers </t>
    </r>
  </si>
  <si>
    <r>
      <t xml:space="preserve">Activité 2.1.32 : Aménager et mettre en valeur </t>
    </r>
    <r>
      <rPr>
        <sz val="12"/>
        <color rgb="FF00B0F0"/>
        <rFont val="Calibri"/>
        <family val="2"/>
        <scheme val="minor"/>
      </rPr>
      <t xml:space="preserve">1 </t>
    </r>
    <r>
      <rPr>
        <sz val="12"/>
        <color rgb="FFFF0000"/>
        <rFont val="Calibri"/>
        <family val="2"/>
        <scheme val="minor"/>
      </rPr>
      <t>site maraicher au profit des personnes déplacées internes et les communautés hôtes</t>
    </r>
  </si>
  <si>
    <r>
      <t xml:space="preserve">Activité 2.1.20 : Former </t>
    </r>
    <r>
      <rPr>
        <sz val="12"/>
        <color rgb="FF00B0F0"/>
        <rFont val="Calibri"/>
        <family val="2"/>
        <scheme val="minor"/>
      </rPr>
      <t xml:space="preserve">30 </t>
    </r>
    <r>
      <rPr>
        <sz val="12"/>
        <color rgb="FFFF0000"/>
        <rFont val="Calibri"/>
        <family val="2"/>
        <scheme val="minor"/>
      </rPr>
      <t>producteurs/trices y compris les PDI en technique de conservation de l’Oignon</t>
    </r>
  </si>
  <si>
    <t>Doter les unites des materiels necessaires</t>
  </si>
  <si>
    <t xml:space="preserve">Materiels </t>
  </si>
  <si>
    <t>Equipements</t>
  </si>
  <si>
    <t>AJUSTEMENT (EXTENSION AVEC COUT)</t>
  </si>
  <si>
    <t>Activité 1.3.6 : Financer la mise en œuvre des activités à identifier dans le plan d’actions de la stratégie régionale de la cohésion sociale et de la consolidation de la paix de la région de l’Est</t>
  </si>
  <si>
    <t>Recipient Organization 1</t>
  </si>
  <si>
    <t>Recipient Organisation 2</t>
  </si>
  <si>
    <t>VERIFIER AVEC ELISE POUR LE NIVEAU DE CONSOMMATION DE CETTE LIGNE</t>
  </si>
  <si>
    <t>VERIFIER LA CONSOMMATION AVEC ELISE</t>
  </si>
  <si>
    <t>DEPENSES GEWE</t>
  </si>
  <si>
    <t>TOTAL GEWE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</si>
</sst>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1" formatCode="_-* #,##0_-;\-* #,##0_-;_-* &quot;-&quot;_-;_-@_-"/>
    <numFmt numFmtId="43" formatCode="_-* #,##0.00_-;\-* #,##0.00_-;_-* &quot;-&quot;??_-;_-@_-"/>
    <numFmt numFmtId="164" formatCode="_(&quot;$&quot;* #,##0.00_);_(&quot;$&quot;* \(#,##0.00\);_(&quot;$&quot;* &quot;-&quot;??_);_(@_)"/>
    <numFmt numFmtId="165" formatCode="_-* #,##0.00\ _€_-;\-* #,##0.00\ _€_-;_-* &quot;-&quot;??\ _€_-;_-@_-"/>
    <numFmt numFmtId="166" formatCode="_(&quot;$&quot;* #,##0_);_(&quot;$&quot;* \(#,##0\);_(&quot;$&quot;* &quot;-&quot;??_);_(@_)"/>
    <numFmt numFmtId="167" formatCode="_-* #,##0\ _F_G_-;\-* #,##0\ _F_G_-;_-* &quot;-&quot;\ _F_G_-;_-@_-"/>
    <numFmt numFmtId="168" formatCode="_-* #,##0.00\ _F_G_-;\-* #,##0.00\ _F_G_-;_-* &quot;-&quot;\ _F_G_-;_-@_-"/>
    <numFmt numFmtId="169" formatCode="_-* #,##0.00\ _C_F_A_-;\-* #,##0.00\ _C_F_A_-;_-* &quot;-&quot;??\ _C_F_A_-;_-@_-"/>
    <numFmt numFmtId="170" formatCode="0.0%"/>
  </numFmts>
  <fonts count="43"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b/>
      <sz val="14"/>
      <color theme="1"/>
      <name val="Calibri"/>
      <family val="2"/>
      <scheme val="minor"/>
    </font>
    <font>
      <b/>
      <sz val="10"/>
      <color theme="1"/>
      <name val="Calibri"/>
      <family val="2"/>
    </font>
    <font>
      <sz val="10"/>
      <name val="Calibri"/>
      <family val="2"/>
    </font>
    <font>
      <sz val="10"/>
      <color theme="1"/>
      <name val="Calibri"/>
      <family val="2"/>
    </font>
    <font>
      <sz val="10"/>
      <color rgb="FF000000"/>
      <name val="Calibri"/>
      <family val="2"/>
    </font>
    <font>
      <b/>
      <sz val="10"/>
      <name val="Calibri"/>
      <family val="2"/>
    </font>
    <font>
      <b/>
      <sz val="14"/>
      <color theme="1"/>
      <name val="Arial"/>
      <family val="2"/>
    </font>
    <font>
      <i/>
      <sz val="12"/>
      <color theme="1"/>
      <name val="Calibri"/>
      <family val="2"/>
      <scheme val="minor"/>
    </font>
    <font>
      <sz val="12"/>
      <name val="Calibri"/>
      <family val="2"/>
      <scheme val="minor"/>
    </font>
    <font>
      <b/>
      <sz val="12"/>
      <name val="Calibri"/>
      <family val="2"/>
      <scheme val="minor"/>
    </font>
    <font>
      <b/>
      <sz val="12"/>
      <color theme="1"/>
      <name val="Arial Black"/>
      <family val="2"/>
    </font>
    <font>
      <b/>
      <sz val="12"/>
      <name val="Arial"/>
      <family val="2"/>
    </font>
    <font>
      <sz val="10"/>
      <color rgb="FFFF0000"/>
      <name val="Calibri"/>
      <family val="2"/>
    </font>
    <font>
      <b/>
      <sz val="10"/>
      <color rgb="FFFF0000"/>
      <name val="Calibri"/>
      <family val="2"/>
    </font>
    <font>
      <b/>
      <sz val="16"/>
      <color theme="1"/>
      <name val="Arial Black"/>
      <family val="2"/>
    </font>
    <font>
      <b/>
      <sz val="24"/>
      <color theme="1"/>
      <name val="Calibri"/>
      <family val="2"/>
      <scheme val="minor"/>
    </font>
    <font>
      <sz val="12"/>
      <color rgb="FFFF0000"/>
      <name val="Calibri"/>
      <family val="2"/>
    </font>
    <font>
      <sz val="11"/>
      <color rgb="FFFF0000"/>
      <name val="Calibri"/>
      <family val="2"/>
      <charset val="1"/>
    </font>
    <font>
      <sz val="12"/>
      <color rgb="FF00B0F0"/>
      <name val="Calibri"/>
      <family val="2"/>
      <scheme val="minor"/>
    </font>
    <font>
      <b/>
      <sz val="9"/>
      <color rgb="FFFF0000"/>
      <name val="Times New Roman"/>
      <family val="1"/>
    </font>
    <font>
      <sz val="14"/>
      <color theme="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theme="5"/>
        <bgColor indexed="64"/>
      </patternFill>
    </fill>
    <fill>
      <patternFill patternType="solid">
        <fgColor theme="9"/>
        <bgColor indexed="64"/>
      </patternFill>
    </fill>
    <fill>
      <patternFill patternType="solid">
        <fgColor rgb="FFC00000"/>
        <bgColor indexed="64"/>
      </patternFill>
    </fill>
    <fill>
      <patternFill patternType="solid">
        <fgColor rgb="FFFFFFFF"/>
        <bgColor rgb="FF000000"/>
      </patternFill>
    </fill>
    <fill>
      <patternFill patternType="solid">
        <fgColor rgb="FFD9D9D9"/>
        <bgColor indexed="64"/>
      </patternFill>
    </fill>
    <fill>
      <patternFill patternType="solid">
        <fgColor theme="5" tint="0.59999389629810485"/>
        <bgColor indexed="64"/>
      </patternFill>
    </fill>
    <fill>
      <patternFill patternType="solid">
        <fgColor rgb="FFFFA7A7"/>
        <bgColor indexed="64"/>
      </patternFill>
    </fill>
    <fill>
      <patternFill patternType="solid">
        <fgColor rgb="FFFF9797"/>
        <bgColor indexed="64"/>
      </patternFill>
    </fill>
    <fill>
      <patternFill patternType="solid">
        <fgColor rgb="FF92D050"/>
        <bgColor indexed="64"/>
      </patternFill>
    </fill>
  </fills>
  <borders count="6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ck">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2">
    <xf numFmtId="0" fontId="0" fillId="0" borderId="0"/>
    <xf numFmtId="164"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cellStyleXfs>
  <cellXfs count="722">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9" fontId="2" fillId="2" borderId="15" xfId="2" applyFont="1" applyFill="1" applyBorder="1" applyAlignment="1">
      <alignment vertical="center" wrapText="1"/>
    </xf>
    <xf numFmtId="0" fontId="2" fillId="3" borderId="0" xfId="0" applyFont="1" applyFill="1" applyAlignment="1" applyProtection="1">
      <alignment vertical="center" wrapText="1"/>
      <protection locked="0"/>
    </xf>
    <xf numFmtId="164" fontId="2" fillId="2" borderId="3" xfId="1" applyFont="1" applyFill="1" applyBorder="1" applyAlignment="1" applyProtection="1">
      <alignment horizontal="center"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4" xfId="1" applyFont="1" applyFill="1" applyBorder="1" applyAlignment="1">
      <alignment vertical="center" wrapText="1"/>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2"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4" fontId="2" fillId="2" borderId="3" xfId="0" applyNumberFormat="1" applyFont="1" applyFill="1" applyBorder="1" applyAlignment="1">
      <alignment horizontal="center" wrapText="1"/>
    </xf>
    <xf numFmtId="0" fontId="6"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7" fillId="2" borderId="36" xfId="0" applyFont="1" applyFill="1" applyBorder="1" applyAlignment="1">
      <alignment vertical="center" wrapText="1"/>
    </xf>
    <xf numFmtId="164" fontId="2" fillId="2" borderId="36" xfId="0" applyNumberFormat="1" applyFont="1" applyFill="1" applyBorder="1" applyAlignment="1">
      <alignment wrapText="1"/>
    </xf>
    <xf numFmtId="0" fontId="2" fillId="2" borderId="14" xfId="0" applyFont="1" applyFill="1" applyBorder="1" applyAlignment="1">
      <alignment horizontal="left" wrapText="1"/>
    </xf>
    <xf numFmtId="164" fontId="2" fillId="2" borderId="14" xfId="0" applyNumberFormat="1" applyFont="1" applyFill="1" applyBorder="1" applyAlignment="1">
      <alignment horizontal="center" wrapText="1"/>
    </xf>
    <xf numFmtId="164" fontId="2" fillId="2" borderId="14"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2" fillId="2" borderId="11" xfId="0" applyFont="1" applyFill="1" applyBorder="1" applyAlignment="1">
      <alignment horizontal="center"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164" fontId="2" fillId="2" borderId="4" xfId="1" applyFont="1" applyFill="1" applyBorder="1" applyAlignment="1" applyProtection="1">
      <alignment vertical="center" wrapText="1"/>
    </xf>
    <xf numFmtId="164" fontId="2" fillId="2" borderId="14" xfId="1" applyFont="1" applyFill="1" applyBorder="1" applyAlignment="1" applyProtection="1">
      <alignment vertical="center" wrapText="1"/>
    </xf>
    <xf numFmtId="9" fontId="2" fillId="2" borderId="15" xfId="2" applyFont="1" applyFill="1" applyBorder="1" applyAlignment="1" applyProtection="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0" fontId="12" fillId="7" borderId="18" xfId="0" applyFont="1" applyFill="1" applyBorder="1" applyAlignment="1">
      <alignment wrapText="1"/>
    </xf>
    <xf numFmtId="164" fontId="2" fillId="2" borderId="15" xfId="1" applyFont="1" applyFill="1" applyBorder="1" applyAlignment="1" applyProtection="1">
      <alignment vertical="center" wrapText="1"/>
    </xf>
    <xf numFmtId="0" fontId="2" fillId="2" borderId="36"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2" xfId="0" applyFont="1" applyFill="1" applyBorder="1" applyAlignment="1">
      <alignment vertical="center" wrapText="1"/>
    </xf>
    <xf numFmtId="164" fontId="2" fillId="4" borderId="3" xfId="1" applyFont="1" applyFill="1" applyBorder="1" applyAlignment="1" applyProtection="1">
      <alignment vertical="center" wrapText="1"/>
    </xf>
    <xf numFmtId="0" fontId="2" fillId="2" borderId="3" xfId="1" applyNumberFormat="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4" fillId="3" borderId="25" xfId="0" applyFont="1" applyFill="1" applyBorder="1" applyAlignment="1">
      <alignment horizontal="left" vertical="top" wrapText="1"/>
    </xf>
    <xf numFmtId="0" fontId="4" fillId="3" borderId="0" xfId="0" applyFont="1" applyFill="1" applyAlignment="1">
      <alignment horizontal="left" vertical="top" wrapText="1"/>
    </xf>
    <xf numFmtId="0" fontId="4" fillId="3" borderId="27" xfId="0" applyFont="1" applyFill="1" applyBorder="1" applyAlignment="1">
      <alignment horizontal="left" vertical="top" wrapText="1"/>
    </xf>
    <xf numFmtId="0" fontId="2" fillId="4" borderId="39" xfId="0" applyFont="1" applyFill="1" applyBorder="1" applyAlignment="1">
      <alignment vertical="center" wrapText="1"/>
    </xf>
    <xf numFmtId="164" fontId="2" fillId="2" borderId="2" xfId="1" applyFont="1" applyFill="1" applyBorder="1" applyAlignment="1" applyProtection="1">
      <alignment horizontal="center" vertical="center" wrapText="1"/>
    </xf>
    <xf numFmtId="0" fontId="2" fillId="2" borderId="2" xfId="1" applyNumberFormat="1" applyFont="1" applyFill="1" applyBorder="1" applyAlignment="1" applyProtection="1">
      <alignment vertical="center" wrapText="1"/>
    </xf>
    <xf numFmtId="164" fontId="2" fillId="2" borderId="46" xfId="1" applyFont="1" applyFill="1" applyBorder="1" applyAlignment="1" applyProtection="1">
      <alignment vertical="center" wrapText="1"/>
    </xf>
    <xf numFmtId="0" fontId="21" fillId="0" borderId="0" xfId="0" applyFont="1" applyAlignment="1">
      <alignment wrapText="1"/>
    </xf>
    <xf numFmtId="0" fontId="12" fillId="7" borderId="16" xfId="0" applyFont="1" applyFill="1" applyBorder="1" applyAlignment="1">
      <alignment wrapText="1"/>
    </xf>
    <xf numFmtId="0" fontId="12" fillId="7" borderId="19"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164" fontId="8" fillId="7" borderId="19" xfId="1" applyFont="1" applyFill="1" applyBorder="1" applyAlignment="1" applyProtection="1">
      <alignment vertical="center" wrapText="1"/>
    </xf>
    <xf numFmtId="0" fontId="2" fillId="2" borderId="31" xfId="0" applyFont="1" applyFill="1" applyBorder="1" applyAlignment="1">
      <alignment horizontal="left" wrapText="1"/>
    </xf>
    <xf numFmtId="164" fontId="2" fillId="2" borderId="31" xfId="0" applyNumberFormat="1" applyFont="1" applyFill="1" applyBorder="1" applyAlignment="1">
      <alignment horizontal="center" wrapText="1"/>
    </xf>
    <xf numFmtId="164" fontId="2" fillId="2" borderId="31" xfId="0" applyNumberFormat="1" applyFont="1" applyFill="1" applyBorder="1" applyAlignment="1">
      <alignment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164" fontId="2" fillId="3" borderId="0" xfId="1" applyFont="1" applyFill="1" applyBorder="1" applyAlignment="1" applyProtection="1">
      <alignment vertical="center" wrapText="1"/>
      <protection locked="0"/>
    </xf>
    <xf numFmtId="164" fontId="0" fillId="3" borderId="0" xfId="1" applyFont="1" applyFill="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Border="1" applyAlignment="1">
      <alignment wrapText="1"/>
    </xf>
    <xf numFmtId="164" fontId="0" fillId="0" borderId="0" xfId="1" applyFont="1" applyFill="1" applyBorder="1" applyAlignment="1">
      <alignment wrapText="1"/>
    </xf>
    <xf numFmtId="164" fontId="16" fillId="0" borderId="0" xfId="1" applyFont="1" applyBorder="1" applyAlignment="1">
      <alignment wrapText="1"/>
    </xf>
    <xf numFmtId="164" fontId="12" fillId="7" borderId="16"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8" xfId="0" applyNumberFormat="1" applyFont="1" applyFill="1" applyBorder="1" applyAlignment="1">
      <alignment vertical="center" wrapText="1"/>
    </xf>
    <xf numFmtId="164" fontId="0" fillId="2" borderId="17" xfId="1" applyFont="1" applyFill="1" applyBorder="1" applyAlignment="1">
      <alignment vertical="center" wrapText="1"/>
    </xf>
    <xf numFmtId="9" fontId="0" fillId="2" borderId="15" xfId="2" applyFont="1" applyFill="1" applyBorder="1" applyAlignment="1">
      <alignment wrapText="1"/>
    </xf>
    <xf numFmtId="0" fontId="3" fillId="2" borderId="13" xfId="0" applyFont="1" applyFill="1" applyBorder="1" applyAlignment="1">
      <alignment wrapText="1"/>
    </xf>
    <xf numFmtId="0" fontId="2" fillId="4" borderId="40" xfId="0" applyFont="1" applyFill="1" applyBorder="1" applyAlignment="1">
      <alignment vertical="center" wrapText="1"/>
    </xf>
    <xf numFmtId="166" fontId="2" fillId="3" borderId="0" xfId="0" applyNumberFormat="1" applyFont="1" applyFill="1" applyAlignment="1" applyProtection="1">
      <alignment vertical="center" wrapText="1"/>
      <protection locked="0"/>
    </xf>
    <xf numFmtId="166" fontId="0" fillId="0" borderId="0" xfId="0" applyNumberFormat="1" applyAlignment="1">
      <alignment wrapText="1"/>
    </xf>
    <xf numFmtId="166" fontId="0" fillId="3" borderId="0" xfId="0" applyNumberFormat="1" applyFill="1" applyAlignment="1">
      <alignment wrapText="1"/>
    </xf>
    <xf numFmtId="0" fontId="2" fillId="0" borderId="0"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vertical="center" wrapText="1"/>
    </xf>
    <xf numFmtId="168" fontId="5" fillId="0" borderId="0" xfId="3" applyNumberFormat="1" applyFont="1" applyFill="1"/>
    <xf numFmtId="0" fontId="3" fillId="0" borderId="0" xfId="0" applyFont="1" applyAlignment="1">
      <alignment horizontal="right"/>
    </xf>
    <xf numFmtId="3" fontId="3" fillId="0" borderId="0" xfId="0" applyNumberFormat="1" applyFont="1"/>
    <xf numFmtId="168" fontId="3" fillId="0" borderId="0" xfId="3" applyNumberFormat="1" applyFont="1" applyFill="1" applyAlignment="1">
      <alignment horizontal="center"/>
    </xf>
    <xf numFmtId="9" fontId="3" fillId="0" borderId="0" xfId="2" applyFont="1" applyFill="1" applyAlignment="1">
      <alignment horizontal="center"/>
    </xf>
    <xf numFmtId="0" fontId="0" fillId="0" borderId="0" xfId="0" applyAlignment="1">
      <alignment horizontal="left"/>
    </xf>
    <xf numFmtId="0" fontId="8" fillId="2" borderId="7" xfId="0" applyFont="1" applyFill="1" applyBorder="1" applyAlignment="1" applyProtection="1">
      <alignment vertical="center" wrapText="1"/>
      <protection locked="0"/>
    </xf>
    <xf numFmtId="0" fontId="8" fillId="2" borderId="53" xfId="0" applyFont="1" applyFill="1" applyBorder="1" applyAlignment="1">
      <alignment vertical="center" wrapText="1"/>
    </xf>
    <xf numFmtId="0" fontId="8" fillId="2" borderId="7" xfId="0" applyFont="1" applyFill="1" applyBorder="1" applyAlignment="1">
      <alignment vertical="center" wrapText="1"/>
    </xf>
    <xf numFmtId="164" fontId="2" fillId="2" borderId="35" xfId="0" applyNumberFormat="1" applyFont="1" applyFill="1" applyBorder="1" applyAlignment="1">
      <alignment wrapText="1"/>
    </xf>
    <xf numFmtId="164" fontId="2" fillId="2" borderId="9" xfId="0" applyNumberFormat="1" applyFont="1" applyFill="1" applyBorder="1" applyAlignment="1">
      <alignment wrapText="1"/>
    </xf>
    <xf numFmtId="164" fontId="1" fillId="2" borderId="36" xfId="0" applyNumberFormat="1" applyFont="1" applyFill="1" applyBorder="1" applyAlignment="1">
      <alignment wrapText="1"/>
    </xf>
    <xf numFmtId="0" fontId="8" fillId="2" borderId="47" xfId="0" applyFont="1" applyFill="1" applyBorder="1" applyAlignment="1">
      <alignment vertical="center" wrapText="1"/>
    </xf>
    <xf numFmtId="0" fontId="8" fillId="2" borderId="48" xfId="0" applyFont="1" applyFill="1" applyBorder="1" applyAlignment="1">
      <alignment vertical="center" wrapText="1"/>
    </xf>
    <xf numFmtId="0" fontId="8" fillId="2" borderId="48" xfId="0" applyFont="1" applyFill="1" applyBorder="1" applyAlignment="1" applyProtection="1">
      <alignment vertical="center" wrapText="1"/>
      <protection locked="0"/>
    </xf>
    <xf numFmtId="164" fontId="2" fillId="2" borderId="14" xfId="1" applyFont="1" applyFill="1" applyBorder="1" applyAlignment="1">
      <alignment wrapText="1"/>
    </xf>
    <xf numFmtId="164" fontId="2" fillId="2" borderId="15" xfId="1" applyFont="1" applyFill="1" applyBorder="1" applyAlignment="1">
      <alignment wrapText="1"/>
    </xf>
    <xf numFmtId="0" fontId="2" fillId="2" borderId="26" xfId="0" applyFont="1" applyFill="1" applyBorder="1" applyAlignment="1">
      <alignment horizontal="center" wrapText="1"/>
    </xf>
    <xf numFmtId="164" fontId="2" fillId="2" borderId="43" xfId="1" applyFont="1" applyFill="1" applyBorder="1" applyAlignment="1" applyProtection="1">
      <alignment wrapText="1"/>
    </xf>
    <xf numFmtId="164" fontId="2" fillId="2" borderId="3" xfId="1" applyFont="1" applyFill="1" applyBorder="1" applyAlignment="1">
      <alignment wrapText="1"/>
    </xf>
    <xf numFmtId="164" fontId="2" fillId="2" borderId="13" xfId="1" applyFont="1" applyFill="1" applyBorder="1" applyAlignment="1">
      <alignment wrapText="1"/>
    </xf>
    <xf numFmtId="0" fontId="2" fillId="2" borderId="52" xfId="0" applyFont="1" applyFill="1" applyBorder="1" applyAlignment="1">
      <alignment horizontal="center" wrapText="1"/>
    </xf>
    <xf numFmtId="0" fontId="2" fillId="2" borderId="47" xfId="0" applyFont="1" applyFill="1" applyBorder="1" applyAlignment="1">
      <alignment horizontal="center" wrapText="1"/>
    </xf>
    <xf numFmtId="0" fontId="1" fillId="2" borderId="48" xfId="0" applyFont="1" applyFill="1" applyBorder="1" applyAlignment="1">
      <alignment vertical="center" wrapText="1"/>
    </xf>
    <xf numFmtId="164" fontId="2" fillId="2" borderId="28" xfId="1" applyFont="1" applyFill="1" applyBorder="1" applyAlignment="1" applyProtection="1">
      <alignment horizontal="center" vertical="center" wrapText="1"/>
    </xf>
    <xf numFmtId="164" fontId="2" fillId="2" borderId="29" xfId="1" applyFont="1" applyFill="1" applyBorder="1" applyAlignment="1" applyProtection="1">
      <alignment horizontal="center" vertical="center" wrapText="1"/>
    </xf>
    <xf numFmtId="164" fontId="2" fillId="2" borderId="8" xfId="0" applyNumberFormat="1" applyFont="1" applyFill="1" applyBorder="1" applyAlignment="1">
      <alignment horizontal="center" wrapText="1"/>
    </xf>
    <xf numFmtId="164" fontId="1" fillId="2" borderId="10" xfId="0" applyNumberFormat="1" applyFont="1" applyFill="1" applyBorder="1" applyAlignment="1">
      <alignment wrapText="1"/>
    </xf>
    <xf numFmtId="164" fontId="2" fillId="2" borderId="13" xfId="0" applyNumberFormat="1" applyFont="1" applyFill="1" applyBorder="1" applyAlignment="1">
      <alignment horizontal="center" wrapText="1"/>
    </xf>
    <xf numFmtId="0" fontId="10" fillId="8" borderId="3" xfId="0" applyFont="1" applyFill="1" applyBorder="1" applyAlignment="1">
      <alignment horizontal="center" vertical="center" wrapText="1"/>
    </xf>
    <xf numFmtId="0" fontId="28" fillId="0" borderId="0" xfId="0" applyFont="1"/>
    <xf numFmtId="0" fontId="1" fillId="0" borderId="3" xfId="0" applyFont="1" applyBorder="1" applyAlignment="1" applyProtection="1">
      <alignment horizontal="left" vertical="top" wrapText="1"/>
      <protection locked="0"/>
    </xf>
    <xf numFmtId="49" fontId="1" fillId="0" borderId="3" xfId="1" applyNumberFormat="1" applyFont="1" applyBorder="1" applyAlignment="1" applyProtection="1">
      <alignment horizontal="left" wrapText="1"/>
      <protection locked="0"/>
    </xf>
    <xf numFmtId="43" fontId="0" fillId="0" borderId="0" xfId="10" applyFont="1" applyBorder="1" applyAlignment="1">
      <alignment wrapText="1"/>
    </xf>
    <xf numFmtId="164" fontId="1" fillId="0" borderId="3" xfId="1" applyFont="1" applyBorder="1" applyAlignment="1" applyProtection="1">
      <alignment horizontal="left" vertical="center" wrapText="1"/>
      <protection locked="0"/>
    </xf>
    <xf numFmtId="49" fontId="1" fillId="3" borderId="3" xfId="1" applyNumberFormat="1" applyFont="1" applyFill="1" applyBorder="1" applyAlignment="1" applyProtection="1">
      <alignment horizontal="left" wrapText="1"/>
      <protection locked="0"/>
    </xf>
    <xf numFmtId="9" fontId="1" fillId="0" borderId="3" xfId="2" applyFont="1" applyBorder="1" applyAlignment="1" applyProtection="1">
      <alignment horizontal="center" vertical="center" wrapText="1"/>
      <protection locked="0"/>
    </xf>
    <xf numFmtId="43" fontId="0" fillId="0" borderId="0" xfId="0" applyNumberFormat="1"/>
    <xf numFmtId="164" fontId="0" fillId="0" borderId="0" xfId="0" applyNumberFormat="1" applyAlignment="1">
      <alignment wrapText="1"/>
    </xf>
    <xf numFmtId="164" fontId="11" fillId="0" borderId="3" xfId="1" applyFont="1" applyBorder="1" applyAlignment="1" applyProtection="1">
      <alignment vertical="center" wrapText="1"/>
      <protection locked="0"/>
    </xf>
    <xf numFmtId="43" fontId="0" fillId="0" borderId="0" xfId="0" applyNumberFormat="1" applyAlignment="1">
      <alignment wrapText="1"/>
    </xf>
    <xf numFmtId="164" fontId="1" fillId="0" borderId="3" xfId="1" applyFont="1" applyFill="1" applyBorder="1" applyAlignment="1" applyProtection="1">
      <alignment horizontal="center" vertical="center" wrapText="1"/>
      <protection locked="0"/>
    </xf>
    <xf numFmtId="164" fontId="1" fillId="0" borderId="3" xfId="1" applyFont="1" applyBorder="1" applyAlignment="1" applyProtection="1">
      <alignment horizontal="center" vertical="center" wrapText="1"/>
      <protection locked="0"/>
    </xf>
    <xf numFmtId="0" fontId="1" fillId="0" borderId="3" xfId="0" applyFont="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30" fillId="0" borderId="3" xfId="1" applyNumberFormat="1" applyFont="1" applyFill="1" applyBorder="1" applyAlignment="1" applyProtection="1">
      <alignment horizontal="center" vertical="center" wrapText="1"/>
    </xf>
    <xf numFmtId="0" fontId="31" fillId="0" borderId="0" xfId="1" applyNumberFormat="1" applyFont="1" applyFill="1" applyBorder="1" applyAlignment="1" applyProtection="1">
      <alignment horizontal="center" vertical="center" wrapText="1"/>
    </xf>
    <xf numFmtId="0" fontId="31" fillId="0" borderId="0" xfId="1" applyNumberFormat="1" applyFont="1" applyFill="1" applyBorder="1" applyAlignment="1" applyProtection="1">
      <alignment vertical="center" wrapText="1"/>
    </xf>
    <xf numFmtId="0" fontId="30" fillId="0" borderId="0" xfId="1" applyNumberFormat="1" applyFont="1" applyFill="1" applyBorder="1" applyAlignment="1" applyProtection="1">
      <alignment horizontal="center" vertical="center" wrapText="1"/>
    </xf>
    <xf numFmtId="0" fontId="30" fillId="0" borderId="0" xfId="1" applyNumberFormat="1" applyFont="1" applyFill="1" applyBorder="1" applyAlignment="1" applyProtection="1">
      <alignment vertical="center" wrapText="1"/>
    </xf>
    <xf numFmtId="0" fontId="31" fillId="0" borderId="0" xfId="0" applyFont="1" applyAlignment="1" applyProtection="1">
      <alignment vertical="center" wrapText="1"/>
      <protection locked="0"/>
    </xf>
    <xf numFmtId="0" fontId="31" fillId="0" borderId="3" xfId="1" applyNumberFormat="1" applyFont="1" applyFill="1" applyBorder="1" applyAlignment="1" applyProtection="1">
      <alignment horizontal="center" vertical="center" wrapText="1"/>
    </xf>
    <xf numFmtId="0" fontId="31" fillId="3" borderId="3" xfId="0" applyFont="1" applyFill="1" applyBorder="1" applyAlignment="1" applyProtection="1">
      <alignment vertical="center" wrapText="1"/>
      <protection locked="0"/>
    </xf>
    <xf numFmtId="9" fontId="0" fillId="0" borderId="0" xfId="2" applyFont="1"/>
    <xf numFmtId="0" fontId="3" fillId="2" borderId="6" xfId="0" applyFont="1" applyFill="1" applyBorder="1" applyAlignment="1">
      <alignment horizontal="left" vertical="center"/>
    </xf>
    <xf numFmtId="167" fontId="23" fillId="2" borderId="6" xfId="3" applyFont="1" applyFill="1" applyBorder="1" applyAlignment="1">
      <alignment horizontal="center" vertical="top" wrapText="1"/>
    </xf>
    <xf numFmtId="3" fontId="3" fillId="2" borderId="6" xfId="0" applyNumberFormat="1" applyFont="1" applyFill="1" applyBorder="1" applyAlignment="1">
      <alignment vertical="center"/>
    </xf>
    <xf numFmtId="167" fontId="3" fillId="2" borderId="6" xfId="3" applyFont="1" applyFill="1" applyBorder="1" applyAlignment="1">
      <alignment vertical="center"/>
    </xf>
    <xf numFmtId="0" fontId="2" fillId="2" borderId="24" xfId="0" applyFont="1" applyFill="1" applyBorder="1" applyAlignment="1">
      <alignment horizontal="right" wrapText="1"/>
    </xf>
    <xf numFmtId="164" fontId="1" fillId="0" borderId="2" xfId="1" applyFont="1" applyFill="1" applyBorder="1" applyAlignment="1" applyProtection="1">
      <alignment vertical="center" wrapText="1"/>
      <protection locked="0"/>
    </xf>
    <xf numFmtId="0" fontId="0" fillId="9" borderId="0" xfId="0" applyFill="1" applyAlignment="1">
      <alignment wrapText="1"/>
    </xf>
    <xf numFmtId="0" fontId="12" fillId="9" borderId="16" xfId="0" applyFont="1" applyFill="1" applyBorder="1" applyAlignment="1">
      <alignment wrapText="1"/>
    </xf>
    <xf numFmtId="0" fontId="0" fillId="9" borderId="0" xfId="0" applyFill="1" applyAlignment="1">
      <alignment horizontal="center" wrapText="1"/>
    </xf>
    <xf numFmtId="0" fontId="2" fillId="9" borderId="3" xfId="0" applyFont="1" applyFill="1" applyBorder="1" applyAlignment="1">
      <alignment horizontal="center" vertical="center" wrapText="1"/>
    </xf>
    <xf numFmtId="0" fontId="2" fillId="9" borderId="3" xfId="0" applyFont="1" applyFill="1" applyBorder="1" applyAlignment="1" applyProtection="1">
      <alignment horizontal="center" vertical="center" wrapText="1"/>
      <protection locked="0"/>
    </xf>
    <xf numFmtId="164" fontId="2" fillId="9" borderId="3" xfId="1" applyFont="1" applyFill="1" applyBorder="1" applyAlignment="1" applyProtection="1">
      <alignment horizontal="center" vertical="center" wrapText="1"/>
    </xf>
    <xf numFmtId="164" fontId="1" fillId="9" borderId="3" xfId="1" applyFont="1" applyFill="1" applyBorder="1" applyAlignment="1" applyProtection="1">
      <alignment horizontal="center" vertical="center" wrapText="1"/>
      <protection locked="0"/>
    </xf>
    <xf numFmtId="164" fontId="2" fillId="9" borderId="5" xfId="1" applyFont="1" applyFill="1" applyBorder="1" applyAlignment="1" applyProtection="1">
      <alignment horizontal="center" vertical="center" wrapText="1"/>
    </xf>
    <xf numFmtId="164" fontId="1" fillId="9" borderId="3" xfId="1" applyFont="1" applyFill="1" applyBorder="1" applyAlignment="1" applyProtection="1">
      <alignment vertical="center" wrapText="1"/>
      <protection locked="0"/>
    </xf>
    <xf numFmtId="164" fontId="2" fillId="9" borderId="3" xfId="1" applyFont="1" applyFill="1" applyBorder="1" applyAlignment="1" applyProtection="1">
      <alignment vertical="center" wrapText="1"/>
    </xf>
    <xf numFmtId="164" fontId="2" fillId="9" borderId="9" xfId="1" applyFont="1" applyFill="1" applyBorder="1" applyAlignment="1" applyProtection="1">
      <alignment horizontal="center" vertical="center" wrapText="1"/>
    </xf>
    <xf numFmtId="0" fontId="2" fillId="9" borderId="9" xfId="1" applyNumberFormat="1" applyFont="1" applyFill="1" applyBorder="1" applyAlignment="1" applyProtection="1">
      <alignment horizontal="center" vertical="center" wrapText="1"/>
    </xf>
    <xf numFmtId="164" fontId="2" fillId="9" borderId="15" xfId="1" applyFont="1" applyFill="1" applyBorder="1" applyAlignment="1" applyProtection="1">
      <alignment vertical="center" wrapText="1"/>
    </xf>
    <xf numFmtId="164" fontId="2" fillId="9" borderId="0" xfId="0" applyNumberFormat="1" applyFont="1" applyFill="1" applyAlignment="1">
      <alignment vertical="center" wrapText="1"/>
    </xf>
    <xf numFmtId="164" fontId="2" fillId="9" borderId="5" xfId="1" applyFont="1" applyFill="1" applyBorder="1" applyAlignment="1" applyProtection="1">
      <alignment vertical="center" wrapText="1"/>
    </xf>
    <xf numFmtId="164" fontId="2" fillId="9" borderId="14" xfId="1" applyFont="1" applyFill="1" applyBorder="1" applyAlignment="1" applyProtection="1">
      <alignment vertical="center" wrapText="1"/>
    </xf>
    <xf numFmtId="164" fontId="2" fillId="9" borderId="17" xfId="0" applyNumberFormat="1" applyFont="1" applyFill="1" applyBorder="1" applyAlignment="1">
      <alignment vertical="center" wrapText="1"/>
    </xf>
    <xf numFmtId="10" fontId="2" fillId="9" borderId="9" xfId="2" applyNumberFormat="1" applyFont="1" applyFill="1" applyBorder="1" applyAlignment="1" applyProtection="1">
      <alignment wrapText="1"/>
    </xf>
    <xf numFmtId="164" fontId="2" fillId="9" borderId="9" xfId="2" applyNumberFormat="1" applyFont="1" applyFill="1" applyBorder="1" applyAlignment="1" applyProtection="1">
      <alignment wrapText="1"/>
    </xf>
    <xf numFmtId="169" fontId="0" fillId="0" borderId="0" xfId="0" applyNumberFormat="1" applyAlignment="1">
      <alignment wrapText="1"/>
    </xf>
    <xf numFmtId="169" fontId="0" fillId="3" borderId="0" xfId="0" applyNumberFormat="1" applyFill="1" applyAlignment="1">
      <alignment wrapText="1"/>
    </xf>
    <xf numFmtId="0" fontId="11" fillId="0" borderId="3" xfId="0" applyFont="1" applyBorder="1" applyAlignment="1" applyProtection="1">
      <alignment vertical="center" wrapText="1"/>
      <protection locked="0"/>
    </xf>
    <xf numFmtId="164" fontId="11" fillId="9" borderId="3" xfId="1" applyFont="1" applyFill="1" applyBorder="1" applyAlignment="1" applyProtection="1">
      <alignment vertical="center" wrapText="1"/>
      <protection locked="0"/>
    </xf>
    <xf numFmtId="164" fontId="11" fillId="0" borderId="3" xfId="1" applyFont="1" applyFill="1" applyBorder="1" applyAlignment="1" applyProtection="1">
      <alignment vertical="center" wrapText="1"/>
      <protection locked="0"/>
    </xf>
    <xf numFmtId="164" fontId="11" fillId="2" borderId="3" xfId="1" applyFont="1" applyFill="1" applyBorder="1" applyAlignment="1" applyProtection="1">
      <alignment vertical="center" wrapText="1"/>
    </xf>
    <xf numFmtId="9" fontId="11" fillId="0" borderId="3" xfId="2" applyFont="1" applyBorder="1" applyAlignment="1" applyProtection="1">
      <alignment horizontal="center" vertical="center" wrapText="1"/>
      <protection locked="0"/>
    </xf>
    <xf numFmtId="49" fontId="11" fillId="0" borderId="3" xfId="0" applyNumberFormat="1" applyFont="1" applyBorder="1" applyAlignment="1" applyProtection="1">
      <alignment horizontal="left" wrapText="1"/>
      <protection locked="0"/>
    </xf>
    <xf numFmtId="0" fontId="10" fillId="0" borderId="3" xfId="1" applyNumberFormat="1" applyFont="1" applyFill="1" applyBorder="1" applyAlignment="1" applyProtection="1">
      <alignment horizontal="center" vertical="center" wrapText="1"/>
    </xf>
    <xf numFmtId="0" fontId="11" fillId="0" borderId="3" xfId="0" applyFont="1" applyBorder="1" applyAlignment="1" applyProtection="1">
      <alignment horizontal="left" vertical="top" wrapText="1"/>
      <protection locked="0"/>
    </xf>
    <xf numFmtId="164" fontId="11" fillId="9" borderId="3" xfId="1" applyFont="1" applyFill="1" applyBorder="1" applyAlignment="1" applyProtection="1">
      <alignment horizontal="center" vertical="center" wrapText="1"/>
      <protection locked="0"/>
    </xf>
    <xf numFmtId="164" fontId="11" fillId="0" borderId="3" xfId="1" applyFont="1" applyBorder="1" applyAlignment="1" applyProtection="1">
      <alignment horizontal="center" vertical="center" wrapText="1"/>
      <protection locked="0"/>
    </xf>
    <xf numFmtId="164" fontId="11" fillId="2" borderId="3" xfId="1" applyFont="1" applyFill="1" applyBorder="1" applyAlignment="1" applyProtection="1">
      <alignment horizontal="center" vertical="center" wrapText="1"/>
    </xf>
    <xf numFmtId="49" fontId="11" fillId="0" borderId="3" xfId="1" applyNumberFormat="1" applyFont="1" applyBorder="1" applyAlignment="1" applyProtection="1">
      <alignment horizontal="left" wrapText="1"/>
      <protection locked="0"/>
    </xf>
    <xf numFmtId="0" fontId="11" fillId="0" borderId="3" xfId="1" applyNumberFormat="1" applyFont="1" applyFill="1" applyBorder="1" applyAlignment="1" applyProtection="1">
      <alignment horizontal="center" vertical="center" wrapText="1"/>
    </xf>
    <xf numFmtId="164" fontId="10" fillId="9" borderId="5" xfId="1" applyFont="1" applyFill="1" applyBorder="1" applyAlignment="1" applyProtection="1">
      <alignment horizontal="center" vertical="center" wrapText="1"/>
    </xf>
    <xf numFmtId="164" fontId="10" fillId="2" borderId="3" xfId="1" applyFont="1" applyFill="1" applyBorder="1" applyAlignment="1" applyProtection="1">
      <alignment horizontal="center" vertical="center" wrapText="1"/>
    </xf>
    <xf numFmtId="0" fontId="30" fillId="0" borderId="3" xfId="0" applyFont="1" applyBorder="1" applyAlignment="1" applyProtection="1">
      <alignment horizontal="left" vertical="top" wrapText="1"/>
      <protection locked="0"/>
    </xf>
    <xf numFmtId="164" fontId="30" fillId="9" borderId="3" xfId="1" applyFont="1" applyFill="1" applyBorder="1" applyAlignment="1" applyProtection="1">
      <alignment horizontal="center" vertical="center" wrapText="1"/>
      <protection locked="0"/>
    </xf>
    <xf numFmtId="164" fontId="30" fillId="0" borderId="3" xfId="1" applyFont="1" applyBorder="1" applyAlignment="1" applyProtection="1">
      <alignment horizontal="center" vertical="center" wrapText="1"/>
      <protection locked="0"/>
    </xf>
    <xf numFmtId="164" fontId="30" fillId="2" borderId="3" xfId="1" applyFont="1" applyFill="1" applyBorder="1" applyAlignment="1" applyProtection="1">
      <alignment horizontal="center" vertical="center" wrapText="1"/>
    </xf>
    <xf numFmtId="9" fontId="30" fillId="0" borderId="3" xfId="2" applyFont="1" applyBorder="1" applyAlignment="1" applyProtection="1">
      <alignment horizontal="center" vertical="center" wrapText="1"/>
      <protection locked="0"/>
    </xf>
    <xf numFmtId="49" fontId="30" fillId="0" borderId="3" xfId="1" applyNumberFormat="1" applyFont="1" applyBorder="1" applyAlignment="1" applyProtection="1">
      <alignment horizontal="left" wrapText="1"/>
      <protection locked="0"/>
    </xf>
    <xf numFmtId="164" fontId="10" fillId="2" borderId="5" xfId="1" applyFont="1" applyFill="1" applyBorder="1" applyAlignment="1" applyProtection="1">
      <alignment horizontal="center" vertical="center" wrapText="1"/>
    </xf>
    <xf numFmtId="0" fontId="10" fillId="2" borderId="3" xfId="0" applyFont="1" applyFill="1" applyBorder="1" applyAlignment="1">
      <alignment vertical="center" wrapText="1"/>
    </xf>
    <xf numFmtId="164" fontId="10" fillId="9" borderId="3" xfId="1" applyFont="1" applyFill="1" applyBorder="1" applyAlignment="1" applyProtection="1">
      <alignment horizontal="center" vertical="center" wrapText="1"/>
    </xf>
    <xf numFmtId="43" fontId="10" fillId="2" borderId="3" xfId="1" applyNumberFormat="1" applyFont="1" applyFill="1" applyBorder="1" applyAlignment="1" applyProtection="1">
      <alignment horizontal="center" vertical="center" wrapText="1"/>
    </xf>
    <xf numFmtId="164" fontId="11" fillId="2" borderId="3" xfId="0" applyNumberFormat="1" applyFont="1" applyFill="1" applyBorder="1" applyAlignment="1">
      <alignment wrapText="1"/>
    </xf>
    <xf numFmtId="164" fontId="11" fillId="0" borderId="36" xfId="0" applyNumberFormat="1" applyFont="1" applyBorder="1" applyAlignment="1" applyProtection="1">
      <alignment wrapText="1"/>
      <protection locked="0"/>
    </xf>
    <xf numFmtId="164" fontId="10" fillId="2" borderId="3" xfId="0" applyNumberFormat="1" applyFont="1" applyFill="1" applyBorder="1" applyAlignment="1">
      <alignment wrapText="1"/>
    </xf>
    <xf numFmtId="0" fontId="1" fillId="3" borderId="3" xfId="0" applyFont="1" applyFill="1" applyBorder="1" applyAlignment="1" applyProtection="1">
      <alignment horizontal="left" vertical="top" wrapText="1"/>
      <protection locked="0"/>
    </xf>
    <xf numFmtId="0" fontId="4" fillId="7" borderId="0" xfId="0" applyFont="1" applyFill="1" applyAlignment="1">
      <alignment horizontal="left" vertical="top" wrapText="1"/>
    </xf>
    <xf numFmtId="0" fontId="1" fillId="2" borderId="3" xfId="0" applyFont="1" applyFill="1" applyBorder="1" applyAlignment="1">
      <alignment horizontal="center" vertical="center" wrapText="1"/>
    </xf>
    <xf numFmtId="164" fontId="1" fillId="2" borderId="3" xfId="1" applyFont="1" applyFill="1" applyBorder="1" applyAlignment="1" applyProtection="1">
      <alignment horizontal="center" vertical="center" wrapText="1"/>
    </xf>
    <xf numFmtId="0" fontId="1" fillId="0" borderId="3" xfId="1" applyNumberFormat="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9"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vertical="center" wrapText="1"/>
      <protection locked="0"/>
    </xf>
    <xf numFmtId="43" fontId="2" fillId="2" borderId="3" xfId="1" applyNumberFormat="1" applyFont="1" applyFill="1" applyBorder="1" applyAlignment="1" applyProtection="1">
      <alignment horizontal="center" vertical="center" wrapText="1"/>
    </xf>
    <xf numFmtId="164" fontId="1" fillId="9" borderId="0" xfId="1" applyFont="1" applyFill="1" applyBorder="1" applyAlignment="1" applyProtection="1">
      <alignment vertical="center"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164" fontId="1" fillId="2" borderId="3" xfId="1" applyFont="1" applyFill="1" applyBorder="1" applyAlignment="1" applyProtection="1">
      <alignment vertical="center" wrapText="1"/>
    </xf>
    <xf numFmtId="164" fontId="1" fillId="0" borderId="3" xfId="1"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9" fontId="1" fillId="0" borderId="3" xfId="2" applyFont="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9" fontId="1" fillId="3" borderId="0" xfId="2" applyFont="1" applyFill="1" applyBorder="1" applyAlignment="1" applyProtection="1">
      <alignment vertical="center" wrapText="1"/>
      <protection locked="0"/>
    </xf>
    <xf numFmtId="0" fontId="1" fillId="3" borderId="0" xfId="0" applyFont="1" applyFill="1" applyAlignment="1">
      <alignment vertical="center" wrapText="1"/>
    </xf>
    <xf numFmtId="164" fontId="1" fillId="9" borderId="9"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164" fontId="1" fillId="2" borderId="2" xfId="0" applyNumberFormat="1" applyFont="1" applyFill="1" applyBorder="1" applyAlignment="1">
      <alignment vertical="center" wrapText="1"/>
    </xf>
    <xf numFmtId="164" fontId="1" fillId="2" borderId="3"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lignment vertical="center" wrapText="1"/>
    </xf>
    <xf numFmtId="166" fontId="1" fillId="0" borderId="0" xfId="0" applyNumberFormat="1" applyFont="1" applyAlignment="1">
      <alignment vertical="center" wrapText="1"/>
    </xf>
    <xf numFmtId="166" fontId="1" fillId="3" borderId="0" xfId="0" applyNumberFormat="1" applyFont="1" applyFill="1" applyAlignment="1">
      <alignment vertical="center" wrapText="1"/>
    </xf>
    <xf numFmtId="164" fontId="8" fillId="7" borderId="0" xfId="1" applyFont="1" applyFill="1" applyBorder="1" applyAlignment="1" applyProtection="1">
      <alignment vertical="center" wrapText="1"/>
    </xf>
    <xf numFmtId="164" fontId="31" fillId="2" borderId="3" xfId="0" applyNumberFormat="1" applyFont="1" applyFill="1" applyBorder="1" applyAlignment="1">
      <alignment wrapText="1"/>
    </xf>
    <xf numFmtId="164" fontId="30" fillId="2" borderId="3" xfId="0" applyNumberFormat="1" applyFont="1" applyFill="1" applyBorder="1" applyAlignment="1">
      <alignment wrapText="1"/>
    </xf>
    <xf numFmtId="164" fontId="11" fillId="2" borderId="10" xfId="0" applyNumberFormat="1" applyFont="1" applyFill="1" applyBorder="1" applyAlignment="1">
      <alignment wrapText="1"/>
    </xf>
    <xf numFmtId="164" fontId="11" fillId="2" borderId="8" xfId="0" applyNumberFormat="1" applyFont="1" applyFill="1" applyBorder="1" applyAlignment="1">
      <alignment wrapText="1"/>
    </xf>
    <xf numFmtId="164" fontId="10" fillId="2" borderId="9" xfId="0" applyNumberFormat="1" applyFont="1" applyFill="1" applyBorder="1" applyAlignment="1">
      <alignment wrapText="1"/>
    </xf>
    <xf numFmtId="164" fontId="10" fillId="2" borderId="35" xfId="0" applyNumberFormat="1" applyFont="1" applyFill="1" applyBorder="1" applyAlignment="1">
      <alignment wrapText="1"/>
    </xf>
    <xf numFmtId="164" fontId="10" fillId="2" borderId="36" xfId="0" applyNumberFormat="1" applyFont="1" applyFill="1" applyBorder="1" applyAlignment="1">
      <alignment wrapText="1"/>
    </xf>
    <xf numFmtId="0" fontId="2" fillId="2" borderId="26" xfId="0" applyFont="1" applyFill="1" applyBorder="1" applyAlignment="1">
      <alignment wrapText="1"/>
    </xf>
    <xf numFmtId="164" fontId="2" fillId="2" borderId="3" xfId="0" applyNumberFormat="1" applyFont="1" applyFill="1" applyBorder="1" applyAlignment="1">
      <alignment horizontal="center" vertical="center" wrapText="1"/>
    </xf>
    <xf numFmtId="0" fontId="2" fillId="2" borderId="3" xfId="0" applyFont="1" applyFill="1" applyBorder="1" applyAlignment="1">
      <alignment wrapText="1"/>
    </xf>
    <xf numFmtId="0" fontId="2" fillId="2" borderId="3" xfId="0" applyFont="1" applyFill="1" applyBorder="1" applyAlignment="1">
      <alignment horizontal="center" wrapText="1"/>
    </xf>
    <xf numFmtId="0" fontId="8" fillId="2" borderId="3" xfId="0" applyFont="1" applyFill="1" applyBorder="1" applyAlignment="1">
      <alignment vertical="center" wrapText="1"/>
    </xf>
    <xf numFmtId="9" fontId="10" fillId="2" borderId="3" xfId="2" applyFont="1" applyFill="1" applyBorder="1" applyAlignment="1">
      <alignment horizontal="center" wrapText="1"/>
    </xf>
    <xf numFmtId="9" fontId="2" fillId="2" borderId="3" xfId="2" applyFont="1" applyFill="1" applyBorder="1" applyAlignment="1">
      <alignment horizontal="center" wrapText="1"/>
    </xf>
    <xf numFmtId="0" fontId="8" fillId="2" borderId="3" xfId="0" applyFont="1" applyFill="1" applyBorder="1" applyAlignment="1" applyProtection="1">
      <alignment vertical="center" wrapText="1"/>
      <protection locked="0"/>
    </xf>
    <xf numFmtId="164" fontId="1" fillId="2" borderId="3" xfId="0" applyNumberFormat="1" applyFont="1" applyFill="1" applyBorder="1" applyAlignment="1">
      <alignment wrapText="1"/>
    </xf>
    <xf numFmtId="164" fontId="2" fillId="2" borderId="3" xfId="1" applyFont="1" applyFill="1" applyBorder="1" applyAlignment="1" applyProtection="1">
      <alignment wrapText="1"/>
    </xf>
    <xf numFmtId="9" fontId="33" fillId="2" borderId="3" xfId="2" quotePrefix="1" applyFont="1" applyFill="1" applyBorder="1" applyAlignment="1">
      <alignment horizontal="center" vertical="center" wrapText="1"/>
    </xf>
    <xf numFmtId="0" fontId="22" fillId="0" borderId="0" xfId="0" applyFont="1" applyAlignment="1">
      <alignment horizontal="center"/>
    </xf>
    <xf numFmtId="167" fontId="23" fillId="2" borderId="3" xfId="3" applyFont="1" applyFill="1" applyBorder="1" applyAlignment="1">
      <alignment horizontal="center" vertical="center" wrapText="1"/>
    </xf>
    <xf numFmtId="167" fontId="23" fillId="2" borderId="3" xfId="0" applyNumberFormat="1" applyFont="1" applyFill="1" applyBorder="1" applyAlignment="1">
      <alignment vertical="center" wrapText="1"/>
    </xf>
    <xf numFmtId="167" fontId="25" fillId="0" borderId="3" xfId="3" applyFont="1" applyFill="1" applyBorder="1" applyAlignment="1">
      <alignment horizontal="center" vertical="center" wrapText="1"/>
    </xf>
    <xf numFmtId="167" fontId="24" fillId="0" borderId="3" xfId="3" applyFont="1" applyFill="1" applyBorder="1" applyAlignment="1">
      <alignment horizontal="center" vertical="center" wrapText="1"/>
    </xf>
    <xf numFmtId="41" fontId="0" fillId="0" borderId="3" xfId="11" applyFont="1" applyBorder="1"/>
    <xf numFmtId="0" fontId="0" fillId="0" borderId="3" xfId="0" applyBorder="1"/>
    <xf numFmtId="167" fontId="27" fillId="2" borderId="3" xfId="3" applyFont="1" applyFill="1" applyBorder="1" applyAlignment="1">
      <alignment horizontal="center" vertical="center" wrapText="1"/>
    </xf>
    <xf numFmtId="167" fontId="24" fillId="0" borderId="3" xfId="0" applyNumberFormat="1" applyFont="1" applyBorder="1" applyAlignment="1">
      <alignment horizontal="center" vertical="center" wrapText="1"/>
    </xf>
    <xf numFmtId="167" fontId="24" fillId="0" borderId="3" xfId="3" applyFont="1" applyFill="1" applyBorder="1" applyAlignment="1">
      <alignment vertical="center" wrapText="1"/>
    </xf>
    <xf numFmtId="167" fontId="27" fillId="2" borderId="3" xfId="3" applyFont="1" applyFill="1" applyBorder="1" applyAlignment="1">
      <alignment vertical="center" wrapText="1"/>
    </xf>
    <xf numFmtId="167" fontId="23" fillId="2" borderId="8" xfId="0" applyNumberFormat="1" applyFont="1" applyFill="1" applyBorder="1" applyAlignment="1">
      <alignment vertical="center" wrapText="1"/>
    </xf>
    <xf numFmtId="167" fontId="23" fillId="2" borderId="9" xfId="0" applyNumberFormat="1" applyFont="1" applyFill="1" applyBorder="1" applyAlignment="1">
      <alignment vertical="center" wrapText="1"/>
    </xf>
    <xf numFmtId="167" fontId="25" fillId="0" borderId="8" xfId="3" applyFont="1" applyFill="1" applyBorder="1" applyAlignment="1">
      <alignment horizontal="center" vertical="center" wrapText="1"/>
    </xf>
    <xf numFmtId="167" fontId="25" fillId="0" borderId="9" xfId="3" applyFont="1" applyFill="1" applyBorder="1" applyAlignment="1">
      <alignment horizontal="center" vertical="center" wrapText="1"/>
    </xf>
    <xf numFmtId="167" fontId="34" fillId="0" borderId="8" xfId="3" applyFont="1" applyFill="1" applyBorder="1" applyAlignment="1">
      <alignment horizontal="center" vertical="center" wrapText="1"/>
    </xf>
    <xf numFmtId="0" fontId="0" fillId="0" borderId="8" xfId="0" applyBorder="1"/>
    <xf numFmtId="0" fontId="0" fillId="0" borderId="9" xfId="0" applyBorder="1"/>
    <xf numFmtId="167" fontId="27" fillId="2" borderId="8" xfId="3" applyFont="1" applyFill="1" applyBorder="1" applyAlignment="1">
      <alignment horizontal="center" vertical="center" wrapText="1"/>
    </xf>
    <xf numFmtId="167" fontId="27" fillId="2" borderId="9" xfId="3" applyFont="1" applyFill="1" applyBorder="1" applyAlignment="1">
      <alignment horizontal="center" vertical="center" wrapText="1"/>
    </xf>
    <xf numFmtId="167" fontId="27" fillId="2" borderId="8" xfId="3" applyFont="1" applyFill="1" applyBorder="1" applyAlignment="1">
      <alignment vertical="center" wrapText="1"/>
    </xf>
    <xf numFmtId="167" fontId="25" fillId="2" borderId="9" xfId="3" applyFont="1" applyFill="1" applyBorder="1" applyAlignment="1">
      <alignment horizontal="center" vertical="center" wrapText="1"/>
    </xf>
    <xf numFmtId="167" fontId="24" fillId="0" borderId="8" xfId="3" applyFont="1" applyFill="1" applyBorder="1" applyAlignment="1">
      <alignment vertical="center" wrapText="1"/>
    </xf>
    <xf numFmtId="167" fontId="24" fillId="0" borderId="9" xfId="3" applyFont="1" applyFill="1" applyBorder="1" applyAlignment="1">
      <alignment vertical="center" wrapText="1"/>
    </xf>
    <xf numFmtId="167" fontId="23" fillId="2" borderId="13" xfId="3" applyFont="1" applyFill="1" applyBorder="1" applyAlignment="1">
      <alignment vertical="center" wrapText="1"/>
    </xf>
    <xf numFmtId="167" fontId="23" fillId="2" borderId="15" xfId="3" applyFont="1" applyFill="1" applyBorder="1" applyAlignment="1">
      <alignment vertical="center" wrapText="1"/>
    </xf>
    <xf numFmtId="41" fontId="0" fillId="0" borderId="8" xfId="11" applyFont="1" applyBorder="1"/>
    <xf numFmtId="167" fontId="34" fillId="0" borderId="9" xfId="3" applyFont="1" applyFill="1" applyBorder="1" applyAlignment="1">
      <alignment horizontal="center" vertical="center" wrapText="1"/>
    </xf>
    <xf numFmtId="167" fontId="35" fillId="2" borderId="9" xfId="0" applyNumberFormat="1" applyFont="1" applyFill="1" applyBorder="1" applyAlignment="1">
      <alignment vertical="center" wrapText="1"/>
    </xf>
    <xf numFmtId="41" fontId="9" fillId="0" borderId="8" xfId="11" applyFont="1" applyBorder="1"/>
    <xf numFmtId="167" fontId="0" fillId="0" borderId="9" xfId="0" applyNumberFormat="1" applyBorder="1"/>
    <xf numFmtId="167" fontId="23" fillId="2" borderId="14" xfId="3" applyFont="1" applyFill="1" applyBorder="1" applyAlignment="1">
      <alignment vertical="center" wrapText="1"/>
    </xf>
    <xf numFmtId="167" fontId="23" fillId="2" borderId="15" xfId="0" applyNumberFormat="1" applyFont="1" applyFill="1" applyBorder="1" applyAlignment="1">
      <alignment vertical="center" wrapText="1"/>
    </xf>
    <xf numFmtId="3" fontId="24" fillId="0" borderId="4" xfId="0" applyNumberFormat="1" applyFont="1" applyBorder="1" applyAlignment="1">
      <alignment vertical="center" wrapText="1"/>
    </xf>
    <xf numFmtId="0" fontId="26" fillId="0" borderId="4" xfId="0" applyFont="1" applyBorder="1" applyAlignment="1">
      <alignment horizontal="justify" vertical="center" wrapText="1"/>
    </xf>
    <xf numFmtId="0" fontId="26" fillId="0" borderId="4" xfId="0" applyFont="1" applyBorder="1" applyAlignment="1">
      <alignment vertical="center" wrapText="1"/>
    </xf>
    <xf numFmtId="0" fontId="26" fillId="0" borderId="4" xfId="0" applyFont="1" applyBorder="1" applyAlignment="1">
      <alignment horizontal="left" vertical="center" wrapText="1"/>
    </xf>
    <xf numFmtId="9" fontId="23" fillId="2" borderId="9" xfId="2" applyFont="1" applyFill="1" applyBorder="1" applyAlignment="1">
      <alignment vertical="center" wrapText="1"/>
    </xf>
    <xf numFmtId="168" fontId="25" fillId="0" borderId="9" xfId="3" applyNumberFormat="1" applyFont="1" applyFill="1" applyBorder="1" applyAlignment="1">
      <alignment horizontal="center" vertical="center" wrapText="1"/>
    </xf>
    <xf numFmtId="167" fontId="24" fillId="0" borderId="8" xfId="3" applyFont="1" applyFill="1" applyBorder="1" applyAlignment="1">
      <alignment horizontal="center" vertical="center" wrapText="1"/>
    </xf>
    <xf numFmtId="168" fontId="24" fillId="0" borderId="9" xfId="3" applyNumberFormat="1" applyFont="1" applyFill="1" applyBorder="1" applyAlignment="1">
      <alignment horizontal="center" vertical="center" wrapText="1"/>
    </xf>
    <xf numFmtId="167" fontId="24" fillId="0" borderId="8" xfId="0" applyNumberFormat="1" applyFont="1" applyBorder="1" applyAlignment="1">
      <alignment horizontal="center" vertical="center" wrapText="1"/>
    </xf>
    <xf numFmtId="167" fontId="23" fillId="2" borderId="10" xfId="0" applyNumberFormat="1" applyFont="1" applyFill="1" applyBorder="1" applyAlignment="1">
      <alignment vertical="center" wrapText="1"/>
    </xf>
    <xf numFmtId="167" fontId="23" fillId="2" borderId="36" xfId="0" applyNumberFormat="1" applyFont="1" applyFill="1" applyBorder="1" applyAlignment="1">
      <alignment vertical="center" wrapText="1"/>
    </xf>
    <xf numFmtId="9" fontId="23" fillId="2" borderId="35" xfId="2" applyFont="1" applyFill="1" applyBorder="1" applyAlignment="1">
      <alignment vertical="center" wrapText="1"/>
    </xf>
    <xf numFmtId="167" fontId="23" fillId="2" borderId="35" xfId="0" applyNumberFormat="1" applyFont="1" applyFill="1" applyBorder="1" applyAlignment="1">
      <alignment vertical="center" wrapText="1"/>
    </xf>
    <xf numFmtId="167" fontId="35" fillId="2" borderId="10" xfId="0" applyNumberFormat="1" applyFont="1" applyFill="1" applyBorder="1" applyAlignment="1">
      <alignment vertical="center" wrapText="1"/>
    </xf>
    <xf numFmtId="167" fontId="35" fillId="2" borderId="35" xfId="0" applyNumberFormat="1" applyFont="1" applyFill="1" applyBorder="1" applyAlignment="1">
      <alignment vertical="center" wrapText="1"/>
    </xf>
    <xf numFmtId="167" fontId="35" fillId="2" borderId="8" xfId="0" applyNumberFormat="1" applyFont="1" applyFill="1" applyBorder="1" applyAlignment="1">
      <alignment vertical="center" wrapText="1"/>
    </xf>
    <xf numFmtId="0" fontId="30" fillId="3" borderId="3" xfId="1" applyNumberFormat="1" applyFont="1" applyFill="1" applyBorder="1" applyAlignment="1" applyProtection="1">
      <alignment horizontal="center" vertical="center" wrapText="1"/>
    </xf>
    <xf numFmtId="164" fontId="0" fillId="3" borderId="0" xfId="0" applyNumberFormat="1" applyFill="1" applyAlignment="1">
      <alignment wrapText="1"/>
    </xf>
    <xf numFmtId="164" fontId="1" fillId="3" borderId="3" xfId="1" applyFont="1" applyFill="1" applyBorder="1" applyAlignment="1" applyProtection="1">
      <alignment horizontal="center" vertical="center" wrapText="1"/>
    </xf>
    <xf numFmtId="0" fontId="1" fillId="6" borderId="51"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3" borderId="3" xfId="0" applyFont="1" applyFill="1" applyBorder="1" applyAlignment="1" applyProtection="1">
      <alignment horizontal="left" vertical="top" wrapText="1"/>
      <protection locked="0"/>
    </xf>
    <xf numFmtId="0" fontId="0" fillId="10" borderId="0" xfId="0" applyFill="1" applyAlignment="1">
      <alignment wrapText="1"/>
    </xf>
    <xf numFmtId="43" fontId="0" fillId="10" borderId="0" xfId="0" applyNumberFormat="1" applyFill="1" applyAlignment="1">
      <alignment wrapText="1"/>
    </xf>
    <xf numFmtId="0" fontId="11" fillId="6" borderId="3" xfId="0" applyFont="1" applyFill="1" applyBorder="1" applyAlignment="1">
      <alignment vertical="center" wrapText="1"/>
    </xf>
    <xf numFmtId="0" fontId="1" fillId="6" borderId="3" xfId="0" applyFont="1" applyFill="1" applyBorder="1" applyAlignment="1">
      <alignment vertical="center" wrapText="1"/>
    </xf>
    <xf numFmtId="164" fontId="11" fillId="3" borderId="3" xfId="1" applyFont="1" applyFill="1" applyBorder="1" applyAlignment="1" applyProtection="1">
      <alignment horizontal="center" vertical="center" wrapText="1"/>
      <protection locked="0"/>
    </xf>
    <xf numFmtId="164" fontId="30" fillId="3" borderId="3" xfId="1" applyFont="1" applyFill="1" applyBorder="1" applyAlignment="1" applyProtection="1">
      <alignment horizontal="center" vertical="center" wrapText="1"/>
      <protection locked="0"/>
    </xf>
    <xf numFmtId="0" fontId="30" fillId="3" borderId="3" xfId="0" applyFont="1" applyFill="1" applyBorder="1" applyAlignment="1" applyProtection="1">
      <alignment horizontal="left" vertical="top" wrapText="1"/>
      <protection locked="0"/>
    </xf>
    <xf numFmtId="9" fontId="30" fillId="3" borderId="3" xfId="2" applyFont="1" applyFill="1" applyBorder="1" applyAlignment="1" applyProtection="1">
      <alignment horizontal="center" vertical="center" wrapText="1"/>
      <protection locked="0"/>
    </xf>
    <xf numFmtId="164" fontId="30" fillId="0" borderId="3" xfId="1" applyFont="1" applyFill="1" applyBorder="1" applyAlignment="1" applyProtection="1">
      <alignment horizontal="center" vertical="center" wrapText="1"/>
      <protection locked="0"/>
    </xf>
    <xf numFmtId="49" fontId="30" fillId="0" borderId="3" xfId="1" applyNumberFormat="1" applyFont="1" applyBorder="1" applyAlignment="1" applyProtection="1">
      <alignment horizontal="left" vertical="center" wrapText="1"/>
      <protection locked="0"/>
    </xf>
    <xf numFmtId="0" fontId="0" fillId="0" borderId="3" xfId="0" applyBorder="1" applyAlignment="1">
      <alignment wrapText="1"/>
    </xf>
    <xf numFmtId="164" fontId="31" fillId="9" borderId="5" xfId="1" applyFont="1" applyFill="1" applyBorder="1" applyAlignment="1" applyProtection="1">
      <alignment horizontal="center" vertical="center" wrapText="1"/>
    </xf>
    <xf numFmtId="164" fontId="31" fillId="2" borderId="5" xfId="1" applyFont="1" applyFill="1" applyBorder="1" applyAlignment="1" applyProtection="1">
      <alignment horizontal="center" vertical="center" wrapText="1"/>
    </xf>
    <xf numFmtId="164" fontId="31" fillId="2" borderId="3" xfId="1" applyFont="1" applyFill="1" applyBorder="1" applyAlignment="1" applyProtection="1">
      <alignment horizontal="center" vertical="center" wrapText="1"/>
    </xf>
    <xf numFmtId="9" fontId="11" fillId="3" borderId="3" xfId="2" applyFont="1" applyFill="1" applyBorder="1" applyAlignment="1" applyProtection="1">
      <alignment horizontal="center" vertical="center" wrapText="1"/>
      <protection locked="0"/>
    </xf>
    <xf numFmtId="49" fontId="11" fillId="3" borderId="3" xfId="1" applyNumberFormat="1" applyFont="1" applyFill="1" applyBorder="1" applyAlignment="1" applyProtection="1">
      <alignment horizontal="left" wrapText="1"/>
      <protection locked="0"/>
    </xf>
    <xf numFmtId="0" fontId="2" fillId="2" borderId="0" xfId="0" applyFont="1" applyFill="1" applyAlignment="1">
      <alignment vertical="center" wrapText="1"/>
    </xf>
    <xf numFmtId="164" fontId="11" fillId="0" borderId="2" xfId="1" applyFont="1" applyFill="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0" fillId="2" borderId="36" xfId="0" applyFont="1" applyFill="1" applyBorder="1" applyAlignment="1">
      <alignment vertical="center" wrapText="1"/>
    </xf>
    <xf numFmtId="0" fontId="11" fillId="3" borderId="3" xfId="0" applyFont="1" applyFill="1" applyBorder="1" applyAlignment="1" applyProtection="1">
      <alignment vertical="center" wrapText="1"/>
      <protection locked="0"/>
    </xf>
    <xf numFmtId="9" fontId="11" fillId="0" borderId="3" xfId="2" applyFont="1" applyBorder="1" applyAlignment="1" applyProtection="1">
      <alignment vertical="center" wrapText="1"/>
      <protection locked="0"/>
    </xf>
    <xf numFmtId="0" fontId="30" fillId="0" borderId="3" xfId="0" applyFont="1" applyBorder="1" applyAlignment="1" applyProtection="1">
      <alignment vertical="center" wrapText="1"/>
      <protection locked="0"/>
    </xf>
    <xf numFmtId="164" fontId="30" fillId="9" borderId="3" xfId="1" applyFont="1" applyFill="1" applyBorder="1" applyAlignment="1" applyProtection="1">
      <alignment vertical="center" wrapText="1"/>
      <protection locked="0"/>
    </xf>
    <xf numFmtId="164" fontId="30" fillId="0" borderId="3" xfId="1" applyFont="1" applyFill="1" applyBorder="1" applyAlignment="1" applyProtection="1">
      <alignment vertical="center" wrapText="1"/>
      <protection locked="0"/>
    </xf>
    <xf numFmtId="164" fontId="30" fillId="2" borderId="3" xfId="1" applyFont="1" applyFill="1" applyBorder="1" applyAlignment="1" applyProtection="1">
      <alignment vertical="center" wrapText="1"/>
    </xf>
    <xf numFmtId="49" fontId="30" fillId="0" borderId="3" xfId="0" applyNumberFormat="1" applyFont="1" applyBorder="1" applyAlignment="1" applyProtection="1">
      <alignment horizontal="left" wrapText="1"/>
      <protection locked="0"/>
    </xf>
    <xf numFmtId="164" fontId="30" fillId="0" borderId="36" xfId="0" applyNumberFormat="1" applyFont="1" applyBorder="1" applyAlignment="1" applyProtection="1">
      <alignment wrapText="1"/>
      <protection locked="0"/>
    </xf>
    <xf numFmtId="164" fontId="30" fillId="2" borderId="10" xfId="0" applyNumberFormat="1" applyFont="1" applyFill="1" applyBorder="1" applyAlignment="1">
      <alignment wrapText="1"/>
    </xf>
    <xf numFmtId="164" fontId="30" fillId="2" borderId="36" xfId="0" applyNumberFormat="1" applyFont="1" applyFill="1" applyBorder="1" applyAlignment="1">
      <alignment wrapText="1"/>
    </xf>
    <xf numFmtId="164" fontId="31" fillId="2" borderId="35" xfId="0" applyNumberFormat="1" applyFont="1" applyFill="1" applyBorder="1" applyAlignment="1">
      <alignment wrapText="1"/>
    </xf>
    <xf numFmtId="164" fontId="30" fillId="2" borderId="8" xfId="0" applyNumberFormat="1" applyFont="1" applyFill="1" applyBorder="1" applyAlignment="1">
      <alignment wrapText="1"/>
    </xf>
    <xf numFmtId="164" fontId="31" fillId="2" borderId="9" xfId="0" applyNumberFormat="1" applyFont="1" applyFill="1" applyBorder="1" applyAlignment="1">
      <alignment wrapText="1"/>
    </xf>
    <xf numFmtId="164" fontId="30" fillId="2" borderId="8" xfId="1" applyFont="1" applyFill="1" applyBorder="1" applyAlignment="1">
      <alignment wrapText="1"/>
    </xf>
    <xf numFmtId="164" fontId="31" fillId="2" borderId="3" xfId="1" applyFont="1" applyFill="1" applyBorder="1" applyAlignment="1">
      <alignment wrapText="1"/>
    </xf>
    <xf numFmtId="164" fontId="31" fillId="2" borderId="36" xfId="0" applyNumberFormat="1" applyFont="1" applyFill="1" applyBorder="1" applyAlignment="1">
      <alignment wrapText="1"/>
    </xf>
    <xf numFmtId="164" fontId="31" fillId="4" borderId="3" xfId="1" applyFont="1" applyFill="1" applyBorder="1" applyAlignment="1">
      <alignment wrapText="1"/>
    </xf>
    <xf numFmtId="0" fontId="7" fillId="13" borderId="0" xfId="0" applyFont="1" applyFill="1" applyAlignment="1">
      <alignment vertical="center" wrapText="1"/>
    </xf>
    <xf numFmtId="0" fontId="36" fillId="13" borderId="0" xfId="0" applyFont="1" applyFill="1" applyAlignment="1">
      <alignment wrapText="1"/>
    </xf>
    <xf numFmtId="0" fontId="0" fillId="13" borderId="0" xfId="0" applyFill="1"/>
    <xf numFmtId="0" fontId="2" fillId="2" borderId="36" xfId="0" applyFont="1" applyFill="1" applyBorder="1" applyAlignment="1">
      <alignment wrapText="1"/>
    </xf>
    <xf numFmtId="0" fontId="1" fillId="6" borderId="0" xfId="0" applyFont="1" applyFill="1" applyAlignment="1">
      <alignment horizontal="center" vertical="center" wrapText="1"/>
    </xf>
    <xf numFmtId="0" fontId="1" fillId="6" borderId="51" xfId="0" applyFont="1" applyFill="1" applyBorder="1" applyAlignment="1">
      <alignment vertical="center" wrapText="1"/>
    </xf>
    <xf numFmtId="0" fontId="1" fillId="6" borderId="36" xfId="0" applyFont="1" applyFill="1" applyBorder="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7" borderId="16" xfId="0" applyFont="1" applyFill="1" applyBorder="1" applyAlignment="1">
      <alignment wrapText="1"/>
    </xf>
    <xf numFmtId="0" fontId="1" fillId="0" borderId="11" xfId="0" applyFont="1" applyBorder="1" applyAlignment="1">
      <alignment wrapText="1"/>
    </xf>
    <xf numFmtId="164" fontId="1" fillId="0" borderId="36" xfId="0" applyNumberFormat="1" applyFont="1" applyBorder="1" applyAlignment="1" applyProtection="1">
      <alignment wrapText="1"/>
      <protection locked="0"/>
    </xf>
    <xf numFmtId="0" fontId="1" fillId="13" borderId="0" xfId="0" applyFont="1" applyFill="1" applyAlignment="1">
      <alignment wrapText="1"/>
    </xf>
    <xf numFmtId="164" fontId="1" fillId="13" borderId="0" xfId="0" applyNumberFormat="1" applyFont="1" applyFill="1" applyAlignment="1">
      <alignment wrapText="1"/>
    </xf>
    <xf numFmtId="164" fontId="1" fillId="2" borderId="8" xfId="0" applyNumberFormat="1" applyFont="1" applyFill="1" applyBorder="1" applyAlignment="1">
      <alignment wrapText="1"/>
    </xf>
    <xf numFmtId="0" fontId="1" fillId="2" borderId="7" xfId="0" applyFont="1" applyFill="1" applyBorder="1" applyAlignment="1">
      <alignment vertical="center" wrapText="1"/>
    </xf>
    <xf numFmtId="164" fontId="1" fillId="2" borderId="8" xfId="1" applyFont="1" applyFill="1" applyBorder="1" applyAlignment="1">
      <alignment wrapText="1"/>
    </xf>
    <xf numFmtId="164" fontId="1" fillId="2" borderId="3" xfId="1" applyFont="1" applyFill="1" applyBorder="1" applyAlignment="1">
      <alignment wrapText="1"/>
    </xf>
    <xf numFmtId="164" fontId="1" fillId="2" borderId="9" xfId="1" applyFont="1" applyFill="1" applyBorder="1" applyAlignment="1">
      <alignment wrapText="1"/>
    </xf>
    <xf numFmtId="164" fontId="1" fillId="3" borderId="0" xfId="0" applyNumberFormat="1" applyFont="1" applyFill="1" applyAlignment="1">
      <alignment vertical="center" wrapText="1"/>
    </xf>
    <xf numFmtId="164" fontId="1" fillId="3" borderId="0" xfId="0" applyNumberFormat="1" applyFont="1" applyFill="1" applyAlignment="1">
      <alignment wrapText="1"/>
    </xf>
    <xf numFmtId="0" fontId="1" fillId="3" borderId="0" xfId="0" applyFont="1" applyFill="1" applyAlignment="1">
      <alignment horizontal="center" vertical="center" wrapText="1"/>
    </xf>
    <xf numFmtId="0" fontId="1" fillId="0" borderId="0" xfId="0" applyFont="1"/>
    <xf numFmtId="0" fontId="1" fillId="13" borderId="0" xfId="0" applyFont="1" applyFill="1"/>
    <xf numFmtId="164" fontId="1" fillId="2" borderId="3" xfId="1" applyFont="1" applyFill="1" applyBorder="1" applyAlignment="1" applyProtection="1">
      <alignment wrapText="1"/>
    </xf>
    <xf numFmtId="0" fontId="38" fillId="14" borderId="3" xfId="0" applyFont="1" applyFill="1" applyBorder="1" applyAlignment="1">
      <alignment wrapText="1"/>
    </xf>
    <xf numFmtId="0" fontId="38" fillId="14" borderId="36" xfId="0" applyFont="1" applyFill="1" applyBorder="1" applyAlignment="1">
      <alignment wrapText="1"/>
    </xf>
    <xf numFmtId="0" fontId="38" fillId="0" borderId="3" xfId="0" applyFont="1" applyBorder="1" applyAlignment="1">
      <alignment wrapText="1"/>
    </xf>
    <xf numFmtId="0" fontId="38" fillId="0" borderId="36" xfId="0" applyFont="1" applyBorder="1" applyAlignment="1">
      <alignment wrapText="1"/>
    </xf>
    <xf numFmtId="0" fontId="9" fillId="0" borderId="0" xfId="0" applyFont="1" applyAlignment="1">
      <alignment wrapText="1"/>
    </xf>
    <xf numFmtId="0" fontId="9" fillId="10" borderId="0" xfId="0" applyFont="1" applyFill="1" applyAlignment="1">
      <alignment wrapText="1"/>
    </xf>
    <xf numFmtId="0" fontId="10" fillId="0" borderId="0" xfId="1" applyNumberFormat="1" applyFont="1" applyFill="1" applyBorder="1" applyAlignment="1" applyProtection="1">
      <alignment horizontal="center" vertical="center" wrapText="1"/>
    </xf>
    <xf numFmtId="0" fontId="9" fillId="3" borderId="0" xfId="0" applyFont="1" applyFill="1" applyAlignment="1">
      <alignment wrapText="1"/>
    </xf>
    <xf numFmtId="0" fontId="10" fillId="6" borderId="3" xfId="0" applyFont="1" applyFill="1" applyBorder="1" applyAlignment="1">
      <alignment vertical="center" wrapText="1"/>
    </xf>
    <xf numFmtId="0" fontId="10" fillId="0" borderId="0" xfId="1" applyNumberFormat="1" applyFont="1" applyFill="1" applyBorder="1" applyAlignment="1" applyProtection="1">
      <alignment vertical="center" wrapText="1"/>
    </xf>
    <xf numFmtId="0" fontId="39" fillId="0" borderId="0" xfId="0" applyFont="1" applyAlignment="1">
      <alignment wrapText="1"/>
    </xf>
    <xf numFmtId="0" fontId="39" fillId="0" borderId="0" xfId="0" applyFont="1"/>
    <xf numFmtId="164" fontId="10" fillId="9" borderId="3" xfId="1" applyFont="1" applyFill="1" applyBorder="1" applyAlignment="1" applyProtection="1">
      <alignment vertical="center" wrapText="1"/>
    </xf>
    <xf numFmtId="164" fontId="10" fillId="4" borderId="3" xfId="1" applyFont="1" applyFill="1" applyBorder="1" applyAlignment="1" applyProtection="1">
      <alignment vertical="center" wrapText="1"/>
    </xf>
    <xf numFmtId="0" fontId="10" fillId="3" borderId="3" xfId="0" applyFont="1" applyFill="1" applyBorder="1" applyAlignment="1" applyProtection="1">
      <alignment vertical="center" wrapText="1"/>
      <protection locked="0"/>
    </xf>
    <xf numFmtId="0" fontId="38" fillId="0" borderId="2" xfId="0" applyFont="1" applyBorder="1" applyAlignment="1">
      <alignment wrapText="1"/>
    </xf>
    <xf numFmtId="164" fontId="10" fillId="9" borderId="15" xfId="1" applyFont="1" applyFill="1" applyBorder="1" applyAlignment="1" applyProtection="1">
      <alignment vertical="center" wrapText="1"/>
    </xf>
    <xf numFmtId="164" fontId="10" fillId="2" borderId="46" xfId="1" applyFont="1" applyFill="1" applyBorder="1" applyAlignment="1" applyProtection="1">
      <alignment vertical="center" wrapText="1"/>
    </xf>
    <xf numFmtId="164" fontId="10" fillId="2" borderId="14" xfId="1" applyFont="1" applyFill="1" applyBorder="1" applyAlignment="1" applyProtection="1">
      <alignment vertical="center" wrapText="1"/>
    </xf>
    <xf numFmtId="164" fontId="10" fillId="2" borderId="15" xfId="1" applyFont="1" applyFill="1" applyBorder="1" applyAlignment="1" applyProtection="1">
      <alignment vertical="center" wrapText="1"/>
    </xf>
    <xf numFmtId="49" fontId="11" fillId="3" borderId="55" xfId="1" applyNumberFormat="1" applyFont="1" applyFill="1" applyBorder="1" applyAlignment="1" applyProtection="1">
      <alignment horizontal="left" wrapText="1"/>
      <protection locked="0"/>
    </xf>
    <xf numFmtId="0" fontId="39" fillId="0" borderId="55" xfId="0" applyFont="1" applyBorder="1" applyAlignment="1">
      <alignment wrapText="1"/>
    </xf>
    <xf numFmtId="164" fontId="11" fillId="3" borderId="4" xfId="1" applyFont="1" applyFill="1" applyBorder="1" applyAlignment="1" applyProtection="1">
      <alignment horizontal="center" vertical="center" wrapText="1"/>
      <protection locked="0"/>
    </xf>
    <xf numFmtId="49" fontId="1" fillId="3" borderId="5" xfId="1" applyNumberFormat="1" applyFont="1" applyFill="1" applyBorder="1" applyAlignment="1" applyProtection="1">
      <alignment horizontal="left" wrapText="1"/>
      <protection locked="0"/>
    </xf>
    <xf numFmtId="49" fontId="11" fillId="3" borderId="36" xfId="1" applyNumberFormat="1" applyFont="1" applyFill="1" applyBorder="1" applyAlignment="1" applyProtection="1">
      <alignment horizontal="left" wrapText="1"/>
      <protection locked="0"/>
    </xf>
    <xf numFmtId="164" fontId="2" fillId="2" borderId="56" xfId="1" applyFont="1" applyFill="1" applyBorder="1" applyAlignment="1" applyProtection="1">
      <alignment vertical="center" wrapText="1"/>
    </xf>
    <xf numFmtId="170" fontId="2" fillId="3" borderId="0" xfId="1" applyNumberFormat="1" applyFont="1" applyFill="1" applyBorder="1" applyAlignment="1" applyProtection="1">
      <alignment vertical="center" wrapText="1"/>
      <protection locked="0"/>
    </xf>
    <xf numFmtId="9" fontId="2" fillId="2" borderId="3" xfId="1" applyNumberFormat="1" applyFont="1" applyFill="1" applyBorder="1" applyAlignment="1">
      <alignment vertical="center" wrapText="1"/>
    </xf>
    <xf numFmtId="0" fontId="11" fillId="0" borderId="3" xfId="1" quotePrefix="1" applyNumberFormat="1" applyFont="1" applyFill="1" applyBorder="1" applyAlignment="1" applyProtection="1">
      <alignment horizontal="center" vertical="center" wrapText="1"/>
    </xf>
    <xf numFmtId="165" fontId="0" fillId="0" borderId="0" xfId="0" applyNumberFormat="1" applyAlignment="1">
      <alignment wrapText="1"/>
    </xf>
    <xf numFmtId="164" fontId="11" fillId="0" borderId="3" xfId="1" applyFont="1" applyFill="1" applyBorder="1" applyAlignment="1" applyProtection="1">
      <alignment horizontal="center" vertical="center" wrapText="1"/>
      <protection locked="0"/>
    </xf>
    <xf numFmtId="165" fontId="1" fillId="0" borderId="0" xfId="0" applyNumberFormat="1" applyFont="1" applyAlignment="1">
      <alignment wrapText="1"/>
    </xf>
    <xf numFmtId="165" fontId="6" fillId="0" borderId="0" xfId="0" applyNumberFormat="1" applyFont="1" applyAlignment="1">
      <alignment wrapText="1"/>
    </xf>
    <xf numFmtId="164" fontId="11" fillId="8" borderId="3" xfId="1" applyFont="1" applyFill="1" applyBorder="1" applyAlignment="1" applyProtection="1">
      <alignment vertical="center" wrapText="1"/>
      <protection locked="0"/>
    </xf>
    <xf numFmtId="164" fontId="11" fillId="8" borderId="3" xfId="1" applyFont="1" applyFill="1" applyBorder="1" applyAlignment="1" applyProtection="1">
      <alignment horizontal="center" vertical="center" wrapText="1"/>
      <protection locked="0"/>
    </xf>
    <xf numFmtId="0" fontId="1" fillId="8" borderId="3" xfId="0" applyFont="1" applyFill="1" applyBorder="1" applyAlignment="1" applyProtection="1">
      <alignment horizontal="left" vertical="top" wrapText="1"/>
      <protection locked="0"/>
    </xf>
    <xf numFmtId="0" fontId="11" fillId="8" borderId="3" xfId="1" applyNumberFormat="1" applyFont="1" applyFill="1" applyBorder="1" applyAlignment="1" applyProtection="1">
      <alignment horizontal="center" vertical="center" wrapText="1"/>
    </xf>
    <xf numFmtId="0" fontId="11" fillId="6" borderId="51" xfId="0" applyFont="1" applyFill="1" applyBorder="1" applyAlignment="1">
      <alignment horizontal="center" vertical="center" wrapText="1"/>
    </xf>
    <xf numFmtId="169" fontId="0" fillId="9" borderId="0" xfId="0" applyNumberFormat="1" applyFill="1" applyAlignment="1">
      <alignment wrapText="1"/>
    </xf>
    <xf numFmtId="0" fontId="23" fillId="2" borderId="28" xfId="0" applyFont="1" applyFill="1" applyBorder="1" applyAlignment="1">
      <alignment vertical="center" wrapText="1"/>
    </xf>
    <xf numFmtId="0" fontId="23" fillId="2" borderId="34" xfId="0" applyFont="1" applyFill="1" applyBorder="1" applyAlignment="1">
      <alignment vertical="center" wrapText="1"/>
    </xf>
    <xf numFmtId="167" fontId="23" fillId="2" borderId="58" xfId="3" applyFont="1" applyFill="1" applyBorder="1" applyAlignment="1">
      <alignment vertical="center" wrapText="1"/>
    </xf>
    <xf numFmtId="167" fontId="23" fillId="2" borderId="59" xfId="3" applyFont="1" applyFill="1" applyBorder="1" applyAlignment="1">
      <alignment vertical="center" wrapText="1"/>
    </xf>
    <xf numFmtId="167" fontId="23" fillId="2" borderId="60" xfId="3" applyFont="1" applyFill="1" applyBorder="1" applyAlignment="1">
      <alignment horizontal="center" vertical="center" wrapText="1"/>
    </xf>
    <xf numFmtId="167" fontId="23" fillId="0" borderId="58" xfId="3" applyFont="1" applyFill="1" applyBorder="1" applyAlignment="1">
      <alignment vertical="center" wrapText="1"/>
    </xf>
    <xf numFmtId="167" fontId="23" fillId="0" borderId="60" xfId="3" applyFont="1" applyFill="1" applyBorder="1" applyAlignment="1">
      <alignment vertical="center" wrapText="1"/>
    </xf>
    <xf numFmtId="167" fontId="23" fillId="0" borderId="59" xfId="3" applyFont="1" applyFill="1" applyBorder="1" applyAlignment="1">
      <alignment vertical="center" wrapText="1"/>
    </xf>
    <xf numFmtId="3" fontId="24" fillId="2" borderId="8" xfId="0" applyNumberFormat="1" applyFont="1" applyFill="1" applyBorder="1" applyAlignment="1">
      <alignment horizontal="center" vertical="center" wrapText="1"/>
    </xf>
    <xf numFmtId="3" fontId="24" fillId="2" borderId="8" xfId="0" applyNumberFormat="1" applyFont="1" applyFill="1" applyBorder="1" applyAlignment="1">
      <alignment horizontal="left" vertical="center" wrapText="1"/>
    </xf>
    <xf numFmtId="3" fontId="24" fillId="2" borderId="8" xfId="0" applyNumberFormat="1" applyFont="1" applyFill="1" applyBorder="1" applyAlignment="1">
      <alignment vertical="center" wrapText="1"/>
    </xf>
    <xf numFmtId="3" fontId="24" fillId="0" borderId="8" xfId="0" applyNumberFormat="1" applyFont="1" applyBorder="1" applyAlignment="1">
      <alignment vertical="center" wrapText="1"/>
    </xf>
    <xf numFmtId="0" fontId="24" fillId="2" borderId="8" xfId="0" applyFont="1" applyFill="1" applyBorder="1" applyAlignment="1">
      <alignment horizontal="center" vertical="center" wrapText="1"/>
    </xf>
    <xf numFmtId="169" fontId="30" fillId="0" borderId="3" xfId="1" applyNumberFormat="1" applyFont="1" applyFill="1" applyBorder="1" applyAlignment="1" applyProtection="1">
      <alignment horizontal="center" vertical="center" wrapText="1"/>
    </xf>
    <xf numFmtId="41" fontId="0" fillId="0" borderId="0" xfId="11" applyFont="1"/>
    <xf numFmtId="41" fontId="23" fillId="2" borderId="8" xfId="11" applyFont="1" applyFill="1" applyBorder="1" applyAlignment="1">
      <alignment vertical="center" wrapText="1"/>
    </xf>
    <xf numFmtId="41" fontId="23" fillId="2" borderId="3" xfId="11" applyFont="1" applyFill="1" applyBorder="1" applyAlignment="1">
      <alignment vertical="center" wrapText="1"/>
    </xf>
    <xf numFmtId="41" fontId="23" fillId="2" borderId="9" xfId="11" applyFont="1" applyFill="1" applyBorder="1" applyAlignment="1">
      <alignment vertical="center" wrapText="1"/>
    </xf>
    <xf numFmtId="41" fontId="23" fillId="2" borderId="2" xfId="11" applyFont="1" applyFill="1" applyBorder="1" applyAlignment="1">
      <alignment vertical="center" wrapText="1"/>
    </xf>
    <xf numFmtId="41" fontId="25" fillId="0" borderId="3" xfId="11" applyFont="1" applyFill="1" applyBorder="1" applyAlignment="1">
      <alignment horizontal="center" vertical="center" wrapText="1"/>
    </xf>
    <xf numFmtId="41" fontId="34" fillId="0" borderId="9" xfId="11" applyFont="1" applyFill="1" applyBorder="1" applyAlignment="1">
      <alignment horizontal="center" vertical="center" wrapText="1"/>
    </xf>
    <xf numFmtId="41" fontId="0" fillId="0" borderId="2" xfId="11" applyFont="1" applyBorder="1"/>
    <xf numFmtId="41" fontId="0" fillId="0" borderId="9" xfId="11" applyFont="1" applyBorder="1"/>
    <xf numFmtId="41" fontId="27" fillId="2" borderId="8" xfId="11" applyFont="1" applyFill="1" applyBorder="1" applyAlignment="1">
      <alignment horizontal="center" vertical="center" wrapText="1"/>
    </xf>
    <xf numFmtId="41" fontId="27" fillId="2" borderId="3" xfId="11" applyFont="1" applyFill="1" applyBorder="1" applyAlignment="1">
      <alignment horizontal="center" vertical="center" wrapText="1"/>
    </xf>
    <xf numFmtId="41" fontId="35" fillId="2" borderId="9" xfId="11" applyFont="1" applyFill="1" applyBorder="1" applyAlignment="1">
      <alignment vertical="center" wrapText="1"/>
    </xf>
    <xf numFmtId="41" fontId="27" fillId="2" borderId="2" xfId="11" applyFont="1" applyFill="1" applyBorder="1" applyAlignment="1">
      <alignment horizontal="center" vertical="center" wrapText="1"/>
    </xf>
    <xf numFmtId="41" fontId="27" fillId="2" borderId="8" xfId="11" applyFont="1" applyFill="1" applyBorder="1" applyAlignment="1">
      <alignment vertical="center" wrapText="1"/>
    </xf>
    <xf numFmtId="41" fontId="27" fillId="2" borderId="3" xfId="11" applyFont="1" applyFill="1" applyBorder="1" applyAlignment="1">
      <alignment vertical="center" wrapText="1"/>
    </xf>
    <xf numFmtId="41" fontId="27" fillId="2" borderId="2" xfId="11" applyFont="1" applyFill="1" applyBorder="1" applyAlignment="1">
      <alignment vertical="center" wrapText="1"/>
    </xf>
    <xf numFmtId="41" fontId="24" fillId="0" borderId="8" xfId="11" applyFont="1" applyFill="1" applyBorder="1" applyAlignment="1">
      <alignment vertical="center" wrapText="1"/>
    </xf>
    <xf numFmtId="41" fontId="24" fillId="0" borderId="3" xfId="11" applyFont="1" applyFill="1" applyBorder="1" applyAlignment="1">
      <alignment vertical="center" wrapText="1"/>
    </xf>
    <xf numFmtId="41" fontId="24" fillId="0" borderId="2" xfId="11" applyFont="1" applyFill="1" applyBorder="1" applyAlignment="1">
      <alignment vertical="center" wrapText="1"/>
    </xf>
    <xf numFmtId="41" fontId="23" fillId="2" borderId="13" xfId="11" applyFont="1" applyFill="1" applyBorder="1" applyAlignment="1">
      <alignment vertical="center" wrapText="1"/>
    </xf>
    <xf numFmtId="41" fontId="23" fillId="2" borderId="14" xfId="11" applyFont="1" applyFill="1" applyBorder="1" applyAlignment="1">
      <alignment vertical="center" wrapText="1"/>
    </xf>
    <xf numFmtId="41" fontId="23" fillId="2" borderId="15" xfId="11" applyFont="1" applyFill="1" applyBorder="1" applyAlignment="1">
      <alignment vertical="center" wrapText="1"/>
    </xf>
    <xf numFmtId="41" fontId="23" fillId="2" borderId="46" xfId="11" applyFont="1" applyFill="1" applyBorder="1" applyAlignment="1">
      <alignment vertical="center" wrapText="1"/>
    </xf>
    <xf numFmtId="41" fontId="35" fillId="2" borderId="8" xfId="11" applyFont="1" applyFill="1" applyBorder="1" applyAlignment="1">
      <alignment vertical="center" wrapText="1"/>
    </xf>
    <xf numFmtId="41" fontId="9" fillId="0" borderId="3" xfId="11" applyFont="1" applyBorder="1"/>
    <xf numFmtId="41" fontId="35" fillId="2" borderId="3" xfId="11" applyFont="1" applyFill="1" applyBorder="1" applyAlignment="1">
      <alignment vertical="center" wrapText="1"/>
    </xf>
    <xf numFmtId="41" fontId="41" fillId="15" borderId="22" xfId="11" applyFont="1" applyFill="1" applyBorder="1" applyAlignment="1">
      <alignment horizontal="center" vertical="center" wrapText="1"/>
    </xf>
    <xf numFmtId="41" fontId="35" fillId="2" borderId="10" xfId="11" applyFont="1" applyFill="1" applyBorder="1" applyAlignment="1">
      <alignment vertical="center" wrapText="1"/>
    </xf>
    <xf numFmtId="41" fontId="23" fillId="2" borderId="36" xfId="11" applyFont="1" applyFill="1" applyBorder="1" applyAlignment="1">
      <alignment vertical="center" wrapText="1"/>
    </xf>
    <xf numFmtId="41" fontId="23" fillId="2" borderId="35" xfId="11" applyFont="1" applyFill="1" applyBorder="1" applyAlignment="1">
      <alignment vertical="center" wrapText="1"/>
    </xf>
    <xf numFmtId="41" fontId="23" fillId="2" borderId="61" xfId="11" applyFont="1" applyFill="1" applyBorder="1" applyAlignment="1">
      <alignment vertical="center" wrapText="1"/>
    </xf>
    <xf numFmtId="41" fontId="41" fillId="15" borderId="6" xfId="11" applyFont="1" applyFill="1" applyBorder="1" applyAlignment="1">
      <alignment horizontal="center" vertical="center" wrapText="1"/>
    </xf>
    <xf numFmtId="0" fontId="41" fillId="0" borderId="0" xfId="0" applyFont="1" applyAlignment="1">
      <alignment vertical="center" wrapText="1"/>
    </xf>
    <xf numFmtId="164" fontId="2" fillId="2" borderId="62" xfId="1" applyFont="1" applyFill="1" applyBorder="1" applyAlignment="1" applyProtection="1">
      <alignment horizontal="center" vertical="center" wrapText="1"/>
    </xf>
    <xf numFmtId="164" fontId="2" fillId="2" borderId="63" xfId="1" applyFont="1" applyFill="1" applyBorder="1" applyAlignment="1" applyProtection="1">
      <alignment horizontal="center" vertical="center" wrapText="1"/>
    </xf>
    <xf numFmtId="164" fontId="2" fillId="2" borderId="64" xfId="1" applyFont="1" applyFill="1" applyBorder="1" applyAlignment="1" applyProtection="1">
      <alignment horizontal="center" vertical="center" wrapText="1"/>
    </xf>
    <xf numFmtId="164" fontId="2" fillId="2" borderId="58" xfId="0" applyNumberFormat="1" applyFont="1" applyFill="1" applyBorder="1" applyAlignment="1">
      <alignment horizontal="center" wrapText="1"/>
    </xf>
    <xf numFmtId="164" fontId="2" fillId="2" borderId="59" xfId="0" applyNumberFormat="1" applyFont="1" applyFill="1" applyBorder="1" applyAlignment="1">
      <alignment horizontal="center" wrapText="1"/>
    </xf>
    <xf numFmtId="164" fontId="2" fillId="2" borderId="60" xfId="0" applyNumberFormat="1" applyFont="1" applyFill="1" applyBorder="1" applyAlignment="1">
      <alignment horizontal="center" wrapText="1"/>
    </xf>
    <xf numFmtId="49" fontId="2" fillId="3" borderId="3" xfId="0" applyNumberFormat="1" applyFont="1" applyFill="1" applyBorder="1" applyAlignment="1" applyProtection="1">
      <alignment vertical="top" wrapText="1"/>
      <protection locked="0"/>
    </xf>
    <xf numFmtId="164" fontId="2" fillId="3" borderId="3" xfId="1" applyFont="1" applyFill="1" applyBorder="1" applyAlignment="1" applyProtection="1">
      <alignment vertical="top" wrapText="1"/>
      <protection locked="0"/>
    </xf>
    <xf numFmtId="49" fontId="2" fillId="3" borderId="3" xfId="0" applyNumberFormat="1" applyFont="1" applyFill="1" applyBorder="1" applyAlignment="1" applyProtection="1">
      <alignment vertical="top"/>
      <protection locked="0"/>
    </xf>
    <xf numFmtId="166" fontId="1" fillId="2" borderId="10" xfId="0" applyNumberFormat="1" applyFont="1" applyFill="1" applyBorder="1" applyAlignment="1">
      <alignment wrapText="1"/>
    </xf>
    <xf numFmtId="166" fontId="1" fillId="2" borderId="36" xfId="0" applyNumberFormat="1" applyFont="1" applyFill="1" applyBorder="1" applyAlignment="1">
      <alignment wrapText="1"/>
    </xf>
    <xf numFmtId="166" fontId="1" fillId="2" borderId="41" xfId="0" applyNumberFormat="1" applyFont="1" applyFill="1" applyBorder="1" applyAlignment="1">
      <alignment wrapText="1"/>
    </xf>
    <xf numFmtId="166" fontId="1" fillId="2" borderId="47" xfId="0" applyNumberFormat="1" applyFont="1" applyFill="1" applyBorder="1" applyAlignment="1">
      <alignment wrapText="1"/>
    </xf>
    <xf numFmtId="166" fontId="2" fillId="2" borderId="49" xfId="0" applyNumberFormat="1" applyFont="1" applyFill="1" applyBorder="1" applyAlignment="1">
      <alignment wrapText="1"/>
    </xf>
    <xf numFmtId="166" fontId="2" fillId="2" borderId="31" xfId="0" applyNumberFormat="1" applyFont="1" applyFill="1" applyBorder="1" applyAlignment="1">
      <alignment wrapText="1"/>
    </xf>
    <xf numFmtId="166" fontId="2" fillId="2" borderId="54" xfId="0" applyNumberFormat="1" applyFont="1" applyFill="1" applyBorder="1" applyAlignment="1">
      <alignment wrapText="1"/>
    </xf>
    <xf numFmtId="166" fontId="1" fillId="2" borderId="49" xfId="0" applyNumberFormat="1" applyFont="1" applyFill="1" applyBorder="1" applyAlignment="1">
      <alignment wrapText="1"/>
    </xf>
    <xf numFmtId="166" fontId="1" fillId="2" borderId="24" xfId="0" applyNumberFormat="1" applyFont="1" applyFill="1" applyBorder="1" applyAlignment="1">
      <alignment wrapText="1"/>
    </xf>
    <xf numFmtId="166" fontId="1" fillId="2" borderId="3" xfId="0" applyNumberFormat="1" applyFont="1" applyFill="1" applyBorder="1" applyAlignment="1">
      <alignment wrapText="1"/>
    </xf>
    <xf numFmtId="166" fontId="2" fillId="2" borderId="3" xfId="0" applyNumberFormat="1" applyFont="1" applyFill="1" applyBorder="1" applyAlignment="1">
      <alignment wrapText="1"/>
    </xf>
    <xf numFmtId="166" fontId="11" fillId="2" borderId="3" xfId="0" applyNumberFormat="1" applyFont="1" applyFill="1" applyBorder="1" applyAlignment="1">
      <alignment wrapText="1"/>
    </xf>
    <xf numFmtId="166" fontId="10" fillId="2" borderId="3" xfId="0" applyNumberFormat="1" applyFont="1" applyFill="1" applyBorder="1" applyAlignment="1">
      <alignment wrapText="1"/>
    </xf>
    <xf numFmtId="166" fontId="1" fillId="2" borderId="3" xfId="1" applyNumberFormat="1" applyFont="1" applyFill="1" applyBorder="1" applyAlignment="1">
      <alignment wrapText="1"/>
    </xf>
    <xf numFmtId="166" fontId="2" fillId="2" borderId="3" xfId="1" applyNumberFormat="1" applyFont="1" applyFill="1" applyBorder="1" applyAlignment="1">
      <alignment wrapText="1"/>
    </xf>
    <xf numFmtId="166" fontId="2" fillId="2" borderId="3" xfId="1" applyNumberFormat="1" applyFont="1" applyFill="1" applyBorder="1" applyAlignment="1">
      <alignment vertical="center" wrapText="1"/>
    </xf>
    <xf numFmtId="166" fontId="2" fillId="2" borderId="14" xfId="1" applyNumberFormat="1" applyFont="1" applyFill="1" applyBorder="1" applyAlignment="1">
      <alignment vertical="center" wrapText="1"/>
    </xf>
    <xf numFmtId="164" fontId="1" fillId="8" borderId="3" xfId="1" applyFont="1" applyFill="1" applyBorder="1" applyAlignment="1" applyProtection="1">
      <alignment horizontal="center" vertical="center" wrapText="1"/>
      <protection locked="0"/>
    </xf>
    <xf numFmtId="43" fontId="1" fillId="8" borderId="3" xfId="10" applyFont="1" applyFill="1" applyBorder="1" applyAlignment="1" applyProtection="1">
      <alignment horizontal="center" vertical="center" wrapText="1"/>
      <protection locked="0"/>
    </xf>
    <xf numFmtId="43" fontId="1" fillId="8" borderId="3" xfId="1" applyNumberFormat="1" applyFont="1" applyFill="1" applyBorder="1" applyAlignment="1" applyProtection="1">
      <alignment horizontal="center" vertical="center" wrapText="1"/>
      <protection locked="0"/>
    </xf>
    <xf numFmtId="164" fontId="30" fillId="8" borderId="3" xfId="1" applyFont="1" applyFill="1" applyBorder="1" applyAlignment="1" applyProtection="1">
      <alignment horizontal="center" vertical="center" wrapText="1"/>
      <protection locked="0"/>
    </xf>
    <xf numFmtId="164" fontId="1" fillId="8" borderId="3" xfId="1" applyFont="1" applyFill="1" applyBorder="1" applyAlignment="1" applyProtection="1">
      <alignment vertical="center" wrapText="1"/>
      <protection locked="0"/>
    </xf>
    <xf numFmtId="164" fontId="2" fillId="3" borderId="65" xfId="0" applyNumberFormat="1" applyFont="1" applyFill="1" applyBorder="1" applyAlignment="1">
      <alignment horizontal="center" vertical="center" wrapText="1"/>
    </xf>
    <xf numFmtId="164" fontId="1" fillId="3" borderId="48" xfId="1" applyFont="1" applyFill="1" applyBorder="1" applyAlignment="1" applyProtection="1">
      <alignment vertical="center" wrapText="1"/>
      <protection locked="0"/>
    </xf>
    <xf numFmtId="164" fontId="1" fillId="3" borderId="67" xfId="1" applyFont="1" applyFill="1" applyBorder="1" applyAlignment="1" applyProtection="1">
      <alignment vertical="center" wrapText="1"/>
      <protection locked="0"/>
    </xf>
    <xf numFmtId="164" fontId="1" fillId="16" borderId="48" xfId="1" applyFont="1" applyFill="1" applyBorder="1" applyAlignment="1" applyProtection="1">
      <alignment vertical="center" wrapText="1"/>
      <protection locked="0"/>
    </xf>
    <xf numFmtId="164" fontId="11" fillId="16" borderId="3" xfId="1" applyFont="1" applyFill="1" applyBorder="1" applyAlignment="1" applyProtection="1">
      <alignment vertical="center" wrapText="1"/>
      <protection locked="0"/>
    </xf>
    <xf numFmtId="43" fontId="11" fillId="8" borderId="3" xfId="10" applyFont="1" applyFill="1" applyBorder="1" applyAlignment="1" applyProtection="1">
      <alignment horizontal="center" vertical="center" wrapText="1"/>
      <protection locked="0"/>
    </xf>
    <xf numFmtId="43" fontId="11" fillId="8" borderId="3" xfId="1" applyNumberFormat="1" applyFont="1" applyFill="1" applyBorder="1" applyAlignment="1" applyProtection="1">
      <alignment horizontal="center" vertical="center" wrapText="1"/>
      <protection locked="0"/>
    </xf>
    <xf numFmtId="43" fontId="9" fillId="8" borderId="0" xfId="1" applyNumberFormat="1" applyFont="1" applyFill="1" applyBorder="1" applyAlignment="1">
      <alignment wrapText="1"/>
    </xf>
    <xf numFmtId="0" fontId="9" fillId="8" borderId="0" xfId="0" applyFont="1" applyFill="1" applyAlignment="1">
      <alignment wrapText="1"/>
    </xf>
    <xf numFmtId="0" fontId="0" fillId="17" borderId="0" xfId="0" applyFill="1" applyAlignment="1">
      <alignment wrapText="1"/>
    </xf>
    <xf numFmtId="0" fontId="2" fillId="17" borderId="3" xfId="0" applyFont="1" applyFill="1" applyBorder="1" applyAlignment="1">
      <alignment horizontal="center" vertical="center" wrapText="1"/>
    </xf>
    <xf numFmtId="164" fontId="1" fillId="17" borderId="3" xfId="1" applyFont="1" applyFill="1" applyBorder="1" applyAlignment="1" applyProtection="1">
      <alignment horizontal="center" vertical="center" wrapText="1"/>
    </xf>
    <xf numFmtId="164" fontId="1" fillId="17" borderId="3" xfId="1" applyFont="1" applyFill="1" applyBorder="1" applyAlignment="1" applyProtection="1">
      <alignment horizontal="center" vertical="center" wrapText="1"/>
      <protection locked="0"/>
    </xf>
    <xf numFmtId="164" fontId="2" fillId="17" borderId="3" xfId="1" applyFont="1" applyFill="1" applyBorder="1" applyAlignment="1" applyProtection="1">
      <alignment horizontal="center" vertical="center" wrapText="1"/>
    </xf>
    <xf numFmtId="164" fontId="11" fillId="17" borderId="3" xfId="1" applyFont="1" applyFill="1" applyBorder="1" applyAlignment="1" applyProtection="1">
      <alignment horizontal="center" vertical="center" wrapText="1"/>
      <protection locked="0"/>
    </xf>
    <xf numFmtId="164" fontId="10" fillId="17" borderId="3" xfId="1" applyFont="1" applyFill="1" applyBorder="1" applyAlignment="1" applyProtection="1">
      <alignment horizontal="center" vertical="center" wrapText="1"/>
    </xf>
    <xf numFmtId="164" fontId="1" fillId="17" borderId="0" xfId="1" applyFont="1" applyFill="1" applyBorder="1" applyAlignment="1" applyProtection="1">
      <alignment horizontal="center" vertical="center" wrapText="1"/>
      <protection locked="0"/>
    </xf>
    <xf numFmtId="43" fontId="11" fillId="17" borderId="3" xfId="10" applyFont="1" applyFill="1" applyBorder="1" applyAlignment="1" applyProtection="1">
      <alignment horizontal="center" vertical="center" wrapText="1"/>
      <protection locked="0"/>
    </xf>
    <xf numFmtId="164" fontId="10" fillId="17" borderId="36" xfId="1" applyFont="1" applyFill="1" applyBorder="1" applyAlignment="1" applyProtection="1">
      <alignment horizontal="center" vertical="center" wrapText="1"/>
    </xf>
    <xf numFmtId="164" fontId="1" fillId="17" borderId="0" xfId="1" applyFont="1" applyFill="1" applyBorder="1" applyAlignment="1" applyProtection="1">
      <alignment vertical="center" wrapText="1"/>
      <protection locked="0"/>
    </xf>
    <xf numFmtId="164" fontId="1" fillId="17" borderId="3" xfId="1" applyFont="1" applyFill="1" applyBorder="1" applyAlignment="1" applyProtection="1">
      <alignment vertical="center" wrapText="1"/>
      <protection locked="0"/>
    </xf>
    <xf numFmtId="164" fontId="2" fillId="17" borderId="0" xfId="0" applyNumberFormat="1" applyFont="1" applyFill="1" applyAlignment="1">
      <alignment horizontal="center" vertical="center" wrapText="1"/>
    </xf>
    <xf numFmtId="164" fontId="2" fillId="17" borderId="0" xfId="1" applyFont="1" applyFill="1" applyBorder="1" applyAlignment="1" applyProtection="1">
      <alignment horizontal="center" vertical="center" wrapText="1"/>
    </xf>
    <xf numFmtId="164" fontId="0" fillId="17" borderId="0" xfId="1" applyFont="1" applyFill="1" applyBorder="1" applyAlignment="1">
      <alignment wrapText="1"/>
    </xf>
    <xf numFmtId="164" fontId="2" fillId="17" borderId="0" xfId="1" applyFont="1" applyFill="1" applyBorder="1" applyAlignment="1">
      <alignment vertical="center" wrapText="1"/>
    </xf>
    <xf numFmtId="170" fontId="2" fillId="17" borderId="0" xfId="1" applyNumberFormat="1" applyFont="1" applyFill="1" applyBorder="1" applyAlignment="1" applyProtection="1">
      <alignment vertical="center" wrapText="1"/>
      <protection locked="0"/>
    </xf>
    <xf numFmtId="164" fontId="2" fillId="17" borderId="0" xfId="1" applyFont="1" applyFill="1" applyBorder="1" applyAlignment="1" applyProtection="1">
      <alignment vertical="center" wrapText="1"/>
      <protection locked="0"/>
    </xf>
    <xf numFmtId="164" fontId="2" fillId="17" borderId="0" xfId="1" applyFont="1" applyFill="1" applyBorder="1" applyAlignment="1" applyProtection="1">
      <alignment vertical="center" wrapText="1"/>
    </xf>
    <xf numFmtId="164" fontId="0" fillId="17" borderId="0" xfId="1" applyFont="1" applyFill="1" applyBorder="1" applyAlignment="1">
      <alignment vertical="center" wrapText="1"/>
    </xf>
    <xf numFmtId="9" fontId="0" fillId="17" borderId="0" xfId="2" applyFont="1" applyFill="1" applyBorder="1" applyAlignment="1">
      <alignment wrapText="1"/>
    </xf>
    <xf numFmtId="165" fontId="42" fillId="17" borderId="0" xfId="0" applyNumberFormat="1" applyFont="1" applyFill="1" applyAlignment="1">
      <alignment wrapText="1"/>
    </xf>
    <xf numFmtId="164" fontId="10" fillId="8" borderId="3" xfId="1" applyFont="1" applyFill="1" applyBorder="1" applyAlignment="1" applyProtection="1">
      <alignment horizontal="center" vertical="center" wrapText="1"/>
    </xf>
    <xf numFmtId="43" fontId="0" fillId="3" borderId="0" xfId="0" applyNumberFormat="1" applyFill="1" applyAlignment="1">
      <alignment wrapText="1"/>
    </xf>
    <xf numFmtId="165" fontId="0" fillId="3" borderId="0" xfId="0" applyNumberFormat="1" applyFill="1" applyAlignment="1">
      <alignment wrapText="1"/>
    </xf>
    <xf numFmtId="0" fontId="42" fillId="18" borderId="0" xfId="0" applyFont="1" applyFill="1" applyAlignment="1">
      <alignment wrapText="1"/>
    </xf>
    <xf numFmtId="166" fontId="3" fillId="19" borderId="0" xfId="0" applyNumberFormat="1" applyFont="1" applyFill="1" applyAlignment="1">
      <alignment wrapText="1"/>
    </xf>
    <xf numFmtId="165" fontId="3" fillId="19" borderId="0" xfId="0" applyNumberFormat="1" applyFont="1" applyFill="1" applyAlignment="1">
      <alignment wrapText="1"/>
    </xf>
    <xf numFmtId="0" fontId="2" fillId="2" borderId="5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41" fillId="15" borderId="26" xfId="0" applyFont="1" applyFill="1" applyBorder="1" applyAlignment="1">
      <alignment horizontal="center" vertical="center" wrapText="1"/>
    </xf>
    <xf numFmtId="0" fontId="41" fillId="15" borderId="27" xfId="0" applyFont="1" applyFill="1" applyBorder="1" applyAlignment="1">
      <alignment horizontal="center" vertical="center" wrapText="1"/>
    </xf>
    <xf numFmtId="0" fontId="41" fillId="15" borderId="22" xfId="0" applyFont="1" applyFill="1" applyBorder="1" applyAlignment="1">
      <alignment horizontal="center" vertical="center" wrapText="1"/>
    </xf>
    <xf numFmtId="41" fontId="41" fillId="15" borderId="26" xfId="11" applyFont="1" applyFill="1" applyBorder="1" applyAlignment="1">
      <alignment horizontal="center" vertical="center" wrapText="1"/>
    </xf>
    <xf numFmtId="41" fontId="41" fillId="15" borderId="27" xfId="11" applyFont="1" applyFill="1" applyBorder="1" applyAlignment="1">
      <alignment horizontal="center" vertical="center" wrapText="1"/>
    </xf>
    <xf numFmtId="41" fontId="41" fillId="15" borderId="22" xfId="11" applyFont="1" applyFill="1" applyBorder="1" applyAlignment="1">
      <alignment horizontal="center" vertical="center" wrapText="1"/>
    </xf>
    <xf numFmtId="168" fontId="3" fillId="0" borderId="18" xfId="3" applyNumberFormat="1" applyFont="1" applyFill="1" applyBorder="1" applyAlignment="1">
      <alignment horizontal="center"/>
    </xf>
    <xf numFmtId="168" fontId="3" fillId="0" borderId="19" xfId="3" applyNumberFormat="1" applyFont="1" applyFill="1" applyBorder="1" applyAlignment="1">
      <alignment horizontal="center"/>
    </xf>
    <xf numFmtId="0" fontId="22" fillId="0" borderId="18" xfId="0" applyFont="1" applyBorder="1" applyAlignment="1">
      <alignment horizontal="center"/>
    </xf>
    <xf numFmtId="0" fontId="22" fillId="0" borderId="16" xfId="0" applyFont="1" applyBorder="1" applyAlignment="1">
      <alignment horizontal="center"/>
    </xf>
    <xf numFmtId="0" fontId="22" fillId="0" borderId="19" xfId="0" applyFont="1" applyBorder="1" applyAlignment="1">
      <alignment horizontal="center"/>
    </xf>
    <xf numFmtId="168" fontId="3" fillId="0" borderId="16" xfId="3" applyNumberFormat="1" applyFont="1" applyFill="1" applyBorder="1" applyAlignment="1">
      <alignment horizontal="center"/>
    </xf>
    <xf numFmtId="0" fontId="3" fillId="4" borderId="26" xfId="0" applyFont="1" applyFill="1" applyBorder="1" applyAlignment="1">
      <alignment horizontal="center"/>
    </xf>
    <xf numFmtId="0" fontId="3" fillId="4" borderId="22" xfId="0" applyFont="1" applyFill="1" applyBorder="1" applyAlignment="1">
      <alignment horizontal="center"/>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2" fillId="2" borderId="5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22" xfId="0" applyFont="1" applyBorder="1" applyAlignment="1">
      <alignment horizontal="center" wrapText="1"/>
    </xf>
    <xf numFmtId="0" fontId="22" fillId="0" borderId="26" xfId="0" applyFont="1" applyBorder="1" applyAlignment="1">
      <alignment horizontal="center"/>
    </xf>
    <xf numFmtId="0" fontId="22" fillId="0" borderId="27" xfId="0" applyFont="1" applyBorder="1" applyAlignment="1">
      <alignment horizontal="center"/>
    </xf>
    <xf numFmtId="0" fontId="22" fillId="0" borderId="22" xfId="0" applyFont="1" applyBorder="1" applyAlignment="1">
      <alignment horizontal="center"/>
    </xf>
    <xf numFmtId="0" fontId="23" fillId="2" borderId="8" xfId="0" applyFont="1" applyFill="1" applyBorder="1" applyAlignment="1">
      <alignment horizontal="left" vertical="center" wrapText="1"/>
    </xf>
    <xf numFmtId="0" fontId="23" fillId="2" borderId="4" xfId="0" applyFont="1" applyFill="1" applyBorder="1" applyAlignment="1">
      <alignment horizontal="left" vertical="center" wrapText="1"/>
    </xf>
    <xf numFmtId="3" fontId="27" fillId="2" borderId="8" xfId="0" applyNumberFormat="1" applyFont="1" applyFill="1" applyBorder="1" applyAlignment="1">
      <alignment horizontal="left" vertical="center" wrapText="1"/>
    </xf>
    <xf numFmtId="3" fontId="27" fillId="2" borderId="4" xfId="0" applyNumberFormat="1" applyFont="1" applyFill="1" applyBorder="1" applyAlignment="1">
      <alignment horizontal="left" vertical="center" wrapText="1"/>
    </xf>
    <xf numFmtId="3" fontId="27" fillId="2" borderId="8" xfId="0" applyNumberFormat="1" applyFont="1" applyFill="1" applyBorder="1" applyAlignment="1">
      <alignment horizontal="center" vertical="center" wrapText="1"/>
    </xf>
    <xf numFmtId="3" fontId="27" fillId="2" borderId="4" xfId="0" applyNumberFormat="1" applyFont="1" applyFill="1" applyBorder="1" applyAlignment="1">
      <alignment horizontal="center" vertical="center" wrapText="1"/>
    </xf>
    <xf numFmtId="3" fontId="24" fillId="0" borderId="8" xfId="0" applyNumberFormat="1" applyFont="1" applyBorder="1" applyAlignment="1">
      <alignment horizontal="center" vertical="center" wrapText="1"/>
    </xf>
    <xf numFmtId="3" fontId="24" fillId="0" borderId="4" xfId="0" applyNumberFormat="1" applyFont="1" applyBorder="1" applyAlignment="1">
      <alignment horizontal="center" vertical="center" wrapText="1"/>
    </xf>
    <xf numFmtId="3" fontId="23" fillId="2" borderId="13" xfId="0" applyNumberFormat="1" applyFont="1" applyFill="1" applyBorder="1" applyAlignment="1">
      <alignment horizontal="left" vertical="center" wrapText="1"/>
    </xf>
    <xf numFmtId="3" fontId="23" fillId="2" borderId="57" xfId="0" applyNumberFormat="1" applyFont="1" applyFill="1" applyBorder="1" applyAlignment="1">
      <alignment horizontal="left" vertical="center" wrapText="1"/>
    </xf>
    <xf numFmtId="0" fontId="1" fillId="2" borderId="32"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164" fontId="2" fillId="2" borderId="35" xfId="1" applyFont="1" applyFill="1" applyBorder="1" applyAlignment="1" applyProtection="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0" borderId="0" xfId="0" applyFont="1" applyAlignment="1">
      <alignment horizontal="center" vertical="center" wrapText="1"/>
    </xf>
    <xf numFmtId="0" fontId="3" fillId="2" borderId="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51"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4" borderId="38"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center" wrapText="1"/>
      <protection locked="0"/>
    </xf>
    <xf numFmtId="164" fontId="1" fillId="3" borderId="3" xfId="1"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6" borderId="3" xfId="0" applyFont="1" applyFill="1" applyBorder="1" applyAlignment="1">
      <alignment horizontal="center" vertical="center" wrapText="1"/>
    </xf>
    <xf numFmtId="0" fontId="19" fillId="0" borderId="0" xfId="0" applyFont="1" applyAlignment="1">
      <alignment horizontal="left" vertical="top" wrapText="1"/>
    </xf>
    <xf numFmtId="0" fontId="4" fillId="7" borderId="20" xfId="0" applyFont="1" applyFill="1" applyBorder="1" applyAlignment="1">
      <alignment horizontal="left" wrapText="1"/>
    </xf>
    <xf numFmtId="0" fontId="4" fillId="7" borderId="25" xfId="0" applyFont="1" applyFill="1" applyBorder="1" applyAlignment="1">
      <alignment horizontal="left" wrapText="1"/>
    </xf>
    <xf numFmtId="164" fontId="4" fillId="7" borderId="25" xfId="1" applyFont="1" applyFill="1" applyBorder="1" applyAlignment="1">
      <alignment horizontal="left" wrapText="1"/>
    </xf>
    <xf numFmtId="0" fontId="4" fillId="7" borderId="21" xfId="0" applyFont="1" applyFill="1" applyBorder="1" applyAlignment="1">
      <alignment horizontal="left" wrapText="1"/>
    </xf>
    <xf numFmtId="0" fontId="14" fillId="7" borderId="26" xfId="0" applyFont="1" applyFill="1" applyBorder="1" applyAlignment="1">
      <alignment horizontal="left" wrapText="1"/>
    </xf>
    <xf numFmtId="0" fontId="14" fillId="7" borderId="27" xfId="0" applyFont="1" applyFill="1" applyBorder="1" applyAlignment="1">
      <alignment horizontal="left" wrapText="1"/>
    </xf>
    <xf numFmtId="0" fontId="14" fillId="7" borderId="22" xfId="0" applyFont="1" applyFill="1" applyBorder="1" applyAlignment="1">
      <alignment horizontal="left" wrapText="1"/>
    </xf>
    <xf numFmtId="49" fontId="2" fillId="3" borderId="3" xfId="0" applyNumberFormat="1"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center" wrapText="1"/>
      <protection locked="0"/>
    </xf>
    <xf numFmtId="164" fontId="2" fillId="3" borderId="66" xfId="1" applyFont="1" applyFill="1" applyBorder="1" applyAlignment="1" applyProtection="1">
      <alignment horizontal="center" vertical="center" wrapText="1"/>
    </xf>
    <xf numFmtId="164" fontId="2" fillId="3" borderId="47" xfId="1" applyFont="1" applyFill="1" applyBorder="1" applyAlignment="1" applyProtection="1">
      <alignment horizontal="center" vertical="center" wrapText="1"/>
    </xf>
    <xf numFmtId="0" fontId="10" fillId="2" borderId="5" xfId="0" applyFont="1" applyFill="1" applyBorder="1" applyAlignment="1">
      <alignment horizontal="left" vertical="center" wrapText="1"/>
    </xf>
    <xf numFmtId="0" fontId="10" fillId="2" borderId="51"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1" fillId="6" borderId="51"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36" xfId="0" applyFont="1" applyBorder="1" applyAlignment="1">
      <alignment horizontal="center" vertical="center" wrapText="1"/>
    </xf>
    <xf numFmtId="0" fontId="30" fillId="6" borderId="5" xfId="0" applyFont="1" applyFill="1" applyBorder="1" applyAlignment="1">
      <alignment horizontal="center" vertical="center" wrapText="1"/>
    </xf>
    <xf numFmtId="0" fontId="30" fillId="6" borderId="51" xfId="0" applyFont="1" applyFill="1" applyBorder="1" applyAlignment="1">
      <alignment horizontal="center" vertical="center" wrapText="1"/>
    </xf>
    <xf numFmtId="0" fontId="30" fillId="6" borderId="36" xfId="0" applyFont="1" applyFill="1" applyBorder="1" applyAlignment="1">
      <alignment horizontal="center" vertical="center" wrapText="1"/>
    </xf>
    <xf numFmtId="0" fontId="11" fillId="3" borderId="3" xfId="0" applyFont="1" applyFill="1" applyBorder="1" applyAlignment="1" applyProtection="1">
      <alignment horizontal="left" vertical="top" wrapText="1"/>
      <protection locked="0"/>
    </xf>
    <xf numFmtId="164" fontId="11" fillId="3" borderId="3" xfId="1" applyFont="1" applyFill="1" applyBorder="1" applyAlignment="1" applyProtection="1">
      <alignment horizontal="left" vertical="top" wrapText="1"/>
      <protection locked="0"/>
    </xf>
    <xf numFmtId="0" fontId="36" fillId="11" borderId="0" xfId="0" applyFont="1" applyFill="1" applyAlignment="1">
      <alignment horizontal="center" wrapText="1"/>
    </xf>
    <xf numFmtId="0" fontId="36" fillId="12" borderId="0" xfId="0" applyFont="1" applyFill="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16" xfId="0" applyFont="1" applyFill="1" applyBorder="1" applyAlignment="1">
      <alignment horizontal="center" wrapText="1"/>
    </xf>
    <xf numFmtId="0" fontId="2" fillId="2" borderId="19" xfId="0" applyFont="1" applyFill="1" applyBorder="1" applyAlignment="1">
      <alignment horizontal="center" wrapText="1"/>
    </xf>
    <xf numFmtId="0" fontId="2" fillId="2" borderId="15" xfId="0" applyFont="1" applyFill="1" applyBorder="1" applyAlignment="1">
      <alignment horizontal="center" vertical="center" wrapText="1"/>
    </xf>
    <xf numFmtId="0" fontId="4" fillId="7" borderId="11" xfId="0" applyFont="1" applyFill="1" applyBorder="1" applyAlignment="1">
      <alignment horizontal="left" vertical="top" wrapText="1"/>
    </xf>
    <xf numFmtId="0" fontId="4" fillId="7" borderId="0" xfId="0" applyFont="1" applyFill="1" applyAlignment="1">
      <alignment horizontal="left" vertical="top" wrapText="1"/>
    </xf>
    <xf numFmtId="0" fontId="4" fillId="7" borderId="12"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5" xfId="0" applyFont="1" applyFill="1" applyBorder="1" applyAlignment="1">
      <alignment horizontal="left" vertical="top" wrapText="1"/>
    </xf>
    <xf numFmtId="0" fontId="4" fillId="7" borderId="21" xfId="0" applyFont="1" applyFill="1" applyBorder="1" applyAlignment="1">
      <alignment horizontal="left" vertical="top" wrapText="1"/>
    </xf>
    <xf numFmtId="0" fontId="12" fillId="7" borderId="18" xfId="0" applyFont="1" applyFill="1" applyBorder="1" applyAlignment="1">
      <alignment horizontal="left" wrapText="1"/>
    </xf>
    <xf numFmtId="0" fontId="12" fillId="7" borderId="16" xfId="0" applyFont="1" applyFill="1" applyBorder="1" applyAlignment="1">
      <alignment horizontal="left" wrapText="1"/>
    </xf>
    <xf numFmtId="0" fontId="12" fillId="7" borderId="37" xfId="0" applyFont="1" applyFill="1" applyBorder="1" applyAlignment="1">
      <alignment horizontal="left" wrapText="1"/>
    </xf>
    <xf numFmtId="164" fontId="32" fillId="2" borderId="4" xfId="1" applyFont="1" applyFill="1" applyBorder="1" applyAlignment="1" applyProtection="1">
      <alignment horizontal="center" vertical="center" wrapText="1"/>
    </xf>
    <xf numFmtId="164" fontId="32" fillId="2" borderId="1" xfId="1" applyFont="1" applyFill="1" applyBorder="1" applyAlignment="1" applyProtection="1">
      <alignment horizontal="center" vertical="center" wrapText="1"/>
    </xf>
    <xf numFmtId="164" fontId="32" fillId="2" borderId="2" xfId="1" applyFont="1" applyFill="1" applyBorder="1" applyAlignment="1" applyProtection="1">
      <alignment horizontal="center" vertical="center" wrapText="1"/>
    </xf>
    <xf numFmtId="164" fontId="32" fillId="2" borderId="3" xfId="1" applyFont="1" applyFill="1" applyBorder="1" applyAlignment="1" applyProtection="1">
      <alignment horizontal="center" vertical="center" wrapText="1"/>
    </xf>
    <xf numFmtId="0" fontId="4" fillId="12" borderId="0" xfId="0" applyFont="1" applyFill="1" applyAlignment="1">
      <alignment horizont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0" xfId="0" applyFont="1" applyFill="1" applyAlignment="1">
      <alignment horizontal="center" vertical="center"/>
    </xf>
    <xf numFmtId="0" fontId="2" fillId="7" borderId="12" xfId="0" applyFont="1" applyFill="1" applyBorder="1" applyAlignment="1">
      <alignment horizontal="center" vertical="center"/>
    </xf>
    <xf numFmtId="0" fontId="2" fillId="2" borderId="3"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7" fillId="12" borderId="0" xfId="0" applyFont="1" applyFill="1" applyAlignment="1">
      <alignment horizontal="center"/>
    </xf>
    <xf numFmtId="164" fontId="2" fillId="2" borderId="3" xfId="0" applyNumberFormat="1" applyFont="1" applyFill="1" applyBorder="1" applyAlignment="1">
      <alignment horizontal="center" vertical="center" wrapText="1"/>
    </xf>
    <xf numFmtId="0" fontId="36" fillId="11" borderId="26" xfId="0" applyFont="1" applyFill="1" applyBorder="1" applyAlignment="1">
      <alignment horizontal="center" wrapText="1"/>
    </xf>
    <xf numFmtId="0" fontId="36" fillId="11" borderId="27" xfId="0" applyFont="1" applyFill="1" applyBorder="1" applyAlignment="1">
      <alignment horizontal="center" wrapText="1"/>
    </xf>
    <xf numFmtId="0" fontId="36" fillId="11" borderId="22" xfId="0" applyFont="1" applyFill="1" applyBorder="1" applyAlignment="1">
      <alignment horizontal="center"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164" fontId="3" fillId="2" borderId="41" xfId="0" applyNumberFormat="1" applyFont="1" applyFill="1" applyBorder="1" applyAlignment="1">
      <alignment horizontal="center"/>
    </xf>
    <xf numFmtId="164" fontId="3" fillId="2" borderId="42" xfId="0" applyNumberFormat="1" applyFont="1" applyFill="1" applyBorder="1" applyAlignment="1">
      <alignment horizontal="center"/>
    </xf>
    <xf numFmtId="49" fontId="0" fillId="2" borderId="43" xfId="0" applyNumberFormat="1" applyFill="1" applyBorder="1" applyAlignment="1">
      <alignment horizontal="center" wrapText="1"/>
    </xf>
    <xf numFmtId="49" fontId="0" fillId="2" borderId="44" xfId="0" applyNumberFormat="1" applyFill="1" applyBorder="1" applyAlignment="1">
      <alignment horizontal="center" wrapText="1"/>
    </xf>
    <xf numFmtId="49" fontId="0" fillId="2" borderId="45" xfId="0" applyNumberFormat="1" applyFill="1" applyBorder="1" applyAlignment="1">
      <alignment horizontal="center" wrapText="1"/>
    </xf>
    <xf numFmtId="0" fontId="3" fillId="2" borderId="38" xfId="0" applyFont="1" applyFill="1" applyBorder="1" applyAlignment="1">
      <alignment horizontal="left"/>
    </xf>
    <xf numFmtId="0" fontId="3" fillId="2" borderId="39" xfId="0" applyFont="1" applyFill="1" applyBorder="1" applyAlignment="1">
      <alignment horizontal="left"/>
    </xf>
    <xf numFmtId="0" fontId="3" fillId="2" borderId="40" xfId="0" applyFont="1" applyFill="1" applyBorder="1" applyAlignment="1">
      <alignment horizontal="left"/>
    </xf>
    <xf numFmtId="164" fontId="3" fillId="2" borderId="4" xfId="0" applyNumberFormat="1" applyFont="1" applyFill="1" applyBorder="1" applyAlignment="1">
      <alignment horizontal="center"/>
    </xf>
    <xf numFmtId="164" fontId="3" fillId="2" borderId="33" xfId="0" applyNumberFormat="1" applyFont="1" applyFill="1" applyBorder="1" applyAlignment="1">
      <alignment horizontal="center"/>
    </xf>
    <xf numFmtId="0" fontId="0" fillId="2" borderId="43" xfId="0" applyFill="1" applyBorder="1" applyAlignment="1">
      <alignment horizontal="center" wrapText="1"/>
    </xf>
    <xf numFmtId="0" fontId="0" fillId="2" borderId="44" xfId="0" applyFill="1" applyBorder="1" applyAlignment="1">
      <alignment horizontal="center" wrapText="1"/>
    </xf>
    <xf numFmtId="0" fontId="0" fillId="2" borderId="45" xfId="0" applyFill="1" applyBorder="1" applyAlignment="1">
      <alignment horizontal="center" wrapText="1"/>
    </xf>
  </cellXfs>
  <cellStyles count="12">
    <cellStyle name="Milliers" xfId="10" builtinId="3"/>
    <cellStyle name="Milliers [0]" xfId="11" builtinId="6"/>
    <cellStyle name="Milliers [0] 2" xfId="3" xr:uid="{00000000-0005-0000-0000-000003000000}"/>
    <cellStyle name="Milliers 2" xfId="4" xr:uid="{00000000-0005-0000-0000-000004000000}"/>
    <cellStyle name="Milliers 3" xfId="5" xr:uid="{00000000-0005-0000-0000-000005000000}"/>
    <cellStyle name="Milliers 4" xfId="6" xr:uid="{00000000-0005-0000-0000-000006000000}"/>
    <cellStyle name="Milliers 5" xfId="7" xr:uid="{00000000-0005-0000-0000-000007000000}"/>
    <cellStyle name="Milliers 6" xfId="8" xr:uid="{00000000-0005-0000-0000-000008000000}"/>
    <cellStyle name="Milliers 7" xfId="9" xr:uid="{00000000-0005-0000-0000-000009000000}"/>
    <cellStyle name="Monétaire" xfId="1" builtinId="4"/>
    <cellStyle name="Normal" xfId="0" builtinId="0"/>
    <cellStyle name="Pourcentage" xfId="2" builtinId="5"/>
  </cellStyles>
  <dxfs count="1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00000000-0011-0000-FFFF-FFFF00000000}"/>
  </tableStyles>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57"/>
  <sheetViews>
    <sheetView topLeftCell="A47" zoomScale="70" zoomScaleNormal="70" workbookViewId="0">
      <selection activeCell="A2" sqref="A2"/>
    </sheetView>
  </sheetViews>
  <sheetFormatPr baseColWidth="10" defaultColWidth="11.54296875" defaultRowHeight="14.5" x14ac:dyDescent="0.35"/>
  <cols>
    <col min="1" max="1" width="2.54296875" customWidth="1"/>
    <col min="2" max="2" width="13.453125" customWidth="1"/>
    <col min="3" max="3" width="77.81640625" customWidth="1"/>
    <col min="4" max="6" width="16.54296875" customWidth="1"/>
    <col min="7" max="7" width="15.453125" bestFit="1" customWidth="1"/>
    <col min="8" max="8" width="17.1796875" customWidth="1"/>
    <col min="9" max="11" width="15.54296875" bestFit="1" customWidth="1"/>
    <col min="12" max="12" width="17.90625" customWidth="1"/>
    <col min="13" max="13" width="15.81640625" style="468" customWidth="1"/>
    <col min="14" max="16" width="15.08984375" style="468" bestFit="1" customWidth="1"/>
    <col min="17" max="17" width="14" style="468" customWidth="1"/>
    <col min="18" max="18" width="13.54296875" style="468" customWidth="1"/>
    <col min="19" max="19" width="9" customWidth="1"/>
  </cols>
  <sheetData>
    <row r="1" spans="2:19" ht="21.5" thickBot="1" x14ac:dyDescent="0.55000000000000004">
      <c r="B1" s="590" t="s">
        <v>0</v>
      </c>
      <c r="C1" s="591"/>
      <c r="D1" s="591"/>
      <c r="E1" s="591"/>
      <c r="F1" s="591"/>
      <c r="G1" s="592"/>
    </row>
    <row r="2" spans="2:19" ht="19" thickBot="1" x14ac:dyDescent="0.5">
      <c r="B2" s="593" t="s">
        <v>1</v>
      </c>
      <c r="C2" s="594"/>
      <c r="D2" s="594"/>
      <c r="E2" s="594"/>
      <c r="F2" s="594"/>
      <c r="G2" s="595"/>
    </row>
    <row r="3" spans="2:19" ht="18.5" x14ac:dyDescent="0.45">
      <c r="B3" s="296"/>
      <c r="C3" s="296"/>
      <c r="D3" s="296"/>
      <c r="E3" s="296"/>
      <c r="F3" s="296"/>
      <c r="G3" s="296"/>
    </row>
    <row r="4" spans="2:19" ht="19" thickBot="1" x14ac:dyDescent="0.5">
      <c r="B4" s="296"/>
      <c r="C4" s="296"/>
      <c r="D4" s="296"/>
      <c r="E4" s="296"/>
      <c r="F4" s="296"/>
      <c r="G4" s="296"/>
    </row>
    <row r="5" spans="2:19" ht="29" customHeight="1" thickBot="1" x14ac:dyDescent="0.5">
      <c r="D5" s="577" t="s">
        <v>2</v>
      </c>
      <c r="E5" s="582"/>
      <c r="F5" s="582"/>
      <c r="G5" s="578"/>
      <c r="H5" s="577" t="s">
        <v>3</v>
      </c>
      <c r="I5" s="578"/>
      <c r="J5" s="579" t="s">
        <v>4</v>
      </c>
      <c r="K5" s="580"/>
      <c r="L5" s="581"/>
      <c r="M5" s="574" t="s">
        <v>949</v>
      </c>
      <c r="N5" s="575"/>
      <c r="O5" s="576"/>
      <c r="P5" s="571" t="s">
        <v>940</v>
      </c>
      <c r="Q5" s="572"/>
      <c r="R5" s="572"/>
      <c r="S5" s="573"/>
    </row>
    <row r="6" spans="2:19" ht="26.5" thickBot="1" x14ac:dyDescent="0.4">
      <c r="B6" s="454" t="s">
        <v>5</v>
      </c>
      <c r="C6" s="455" t="s">
        <v>6</v>
      </c>
      <c r="D6" s="456" t="s">
        <v>7</v>
      </c>
      <c r="E6" s="457" t="s">
        <v>8</v>
      </c>
      <c r="F6" s="457" t="s">
        <v>9</v>
      </c>
      <c r="G6" s="458" t="s">
        <v>10</v>
      </c>
      <c r="H6" s="459" t="s">
        <v>7</v>
      </c>
      <c r="I6" s="460" t="s">
        <v>8</v>
      </c>
      <c r="J6" s="459" t="s">
        <v>7</v>
      </c>
      <c r="K6" s="461" t="s">
        <v>8</v>
      </c>
      <c r="L6" s="460" t="s">
        <v>11</v>
      </c>
      <c r="M6" s="499" t="s">
        <v>7</v>
      </c>
      <c r="N6" s="494" t="s">
        <v>8</v>
      </c>
      <c r="O6" s="494" t="s">
        <v>11</v>
      </c>
      <c r="P6" s="494" t="s">
        <v>7</v>
      </c>
      <c r="Q6" s="494" t="s">
        <v>8</v>
      </c>
      <c r="R6" s="494" t="s">
        <v>11</v>
      </c>
      <c r="S6" s="458" t="s">
        <v>10</v>
      </c>
    </row>
    <row r="7" spans="2:19" ht="59.5" customHeight="1" x14ac:dyDescent="0.35">
      <c r="B7" s="596" t="s">
        <v>12</v>
      </c>
      <c r="C7" s="597"/>
      <c r="D7" s="338">
        <f>SUM(D8:D10)</f>
        <v>600430.68999999994</v>
      </c>
      <c r="E7" s="339">
        <f>SUM(E8:E10)</f>
        <v>0</v>
      </c>
      <c r="F7" s="339">
        <f>SUM(F8:F10)</f>
        <v>600430.68999999994</v>
      </c>
      <c r="G7" s="340">
        <f>F7/$F$30</f>
        <v>0.24017227604223187</v>
      </c>
      <c r="H7" s="342">
        <f>SUM(H8:H10)</f>
        <v>50000</v>
      </c>
      <c r="I7" s="341">
        <f>SUM(I8:I10)</f>
        <v>0</v>
      </c>
      <c r="J7" s="338">
        <f>SUM(J8:J10)</f>
        <v>650430.68999999994</v>
      </c>
      <c r="K7" s="339">
        <f>SUM(K8:K10)</f>
        <v>0</v>
      </c>
      <c r="L7" s="343">
        <f>+J7+K7</f>
        <v>650430.68999999994</v>
      </c>
      <c r="M7" s="495">
        <f t="shared" ref="M7:O7" si="0">SUM(M8:M10)</f>
        <v>121500</v>
      </c>
      <c r="N7" s="496">
        <f t="shared" si="0"/>
        <v>0</v>
      </c>
      <c r="O7" s="497">
        <f t="shared" si="0"/>
        <v>121500</v>
      </c>
      <c r="P7" s="498">
        <f t="shared" ref="P7" si="1">SUM(P8:P10)</f>
        <v>771930.69</v>
      </c>
      <c r="Q7" s="496">
        <f t="shared" ref="Q7" si="2">SUM(Q8:Q10)</f>
        <v>0</v>
      </c>
      <c r="R7" s="497">
        <f t="shared" ref="R7" si="3">SUM(R8:R10)</f>
        <v>771930.69</v>
      </c>
      <c r="S7" s="340">
        <f>R7/$R$30</f>
        <v>0.19298268743394598</v>
      </c>
    </row>
    <row r="8" spans="2:19" ht="30" customHeight="1" x14ac:dyDescent="0.35">
      <c r="B8" s="462" t="s">
        <v>13</v>
      </c>
      <c r="C8" s="329" t="str">
        <f>'1) Tableau budgétaire 1_Révisé'!C15:J15</f>
        <v xml:space="preserve">La situation de référence pour une meilleure gestion des conflits liés au foncier et aux ressources naturelles est établie </v>
      </c>
      <c r="D8" s="309">
        <f>'1) Tableau budgétaire 1 initial'!D35</f>
        <v>162000</v>
      </c>
      <c r="E8" s="299">
        <f>'1) Tableau budgétaire 1 initial'!E35</f>
        <v>0</v>
      </c>
      <c r="F8" s="299">
        <f>SUM(D8:E8)</f>
        <v>162000</v>
      </c>
      <c r="G8" s="334"/>
      <c r="H8" s="309">
        <f t="shared" ref="H8:I10" si="4">J8-D8</f>
        <v>0</v>
      </c>
      <c r="I8" s="310">
        <f t="shared" si="4"/>
        <v>0</v>
      </c>
      <c r="J8" s="309">
        <f>'1) Tableau budgétaire 1_Révisé'!D35</f>
        <v>162000</v>
      </c>
      <c r="K8" s="299">
        <f>'1) Tableau budgétaire 1_Révisé'!E35</f>
        <v>0</v>
      </c>
      <c r="L8" s="310">
        <f t="shared" ref="L8:L13" si="5">+J8+K8</f>
        <v>162000</v>
      </c>
      <c r="M8" s="322">
        <v>0</v>
      </c>
      <c r="N8" s="473">
        <v>0</v>
      </c>
      <c r="O8" s="474">
        <f t="shared" ref="O8:O13" si="6">+M8+N8</f>
        <v>0</v>
      </c>
      <c r="P8" s="475">
        <f>J8+M8</f>
        <v>162000</v>
      </c>
      <c r="Q8" s="301">
        <f>K8+N8</f>
        <v>0</v>
      </c>
      <c r="R8" s="476">
        <f>P8+Q8</f>
        <v>162000</v>
      </c>
      <c r="S8" s="334"/>
    </row>
    <row r="9" spans="2:19" ht="26" x14ac:dyDescent="0.35">
      <c r="B9" s="462" t="s">
        <v>14</v>
      </c>
      <c r="C9" s="329" t="str">
        <f>'1) Tableau budgétaire 1_Révisé'!C36:J36</f>
        <v xml:space="preserve">Les principales sources de conflit et les facteurs de résilience dans la région de l’Est sont identifiés et mis à la disposition des acteurs et partenaires au développement </v>
      </c>
      <c r="D9" s="335">
        <f>'1) Tableau budgétaire 1 initial'!D62</f>
        <v>271000</v>
      </c>
      <c r="E9" s="300">
        <f>'1) Tableau budgétaire 1 initial'!E62</f>
        <v>0</v>
      </c>
      <c r="F9" s="299">
        <f>SUM(D9:E9)</f>
        <v>271000</v>
      </c>
      <c r="G9" s="336"/>
      <c r="H9" s="309">
        <f t="shared" si="4"/>
        <v>0</v>
      </c>
      <c r="I9" s="310">
        <f t="shared" si="4"/>
        <v>0</v>
      </c>
      <c r="J9" s="309">
        <f>'1) Tableau budgétaire 1_Révisé'!D62</f>
        <v>271000</v>
      </c>
      <c r="K9" s="299">
        <f>'1) Tableau budgétaire 1_Révisé'!E62</f>
        <v>0</v>
      </c>
      <c r="L9" s="310">
        <f t="shared" si="5"/>
        <v>271000</v>
      </c>
      <c r="M9" s="322">
        <v>0</v>
      </c>
      <c r="N9" s="473">
        <v>0</v>
      </c>
      <c r="O9" s="474">
        <f t="shared" si="6"/>
        <v>0</v>
      </c>
      <c r="P9" s="475">
        <f t="shared" ref="P9:P10" si="7">J9+M9</f>
        <v>271000</v>
      </c>
      <c r="Q9" s="301">
        <f t="shared" ref="Q9:Q10" si="8">K9+N9</f>
        <v>0</v>
      </c>
      <c r="R9" s="476">
        <f t="shared" ref="R9:R10" si="9">P9+Q9</f>
        <v>271000</v>
      </c>
      <c r="S9" s="336"/>
    </row>
    <row r="10" spans="2:19" ht="31.4" customHeight="1" x14ac:dyDescent="0.35">
      <c r="B10" s="462" t="s">
        <v>15</v>
      </c>
      <c r="C10" s="329" t="str">
        <f>'1) Tableau budgétaire 1_Révisé'!C63:J63</f>
        <v xml:space="preserve">Une stratégie régionale et les priorités de consolidation de la paix sont formulées et partagées entre les différents acteurs de la région de l’Est </v>
      </c>
      <c r="D10" s="335">
        <f>'1) Tableau budgétaire 1 initial'!D89</f>
        <v>167430.69</v>
      </c>
      <c r="E10" s="300">
        <f>'1) Tableau budgétaire 1 initial'!E89</f>
        <v>0</v>
      </c>
      <c r="F10" s="299">
        <f>SUM(D10:E10)</f>
        <v>167430.69</v>
      </c>
      <c r="G10" s="336"/>
      <c r="H10" s="311">
        <f t="shared" si="4"/>
        <v>50000</v>
      </c>
      <c r="I10" s="310">
        <f t="shared" si="4"/>
        <v>0</v>
      </c>
      <c r="J10" s="309">
        <f>'1) Tableau budgétaire 1_Révisé'!D103</f>
        <v>217430.69</v>
      </c>
      <c r="K10" s="299">
        <f>'1) Tableau budgétaire 1_Révisé'!E103</f>
        <v>0</v>
      </c>
      <c r="L10" s="323">
        <f t="shared" si="5"/>
        <v>217430.69</v>
      </c>
      <c r="M10" s="325">
        <f>SUM('1) Tableau budgétaire 1_Révisé'!O94:O102)</f>
        <v>121500</v>
      </c>
      <c r="N10" s="473">
        <v>0</v>
      </c>
      <c r="O10" s="474">
        <f t="shared" si="6"/>
        <v>121500</v>
      </c>
      <c r="P10" s="475">
        <f t="shared" si="7"/>
        <v>338930.69</v>
      </c>
      <c r="Q10" s="301">
        <f t="shared" si="8"/>
        <v>0</v>
      </c>
      <c r="R10" s="476">
        <f t="shared" si="9"/>
        <v>338930.69</v>
      </c>
      <c r="S10" s="336"/>
    </row>
    <row r="11" spans="2:19" ht="31.75" customHeight="1" x14ac:dyDescent="0.35">
      <c r="B11" s="596" t="s">
        <v>16</v>
      </c>
      <c r="C11" s="597"/>
      <c r="D11" s="307">
        <f>SUM(D12:D14)</f>
        <v>105616.76999999999</v>
      </c>
      <c r="E11" s="298">
        <f>SUM(E12:E14)</f>
        <v>614999</v>
      </c>
      <c r="F11" s="298">
        <f>SUM(F12:F14)</f>
        <v>720615.77</v>
      </c>
      <c r="G11" s="333">
        <f>F11/$F$30</f>
        <v>0.28824630805068524</v>
      </c>
      <c r="H11" s="344">
        <f>SUM(H12:H14)</f>
        <v>25000</v>
      </c>
      <c r="I11" s="308">
        <f>SUM(I12:I14)</f>
        <v>0</v>
      </c>
      <c r="J11" s="307">
        <f>SUM(J12:J14)</f>
        <v>130616.76999999999</v>
      </c>
      <c r="K11" s="298">
        <f>SUM(K12:K14)</f>
        <v>614999</v>
      </c>
      <c r="L11" s="324">
        <f>+J11+K11</f>
        <v>745615.77</v>
      </c>
      <c r="M11" s="491">
        <f>SUM(M12:M14)</f>
        <v>308500</v>
      </c>
      <c r="N11" s="470">
        <f t="shared" ref="N11:R11" si="10">SUM(N12:N14)</f>
        <v>380364.38</v>
      </c>
      <c r="O11" s="471">
        <f t="shared" si="10"/>
        <v>688864.38</v>
      </c>
      <c r="P11" s="472">
        <f t="shared" si="10"/>
        <v>439116.77</v>
      </c>
      <c r="Q11" s="470">
        <f t="shared" si="10"/>
        <v>995363.38</v>
      </c>
      <c r="R11" s="471">
        <f t="shared" si="10"/>
        <v>1434480.15</v>
      </c>
      <c r="S11" s="340">
        <f>R11/$R$30</f>
        <v>0.35862006525177786</v>
      </c>
    </row>
    <row r="12" spans="2:19" ht="41.5" customHeight="1" x14ac:dyDescent="0.35">
      <c r="B12" s="463" t="s">
        <v>17</v>
      </c>
      <c r="C12" s="329" t="str">
        <f>'1) Tableau budgétaire 1_Révisé'!C118:J118</f>
        <v xml:space="preserve">Les capacités techniques et/ou économiques des différents acteurs concernés sont renforcées en vue de l’amélioration de leurs conditions de vie, dans le respect des dispositions de prévention et de gestion des conflits </v>
      </c>
      <c r="D12" s="335">
        <f>'1) Tableau budgétaire 1 initial'!D200</f>
        <v>0</v>
      </c>
      <c r="E12" s="300">
        <f>'1) Tableau budgétaire 1 initial'!E200</f>
        <v>614999</v>
      </c>
      <c r="F12" s="299">
        <f>SUM(D12:E12)</f>
        <v>614999</v>
      </c>
      <c r="G12" s="334"/>
      <c r="H12" s="309">
        <f>J12-D12</f>
        <v>25000</v>
      </c>
      <c r="I12" s="310">
        <f>K12-E12</f>
        <v>0</v>
      </c>
      <c r="J12" s="322">
        <f>'1) Tableau budgétaire 1_Révisé'!D257</f>
        <v>25000</v>
      </c>
      <c r="K12" s="301">
        <f>'1) Tableau budgétaire 1_Révisé'!E257</f>
        <v>614999</v>
      </c>
      <c r="L12" s="310">
        <f t="shared" si="5"/>
        <v>639999</v>
      </c>
      <c r="M12" s="325">
        <f>SUM('1) Tableau budgétaire 1_Révisé'!O223:O256)</f>
        <v>284500</v>
      </c>
      <c r="N12" s="492">
        <v>370364.38</v>
      </c>
      <c r="O12" s="474">
        <f t="shared" si="6"/>
        <v>654864.38</v>
      </c>
      <c r="P12" s="475">
        <f>J12+M12</f>
        <v>309500</v>
      </c>
      <c r="Q12" s="301">
        <f>K12+N12</f>
        <v>985363.38</v>
      </c>
      <c r="R12" s="476">
        <f>P12+Q12</f>
        <v>1294863.3799999999</v>
      </c>
      <c r="S12" s="334"/>
    </row>
    <row r="13" spans="2:19" ht="26" x14ac:dyDescent="0.35">
      <c r="B13" s="464" t="s">
        <v>18</v>
      </c>
      <c r="C13" s="330" t="str">
        <f>'1) Tableau budgétaire 1_Révisé'!C258:J258</f>
        <v>La gestion partagée et concertée du foncier et des ressources naturelles est promue auprès des différents acteurs concernés</v>
      </c>
      <c r="D13" s="335">
        <f>'1) Tableau budgétaire 1 initial'!D247</f>
        <v>105616.76999999999</v>
      </c>
      <c r="E13" s="300">
        <f>'1) Tableau budgétaire 1 initial'!E247</f>
        <v>0</v>
      </c>
      <c r="F13" s="299">
        <f>SUM(D13:E13)</f>
        <v>105616.76999999999</v>
      </c>
      <c r="G13" s="336"/>
      <c r="H13" s="311">
        <f>J13-D13</f>
        <v>0</v>
      </c>
      <c r="I13" s="310">
        <f>K13-E13</f>
        <v>0</v>
      </c>
      <c r="J13" s="322">
        <f>'1) Tableau budgétaire 1_Révisé'!D313</f>
        <v>105616.76999999999</v>
      </c>
      <c r="K13" s="301">
        <f>'1) Tableau budgétaire 1_Révisé'!E313</f>
        <v>0</v>
      </c>
      <c r="L13" s="323">
        <f t="shared" si="5"/>
        <v>105616.76999999999</v>
      </c>
      <c r="M13" s="325">
        <f>SUM('1) Tableau budgétaire 1_Révisé'!O287:O297)</f>
        <v>24000</v>
      </c>
      <c r="N13" s="492">
        <f>SUM('1) Tableau budgétaire 1_Révisé'!P284:P297)</f>
        <v>10000</v>
      </c>
      <c r="O13" s="474">
        <f t="shared" si="6"/>
        <v>34000</v>
      </c>
      <c r="P13" s="475">
        <f>J13+M13</f>
        <v>129616.76999999999</v>
      </c>
      <c r="Q13" s="301">
        <f>K13+N13</f>
        <v>10000</v>
      </c>
      <c r="R13" s="476">
        <f>P13+Q13</f>
        <v>139616.76999999999</v>
      </c>
      <c r="S13" s="336"/>
    </row>
    <row r="14" spans="2:19" ht="14.5" hidden="1" customHeight="1" x14ac:dyDescent="0.35">
      <c r="B14" s="465" t="s">
        <v>19</v>
      </c>
      <c r="C14" s="330"/>
      <c r="D14" s="335">
        <f>'1) Tableau budgétaire 1_Révisé'!D325</f>
        <v>0</v>
      </c>
      <c r="E14" s="300">
        <f>'1) Tableau budgétaire 1_Révisé'!E325</f>
        <v>0</v>
      </c>
      <c r="F14" s="299">
        <f>SUM(D14:E14)</f>
        <v>0</v>
      </c>
      <c r="G14" s="336"/>
      <c r="H14" s="312"/>
      <c r="I14" s="313"/>
      <c r="J14" s="312"/>
      <c r="K14" s="302"/>
      <c r="L14" s="313"/>
      <c r="M14" s="325"/>
      <c r="N14" s="492"/>
      <c r="O14" s="476"/>
      <c r="P14" s="475"/>
      <c r="Q14" s="301"/>
      <c r="R14" s="476"/>
      <c r="S14" s="336"/>
    </row>
    <row r="15" spans="2:19" ht="39.65" customHeight="1" x14ac:dyDescent="0.35">
      <c r="B15" s="596" t="s">
        <v>20</v>
      </c>
      <c r="C15" s="597"/>
      <c r="D15" s="307">
        <f>SUM(D16:D17)</f>
        <v>77000</v>
      </c>
      <c r="E15" s="298">
        <f>SUM(E16:E17)</f>
        <v>73891.8</v>
      </c>
      <c r="F15" s="298">
        <f>SUM(F16:F17)</f>
        <v>150891.79999999999</v>
      </c>
      <c r="G15" s="333">
        <f>F15/$F$30</f>
        <v>6.0356720010613124E-2</v>
      </c>
      <c r="H15" s="307">
        <f>SUM(H16:H17)</f>
        <v>0</v>
      </c>
      <c r="I15" s="308">
        <f>SUM(I16:I17)</f>
        <v>0</v>
      </c>
      <c r="J15" s="307">
        <f>SUM(J16:J17)</f>
        <v>77000</v>
      </c>
      <c r="K15" s="298">
        <f>SUM(K16:K17)</f>
        <v>73891.8</v>
      </c>
      <c r="L15" s="308">
        <f>+J15+K15</f>
        <v>150891.79999999999</v>
      </c>
      <c r="M15" s="491">
        <f>SUM(M16:M17)</f>
        <v>29000</v>
      </c>
      <c r="N15" s="493">
        <f>SUM(N16:N17)</f>
        <v>687</v>
      </c>
      <c r="O15" s="471">
        <f>+M15+N15</f>
        <v>29687</v>
      </c>
      <c r="P15" s="472">
        <f>SUM(P16:P17)</f>
        <v>106000</v>
      </c>
      <c r="Q15" s="470">
        <f>SUM(Q16:Q17)</f>
        <v>74578.8</v>
      </c>
      <c r="R15" s="471">
        <f>+P15+Q15</f>
        <v>180578.8</v>
      </c>
      <c r="S15" s="340">
        <f>R15/$R$30</f>
        <v>4.5144703493518366E-2</v>
      </c>
    </row>
    <row r="16" spans="2:19" ht="26" x14ac:dyDescent="0.35">
      <c r="B16" s="464" t="s">
        <v>21</v>
      </c>
      <c r="C16" s="330" t="str">
        <f>'1) Tableau budgétaire 1_Révisé'!C328:J328</f>
        <v>Les acteurs impliqués dans la gestion du foncier et des ressources naturelles ont une bonne connaissance du cadre institutionnel et légal y relatif</v>
      </c>
      <c r="D16" s="335">
        <f>'1) Tableau budgétaire 1 initial'!D288</f>
        <v>77000</v>
      </c>
      <c r="E16" s="300">
        <f>'1) Tableau budgétaire 1 initial'!E288</f>
        <v>0</v>
      </c>
      <c r="F16" s="299">
        <f>SUM(D16:E16)</f>
        <v>77000</v>
      </c>
      <c r="G16" s="336"/>
      <c r="H16" s="309">
        <f t="shared" ref="H16:H17" si="11">J16-D16</f>
        <v>0</v>
      </c>
      <c r="I16" s="310">
        <f t="shared" ref="I16:I17" si="12">K16-E16</f>
        <v>0</v>
      </c>
      <c r="J16" s="322">
        <f>'1) Tableau budgétaire 1_Révisé'!D358</f>
        <v>77000</v>
      </c>
      <c r="K16" s="301">
        <f>'1) Tableau budgétaire 1_Révisé'!E358</f>
        <v>0</v>
      </c>
      <c r="L16" s="310">
        <f t="shared" ref="L16:L17" si="13">+J16+K16</f>
        <v>77000</v>
      </c>
      <c r="M16" s="325">
        <f>SUM('1) Tableau budgétaire 1_Révisé'!O354:O357)</f>
        <v>24000</v>
      </c>
      <c r="N16" s="492">
        <v>0</v>
      </c>
      <c r="O16" s="474">
        <f t="shared" ref="O16:O21" si="14">+M16+N16</f>
        <v>24000</v>
      </c>
      <c r="P16" s="475">
        <f>J16+M16</f>
        <v>101000</v>
      </c>
      <c r="Q16" s="301">
        <f>K16+N16</f>
        <v>0</v>
      </c>
      <c r="R16" s="476">
        <f>P16+Q16</f>
        <v>101000</v>
      </c>
      <c r="S16" s="336"/>
    </row>
    <row r="17" spans="2:19" ht="26" x14ac:dyDescent="0.35">
      <c r="B17" s="463" t="s">
        <v>22</v>
      </c>
      <c r="C17" s="330" t="str">
        <f>'1) Tableau budgétaire 1_Révisé'!C359:J359</f>
        <v>Les acteurs impliqués dans la gestion du foncier et des ressources naturelles mettent en œuvre le cadre institutionnel et légal</v>
      </c>
      <c r="D17" s="335">
        <f>'1) Tableau budgétaire 1 initial'!D315</f>
        <v>0</v>
      </c>
      <c r="E17" s="300">
        <f>'1) Tableau budgétaire 1 initial'!E315</f>
        <v>73891.8</v>
      </c>
      <c r="F17" s="299">
        <f>SUM(D17:E17)</f>
        <v>73891.8</v>
      </c>
      <c r="G17" s="336"/>
      <c r="H17" s="309">
        <f t="shared" si="11"/>
        <v>0</v>
      </c>
      <c r="I17" s="310">
        <f t="shared" si="12"/>
        <v>0</v>
      </c>
      <c r="J17" s="322">
        <f>'1) Tableau budgétaire 1_Révisé'!D388</f>
        <v>0</v>
      </c>
      <c r="K17" s="301">
        <f>'1) Tableau budgétaire 1_Révisé'!E388</f>
        <v>73891.8</v>
      </c>
      <c r="L17" s="310">
        <f t="shared" si="13"/>
        <v>73891.8</v>
      </c>
      <c r="M17" s="325">
        <f>SUM('1) Tableau budgétaire 1_Révisé'!O374:O377)</f>
        <v>5000</v>
      </c>
      <c r="N17" s="492">
        <v>687</v>
      </c>
      <c r="O17" s="474">
        <f t="shared" si="14"/>
        <v>5687</v>
      </c>
      <c r="P17" s="475">
        <f>J17+M17</f>
        <v>5000</v>
      </c>
      <c r="Q17" s="301">
        <f>K17+N17</f>
        <v>74578.8</v>
      </c>
      <c r="R17" s="476">
        <f>P17+Q17</f>
        <v>79578.8</v>
      </c>
      <c r="S17" s="336"/>
    </row>
    <row r="18" spans="2:19" ht="43.75" customHeight="1" x14ac:dyDescent="0.35">
      <c r="B18" s="596" t="s">
        <v>23</v>
      </c>
      <c r="C18" s="597"/>
      <c r="D18" s="307">
        <f>SUM(D19:D21)</f>
        <v>151346.62900000002</v>
      </c>
      <c r="E18" s="298">
        <f>SUM(E19:E21)</f>
        <v>0</v>
      </c>
      <c r="F18" s="298">
        <f>SUM(F19:F21)</f>
        <v>151346.62900000002</v>
      </c>
      <c r="G18" s="333">
        <f>F18/$F$30</f>
        <v>6.0538651610645124E-2</v>
      </c>
      <c r="H18" s="307">
        <f>SUM(H19:H21)</f>
        <v>0</v>
      </c>
      <c r="I18" s="308">
        <f>SUM(I19:I21)</f>
        <v>0</v>
      </c>
      <c r="J18" s="307">
        <f>SUM(J19:J21)</f>
        <v>151346.62900000002</v>
      </c>
      <c r="K18" s="298">
        <f>SUM(K19:K21)</f>
        <v>0</v>
      </c>
      <c r="L18" s="308">
        <f>+J18+K18</f>
        <v>151346.62900000002</v>
      </c>
      <c r="M18" s="469">
        <f>SUM(M19:M21)</f>
        <v>96000</v>
      </c>
      <c r="N18" s="493">
        <f>SUM(N19:N21)</f>
        <v>0</v>
      </c>
      <c r="O18" s="471">
        <f>+M18+N18</f>
        <v>96000</v>
      </c>
      <c r="P18" s="472">
        <f>SUM(P19:P21)</f>
        <v>247346.62899999999</v>
      </c>
      <c r="Q18" s="470">
        <f>SUM(Q19:Q21)</f>
        <v>0</v>
      </c>
      <c r="R18" s="471">
        <f>+P18+Q18</f>
        <v>247346.62899999999</v>
      </c>
      <c r="S18" s="340">
        <f>R18/$R$30</f>
        <v>6.1836662035223908E-2</v>
      </c>
    </row>
    <row r="19" spans="2:19" ht="34.4" customHeight="1" x14ac:dyDescent="0.35">
      <c r="B19" s="464" t="s">
        <v>24</v>
      </c>
      <c r="C19" s="331" t="str">
        <f>'1) Tableau budgétaire 1_Révisé'!C403:J403</f>
        <v>Les structures locales d’intercession et de médiation couvrant la région de l’Est du Burkina Faso sont identifiées, répertoriées et évaluées</v>
      </c>
      <c r="D19" s="335">
        <f>'1) Tableau budgétaire 1 initial'!D356</f>
        <v>26656.909</v>
      </c>
      <c r="E19" s="300">
        <f>'1) Tableau budgétaire 1 initial'!E356</f>
        <v>0</v>
      </c>
      <c r="F19" s="299">
        <f>SUM(D19:E19)</f>
        <v>26656.909</v>
      </c>
      <c r="G19" s="334"/>
      <c r="H19" s="309">
        <f t="shared" ref="H19:H21" si="15">J19-D19</f>
        <v>0</v>
      </c>
      <c r="I19" s="310">
        <f t="shared" ref="I19:I21" si="16">K19-E19</f>
        <v>0</v>
      </c>
      <c r="J19" s="322">
        <f>'1) Tableau budgétaire 1_Révisé'!D429</f>
        <v>26656.909</v>
      </c>
      <c r="K19" s="301">
        <f>'1) Tableau budgétaire 1_Révisé'!E429</f>
        <v>0</v>
      </c>
      <c r="L19" s="310">
        <f t="shared" ref="L19:L21" si="17">+J19+K19</f>
        <v>26656.909</v>
      </c>
      <c r="M19" s="322">
        <v>0</v>
      </c>
      <c r="N19" s="301">
        <v>0</v>
      </c>
      <c r="O19" s="474">
        <f t="shared" si="14"/>
        <v>0</v>
      </c>
      <c r="P19" s="475">
        <f t="shared" ref="P19:Q21" si="18">J19+M19</f>
        <v>26656.909</v>
      </c>
      <c r="Q19" s="301">
        <f t="shared" si="18"/>
        <v>0</v>
      </c>
      <c r="R19" s="476">
        <f>P19+Q19</f>
        <v>26656.909</v>
      </c>
      <c r="S19" s="334"/>
    </row>
    <row r="20" spans="2:19" ht="26" x14ac:dyDescent="0.35">
      <c r="B20" s="463" t="s">
        <v>25</v>
      </c>
      <c r="C20" s="332" t="str">
        <f>'1) Tableau budgétaire 1_Révisé'!C430:J430</f>
        <v>Les structures locales d’intercession et de médiation de la région de l’Est sont rendus inclusifs et légitimes, et disposent de capacités à prévenir et gérer les conflits locaux de façon pacifique.</v>
      </c>
      <c r="D20" s="335">
        <f>'1) Tableau budgétaire 1 initial'!D383</f>
        <v>46000</v>
      </c>
      <c r="E20" s="300">
        <f>'1) Tableau budgétaire 1 initial'!E383</f>
        <v>0</v>
      </c>
      <c r="F20" s="299">
        <f>SUM(D20:E20)</f>
        <v>46000</v>
      </c>
      <c r="G20" s="336"/>
      <c r="H20" s="309">
        <f t="shared" si="15"/>
        <v>0</v>
      </c>
      <c r="I20" s="310">
        <f t="shared" si="16"/>
        <v>0</v>
      </c>
      <c r="J20" s="322">
        <f>'1) Tableau budgétaire 1_Révisé'!D476</f>
        <v>46000</v>
      </c>
      <c r="K20" s="301">
        <f>'1) Tableau budgétaire 1_Révisé'!E476</f>
        <v>0</v>
      </c>
      <c r="L20" s="310">
        <f t="shared" si="17"/>
        <v>46000</v>
      </c>
      <c r="M20" s="325">
        <f>SUM('1) Tableau budgétaire 1_Révisé'!O451:O475)</f>
        <v>96000</v>
      </c>
      <c r="N20" s="301">
        <v>0</v>
      </c>
      <c r="O20" s="474">
        <f t="shared" si="14"/>
        <v>96000</v>
      </c>
      <c r="P20" s="475">
        <f t="shared" si="18"/>
        <v>142000</v>
      </c>
      <c r="Q20" s="301">
        <f t="shared" si="18"/>
        <v>0</v>
      </c>
      <c r="R20" s="476">
        <f>P20+Q20</f>
        <v>142000</v>
      </c>
      <c r="S20" s="336"/>
    </row>
    <row r="21" spans="2:19" ht="26" x14ac:dyDescent="0.35">
      <c r="B21" s="463" t="s">
        <v>26</v>
      </c>
      <c r="C21" s="332" t="str">
        <f>'1) Tableau budgétaire 1_Révisé'!C477:J477</f>
        <v>Chacune des communes ciblées dispose d’une analyse locale de conflits complétée par un plan d’action (réalisée conjointement par les structures locales de médiation).</v>
      </c>
      <c r="D21" s="335">
        <f>'1) Tableau budgétaire 1 initial'!D411</f>
        <v>78689.72</v>
      </c>
      <c r="E21" s="300">
        <f>'1) Tableau budgétaire 1 initial'!E411</f>
        <v>0</v>
      </c>
      <c r="F21" s="299">
        <f>SUM(D21:E21)</f>
        <v>78689.72</v>
      </c>
      <c r="G21" s="336"/>
      <c r="H21" s="309">
        <f t="shared" si="15"/>
        <v>0</v>
      </c>
      <c r="I21" s="310">
        <f t="shared" si="16"/>
        <v>0</v>
      </c>
      <c r="J21" s="322">
        <f>'1) Tableau budgétaire 1_Révisé'!D504</f>
        <v>78689.72</v>
      </c>
      <c r="K21" s="301">
        <f>'1) Tableau budgétaire 1_Révisé'!E504</f>
        <v>0</v>
      </c>
      <c r="L21" s="310">
        <f t="shared" si="17"/>
        <v>78689.72</v>
      </c>
      <c r="M21" s="322">
        <v>0</v>
      </c>
      <c r="N21" s="301">
        <v>0</v>
      </c>
      <c r="O21" s="474">
        <f t="shared" si="14"/>
        <v>0</v>
      </c>
      <c r="P21" s="475">
        <f t="shared" si="18"/>
        <v>78689.72</v>
      </c>
      <c r="Q21" s="301">
        <f t="shared" si="18"/>
        <v>0</v>
      </c>
      <c r="R21" s="476">
        <f>P21+Q21</f>
        <v>78689.72</v>
      </c>
      <c r="S21" s="336"/>
    </row>
    <row r="22" spans="2:19" x14ac:dyDescent="0.35">
      <c r="B22" s="600" t="s">
        <v>27</v>
      </c>
      <c r="C22" s="601"/>
      <c r="D22" s="314">
        <f>D18+D11+D7+D15</f>
        <v>934394.08899999992</v>
      </c>
      <c r="E22" s="303">
        <f>E18+E11+E7+E15</f>
        <v>688890.8</v>
      </c>
      <c r="F22" s="303">
        <f>F18+F11+F7+F15</f>
        <v>1623284.889</v>
      </c>
      <c r="G22" s="333"/>
      <c r="H22" s="314">
        <f>H18+H11+H7+H15</f>
        <v>75000</v>
      </c>
      <c r="I22" s="315">
        <f>I18+I11+I7+I15</f>
        <v>0</v>
      </c>
      <c r="J22" s="314">
        <f>J18+J11+J7+J15</f>
        <v>1009394.0889999999</v>
      </c>
      <c r="K22" s="303">
        <f>K18+K11+K7+K15</f>
        <v>688890.8</v>
      </c>
      <c r="L22" s="324">
        <f>+J22+K22</f>
        <v>1698284.889</v>
      </c>
      <c r="M22" s="477">
        <f>M18+M11+M7+M15</f>
        <v>555000</v>
      </c>
      <c r="N22" s="478">
        <f>N18+N11+N7+N15</f>
        <v>381051.38</v>
      </c>
      <c r="O22" s="479">
        <f>+M22+N22</f>
        <v>936051.38</v>
      </c>
      <c r="P22" s="480">
        <f>P18+P11+P7+P15</f>
        <v>1564394.0889999999</v>
      </c>
      <c r="Q22" s="478">
        <f>Q18+Q11+Q7+Q15</f>
        <v>1069942.18</v>
      </c>
      <c r="R22" s="479">
        <f>+P22+Q22</f>
        <v>2634336.2689999999</v>
      </c>
      <c r="S22" s="333"/>
    </row>
    <row r="23" spans="2:19" ht="29.15" customHeight="1" x14ac:dyDescent="0.35">
      <c r="B23" s="598" t="s">
        <v>28</v>
      </c>
      <c r="C23" s="599"/>
      <c r="D23" s="307">
        <f>SUM(D24:D27)</f>
        <v>574951.70872</v>
      </c>
      <c r="E23" s="298">
        <f>SUM(E24:E27)</f>
        <v>138212</v>
      </c>
      <c r="F23" s="298">
        <f t="shared" ref="F23:I23" si="19">SUM(F24:F27)</f>
        <v>713163.70872</v>
      </c>
      <c r="G23" s="333">
        <f>F23/$F$30</f>
        <v>0.28526548353816111</v>
      </c>
      <c r="H23" s="307">
        <f t="shared" si="19"/>
        <v>-75000</v>
      </c>
      <c r="I23" s="308">
        <f t="shared" si="19"/>
        <v>0</v>
      </c>
      <c r="J23" s="307">
        <f>SUM(J24:J27)</f>
        <v>499951.70872</v>
      </c>
      <c r="K23" s="298">
        <f>SUM(K24:K27)</f>
        <v>138212</v>
      </c>
      <c r="L23" s="324">
        <f t="shared" ref="L23" si="20">SUM(L24:L27)</f>
        <v>638163.70872</v>
      </c>
      <c r="M23" s="469">
        <f>SUM(M24:M27)</f>
        <v>286121.49</v>
      </c>
      <c r="N23" s="470">
        <f>SUM(N24:N27)</f>
        <v>179696</v>
      </c>
      <c r="O23" s="479">
        <f t="shared" ref="O23" si="21">SUM(O24:O27)</f>
        <v>465817.49</v>
      </c>
      <c r="P23" s="472">
        <f>SUM(P24:P27)</f>
        <v>786073.19871999999</v>
      </c>
      <c r="Q23" s="470">
        <f>SUM(Q24:Q27)</f>
        <v>317908</v>
      </c>
      <c r="R23" s="479">
        <f t="shared" ref="R23" si="22">SUM(R24:R27)</f>
        <v>1103981.19872</v>
      </c>
      <c r="S23" s="340">
        <f>R23/$R$30</f>
        <v>0.27599532103787033</v>
      </c>
    </row>
    <row r="24" spans="2:19" x14ac:dyDescent="0.35">
      <c r="B24" s="466">
        <v>5.0999999999999996</v>
      </c>
      <c r="C24" s="330" t="s">
        <v>29</v>
      </c>
      <c r="D24" s="335">
        <f>SUM('1) Tableau budgétaire 1 initial'!D426:D432)</f>
        <v>281221.70872</v>
      </c>
      <c r="E24" s="300">
        <f>SUM('1) Tableau budgétaire 1 initial'!E426:E432)</f>
        <v>68652</v>
      </c>
      <c r="F24" s="299">
        <f t="shared" ref="F24:F30" si="23">SUM(D24:E24)</f>
        <v>349873.70872</v>
      </c>
      <c r="G24" s="334"/>
      <c r="H24" s="309">
        <f t="shared" ref="H24:H27" si="24">J24-D24</f>
        <v>-75000</v>
      </c>
      <c r="I24" s="310">
        <f t="shared" ref="I24:I27" si="25">K24-E24</f>
        <v>0</v>
      </c>
      <c r="J24" s="325">
        <f>SUM('1) Tableau budgétaire 1_Révisé'!D519:D525)</f>
        <v>206221.70872</v>
      </c>
      <c r="K24" s="301">
        <f>SUM('1) Tableau budgétaire 1_Révisé'!E519:E525)</f>
        <v>68652</v>
      </c>
      <c r="L24" s="323">
        <f t="shared" ref="L24:L27" si="26">+J24+K24</f>
        <v>274873.70872</v>
      </c>
      <c r="M24" s="322">
        <f>SUM('1) Tableau budgétaire 1_Révisé'!O540:O551)</f>
        <v>134230.12</v>
      </c>
      <c r="N24" s="322">
        <f>SUM('1) Tableau budgétaire 1_Révisé'!P540:P551)-3279</f>
        <v>83062</v>
      </c>
      <c r="O24" s="474">
        <f t="shared" ref="O24:O27" si="27">+M24+N24</f>
        <v>217292.12</v>
      </c>
      <c r="P24" s="475">
        <f t="shared" ref="P24:Q27" si="28">J24+M24</f>
        <v>340451.82871999999</v>
      </c>
      <c r="Q24" s="301">
        <f t="shared" si="28"/>
        <v>151714</v>
      </c>
      <c r="R24" s="476">
        <f>P24+Q24</f>
        <v>492165.82871999999</v>
      </c>
      <c r="S24" s="334"/>
    </row>
    <row r="25" spans="2:19" x14ac:dyDescent="0.35">
      <c r="B25" s="466">
        <v>5.2</v>
      </c>
      <c r="C25" s="329" t="s">
        <v>30</v>
      </c>
      <c r="D25" s="337">
        <f>SUM('1) Tableau budgétaire 1 initial'!D438:D441)</f>
        <v>160000</v>
      </c>
      <c r="E25" s="304">
        <f>SUM('1) Tableau budgétaire 1 initial'!E438:E441)</f>
        <v>69560</v>
      </c>
      <c r="F25" s="299">
        <f t="shared" si="23"/>
        <v>229560</v>
      </c>
      <c r="G25" s="336"/>
      <c r="H25" s="309">
        <f t="shared" si="24"/>
        <v>0</v>
      </c>
      <c r="I25" s="310">
        <f t="shared" si="25"/>
        <v>0</v>
      </c>
      <c r="J25" s="322">
        <f>SUM('1) Tableau budgétaire 1_Révisé'!D531:D534)</f>
        <v>160000</v>
      </c>
      <c r="K25" s="301">
        <f>SUM('1) Tableau budgétaire 1_Révisé'!E531:E534)</f>
        <v>69560</v>
      </c>
      <c r="L25" s="310">
        <f t="shared" si="26"/>
        <v>229560</v>
      </c>
      <c r="M25" s="322">
        <f>SUM('1) Tableau budgétaire 1_Révisé'!O552:O555)</f>
        <v>47000</v>
      </c>
      <c r="N25" s="322">
        <f>SUM('1) Tableau budgétaire 1_Révisé'!P552:P555)</f>
        <v>38843</v>
      </c>
      <c r="O25" s="474">
        <f t="shared" si="27"/>
        <v>85843</v>
      </c>
      <c r="P25" s="475">
        <f t="shared" si="28"/>
        <v>207000</v>
      </c>
      <c r="Q25" s="301">
        <f t="shared" si="28"/>
        <v>108403</v>
      </c>
      <c r="R25" s="476">
        <f>P25+Q25</f>
        <v>315403</v>
      </c>
      <c r="S25" s="336"/>
    </row>
    <row r="26" spans="2:19" x14ac:dyDescent="0.35">
      <c r="B26" s="466">
        <v>5.3</v>
      </c>
      <c r="C26" s="329" t="s">
        <v>31</v>
      </c>
      <c r="D26" s="318">
        <f>'1) Tableau budgétaire 1 initial'!D442</f>
        <v>83730</v>
      </c>
      <c r="E26" s="305">
        <f>'1) Tableau budgétaire 1 initial'!E442</f>
        <v>0</v>
      </c>
      <c r="F26" s="299">
        <f t="shared" si="23"/>
        <v>83730</v>
      </c>
      <c r="G26" s="336"/>
      <c r="H26" s="309">
        <f t="shared" si="24"/>
        <v>0</v>
      </c>
      <c r="I26" s="310">
        <f t="shared" si="25"/>
        <v>0</v>
      </c>
      <c r="J26" s="322">
        <f>SUM('1) Tableau budgétaire 1_Révisé'!D535)</f>
        <v>83730</v>
      </c>
      <c r="K26" s="301">
        <f>SUM('1) Tableau budgétaire 1_Révisé'!E535)</f>
        <v>0</v>
      </c>
      <c r="L26" s="310">
        <f t="shared" si="26"/>
        <v>83730</v>
      </c>
      <c r="M26" s="322">
        <f>SUM('1) Tableau budgétaire 1_Révisé'!O556:O559)</f>
        <v>64891.37</v>
      </c>
      <c r="N26" s="322">
        <f>SUM('1) Tableau budgétaire 1_Révisé'!P556:P559)</f>
        <v>57791</v>
      </c>
      <c r="O26" s="474">
        <f t="shared" si="27"/>
        <v>122682.37</v>
      </c>
      <c r="P26" s="475">
        <f t="shared" si="28"/>
        <v>148621.37</v>
      </c>
      <c r="Q26" s="301">
        <f t="shared" si="28"/>
        <v>57791</v>
      </c>
      <c r="R26" s="476">
        <f>P26+Q26</f>
        <v>206412.37</v>
      </c>
      <c r="S26" s="336"/>
    </row>
    <row r="27" spans="2:19" x14ac:dyDescent="0.35">
      <c r="B27" s="466">
        <v>5.4</v>
      </c>
      <c r="C27" s="329" t="s">
        <v>32</v>
      </c>
      <c r="D27" s="318">
        <f>'1) Tableau budgétaire 1 initial'!D446</f>
        <v>50000</v>
      </c>
      <c r="E27" s="305">
        <f>'1) Tableau budgétaire 1 initial'!E446</f>
        <v>0</v>
      </c>
      <c r="F27" s="299">
        <f t="shared" si="23"/>
        <v>50000</v>
      </c>
      <c r="G27" s="336"/>
      <c r="H27" s="309">
        <f t="shared" si="24"/>
        <v>0</v>
      </c>
      <c r="I27" s="310">
        <f t="shared" si="25"/>
        <v>0</v>
      </c>
      <c r="J27" s="322">
        <f>'1) Tableau budgétaire 1_Révisé'!D539</f>
        <v>50000</v>
      </c>
      <c r="K27" s="301">
        <f>'1) Tableau budgétaire 1_Révisé'!E539</f>
        <v>0</v>
      </c>
      <c r="L27" s="310">
        <f t="shared" si="26"/>
        <v>50000</v>
      </c>
      <c r="M27" s="322">
        <f>SUM('1) Tableau budgétaire 1_Révisé'!O560)</f>
        <v>40000</v>
      </c>
      <c r="N27" s="322"/>
      <c r="O27" s="474">
        <f t="shared" si="27"/>
        <v>40000</v>
      </c>
      <c r="P27" s="475">
        <f t="shared" si="28"/>
        <v>90000</v>
      </c>
      <c r="Q27" s="301">
        <f t="shared" si="28"/>
        <v>0</v>
      </c>
      <c r="R27" s="476">
        <f>P27+Q27</f>
        <v>90000</v>
      </c>
      <c r="S27" s="336"/>
    </row>
    <row r="28" spans="2:19" x14ac:dyDescent="0.35">
      <c r="B28" s="600" t="s">
        <v>33</v>
      </c>
      <c r="C28" s="601"/>
      <c r="D28" s="316">
        <f>+D23+D22</f>
        <v>1509345.7977199999</v>
      </c>
      <c r="E28" s="306">
        <f>+E23+E22</f>
        <v>827102.8</v>
      </c>
      <c r="F28" s="297">
        <f t="shared" si="23"/>
        <v>2336448.59772</v>
      </c>
      <c r="G28" s="333">
        <f>F28/$F$30</f>
        <v>0.93457943925233644</v>
      </c>
      <c r="H28" s="316">
        <f>+H23+H22</f>
        <v>0</v>
      </c>
      <c r="I28" s="317">
        <f>SUM(G28:H28)</f>
        <v>0.93457943925233644</v>
      </c>
      <c r="J28" s="316">
        <f>+J23+J22</f>
        <v>1509345.7977199999</v>
      </c>
      <c r="K28" s="306">
        <f>+K23+K22</f>
        <v>827102.8</v>
      </c>
      <c r="L28" s="308">
        <f t="shared" ref="L28:L30" si="29">+J28+K28</f>
        <v>2336448.59772</v>
      </c>
      <c r="M28" s="481">
        <f>+M23+M22</f>
        <v>841121.49</v>
      </c>
      <c r="N28" s="482">
        <f>+N23+N22</f>
        <v>560747.38</v>
      </c>
      <c r="O28" s="471">
        <f t="shared" ref="O28:O30" si="30">+M28+N28</f>
        <v>1401868.87</v>
      </c>
      <c r="P28" s="483">
        <f>+P23+P22</f>
        <v>2350467.2877199999</v>
      </c>
      <c r="Q28" s="482">
        <f>+Q23+Q22</f>
        <v>1387850.18</v>
      </c>
      <c r="R28" s="471">
        <f t="shared" ref="R28:R30" si="31">+P28+Q28</f>
        <v>3738317.4677200001</v>
      </c>
      <c r="S28" s="340">
        <f>R28/$R$30</f>
        <v>0.93457943925233655</v>
      </c>
    </row>
    <row r="29" spans="2:19" ht="15" customHeight="1" x14ac:dyDescent="0.35">
      <c r="B29" s="602" t="s">
        <v>34</v>
      </c>
      <c r="C29" s="603"/>
      <c r="D29" s="318">
        <f>D28*7%</f>
        <v>105654.2058404</v>
      </c>
      <c r="E29" s="305">
        <f>E28*7%</f>
        <v>57897.196000000011</v>
      </c>
      <c r="F29" s="305">
        <f t="shared" si="23"/>
        <v>163551.40184040001</v>
      </c>
      <c r="G29" s="319"/>
      <c r="H29" s="318">
        <f>H28*7%</f>
        <v>0</v>
      </c>
      <c r="I29" s="319">
        <f>SUM(G29:H29)</f>
        <v>0</v>
      </c>
      <c r="J29" s="318">
        <f>J28*7%</f>
        <v>105654.2058404</v>
      </c>
      <c r="K29" s="305">
        <f>K28*7%</f>
        <v>57897.196000000011</v>
      </c>
      <c r="L29" s="326">
        <f t="shared" si="29"/>
        <v>163551.40184040001</v>
      </c>
      <c r="M29" s="484">
        <f>M28*0.07</f>
        <v>58878.504300000008</v>
      </c>
      <c r="N29" s="485">
        <f>N28*7%</f>
        <v>39252.316600000006</v>
      </c>
      <c r="O29" s="476">
        <f t="shared" si="30"/>
        <v>98130.820900000021</v>
      </c>
      <c r="P29" s="486">
        <f>P28*7%</f>
        <v>164532.71014040001</v>
      </c>
      <c r="Q29" s="485">
        <f>Q28*7%</f>
        <v>97149.512600000002</v>
      </c>
      <c r="R29" s="476">
        <f t="shared" si="31"/>
        <v>261682.2227404</v>
      </c>
      <c r="S29" s="319"/>
    </row>
    <row r="30" spans="2:19" ht="15" thickBot="1" x14ac:dyDescent="0.4">
      <c r="B30" s="604" t="s">
        <v>35</v>
      </c>
      <c r="C30" s="605"/>
      <c r="D30" s="320">
        <f>D29+D28</f>
        <v>1615000.0035603999</v>
      </c>
      <c r="E30" s="327">
        <f>E29+E28</f>
        <v>884999.99600000004</v>
      </c>
      <c r="F30" s="327">
        <f t="shared" si="23"/>
        <v>2499999.9995603999</v>
      </c>
      <c r="G30" s="333">
        <f>F30/$F$30</f>
        <v>1</v>
      </c>
      <c r="H30" s="320">
        <f>H29+H28</f>
        <v>0</v>
      </c>
      <c r="I30" s="321">
        <f>SUM(G30:H30)</f>
        <v>1</v>
      </c>
      <c r="J30" s="320">
        <f>J29+J28</f>
        <v>1615000.0035603999</v>
      </c>
      <c r="K30" s="327">
        <f>K29+K28</f>
        <v>884999.99600000004</v>
      </c>
      <c r="L30" s="328">
        <f t="shared" si="29"/>
        <v>2499999.9995603999</v>
      </c>
      <c r="M30" s="487">
        <f>M29+M28</f>
        <v>899999.99430000002</v>
      </c>
      <c r="N30" s="488">
        <f>N29+N28</f>
        <v>599999.69660000002</v>
      </c>
      <c r="O30" s="489">
        <f t="shared" si="30"/>
        <v>1499999.6909</v>
      </c>
      <c r="P30" s="490">
        <f>P29+P28</f>
        <v>2514999.9978604</v>
      </c>
      <c r="Q30" s="488">
        <f>Q29+Q28</f>
        <v>1484999.6926</v>
      </c>
      <c r="R30" s="489">
        <f t="shared" si="31"/>
        <v>3999999.6904603997</v>
      </c>
      <c r="S30" s="340">
        <f>R30/$R$30</f>
        <v>1</v>
      </c>
    </row>
    <row r="31" spans="2:19" ht="15" thickBot="1" x14ac:dyDescent="0.4">
      <c r="B31" s="136"/>
      <c r="C31" s="137"/>
      <c r="D31" s="138"/>
      <c r="E31" s="138"/>
      <c r="F31" s="138"/>
      <c r="G31" s="139"/>
    </row>
    <row r="32" spans="2:19" ht="15" thickBot="1" x14ac:dyDescent="0.4">
      <c r="B32" s="140"/>
      <c r="C32" s="190" t="s">
        <v>36</v>
      </c>
      <c r="D32" s="191" t="s">
        <v>7</v>
      </c>
      <c r="E32" s="191" t="s">
        <v>8</v>
      </c>
      <c r="F32" s="191" t="s">
        <v>37</v>
      </c>
    </row>
    <row r="33" spans="3:18" ht="15" thickBot="1" x14ac:dyDescent="0.4">
      <c r="C33" s="192" t="s">
        <v>38</v>
      </c>
      <c r="D33" s="193">
        <f>D30*35%</f>
        <v>565250.00124613987</v>
      </c>
      <c r="E33" s="193">
        <f t="shared" ref="E33" si="32">E30*35%</f>
        <v>309749.99859999999</v>
      </c>
      <c r="F33" s="193">
        <f>SUM(D33:E33)</f>
        <v>874999.99984613992</v>
      </c>
      <c r="G33" s="135"/>
    </row>
    <row r="34" spans="3:18" ht="15" thickBot="1" x14ac:dyDescent="0.4">
      <c r="C34" s="192" t="s">
        <v>39</v>
      </c>
      <c r="D34" s="193">
        <f>D30*35%</f>
        <v>565250.00124613987</v>
      </c>
      <c r="E34" s="193">
        <f t="shared" ref="E34" si="33">E30*35%</f>
        <v>309749.99859999999</v>
      </c>
      <c r="F34" s="193">
        <f>SUM(D34:E34)</f>
        <v>874999.99984613992</v>
      </c>
      <c r="G34" s="135"/>
    </row>
    <row r="35" spans="3:18" ht="15" thickBot="1" x14ac:dyDescent="0.4">
      <c r="C35" s="192" t="s">
        <v>40</v>
      </c>
      <c r="D35" s="193">
        <f>D30*30%</f>
        <v>484500.00106811995</v>
      </c>
      <c r="E35" s="193">
        <f t="shared" ref="E35" si="34">E30*30%</f>
        <v>265499.9988</v>
      </c>
      <c r="F35" s="193">
        <f>SUM(D35:E35)</f>
        <v>749999.99986811995</v>
      </c>
      <c r="G35" s="135"/>
    </row>
    <row r="36" spans="3:18" ht="15" thickBot="1" x14ac:dyDescent="0.4">
      <c r="C36" s="190" t="s">
        <v>485</v>
      </c>
      <c r="D36" s="193">
        <f>'1) Tableau budgétaire 1_Révisé'!O583</f>
        <v>600000</v>
      </c>
      <c r="E36" s="193">
        <f>'1) Tableau budgétaire 1_Révisé'!P583</f>
        <v>300000</v>
      </c>
      <c r="F36" s="193">
        <f t="shared" ref="F36:F37" si="35">SUM(D36:E36)</f>
        <v>900000</v>
      </c>
      <c r="G36" s="135"/>
    </row>
    <row r="37" spans="3:18" ht="15" thickBot="1" x14ac:dyDescent="0.4">
      <c r="C37" s="190" t="s">
        <v>486</v>
      </c>
      <c r="D37" s="193">
        <f>'1) Tableau budgétaire 1_Révisé'!O584</f>
        <v>300000</v>
      </c>
      <c r="E37" s="193">
        <f>'1) Tableau budgétaire 1_Révisé'!P584</f>
        <v>300000</v>
      </c>
      <c r="F37" s="193">
        <f t="shared" si="35"/>
        <v>600000</v>
      </c>
      <c r="G37" s="135"/>
    </row>
    <row r="38" spans="3:18" x14ac:dyDescent="0.35">
      <c r="D38" s="135"/>
      <c r="E38" s="135"/>
      <c r="F38" s="135"/>
      <c r="G38" s="135"/>
    </row>
    <row r="39" spans="3:18" x14ac:dyDescent="0.35">
      <c r="D39" s="135"/>
      <c r="E39" s="135"/>
      <c r="F39" s="135"/>
      <c r="G39" s="135"/>
    </row>
    <row r="40" spans="3:18" ht="15" thickBot="1" x14ac:dyDescent="0.4">
      <c r="D40" s="135"/>
      <c r="E40" s="135"/>
      <c r="F40" s="135"/>
      <c r="G40" s="135"/>
    </row>
    <row r="41" spans="3:18" ht="26" customHeight="1" thickBot="1" x14ac:dyDescent="0.4">
      <c r="C41" s="285" t="s">
        <v>41</v>
      </c>
      <c r="D41" s="585" t="s">
        <v>2</v>
      </c>
      <c r="E41" s="586"/>
      <c r="F41" s="587"/>
      <c r="G41" s="583" t="s">
        <v>3</v>
      </c>
      <c r="H41" s="584"/>
      <c r="I41" s="585" t="s">
        <v>4</v>
      </c>
      <c r="J41" s="586"/>
      <c r="K41" s="587"/>
      <c r="L41" s="574" t="s">
        <v>949</v>
      </c>
      <c r="M41" s="575"/>
      <c r="N41" s="576"/>
      <c r="O41" s="571" t="s">
        <v>940</v>
      </c>
      <c r="P41" s="572"/>
      <c r="Q41" s="573"/>
      <c r="R41" s="500"/>
    </row>
    <row r="42" spans="3:18" ht="31.5" thickBot="1" x14ac:dyDescent="0.4">
      <c r="C42" s="156"/>
      <c r="D42" s="159" t="s">
        <v>42</v>
      </c>
      <c r="E42" s="160" t="s">
        <v>43</v>
      </c>
      <c r="F42" s="588" t="s">
        <v>44</v>
      </c>
      <c r="G42" s="501" t="s">
        <v>42</v>
      </c>
      <c r="H42" s="502" t="s">
        <v>43</v>
      </c>
      <c r="I42" s="501" t="s">
        <v>42</v>
      </c>
      <c r="J42" s="503" t="s">
        <v>43</v>
      </c>
      <c r="K42" s="569" t="s">
        <v>44</v>
      </c>
      <c r="L42" s="501" t="s">
        <v>42</v>
      </c>
      <c r="M42" s="502" t="s">
        <v>43</v>
      </c>
      <c r="N42" s="569" t="s">
        <v>44</v>
      </c>
      <c r="O42" s="159" t="s">
        <v>42</v>
      </c>
      <c r="P42" s="160" t="s">
        <v>43</v>
      </c>
      <c r="Q42" s="569" t="s">
        <v>44</v>
      </c>
    </row>
    <row r="43" spans="3:18" ht="16" thickBot="1" x14ac:dyDescent="0.4">
      <c r="C43" s="157"/>
      <c r="D43" s="161" t="s">
        <v>7</v>
      </c>
      <c r="E43" s="36" t="s">
        <v>8</v>
      </c>
      <c r="F43" s="589"/>
      <c r="G43" s="504" t="s">
        <v>7</v>
      </c>
      <c r="H43" s="505" t="s">
        <v>8</v>
      </c>
      <c r="I43" s="504" t="s">
        <v>7</v>
      </c>
      <c r="J43" s="506" t="s">
        <v>8</v>
      </c>
      <c r="K43" s="570"/>
      <c r="L43" s="504" t="s">
        <v>7</v>
      </c>
      <c r="M43" s="506" t="s">
        <v>8</v>
      </c>
      <c r="N43" s="570"/>
      <c r="O43" s="161" t="s">
        <v>7</v>
      </c>
      <c r="P43" s="36" t="s">
        <v>8</v>
      </c>
      <c r="Q43" s="570"/>
    </row>
    <row r="44" spans="3:18" ht="15.5" x14ac:dyDescent="0.35">
      <c r="C44" s="147" t="s">
        <v>45</v>
      </c>
      <c r="D44" s="510">
        <f>'2) Tableau budgétaire 2'!D190</f>
        <v>281221.70872</v>
      </c>
      <c r="E44" s="511">
        <f>'2) Tableau budgétaire 2'!E190</f>
        <v>68652</v>
      </c>
      <c r="F44" s="512">
        <f>'2) Tableau budgétaire 2'!G190</f>
        <v>349873.70872</v>
      </c>
      <c r="G44" s="510">
        <f>I44-D44</f>
        <v>-75000</v>
      </c>
      <c r="H44" s="510">
        <f>J44-E44</f>
        <v>0</v>
      </c>
      <c r="I44" s="510">
        <f>'2) Tableau budgétaire 2'!K190</f>
        <v>206221.70872</v>
      </c>
      <c r="J44" s="510">
        <f>'2) Tableau budgétaire 2'!L190</f>
        <v>68652</v>
      </c>
      <c r="K44" s="513">
        <f>I44+J44</f>
        <v>274873.70872</v>
      </c>
      <c r="L44" s="510">
        <v>134230.12</v>
      </c>
      <c r="M44" s="510">
        <v>88063</v>
      </c>
      <c r="N44" s="510">
        <f>L44+M44</f>
        <v>222293.12</v>
      </c>
      <c r="O44" s="510">
        <f>I44+L44</f>
        <v>340451.82871999999</v>
      </c>
      <c r="P44" s="510">
        <f>J44+M44</f>
        <v>156715</v>
      </c>
      <c r="Q44" s="510">
        <f>O44+P44</f>
        <v>497166.82871999999</v>
      </c>
    </row>
    <row r="45" spans="3:18" ht="15.5" x14ac:dyDescent="0.35">
      <c r="C45" s="148" t="s">
        <v>46</v>
      </c>
      <c r="D45" s="510">
        <f>'2) Tableau budgétaire 2'!D191</f>
        <v>10000</v>
      </c>
      <c r="E45" s="511">
        <f>'2) Tableau budgétaire 2'!E191</f>
        <v>246120</v>
      </c>
      <c r="F45" s="512">
        <f>'2) Tableau budgétaire 2'!G191</f>
        <v>256120</v>
      </c>
      <c r="G45" s="510">
        <f t="shared" ref="G45:G53" si="36">I45-D45</f>
        <v>0</v>
      </c>
      <c r="H45" s="510">
        <f t="shared" ref="H45:H53" si="37">J45-E45</f>
        <v>30600</v>
      </c>
      <c r="I45" s="510">
        <f>'2) Tableau budgétaire 2'!K191</f>
        <v>10000</v>
      </c>
      <c r="J45" s="510">
        <f>'2) Tableau budgétaire 2'!L191</f>
        <v>276720</v>
      </c>
      <c r="K45" s="513">
        <f t="shared" ref="K45:K53" si="38">I45+J45</f>
        <v>286720</v>
      </c>
      <c r="L45" s="510">
        <v>146000</v>
      </c>
      <c r="M45" s="510">
        <v>62051</v>
      </c>
      <c r="N45" s="510">
        <f t="shared" ref="N45:N53" si="39">L45+M45</f>
        <v>208051</v>
      </c>
      <c r="O45" s="510">
        <f t="shared" ref="O45:O50" si="40">I45+L45</f>
        <v>156000</v>
      </c>
      <c r="P45" s="510">
        <f t="shared" ref="P45:P50" si="41">J45+M45</f>
        <v>338771</v>
      </c>
      <c r="Q45" s="510">
        <f t="shared" ref="Q45:Q53" si="42">O45+P45</f>
        <v>494771</v>
      </c>
    </row>
    <row r="46" spans="3:18" ht="15.5" x14ac:dyDescent="0.35">
      <c r="C46" s="148" t="s">
        <v>47</v>
      </c>
      <c r="D46" s="510">
        <f>'2) Tableau budgétaire 2'!D192</f>
        <v>77500</v>
      </c>
      <c r="E46" s="511">
        <f>'2) Tableau budgétaire 2'!E192</f>
        <v>0</v>
      </c>
      <c r="F46" s="512">
        <f>'2) Tableau budgétaire 2'!G192</f>
        <v>77500</v>
      </c>
      <c r="G46" s="510">
        <f t="shared" si="36"/>
        <v>0</v>
      </c>
      <c r="H46" s="510">
        <f t="shared" si="37"/>
        <v>0</v>
      </c>
      <c r="I46" s="510">
        <f>'2) Tableau budgétaire 2'!K192</f>
        <v>77500</v>
      </c>
      <c r="J46" s="510">
        <f>'2) Tableau budgétaire 2'!L192</f>
        <v>0</v>
      </c>
      <c r="K46" s="513">
        <f t="shared" si="38"/>
        <v>77500</v>
      </c>
      <c r="L46" s="510">
        <v>0</v>
      </c>
      <c r="M46" s="510">
        <v>12572</v>
      </c>
      <c r="N46" s="510">
        <f t="shared" si="39"/>
        <v>12572</v>
      </c>
      <c r="O46" s="510">
        <f t="shared" si="40"/>
        <v>77500</v>
      </c>
      <c r="P46" s="510">
        <f t="shared" si="41"/>
        <v>12572</v>
      </c>
      <c r="Q46" s="510">
        <f t="shared" si="42"/>
        <v>90072</v>
      </c>
    </row>
    <row r="47" spans="3:18" ht="15.5" x14ac:dyDescent="0.35">
      <c r="C47" s="149" t="s">
        <v>48</v>
      </c>
      <c r="D47" s="510">
        <f>'2) Tableau budgétaire 2'!D193</f>
        <v>158943.93</v>
      </c>
      <c r="E47" s="511">
        <f>'2) Tableau budgétaire 2'!E193</f>
        <v>115000</v>
      </c>
      <c r="F47" s="512">
        <f>'2) Tableau budgétaire 2'!G193</f>
        <v>273943.93</v>
      </c>
      <c r="G47" s="510">
        <f t="shared" si="36"/>
        <v>50000</v>
      </c>
      <c r="H47" s="510">
        <f t="shared" si="37"/>
        <v>1374</v>
      </c>
      <c r="I47" s="510">
        <f>'2) Tableau budgétaire 2'!K193</f>
        <v>208943.93</v>
      </c>
      <c r="J47" s="510">
        <f>'2) Tableau budgétaire 2'!L193</f>
        <v>116374</v>
      </c>
      <c r="K47" s="513">
        <f t="shared" si="38"/>
        <v>325317.93</v>
      </c>
      <c r="L47" s="510">
        <v>62500</v>
      </c>
      <c r="M47" s="510">
        <v>303558</v>
      </c>
      <c r="N47" s="510">
        <f t="shared" si="39"/>
        <v>366058</v>
      </c>
      <c r="O47" s="510">
        <f t="shared" si="40"/>
        <v>271443.93</v>
      </c>
      <c r="P47" s="510">
        <f t="shared" si="41"/>
        <v>419932</v>
      </c>
      <c r="Q47" s="510">
        <f t="shared" si="42"/>
        <v>691375.92999999993</v>
      </c>
    </row>
    <row r="48" spans="3:18" ht="15.5" x14ac:dyDescent="0.35">
      <c r="C48" s="148" t="s">
        <v>49</v>
      </c>
      <c r="D48" s="510">
        <f>'2) Tableau budgétaire 2'!D194</f>
        <v>26400</v>
      </c>
      <c r="E48" s="511">
        <f>'2) Tableau budgétaire 2'!E194</f>
        <v>25000</v>
      </c>
      <c r="F48" s="512">
        <f>'2) Tableau budgétaire 2'!G194</f>
        <v>51400</v>
      </c>
      <c r="G48" s="510">
        <f t="shared" si="36"/>
        <v>0</v>
      </c>
      <c r="H48" s="510">
        <f t="shared" si="37"/>
        <v>0</v>
      </c>
      <c r="I48" s="510">
        <f>'2) Tableau budgétaire 2'!K194</f>
        <v>26400</v>
      </c>
      <c r="J48" s="510">
        <f>'2) Tableau budgétaire 2'!L194</f>
        <v>25000</v>
      </c>
      <c r="K48" s="513">
        <f t="shared" si="38"/>
        <v>51400</v>
      </c>
      <c r="L48" s="510">
        <v>7000</v>
      </c>
      <c r="M48" s="510">
        <v>92391</v>
      </c>
      <c r="N48" s="510">
        <f t="shared" si="39"/>
        <v>99391</v>
      </c>
      <c r="O48" s="510">
        <f t="shared" si="40"/>
        <v>33400</v>
      </c>
      <c r="P48" s="510">
        <f t="shared" si="41"/>
        <v>117391</v>
      </c>
      <c r="Q48" s="510">
        <f t="shared" si="42"/>
        <v>150791</v>
      </c>
    </row>
    <row r="49" spans="3:17" ht="15.5" x14ac:dyDescent="0.35">
      <c r="C49" s="148" t="s">
        <v>50</v>
      </c>
      <c r="D49" s="510">
        <f>'2) Tableau budgétaire 2'!D195</f>
        <v>679760.43900000001</v>
      </c>
      <c r="E49" s="511">
        <f>'2) Tableau budgétaire 2'!E195</f>
        <v>156879</v>
      </c>
      <c r="F49" s="512">
        <f>'2) Tableau budgétaire 2'!G195</f>
        <v>836639.43900000001</v>
      </c>
      <c r="G49" s="510">
        <f t="shared" si="36"/>
        <v>25000</v>
      </c>
      <c r="H49" s="510">
        <f t="shared" si="37"/>
        <v>-31974</v>
      </c>
      <c r="I49" s="510">
        <f>'2) Tableau budgétaire 2'!K195</f>
        <v>704760.43900000001</v>
      </c>
      <c r="J49" s="510">
        <f>'2) Tableau budgétaire 2'!L195</f>
        <v>124905</v>
      </c>
      <c r="K49" s="513">
        <f t="shared" si="38"/>
        <v>829665.43900000001</v>
      </c>
      <c r="L49" s="510">
        <v>229500</v>
      </c>
      <c r="M49" s="510">
        <v>10600</v>
      </c>
      <c r="N49" s="510">
        <f t="shared" si="39"/>
        <v>240100</v>
      </c>
      <c r="O49" s="510">
        <f t="shared" si="40"/>
        <v>934260.43900000001</v>
      </c>
      <c r="P49" s="510">
        <f t="shared" si="41"/>
        <v>135505</v>
      </c>
      <c r="Q49" s="510">
        <f t="shared" si="42"/>
        <v>1069765.439</v>
      </c>
    </row>
    <row r="50" spans="3:17" ht="15.5" x14ac:dyDescent="0.35">
      <c r="C50" s="148" t="s">
        <v>51</v>
      </c>
      <c r="D50" s="510">
        <f>'2) Tableau budgétaire 2'!D196</f>
        <v>275519.71999999997</v>
      </c>
      <c r="E50" s="511">
        <f>'2) Tableau budgétaire 2'!E196</f>
        <v>215451.8</v>
      </c>
      <c r="F50" s="512">
        <f>'2) Tableau budgétaire 2'!G196</f>
        <v>490971.51999999996</v>
      </c>
      <c r="G50" s="510">
        <f t="shared" si="36"/>
        <v>0</v>
      </c>
      <c r="H50" s="510">
        <f t="shared" si="37"/>
        <v>0</v>
      </c>
      <c r="I50" s="510">
        <f>'2) Tableau budgétaire 2'!K196</f>
        <v>275519.71999999997</v>
      </c>
      <c r="J50" s="510">
        <f>'2) Tableau budgétaire 2'!L196</f>
        <v>215451.8</v>
      </c>
      <c r="K50" s="513">
        <f t="shared" si="38"/>
        <v>490971.51999999996</v>
      </c>
      <c r="L50" s="510">
        <v>261891.37</v>
      </c>
      <c r="M50" s="510">
        <v>-8487.3299999999872</v>
      </c>
      <c r="N50" s="510">
        <f t="shared" si="39"/>
        <v>253404.04</v>
      </c>
      <c r="O50" s="510">
        <f t="shared" si="40"/>
        <v>537411.09</v>
      </c>
      <c r="P50" s="510">
        <f t="shared" si="41"/>
        <v>206964.47</v>
      </c>
      <c r="Q50" s="510">
        <f t="shared" si="42"/>
        <v>744375.55999999994</v>
      </c>
    </row>
    <row r="51" spans="3:17" ht="15.5" x14ac:dyDescent="0.35">
      <c r="C51" s="158" t="s">
        <v>52</v>
      </c>
      <c r="D51" s="510">
        <f>'2) Tableau budgétaire 2'!D197</f>
        <v>1509345.7977199999</v>
      </c>
      <c r="E51" s="511">
        <f>'2) Tableau budgétaire 2'!E197</f>
        <v>827102.8</v>
      </c>
      <c r="F51" s="512">
        <f>'2) Tableau budgétaire 2'!G197</f>
        <v>2336448.59772</v>
      </c>
      <c r="G51" s="510">
        <f t="shared" si="36"/>
        <v>0</v>
      </c>
      <c r="H51" s="510">
        <f t="shared" si="37"/>
        <v>0</v>
      </c>
      <c r="I51" s="510">
        <f>'2) Tableau budgétaire 2'!K197</f>
        <v>1509345.7977199999</v>
      </c>
      <c r="J51" s="510">
        <f>'2) Tableau budgétaire 2'!L197</f>
        <v>827102.8</v>
      </c>
      <c r="K51" s="513">
        <f t="shared" si="38"/>
        <v>2336448.59772</v>
      </c>
      <c r="L51" s="510">
        <f>SUM(L44:L50)</f>
        <v>841121.49</v>
      </c>
      <c r="M51" s="510">
        <f>SUM(M44:M50)</f>
        <v>560747.67000000004</v>
      </c>
      <c r="N51" s="510">
        <f t="shared" si="39"/>
        <v>1401869.1600000001</v>
      </c>
      <c r="O51" s="510">
        <f>SUM(O44:O50)</f>
        <v>2350467.2877199999</v>
      </c>
      <c r="P51" s="510">
        <f>SUM(P44:P50)</f>
        <v>1387850.47</v>
      </c>
      <c r="Q51" s="510">
        <f t="shared" si="42"/>
        <v>3738317.7577200001</v>
      </c>
    </row>
    <row r="52" spans="3:17" ht="15.5" x14ac:dyDescent="0.35">
      <c r="C52" s="158" t="s">
        <v>53</v>
      </c>
      <c r="D52" s="510">
        <f>'2) Tableau budgétaire 2'!D198</f>
        <v>105654.2058404</v>
      </c>
      <c r="E52" s="511">
        <f>'2) Tableau budgétaire 2'!E198</f>
        <v>57897.196000000011</v>
      </c>
      <c r="F52" s="512">
        <f>'2) Tableau budgétaire 2'!G198</f>
        <v>163551.40184040001</v>
      </c>
      <c r="G52" s="510">
        <f t="shared" si="36"/>
        <v>0</v>
      </c>
      <c r="H52" s="510">
        <f t="shared" si="37"/>
        <v>0</v>
      </c>
      <c r="I52" s="510">
        <f>'2) Tableau budgétaire 2'!K198</f>
        <v>105654.2058404</v>
      </c>
      <c r="J52" s="510">
        <f>'2) Tableau budgétaire 2'!L198</f>
        <v>57897.196000000011</v>
      </c>
      <c r="K52" s="513">
        <f t="shared" si="38"/>
        <v>163551.40184040001</v>
      </c>
      <c r="L52" s="510">
        <f>L51*0.07</f>
        <v>58878.504300000008</v>
      </c>
      <c r="M52" s="510">
        <f>M51*0.07</f>
        <v>39252.336900000009</v>
      </c>
      <c r="N52" s="510">
        <f t="shared" si="39"/>
        <v>98130.841200000024</v>
      </c>
      <c r="O52" s="510">
        <f>O51*0.07</f>
        <v>164532.71014040001</v>
      </c>
      <c r="P52" s="510">
        <f>P51*0.07</f>
        <v>97149.532900000006</v>
      </c>
      <c r="Q52" s="510">
        <f t="shared" si="42"/>
        <v>261682.24304040003</v>
      </c>
    </row>
    <row r="53" spans="3:17" ht="16" thickBot="1" x14ac:dyDescent="0.4">
      <c r="C53" s="194" t="s">
        <v>11</v>
      </c>
      <c r="D53" s="514">
        <f>'2) Tableau budgétaire 2'!D199</f>
        <v>1615000.0035603999</v>
      </c>
      <c r="E53" s="515">
        <f>'2) Tableau budgétaire 2'!E199</f>
        <v>884999.99600000004</v>
      </c>
      <c r="F53" s="516">
        <f>'2) Tableau budgétaire 2'!G199</f>
        <v>2499999.9995603999</v>
      </c>
      <c r="G53" s="517">
        <f t="shared" si="36"/>
        <v>0</v>
      </c>
      <c r="H53" s="517">
        <f t="shared" si="37"/>
        <v>0</v>
      </c>
      <c r="I53" s="517">
        <f>'2) Tableau budgétaire 2'!K199</f>
        <v>1615000.0035603999</v>
      </c>
      <c r="J53" s="517">
        <f>'2) Tableau budgétaire 2'!L199</f>
        <v>884999.99600000004</v>
      </c>
      <c r="K53" s="518">
        <f t="shared" si="38"/>
        <v>2499999.9995603999</v>
      </c>
      <c r="L53" s="517">
        <f>L51+L52</f>
        <v>899999.99430000002</v>
      </c>
      <c r="M53" s="517">
        <f>M51+M52</f>
        <v>600000.00690000004</v>
      </c>
      <c r="N53" s="517">
        <f t="shared" si="39"/>
        <v>1500000.0012000001</v>
      </c>
      <c r="O53" s="517">
        <f>O51+O52</f>
        <v>2514999.9978604</v>
      </c>
      <c r="P53" s="517">
        <f>P51+P52</f>
        <v>1485000.0029</v>
      </c>
      <c r="Q53" s="517">
        <f t="shared" si="42"/>
        <v>4000000.0007603997</v>
      </c>
    </row>
    <row r="55" spans="3:17" x14ac:dyDescent="0.35">
      <c r="C55" s="172"/>
      <c r="D55" s="172"/>
      <c r="E55" s="172"/>
      <c r="F55" s="172"/>
    </row>
    <row r="56" spans="3:17" x14ac:dyDescent="0.35">
      <c r="D56" s="172"/>
    </row>
    <row r="57" spans="3:17" x14ac:dyDescent="0.35">
      <c r="D57" s="172"/>
    </row>
  </sheetData>
  <mergeCells count="25">
    <mergeCell ref="B23:C23"/>
    <mergeCell ref="B28:C28"/>
    <mergeCell ref="B29:C29"/>
    <mergeCell ref="B30:C30"/>
    <mergeCell ref="B22:C22"/>
    <mergeCell ref="B1:G1"/>
    <mergeCell ref="B2:G2"/>
    <mergeCell ref="B7:C7"/>
    <mergeCell ref="B11:C11"/>
    <mergeCell ref="B18:C18"/>
    <mergeCell ref="B15:C15"/>
    <mergeCell ref="H5:I5"/>
    <mergeCell ref="J5:L5"/>
    <mergeCell ref="D5:G5"/>
    <mergeCell ref="K42:K43"/>
    <mergeCell ref="G41:H41"/>
    <mergeCell ref="I41:K41"/>
    <mergeCell ref="D41:F41"/>
    <mergeCell ref="F42:F43"/>
    <mergeCell ref="N42:N43"/>
    <mergeCell ref="Q42:Q43"/>
    <mergeCell ref="O41:Q41"/>
    <mergeCell ref="M5:O5"/>
    <mergeCell ref="P5:S5"/>
    <mergeCell ref="L41:N41"/>
  </mergeCells>
  <pageMargins left="0.70866141732283472" right="0.70866141732283472" top="0.74803149606299213" bottom="0.74803149606299213" header="0.31496062992125984" footer="0.31496062992125984"/>
  <pageSetup paperSize="9" scale="59" fitToHeight="2" orientation="landscape" r:id="rId1"/>
  <ignoredErrors>
    <ignoredError sqref="F18 L11 H11:I11 O11:R11 F11 L15 O15 O18:R18 L18 G18:I18 F15"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55" t="s">
        <v>564</v>
      </c>
      <c r="B1" s="56" t="s">
        <v>565</v>
      </c>
    </row>
    <row r="2" spans="1:2" x14ac:dyDescent="0.35">
      <c r="A2" s="57" t="s">
        <v>566</v>
      </c>
      <c r="B2" s="58" t="s">
        <v>567</v>
      </c>
    </row>
    <row r="3" spans="1:2" x14ac:dyDescent="0.35">
      <c r="A3" s="57" t="s">
        <v>568</v>
      </c>
      <c r="B3" s="58" t="s">
        <v>569</v>
      </c>
    </row>
    <row r="4" spans="1:2" x14ac:dyDescent="0.35">
      <c r="A4" s="57" t="s">
        <v>570</v>
      </c>
      <c r="B4" s="58" t="s">
        <v>571</v>
      </c>
    </row>
    <row r="5" spans="1:2" x14ac:dyDescent="0.35">
      <c r="A5" s="57" t="s">
        <v>572</v>
      </c>
      <c r="B5" s="58" t="s">
        <v>573</v>
      </c>
    </row>
    <row r="6" spans="1:2" x14ac:dyDescent="0.35">
      <c r="A6" s="57" t="s">
        <v>574</v>
      </c>
      <c r="B6" s="58" t="s">
        <v>575</v>
      </c>
    </row>
    <row r="7" spans="1:2" x14ac:dyDescent="0.35">
      <c r="A7" s="57" t="s">
        <v>576</v>
      </c>
      <c r="B7" s="58" t="s">
        <v>577</v>
      </c>
    </row>
    <row r="8" spans="1:2" x14ac:dyDescent="0.35">
      <c r="A8" s="57" t="s">
        <v>578</v>
      </c>
      <c r="B8" s="58" t="s">
        <v>579</v>
      </c>
    </row>
    <row r="9" spans="1:2" x14ac:dyDescent="0.35">
      <c r="A9" s="57" t="s">
        <v>580</v>
      </c>
      <c r="B9" s="58" t="s">
        <v>581</v>
      </c>
    </row>
    <row r="10" spans="1:2" x14ac:dyDescent="0.35">
      <c r="A10" s="57" t="s">
        <v>582</v>
      </c>
      <c r="B10" s="58" t="s">
        <v>583</v>
      </c>
    </row>
    <row r="11" spans="1:2" x14ac:dyDescent="0.35">
      <c r="A11" s="57" t="s">
        <v>584</v>
      </c>
      <c r="B11" s="58" t="s">
        <v>585</v>
      </c>
    </row>
    <row r="12" spans="1:2" x14ac:dyDescent="0.35">
      <c r="A12" s="57" t="s">
        <v>586</v>
      </c>
      <c r="B12" s="58" t="s">
        <v>587</v>
      </c>
    </row>
    <row r="13" spans="1:2" x14ac:dyDescent="0.35">
      <c r="A13" s="57" t="s">
        <v>588</v>
      </c>
      <c r="B13" s="58" t="s">
        <v>589</v>
      </c>
    </row>
    <row r="14" spans="1:2" x14ac:dyDescent="0.35">
      <c r="A14" s="57" t="s">
        <v>590</v>
      </c>
      <c r="B14" s="58" t="s">
        <v>591</v>
      </c>
    </row>
    <row r="15" spans="1:2" x14ac:dyDescent="0.35">
      <c r="A15" s="57" t="s">
        <v>592</v>
      </c>
      <c r="B15" s="58" t="s">
        <v>593</v>
      </c>
    </row>
    <row r="16" spans="1:2" x14ac:dyDescent="0.35">
      <c r="A16" s="57" t="s">
        <v>594</v>
      </c>
      <c r="B16" s="58" t="s">
        <v>595</v>
      </c>
    </row>
    <row r="17" spans="1:2" x14ac:dyDescent="0.35">
      <c r="A17" s="57" t="s">
        <v>596</v>
      </c>
      <c r="B17" s="58" t="s">
        <v>597</v>
      </c>
    </row>
    <row r="18" spans="1:2" x14ac:dyDescent="0.35">
      <c r="A18" s="57" t="s">
        <v>598</v>
      </c>
      <c r="B18" s="58" t="s">
        <v>599</v>
      </c>
    </row>
    <row r="19" spans="1:2" x14ac:dyDescent="0.35">
      <c r="A19" s="57" t="s">
        <v>600</v>
      </c>
      <c r="B19" s="58" t="s">
        <v>601</v>
      </c>
    </row>
    <row r="20" spans="1:2" x14ac:dyDescent="0.35">
      <c r="A20" s="57" t="s">
        <v>602</v>
      </c>
      <c r="B20" s="58" t="s">
        <v>603</v>
      </c>
    </row>
    <row r="21" spans="1:2" x14ac:dyDescent="0.35">
      <c r="A21" s="57" t="s">
        <v>604</v>
      </c>
      <c r="B21" s="58" t="s">
        <v>605</v>
      </c>
    </row>
    <row r="22" spans="1:2" x14ac:dyDescent="0.35">
      <c r="A22" s="57" t="s">
        <v>606</v>
      </c>
      <c r="B22" s="58" t="s">
        <v>607</v>
      </c>
    </row>
    <row r="23" spans="1:2" x14ac:dyDescent="0.35">
      <c r="A23" s="57" t="s">
        <v>608</v>
      </c>
      <c r="B23" s="58" t="s">
        <v>609</v>
      </c>
    </row>
    <row r="24" spans="1:2" x14ac:dyDescent="0.35">
      <c r="A24" s="57" t="s">
        <v>610</v>
      </c>
      <c r="B24" s="58" t="s">
        <v>611</v>
      </c>
    </row>
    <row r="25" spans="1:2" x14ac:dyDescent="0.35">
      <c r="A25" s="57" t="s">
        <v>612</v>
      </c>
      <c r="B25" s="58" t="s">
        <v>613</v>
      </c>
    </row>
    <row r="26" spans="1:2" x14ac:dyDescent="0.35">
      <c r="A26" s="57" t="s">
        <v>614</v>
      </c>
      <c r="B26" s="58" t="s">
        <v>615</v>
      </c>
    </row>
    <row r="27" spans="1:2" x14ac:dyDescent="0.35">
      <c r="A27" s="57" t="s">
        <v>616</v>
      </c>
      <c r="B27" s="58" t="s">
        <v>617</v>
      </c>
    </row>
    <row r="28" spans="1:2" x14ac:dyDescent="0.35">
      <c r="A28" s="57" t="s">
        <v>618</v>
      </c>
      <c r="B28" s="58" t="s">
        <v>619</v>
      </c>
    </row>
    <row r="29" spans="1:2" x14ac:dyDescent="0.35">
      <c r="A29" s="57" t="s">
        <v>620</v>
      </c>
      <c r="B29" s="58" t="s">
        <v>621</v>
      </c>
    </row>
    <row r="30" spans="1:2" x14ac:dyDescent="0.35">
      <c r="A30" s="57" t="s">
        <v>622</v>
      </c>
      <c r="B30" s="58" t="s">
        <v>623</v>
      </c>
    </row>
    <row r="31" spans="1:2" x14ac:dyDescent="0.35">
      <c r="A31" s="57" t="s">
        <v>624</v>
      </c>
      <c r="B31" s="58" t="s">
        <v>625</v>
      </c>
    </row>
    <row r="32" spans="1:2" x14ac:dyDescent="0.35">
      <c r="A32" s="57" t="s">
        <v>626</v>
      </c>
      <c r="B32" s="58" t="s">
        <v>627</v>
      </c>
    </row>
    <row r="33" spans="1:2" x14ac:dyDescent="0.35">
      <c r="A33" s="57" t="s">
        <v>628</v>
      </c>
      <c r="B33" s="58" t="s">
        <v>629</v>
      </c>
    </row>
    <row r="34" spans="1:2" x14ac:dyDescent="0.35">
      <c r="A34" s="57" t="s">
        <v>630</v>
      </c>
      <c r="B34" s="58" t="s">
        <v>631</v>
      </c>
    </row>
    <row r="35" spans="1:2" x14ac:dyDescent="0.35">
      <c r="A35" s="57" t="s">
        <v>632</v>
      </c>
      <c r="B35" s="58" t="s">
        <v>633</v>
      </c>
    </row>
    <row r="36" spans="1:2" x14ac:dyDescent="0.35">
      <c r="A36" s="57" t="s">
        <v>634</v>
      </c>
      <c r="B36" s="58" t="s">
        <v>635</v>
      </c>
    </row>
    <row r="37" spans="1:2" x14ac:dyDescent="0.35">
      <c r="A37" s="57" t="s">
        <v>636</v>
      </c>
      <c r="B37" s="58" t="s">
        <v>637</v>
      </c>
    </row>
    <row r="38" spans="1:2" x14ac:dyDescent="0.35">
      <c r="A38" s="57" t="s">
        <v>638</v>
      </c>
      <c r="B38" s="58" t="s">
        <v>639</v>
      </c>
    </row>
    <row r="39" spans="1:2" x14ac:dyDescent="0.35">
      <c r="A39" s="57" t="s">
        <v>640</v>
      </c>
      <c r="B39" s="58" t="s">
        <v>641</v>
      </c>
    </row>
    <row r="40" spans="1:2" x14ac:dyDescent="0.35">
      <c r="A40" s="57" t="s">
        <v>642</v>
      </c>
      <c r="B40" s="58" t="s">
        <v>643</v>
      </c>
    </row>
    <row r="41" spans="1:2" x14ac:dyDescent="0.35">
      <c r="A41" s="57" t="s">
        <v>644</v>
      </c>
      <c r="B41" s="58" t="s">
        <v>645</v>
      </c>
    </row>
    <row r="42" spans="1:2" x14ac:dyDescent="0.35">
      <c r="A42" s="57" t="s">
        <v>646</v>
      </c>
      <c r="B42" s="58" t="s">
        <v>647</v>
      </c>
    </row>
    <row r="43" spans="1:2" x14ac:dyDescent="0.35">
      <c r="A43" s="57" t="s">
        <v>648</v>
      </c>
      <c r="B43" s="58" t="s">
        <v>649</v>
      </c>
    </row>
    <row r="44" spans="1:2" x14ac:dyDescent="0.35">
      <c r="A44" s="57" t="s">
        <v>650</v>
      </c>
      <c r="B44" s="58" t="s">
        <v>651</v>
      </c>
    </row>
    <row r="45" spans="1:2" x14ac:dyDescent="0.35">
      <c r="A45" s="57" t="s">
        <v>652</v>
      </c>
      <c r="B45" s="58" t="s">
        <v>653</v>
      </c>
    </row>
    <row r="46" spans="1:2" x14ac:dyDescent="0.35">
      <c r="A46" s="57" t="s">
        <v>654</v>
      </c>
      <c r="B46" s="58" t="s">
        <v>655</v>
      </c>
    </row>
    <row r="47" spans="1:2" x14ac:dyDescent="0.35">
      <c r="A47" s="57" t="s">
        <v>656</v>
      </c>
      <c r="B47" s="58" t="s">
        <v>657</v>
      </c>
    </row>
    <row r="48" spans="1:2" x14ac:dyDescent="0.35">
      <c r="A48" s="57" t="s">
        <v>658</v>
      </c>
      <c r="B48" s="58" t="s">
        <v>659</v>
      </c>
    </row>
    <row r="49" spans="1:2" x14ac:dyDescent="0.35">
      <c r="A49" s="57" t="s">
        <v>660</v>
      </c>
      <c r="B49" s="58" t="s">
        <v>661</v>
      </c>
    </row>
    <row r="50" spans="1:2" x14ac:dyDescent="0.35">
      <c r="A50" s="57" t="s">
        <v>662</v>
      </c>
      <c r="B50" s="58" t="s">
        <v>663</v>
      </c>
    </row>
    <row r="51" spans="1:2" x14ac:dyDescent="0.35">
      <c r="A51" s="57" t="s">
        <v>664</v>
      </c>
      <c r="B51" s="58" t="s">
        <v>665</v>
      </c>
    </row>
    <row r="52" spans="1:2" x14ac:dyDescent="0.35">
      <c r="A52" s="57" t="s">
        <v>666</v>
      </c>
      <c r="B52" s="58" t="s">
        <v>667</v>
      </c>
    </row>
    <row r="53" spans="1:2" x14ac:dyDescent="0.35">
      <c r="A53" s="57" t="s">
        <v>668</v>
      </c>
      <c r="B53" s="58" t="s">
        <v>669</v>
      </c>
    </row>
    <row r="54" spans="1:2" x14ac:dyDescent="0.35">
      <c r="A54" s="57" t="s">
        <v>670</v>
      </c>
      <c r="B54" s="58" t="s">
        <v>671</v>
      </c>
    </row>
    <row r="55" spans="1:2" x14ac:dyDescent="0.35">
      <c r="A55" s="57" t="s">
        <v>672</v>
      </c>
      <c r="B55" s="58" t="s">
        <v>673</v>
      </c>
    </row>
    <row r="56" spans="1:2" x14ac:dyDescent="0.35">
      <c r="A56" s="57" t="s">
        <v>674</v>
      </c>
      <c r="B56" s="58" t="s">
        <v>675</v>
      </c>
    </row>
    <row r="57" spans="1:2" x14ac:dyDescent="0.35">
      <c r="A57" s="57" t="s">
        <v>676</v>
      </c>
      <c r="B57" s="58" t="s">
        <v>677</v>
      </c>
    </row>
    <row r="58" spans="1:2" x14ac:dyDescent="0.35">
      <c r="A58" s="57" t="s">
        <v>678</v>
      </c>
      <c r="B58" s="58" t="s">
        <v>679</v>
      </c>
    </row>
    <row r="59" spans="1:2" x14ac:dyDescent="0.35">
      <c r="A59" s="57" t="s">
        <v>680</v>
      </c>
      <c r="B59" s="58" t="s">
        <v>681</v>
      </c>
    </row>
    <row r="60" spans="1:2" x14ac:dyDescent="0.35">
      <c r="A60" s="57" t="s">
        <v>682</v>
      </c>
      <c r="B60" s="58" t="s">
        <v>683</v>
      </c>
    </row>
    <row r="61" spans="1:2" x14ac:dyDescent="0.35">
      <c r="A61" s="57" t="s">
        <v>684</v>
      </c>
      <c r="B61" s="58" t="s">
        <v>685</v>
      </c>
    </row>
    <row r="62" spans="1:2" x14ac:dyDescent="0.35">
      <c r="A62" s="57" t="s">
        <v>686</v>
      </c>
      <c r="B62" s="58" t="s">
        <v>687</v>
      </c>
    </row>
    <row r="63" spans="1:2" x14ac:dyDescent="0.35">
      <c r="A63" s="57" t="s">
        <v>688</v>
      </c>
      <c r="B63" s="58" t="s">
        <v>689</v>
      </c>
    </row>
    <row r="64" spans="1:2" x14ac:dyDescent="0.35">
      <c r="A64" s="57" t="s">
        <v>690</v>
      </c>
      <c r="B64" s="58" t="s">
        <v>691</v>
      </c>
    </row>
    <row r="65" spans="1:2" x14ac:dyDescent="0.35">
      <c r="A65" s="57" t="s">
        <v>692</v>
      </c>
      <c r="B65" s="58" t="s">
        <v>693</v>
      </c>
    </row>
    <row r="66" spans="1:2" x14ac:dyDescent="0.35">
      <c r="A66" s="57" t="s">
        <v>694</v>
      </c>
      <c r="B66" s="58" t="s">
        <v>695</v>
      </c>
    </row>
    <row r="67" spans="1:2" x14ac:dyDescent="0.35">
      <c r="A67" s="57" t="s">
        <v>696</v>
      </c>
      <c r="B67" s="58" t="s">
        <v>697</v>
      </c>
    </row>
    <row r="68" spans="1:2" x14ac:dyDescent="0.35">
      <c r="A68" s="57" t="s">
        <v>698</v>
      </c>
      <c r="B68" s="58" t="s">
        <v>699</v>
      </c>
    </row>
    <row r="69" spans="1:2" x14ac:dyDescent="0.35">
      <c r="A69" s="57" t="s">
        <v>700</v>
      </c>
      <c r="B69" s="58" t="s">
        <v>701</v>
      </c>
    </row>
    <row r="70" spans="1:2" x14ac:dyDescent="0.35">
      <c r="A70" s="57" t="s">
        <v>702</v>
      </c>
      <c r="B70" s="58" t="s">
        <v>703</v>
      </c>
    </row>
    <row r="71" spans="1:2" x14ac:dyDescent="0.35">
      <c r="A71" s="57" t="s">
        <v>704</v>
      </c>
      <c r="B71" s="58" t="s">
        <v>705</v>
      </c>
    </row>
    <row r="72" spans="1:2" x14ac:dyDescent="0.35">
      <c r="A72" s="57" t="s">
        <v>706</v>
      </c>
      <c r="B72" s="58" t="s">
        <v>707</v>
      </c>
    </row>
    <row r="73" spans="1:2" x14ac:dyDescent="0.35">
      <c r="A73" s="57" t="s">
        <v>708</v>
      </c>
      <c r="B73" s="58" t="s">
        <v>709</v>
      </c>
    </row>
    <row r="74" spans="1:2" x14ac:dyDescent="0.35">
      <c r="A74" s="57" t="s">
        <v>710</v>
      </c>
      <c r="B74" s="58" t="s">
        <v>711</v>
      </c>
    </row>
    <row r="75" spans="1:2" x14ac:dyDescent="0.35">
      <c r="A75" s="57" t="s">
        <v>712</v>
      </c>
      <c r="B75" s="59" t="s">
        <v>713</v>
      </c>
    </row>
    <row r="76" spans="1:2" x14ac:dyDescent="0.35">
      <c r="A76" s="57" t="s">
        <v>714</v>
      </c>
      <c r="B76" s="59" t="s">
        <v>715</v>
      </c>
    </row>
    <row r="77" spans="1:2" x14ac:dyDescent="0.35">
      <c r="A77" s="57" t="s">
        <v>716</v>
      </c>
      <c r="B77" s="59" t="s">
        <v>717</v>
      </c>
    </row>
    <row r="78" spans="1:2" x14ac:dyDescent="0.35">
      <c r="A78" s="57" t="s">
        <v>718</v>
      </c>
      <c r="B78" s="59" t="s">
        <v>719</v>
      </c>
    </row>
    <row r="79" spans="1:2" x14ac:dyDescent="0.35">
      <c r="A79" s="57" t="s">
        <v>720</v>
      </c>
      <c r="B79" s="59" t="s">
        <v>721</v>
      </c>
    </row>
    <row r="80" spans="1:2" x14ac:dyDescent="0.35">
      <c r="A80" s="57" t="s">
        <v>722</v>
      </c>
      <c r="B80" s="59" t="s">
        <v>723</v>
      </c>
    </row>
    <row r="81" spans="1:2" x14ac:dyDescent="0.35">
      <c r="A81" s="57" t="s">
        <v>724</v>
      </c>
      <c r="B81" s="59" t="s">
        <v>725</v>
      </c>
    </row>
    <row r="82" spans="1:2" x14ac:dyDescent="0.35">
      <c r="A82" s="57" t="s">
        <v>726</v>
      </c>
      <c r="B82" s="59" t="s">
        <v>727</v>
      </c>
    </row>
    <row r="83" spans="1:2" x14ac:dyDescent="0.35">
      <c r="A83" s="57" t="s">
        <v>728</v>
      </c>
      <c r="B83" s="59" t="s">
        <v>729</v>
      </c>
    </row>
    <row r="84" spans="1:2" x14ac:dyDescent="0.35">
      <c r="A84" s="57" t="s">
        <v>730</v>
      </c>
      <c r="B84" s="59" t="s">
        <v>731</v>
      </c>
    </row>
    <row r="85" spans="1:2" x14ac:dyDescent="0.35">
      <c r="A85" s="57" t="s">
        <v>732</v>
      </c>
      <c r="B85" s="59" t="s">
        <v>733</v>
      </c>
    </row>
    <row r="86" spans="1:2" x14ac:dyDescent="0.35">
      <c r="A86" s="57" t="s">
        <v>734</v>
      </c>
      <c r="B86" s="59" t="s">
        <v>735</v>
      </c>
    </row>
    <row r="87" spans="1:2" x14ac:dyDescent="0.35">
      <c r="A87" s="57" t="s">
        <v>736</v>
      </c>
      <c r="B87" s="59" t="s">
        <v>737</v>
      </c>
    </row>
    <row r="88" spans="1:2" x14ac:dyDescent="0.35">
      <c r="A88" s="57" t="s">
        <v>738</v>
      </c>
      <c r="B88" s="59" t="s">
        <v>739</v>
      </c>
    </row>
    <row r="89" spans="1:2" x14ac:dyDescent="0.35">
      <c r="A89" s="57" t="s">
        <v>740</v>
      </c>
      <c r="B89" s="59" t="s">
        <v>741</v>
      </c>
    </row>
    <row r="90" spans="1:2" x14ac:dyDescent="0.35">
      <c r="A90" s="57" t="s">
        <v>742</v>
      </c>
      <c r="B90" s="59" t="s">
        <v>743</v>
      </c>
    </row>
    <row r="91" spans="1:2" x14ac:dyDescent="0.35">
      <c r="A91" s="57" t="s">
        <v>744</v>
      </c>
      <c r="B91" s="59" t="s">
        <v>745</v>
      </c>
    </row>
    <row r="92" spans="1:2" x14ac:dyDescent="0.35">
      <c r="A92" s="57" t="s">
        <v>746</v>
      </c>
      <c r="B92" s="59" t="s">
        <v>747</v>
      </c>
    </row>
    <row r="93" spans="1:2" x14ac:dyDescent="0.35">
      <c r="A93" s="57" t="s">
        <v>748</v>
      </c>
      <c r="B93" s="59" t="s">
        <v>749</v>
      </c>
    </row>
    <row r="94" spans="1:2" x14ac:dyDescent="0.35">
      <c r="A94" s="57" t="s">
        <v>750</v>
      </c>
      <c r="B94" s="59" t="s">
        <v>751</v>
      </c>
    </row>
    <row r="95" spans="1:2" x14ac:dyDescent="0.35">
      <c r="A95" s="57" t="s">
        <v>752</v>
      </c>
      <c r="B95" s="59" t="s">
        <v>753</v>
      </c>
    </row>
    <row r="96" spans="1:2" x14ac:dyDescent="0.35">
      <c r="A96" s="57" t="s">
        <v>754</v>
      </c>
      <c r="B96" s="59" t="s">
        <v>755</v>
      </c>
    </row>
    <row r="97" spans="1:2" x14ac:dyDescent="0.35">
      <c r="A97" s="57" t="s">
        <v>756</v>
      </c>
      <c r="B97" s="59" t="s">
        <v>757</v>
      </c>
    </row>
    <row r="98" spans="1:2" x14ac:dyDescent="0.35">
      <c r="A98" s="57" t="s">
        <v>758</v>
      </c>
      <c r="B98" s="59" t="s">
        <v>759</v>
      </c>
    </row>
    <row r="99" spans="1:2" x14ac:dyDescent="0.35">
      <c r="A99" s="57" t="s">
        <v>760</v>
      </c>
      <c r="B99" s="59" t="s">
        <v>761</v>
      </c>
    </row>
    <row r="100" spans="1:2" x14ac:dyDescent="0.35">
      <c r="A100" s="57" t="s">
        <v>762</v>
      </c>
      <c r="B100" s="59" t="s">
        <v>763</v>
      </c>
    </row>
    <row r="101" spans="1:2" x14ac:dyDescent="0.35">
      <c r="A101" s="57" t="s">
        <v>764</v>
      </c>
      <c r="B101" s="59" t="s">
        <v>765</v>
      </c>
    </row>
    <row r="102" spans="1:2" x14ac:dyDescent="0.35">
      <c r="A102" s="57" t="s">
        <v>766</v>
      </c>
      <c r="B102" s="59" t="s">
        <v>767</v>
      </c>
    </row>
    <row r="103" spans="1:2" x14ac:dyDescent="0.35">
      <c r="A103" s="57" t="s">
        <v>768</v>
      </c>
      <c r="B103" s="59" t="s">
        <v>769</v>
      </c>
    </row>
    <row r="104" spans="1:2" x14ac:dyDescent="0.35">
      <c r="A104" s="57" t="s">
        <v>770</v>
      </c>
      <c r="B104" s="59" t="s">
        <v>771</v>
      </c>
    </row>
    <row r="105" spans="1:2" x14ac:dyDescent="0.35">
      <c r="A105" s="57" t="s">
        <v>772</v>
      </c>
      <c r="B105" s="59" t="s">
        <v>773</v>
      </c>
    </row>
    <row r="106" spans="1:2" x14ac:dyDescent="0.35">
      <c r="A106" s="57" t="s">
        <v>774</v>
      </c>
      <c r="B106" s="59" t="s">
        <v>775</v>
      </c>
    </row>
    <row r="107" spans="1:2" x14ac:dyDescent="0.35">
      <c r="A107" s="57" t="s">
        <v>776</v>
      </c>
      <c r="B107" s="59" t="s">
        <v>777</v>
      </c>
    </row>
    <row r="108" spans="1:2" x14ac:dyDescent="0.35">
      <c r="A108" s="57" t="s">
        <v>778</v>
      </c>
      <c r="B108" s="59" t="s">
        <v>779</v>
      </c>
    </row>
    <row r="109" spans="1:2" x14ac:dyDescent="0.35">
      <c r="A109" s="57" t="s">
        <v>780</v>
      </c>
      <c r="B109" s="59" t="s">
        <v>781</v>
      </c>
    </row>
    <row r="110" spans="1:2" x14ac:dyDescent="0.35">
      <c r="A110" s="57" t="s">
        <v>782</v>
      </c>
      <c r="B110" s="59" t="s">
        <v>783</v>
      </c>
    </row>
    <row r="111" spans="1:2" x14ac:dyDescent="0.35">
      <c r="A111" s="57" t="s">
        <v>784</v>
      </c>
      <c r="B111" s="59" t="s">
        <v>785</v>
      </c>
    </row>
    <row r="112" spans="1:2" x14ac:dyDescent="0.35">
      <c r="A112" s="57" t="s">
        <v>786</v>
      </c>
      <c r="B112" s="59" t="s">
        <v>787</v>
      </c>
    </row>
    <row r="113" spans="1:2" x14ac:dyDescent="0.35">
      <c r="A113" s="57" t="s">
        <v>788</v>
      </c>
      <c r="B113" s="59" t="s">
        <v>789</v>
      </c>
    </row>
    <row r="114" spans="1:2" x14ac:dyDescent="0.35">
      <c r="A114" s="57" t="s">
        <v>790</v>
      </c>
      <c r="B114" s="59" t="s">
        <v>791</v>
      </c>
    </row>
    <row r="115" spans="1:2" x14ac:dyDescent="0.35">
      <c r="A115" s="57" t="s">
        <v>792</v>
      </c>
      <c r="B115" s="59" t="s">
        <v>793</v>
      </c>
    </row>
    <row r="116" spans="1:2" x14ac:dyDescent="0.35">
      <c r="A116" s="57" t="s">
        <v>794</v>
      </c>
      <c r="B116" s="59" t="s">
        <v>795</v>
      </c>
    </row>
    <row r="117" spans="1:2" x14ac:dyDescent="0.35">
      <c r="A117" s="57" t="s">
        <v>796</v>
      </c>
      <c r="B117" s="59" t="s">
        <v>797</v>
      </c>
    </row>
    <row r="118" spans="1:2" x14ac:dyDescent="0.35">
      <c r="A118" s="57" t="s">
        <v>798</v>
      </c>
      <c r="B118" s="59" t="s">
        <v>799</v>
      </c>
    </row>
    <row r="119" spans="1:2" x14ac:dyDescent="0.35">
      <c r="A119" s="57" t="s">
        <v>800</v>
      </c>
      <c r="B119" s="59" t="s">
        <v>801</v>
      </c>
    </row>
    <row r="120" spans="1:2" x14ac:dyDescent="0.35">
      <c r="A120" s="57" t="s">
        <v>802</v>
      </c>
      <c r="B120" s="59" t="s">
        <v>803</v>
      </c>
    </row>
    <row r="121" spans="1:2" x14ac:dyDescent="0.35">
      <c r="A121" s="57" t="s">
        <v>804</v>
      </c>
      <c r="B121" s="59" t="s">
        <v>805</v>
      </c>
    </row>
    <row r="122" spans="1:2" x14ac:dyDescent="0.35">
      <c r="A122" s="57" t="s">
        <v>806</v>
      </c>
      <c r="B122" s="59" t="s">
        <v>807</v>
      </c>
    </row>
    <row r="123" spans="1:2" x14ac:dyDescent="0.35">
      <c r="A123" s="57" t="s">
        <v>808</v>
      </c>
      <c r="B123" s="59" t="s">
        <v>809</v>
      </c>
    </row>
    <row r="124" spans="1:2" x14ac:dyDescent="0.35">
      <c r="A124" s="57" t="s">
        <v>810</v>
      </c>
      <c r="B124" s="59" t="s">
        <v>811</v>
      </c>
    </row>
    <row r="125" spans="1:2" x14ac:dyDescent="0.35">
      <c r="A125" s="57" t="s">
        <v>812</v>
      </c>
      <c r="B125" s="59" t="s">
        <v>813</v>
      </c>
    </row>
    <row r="126" spans="1:2" x14ac:dyDescent="0.35">
      <c r="A126" s="57" t="s">
        <v>814</v>
      </c>
      <c r="B126" s="59" t="s">
        <v>815</v>
      </c>
    </row>
    <row r="127" spans="1:2" x14ac:dyDescent="0.35">
      <c r="A127" s="57" t="s">
        <v>816</v>
      </c>
      <c r="B127" s="59" t="s">
        <v>817</v>
      </c>
    </row>
    <row r="128" spans="1:2" x14ac:dyDescent="0.35">
      <c r="A128" s="57" t="s">
        <v>818</v>
      </c>
      <c r="B128" s="59" t="s">
        <v>819</v>
      </c>
    </row>
    <row r="129" spans="1:2" x14ac:dyDescent="0.35">
      <c r="A129" s="57" t="s">
        <v>820</v>
      </c>
      <c r="B129" s="59" t="s">
        <v>821</v>
      </c>
    </row>
    <row r="130" spans="1:2" x14ac:dyDescent="0.35">
      <c r="A130" s="57" t="s">
        <v>822</v>
      </c>
      <c r="B130" s="59" t="s">
        <v>823</v>
      </c>
    </row>
    <row r="131" spans="1:2" x14ac:dyDescent="0.35">
      <c r="A131" s="57" t="s">
        <v>824</v>
      </c>
      <c r="B131" s="59" t="s">
        <v>825</v>
      </c>
    </row>
    <row r="132" spans="1:2" x14ac:dyDescent="0.35">
      <c r="A132" s="57" t="s">
        <v>826</v>
      </c>
      <c r="B132" s="59" t="s">
        <v>827</v>
      </c>
    </row>
    <row r="133" spans="1:2" x14ac:dyDescent="0.35">
      <c r="A133" s="57" t="s">
        <v>828</v>
      </c>
      <c r="B133" s="59" t="s">
        <v>829</v>
      </c>
    </row>
    <row r="134" spans="1:2" x14ac:dyDescent="0.35">
      <c r="A134" s="57" t="s">
        <v>830</v>
      </c>
      <c r="B134" s="59" t="s">
        <v>831</v>
      </c>
    </row>
    <row r="135" spans="1:2" x14ac:dyDescent="0.35">
      <c r="A135" s="57" t="s">
        <v>832</v>
      </c>
      <c r="B135" s="59" t="s">
        <v>833</v>
      </c>
    </row>
    <row r="136" spans="1:2" x14ac:dyDescent="0.35">
      <c r="A136" s="57" t="s">
        <v>834</v>
      </c>
      <c r="B136" s="59" t="s">
        <v>835</v>
      </c>
    </row>
    <row r="137" spans="1:2" x14ac:dyDescent="0.35">
      <c r="A137" s="57" t="s">
        <v>836</v>
      </c>
      <c r="B137" s="59" t="s">
        <v>837</v>
      </c>
    </row>
    <row r="138" spans="1:2" x14ac:dyDescent="0.35">
      <c r="A138" s="57" t="s">
        <v>838</v>
      </c>
      <c r="B138" s="59" t="s">
        <v>839</v>
      </c>
    </row>
    <row r="139" spans="1:2" x14ac:dyDescent="0.35">
      <c r="A139" s="57" t="s">
        <v>840</v>
      </c>
      <c r="B139" s="59" t="s">
        <v>841</v>
      </c>
    </row>
    <row r="140" spans="1:2" x14ac:dyDescent="0.35">
      <c r="A140" s="57" t="s">
        <v>842</v>
      </c>
      <c r="B140" s="59" t="s">
        <v>843</v>
      </c>
    </row>
    <row r="141" spans="1:2" x14ac:dyDescent="0.35">
      <c r="A141" s="57" t="s">
        <v>844</v>
      </c>
      <c r="B141" s="59" t="s">
        <v>845</v>
      </c>
    </row>
    <row r="142" spans="1:2" x14ac:dyDescent="0.35">
      <c r="A142" s="57" t="s">
        <v>846</v>
      </c>
      <c r="B142" s="59" t="s">
        <v>847</v>
      </c>
    </row>
    <row r="143" spans="1:2" x14ac:dyDescent="0.35">
      <c r="A143" s="57" t="s">
        <v>848</v>
      </c>
      <c r="B143" s="59" t="s">
        <v>849</v>
      </c>
    </row>
    <row r="144" spans="1:2" x14ac:dyDescent="0.35">
      <c r="A144" s="57" t="s">
        <v>850</v>
      </c>
      <c r="B144" s="59" t="s">
        <v>851</v>
      </c>
    </row>
    <row r="145" spans="1:2" x14ac:dyDescent="0.35">
      <c r="A145" s="57" t="s">
        <v>852</v>
      </c>
      <c r="B145" s="59" t="s">
        <v>853</v>
      </c>
    </row>
    <row r="146" spans="1:2" x14ac:dyDescent="0.35">
      <c r="A146" s="57" t="s">
        <v>854</v>
      </c>
      <c r="B146" s="59" t="s">
        <v>855</v>
      </c>
    </row>
    <row r="147" spans="1:2" x14ac:dyDescent="0.35">
      <c r="A147" s="57" t="s">
        <v>856</v>
      </c>
      <c r="B147" s="59" t="s">
        <v>857</v>
      </c>
    </row>
    <row r="148" spans="1:2" x14ac:dyDescent="0.35">
      <c r="A148" s="57" t="s">
        <v>858</v>
      </c>
      <c r="B148" s="59" t="s">
        <v>859</v>
      </c>
    </row>
    <row r="149" spans="1:2" x14ac:dyDescent="0.35">
      <c r="A149" s="57" t="s">
        <v>860</v>
      </c>
      <c r="B149" s="59" t="s">
        <v>861</v>
      </c>
    </row>
    <row r="150" spans="1:2" x14ac:dyDescent="0.35">
      <c r="A150" s="57" t="s">
        <v>862</v>
      </c>
      <c r="B150" s="59" t="s">
        <v>863</v>
      </c>
    </row>
    <row r="151" spans="1:2" x14ac:dyDescent="0.35">
      <c r="A151" s="57" t="s">
        <v>864</v>
      </c>
      <c r="B151" s="59" t="s">
        <v>865</v>
      </c>
    </row>
    <row r="152" spans="1:2" x14ac:dyDescent="0.35">
      <c r="A152" s="57" t="s">
        <v>866</v>
      </c>
      <c r="B152" s="59" t="s">
        <v>867</v>
      </c>
    </row>
    <row r="153" spans="1:2" x14ac:dyDescent="0.35">
      <c r="A153" s="57" t="s">
        <v>868</v>
      </c>
      <c r="B153" s="59" t="s">
        <v>869</v>
      </c>
    </row>
    <row r="154" spans="1:2" x14ac:dyDescent="0.35">
      <c r="A154" s="57" t="s">
        <v>870</v>
      </c>
      <c r="B154" s="59" t="s">
        <v>871</v>
      </c>
    </row>
    <row r="155" spans="1:2" x14ac:dyDescent="0.35">
      <c r="A155" s="57" t="s">
        <v>872</v>
      </c>
      <c r="B155" s="59" t="s">
        <v>873</v>
      </c>
    </row>
    <row r="156" spans="1:2" x14ac:dyDescent="0.35">
      <c r="A156" s="57" t="s">
        <v>874</v>
      </c>
      <c r="B156" s="59" t="s">
        <v>875</v>
      </c>
    </row>
    <row r="157" spans="1:2" x14ac:dyDescent="0.35">
      <c r="A157" s="57" t="s">
        <v>876</v>
      </c>
      <c r="B157" s="59" t="s">
        <v>877</v>
      </c>
    </row>
    <row r="158" spans="1:2" x14ac:dyDescent="0.35">
      <c r="A158" s="57" t="s">
        <v>878</v>
      </c>
      <c r="B158" s="59" t="s">
        <v>879</v>
      </c>
    </row>
    <row r="159" spans="1:2" x14ac:dyDescent="0.35">
      <c r="A159" s="57" t="s">
        <v>880</v>
      </c>
      <c r="B159" s="59" t="s">
        <v>881</v>
      </c>
    </row>
    <row r="160" spans="1:2" x14ac:dyDescent="0.35">
      <c r="A160" s="57" t="s">
        <v>882</v>
      </c>
      <c r="B160" s="59" t="s">
        <v>883</v>
      </c>
    </row>
    <row r="161" spans="1:2" x14ac:dyDescent="0.35">
      <c r="A161" s="57" t="s">
        <v>884</v>
      </c>
      <c r="B161" s="59" t="s">
        <v>885</v>
      </c>
    </row>
    <row r="162" spans="1:2" x14ac:dyDescent="0.35">
      <c r="A162" s="57" t="s">
        <v>886</v>
      </c>
      <c r="B162" s="59" t="s">
        <v>887</v>
      </c>
    </row>
    <row r="163" spans="1:2" x14ac:dyDescent="0.35">
      <c r="A163" s="57" t="s">
        <v>888</v>
      </c>
      <c r="B163" s="59" t="s">
        <v>889</v>
      </c>
    </row>
    <row r="164" spans="1:2" x14ac:dyDescent="0.35">
      <c r="A164" s="57" t="s">
        <v>890</v>
      </c>
      <c r="B164" s="59" t="s">
        <v>891</v>
      </c>
    </row>
    <row r="165" spans="1:2" x14ac:dyDescent="0.35">
      <c r="A165" s="57" t="s">
        <v>892</v>
      </c>
      <c r="B165" s="59" t="s">
        <v>893</v>
      </c>
    </row>
    <row r="166" spans="1:2" x14ac:dyDescent="0.35">
      <c r="A166" s="57" t="s">
        <v>894</v>
      </c>
      <c r="B166" s="59" t="s">
        <v>895</v>
      </c>
    </row>
    <row r="167" spans="1:2" x14ac:dyDescent="0.35">
      <c r="A167" s="57" t="s">
        <v>896</v>
      </c>
      <c r="B167" s="59" t="s">
        <v>897</v>
      </c>
    </row>
    <row r="168" spans="1:2" x14ac:dyDescent="0.35">
      <c r="A168" s="57" t="s">
        <v>898</v>
      </c>
      <c r="B168" s="59" t="s">
        <v>899</v>
      </c>
    </row>
    <row r="169" spans="1:2" x14ac:dyDescent="0.35">
      <c r="A169" s="57" t="s">
        <v>900</v>
      </c>
      <c r="B169" s="59" t="s">
        <v>901</v>
      </c>
    </row>
    <row r="170" spans="1:2" x14ac:dyDescent="0.35">
      <c r="A170" s="57" t="s">
        <v>902</v>
      </c>
      <c r="B170" s="59" t="s">
        <v>903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M490"/>
  <sheetViews>
    <sheetView showGridLines="0" showZeros="0" topLeftCell="A399" zoomScale="60" zoomScaleNormal="60" workbookViewId="0">
      <selection activeCell="D204" sqref="D204"/>
    </sheetView>
  </sheetViews>
  <sheetFormatPr baseColWidth="10" defaultColWidth="9.1796875" defaultRowHeight="14.5" x14ac:dyDescent="0.35"/>
  <cols>
    <col min="1" max="1" width="9.1796875" style="23"/>
    <col min="2" max="2" width="30.54296875" style="23" customWidth="1"/>
    <col min="3" max="3" width="32.453125" style="23" customWidth="1"/>
    <col min="4" max="4" width="23" style="196" customWidth="1"/>
    <col min="5" max="5" width="23" style="23" customWidth="1"/>
    <col min="6" max="6" width="19.81640625" style="23" customWidth="1"/>
    <col min="7" max="7" width="21" style="23" bestFit="1" customWidth="1"/>
    <col min="8" max="8" width="22.453125" style="23" customWidth="1"/>
    <col min="9" max="9" width="22.453125" style="119" customWidth="1"/>
    <col min="10" max="10" width="31.453125" style="23" customWidth="1"/>
    <col min="11" max="11" width="18.81640625" style="131" customWidth="1"/>
    <col min="12" max="12" width="11.81640625" style="23" bestFit="1" customWidth="1"/>
    <col min="13" max="13" width="17.54296875" style="23" customWidth="1"/>
    <col min="14" max="14" width="26.453125" style="23" customWidth="1"/>
    <col min="15" max="15" width="22.453125" style="23" customWidth="1"/>
    <col min="16" max="16" width="29.54296875" style="23" customWidth="1"/>
    <col min="17" max="17" width="23.453125" style="23" customWidth="1"/>
    <col min="18" max="18" width="18.453125" style="23" customWidth="1"/>
    <col min="19" max="19" width="17.453125" style="23" customWidth="1"/>
    <col min="20" max="20" width="25.1796875" style="23" customWidth="1"/>
    <col min="21" max="16384" width="9.1796875" style="23"/>
  </cols>
  <sheetData>
    <row r="1" spans="2:13" x14ac:dyDescent="0.35">
      <c r="K1" s="23"/>
    </row>
    <row r="2" spans="2:13" ht="47.25" customHeight="1" x14ac:dyDescent="1">
      <c r="B2" s="640" t="s">
        <v>54</v>
      </c>
      <c r="C2" s="640"/>
      <c r="D2" s="640"/>
      <c r="E2" s="640"/>
      <c r="F2" s="21"/>
      <c r="G2" s="21"/>
      <c r="H2" s="22"/>
      <c r="I2" s="121"/>
      <c r="J2" s="22"/>
      <c r="K2" s="23"/>
    </row>
    <row r="3" spans="2:13" ht="15.5" x14ac:dyDescent="0.35">
      <c r="B3" s="99"/>
      <c r="K3" s="23"/>
    </row>
    <row r="4" spans="2:13" ht="16" thickBot="1" x14ac:dyDescent="0.4">
      <c r="B4" s="25"/>
      <c r="K4" s="23"/>
    </row>
    <row r="5" spans="2:13" ht="36" x14ac:dyDescent="0.8">
      <c r="B5" s="83" t="s">
        <v>55</v>
      </c>
      <c r="C5" s="100"/>
      <c r="D5" s="197"/>
      <c r="E5" s="100"/>
      <c r="F5" s="100"/>
      <c r="G5" s="100"/>
      <c r="H5" s="100"/>
      <c r="I5" s="122"/>
      <c r="J5" s="100"/>
      <c r="K5" s="100"/>
      <c r="L5" s="100"/>
      <c r="M5" s="101"/>
    </row>
    <row r="6" spans="2:13" ht="189" customHeight="1" thickBot="1" x14ac:dyDescent="0.55000000000000004">
      <c r="B6" s="641" t="s">
        <v>56</v>
      </c>
      <c r="C6" s="642"/>
      <c r="D6" s="642"/>
      <c r="E6" s="642"/>
      <c r="F6" s="642"/>
      <c r="G6" s="642"/>
      <c r="H6" s="642"/>
      <c r="I6" s="643"/>
      <c r="J6" s="642"/>
      <c r="K6" s="642"/>
      <c r="L6" s="642"/>
      <c r="M6" s="644"/>
    </row>
    <row r="7" spans="2:13" ht="15.75" customHeight="1" x14ac:dyDescent="0.35">
      <c r="B7" s="26"/>
      <c r="K7" s="23"/>
    </row>
    <row r="8" spans="2:13" ht="15.75" customHeight="1" thickBot="1" x14ac:dyDescent="0.4">
      <c r="K8" s="23"/>
    </row>
    <row r="9" spans="2:13" ht="27" customHeight="1" thickBot="1" x14ac:dyDescent="0.65">
      <c r="B9" s="645" t="s">
        <v>57</v>
      </c>
      <c r="C9" s="646"/>
      <c r="D9" s="646"/>
      <c r="E9" s="646"/>
      <c r="F9" s="646"/>
      <c r="G9" s="646"/>
      <c r="H9" s="647"/>
      <c r="I9" s="123"/>
      <c r="K9" s="23"/>
    </row>
    <row r="10" spans="2:13" x14ac:dyDescent="0.35">
      <c r="K10" s="23"/>
    </row>
    <row r="11" spans="2:13" ht="25.5" customHeight="1" x14ac:dyDescent="0.35">
      <c r="D11" s="198"/>
      <c r="E11" s="27"/>
      <c r="F11" s="27"/>
      <c r="G11" s="27"/>
      <c r="I11" s="120"/>
      <c r="J11" s="24"/>
      <c r="K11" s="24"/>
    </row>
    <row r="12" spans="2:13" ht="135" customHeight="1" x14ac:dyDescent="0.35">
      <c r="B12" s="14" t="s">
        <v>58</v>
      </c>
      <c r="C12" s="14" t="s">
        <v>59</v>
      </c>
      <c r="D12" s="199" t="s">
        <v>60</v>
      </c>
      <c r="E12" s="14" t="s">
        <v>61</v>
      </c>
      <c r="F12" s="14" t="s">
        <v>62</v>
      </c>
      <c r="G12" s="14" t="s">
        <v>63</v>
      </c>
      <c r="H12" s="14" t="s">
        <v>64</v>
      </c>
      <c r="I12" s="14" t="s">
        <v>65</v>
      </c>
      <c r="J12" s="14" t="s">
        <v>66</v>
      </c>
      <c r="K12" s="164" t="s">
        <v>67</v>
      </c>
    </row>
    <row r="13" spans="2:13" ht="18.75" customHeight="1" x14ac:dyDescent="0.35">
      <c r="B13" s="247"/>
      <c r="C13" s="247"/>
      <c r="D13" s="200" t="s">
        <v>7</v>
      </c>
      <c r="E13" s="52" t="s">
        <v>8</v>
      </c>
      <c r="F13" s="52"/>
      <c r="G13" s="52"/>
      <c r="H13" s="247"/>
      <c r="I13" s="248"/>
      <c r="J13" s="247"/>
      <c r="K13" s="247"/>
    </row>
    <row r="14" spans="2:13" ht="15.5" x14ac:dyDescent="0.35">
      <c r="B14" s="72" t="s">
        <v>68</v>
      </c>
      <c r="C14" s="648" t="s">
        <v>69</v>
      </c>
      <c r="D14" s="648"/>
      <c r="E14" s="648"/>
      <c r="F14" s="648"/>
      <c r="G14" s="648"/>
      <c r="H14" s="648"/>
      <c r="I14" s="635"/>
      <c r="J14" s="648"/>
      <c r="K14" s="23">
        <v>0</v>
      </c>
    </row>
    <row r="15" spans="2:13" ht="29.15" customHeight="1" x14ac:dyDescent="0.35">
      <c r="B15" s="72" t="s">
        <v>70</v>
      </c>
      <c r="C15" s="649" t="s">
        <v>71</v>
      </c>
      <c r="D15" s="649"/>
      <c r="E15" s="649"/>
      <c r="F15" s="649"/>
      <c r="G15" s="649"/>
      <c r="H15" s="649"/>
      <c r="I15" s="633"/>
      <c r="J15" s="649"/>
      <c r="K15" s="23"/>
    </row>
    <row r="16" spans="2:13" ht="33.65" customHeight="1" x14ac:dyDescent="0.4">
      <c r="B16" s="622" t="s">
        <v>72</v>
      </c>
      <c r="C16" s="166" t="s">
        <v>73</v>
      </c>
      <c r="D16" s="202">
        <v>30000</v>
      </c>
      <c r="E16" s="177"/>
      <c r="F16" s="177"/>
      <c r="G16" s="248">
        <f>D16+E16+F16</f>
        <v>30000</v>
      </c>
      <c r="H16" s="171">
        <v>0.4</v>
      </c>
      <c r="I16" s="177"/>
      <c r="J16" s="167" t="s">
        <v>74</v>
      </c>
      <c r="K16" s="181">
        <v>6</v>
      </c>
      <c r="M16" s="165"/>
    </row>
    <row r="17" spans="2:13" ht="50.15" customHeight="1" x14ac:dyDescent="0.35">
      <c r="B17" s="623"/>
      <c r="C17" s="166" t="s">
        <v>75</v>
      </c>
      <c r="D17" s="202">
        <v>5000</v>
      </c>
      <c r="E17" s="177"/>
      <c r="F17" s="177"/>
      <c r="G17" s="248">
        <f t="shared" ref="G17:G34" si="0">D17+E17+F17</f>
        <v>5000</v>
      </c>
      <c r="H17" s="171">
        <v>0</v>
      </c>
      <c r="I17" s="177"/>
      <c r="J17" s="167" t="s">
        <v>76</v>
      </c>
      <c r="K17" s="181">
        <v>6</v>
      </c>
      <c r="M17" s="173"/>
    </row>
    <row r="18" spans="2:13" ht="35.15" customHeight="1" x14ac:dyDescent="0.35">
      <c r="B18" s="623"/>
      <c r="C18" s="166" t="s">
        <v>77</v>
      </c>
      <c r="D18" s="202">
        <v>10000</v>
      </c>
      <c r="E18" s="177"/>
      <c r="F18" s="177"/>
      <c r="G18" s="248">
        <f t="shared" si="0"/>
        <v>10000</v>
      </c>
      <c r="H18" s="171">
        <v>0.4</v>
      </c>
      <c r="I18" s="177"/>
      <c r="J18" s="167" t="s">
        <v>78</v>
      </c>
      <c r="K18" s="181">
        <v>6</v>
      </c>
      <c r="M18" s="173">
        <f>D16+D17+D18+D19+D20</f>
        <v>60000</v>
      </c>
    </row>
    <row r="19" spans="2:13" ht="33" customHeight="1" x14ac:dyDescent="0.35">
      <c r="B19" s="623"/>
      <c r="C19" s="166" t="s">
        <v>79</v>
      </c>
      <c r="D19" s="202">
        <v>5000</v>
      </c>
      <c r="E19" s="177"/>
      <c r="F19" s="177"/>
      <c r="G19" s="248">
        <f t="shared" si="0"/>
        <v>5000</v>
      </c>
      <c r="H19" s="171">
        <v>0.3</v>
      </c>
      <c r="I19" s="177"/>
      <c r="J19" s="167" t="s">
        <v>80</v>
      </c>
      <c r="K19" s="181">
        <v>6</v>
      </c>
      <c r="M19" s="173"/>
    </row>
    <row r="20" spans="2:13" ht="46.5" x14ac:dyDescent="0.35">
      <c r="B20" s="623"/>
      <c r="C20" s="166" t="s">
        <v>81</v>
      </c>
      <c r="D20" s="202">
        <v>10000</v>
      </c>
      <c r="E20" s="177"/>
      <c r="F20" s="177"/>
      <c r="G20" s="248">
        <f t="shared" si="0"/>
        <v>10000</v>
      </c>
      <c r="H20" s="171">
        <v>0.4</v>
      </c>
      <c r="I20" s="177"/>
      <c r="J20" s="167" t="s">
        <v>82</v>
      </c>
      <c r="K20" s="181">
        <v>6</v>
      </c>
    </row>
    <row r="21" spans="2:13" ht="34.4" customHeight="1" x14ac:dyDescent="0.35">
      <c r="B21" s="624"/>
      <c r="C21" s="166"/>
      <c r="D21" s="202"/>
      <c r="E21" s="177"/>
      <c r="F21" s="177"/>
      <c r="G21" s="248"/>
      <c r="H21" s="171"/>
      <c r="I21" s="177"/>
      <c r="J21" s="167"/>
      <c r="K21" s="181"/>
    </row>
    <row r="22" spans="2:13" ht="31.4" customHeight="1" x14ac:dyDescent="0.35">
      <c r="B22" s="622" t="s">
        <v>83</v>
      </c>
      <c r="C22" s="166" t="s">
        <v>84</v>
      </c>
      <c r="D22" s="202">
        <v>30000</v>
      </c>
      <c r="E22" s="177"/>
      <c r="F22" s="177"/>
      <c r="G22" s="248">
        <f t="shared" si="0"/>
        <v>30000</v>
      </c>
      <c r="H22" s="171">
        <v>0.4</v>
      </c>
      <c r="I22" s="177"/>
      <c r="J22" s="167" t="s">
        <v>85</v>
      </c>
      <c r="K22" s="181">
        <v>6</v>
      </c>
    </row>
    <row r="23" spans="2:13" ht="31" x14ac:dyDescent="0.35">
      <c r="B23" s="623"/>
      <c r="C23" s="166" t="s">
        <v>86</v>
      </c>
      <c r="D23" s="202">
        <v>15000</v>
      </c>
      <c r="E23" s="177"/>
      <c r="F23" s="177"/>
      <c r="G23" s="248">
        <f t="shared" si="0"/>
        <v>15000</v>
      </c>
      <c r="H23" s="171">
        <v>0.3</v>
      </c>
      <c r="I23" s="177"/>
      <c r="J23" s="167" t="s">
        <v>87</v>
      </c>
      <c r="K23" s="181">
        <v>6</v>
      </c>
      <c r="M23" s="173"/>
    </row>
    <row r="24" spans="2:13" ht="46.5" x14ac:dyDescent="0.35">
      <c r="B24" s="623"/>
      <c r="C24" s="166" t="s">
        <v>88</v>
      </c>
      <c r="D24" s="202">
        <v>20000</v>
      </c>
      <c r="E24" s="177"/>
      <c r="F24" s="177"/>
      <c r="G24" s="248">
        <f t="shared" si="0"/>
        <v>20000</v>
      </c>
      <c r="H24" s="171">
        <v>0.4</v>
      </c>
      <c r="I24" s="177"/>
      <c r="J24" s="167" t="s">
        <v>89</v>
      </c>
      <c r="K24" s="181">
        <v>6</v>
      </c>
      <c r="M24" s="173">
        <f>D22+D23+D24+D25</f>
        <v>73000</v>
      </c>
    </row>
    <row r="25" spans="2:13" ht="46.5" x14ac:dyDescent="0.35">
      <c r="B25" s="624"/>
      <c r="C25" s="166" t="s">
        <v>90</v>
      </c>
      <c r="D25" s="202">
        <v>8000</v>
      </c>
      <c r="E25" s="177"/>
      <c r="F25" s="177"/>
      <c r="G25" s="248">
        <f t="shared" si="0"/>
        <v>8000</v>
      </c>
      <c r="H25" s="171">
        <v>0.4</v>
      </c>
      <c r="I25" s="177"/>
      <c r="J25" s="167" t="s">
        <v>91</v>
      </c>
      <c r="K25" s="181">
        <v>6</v>
      </c>
    </row>
    <row r="26" spans="2:13" ht="47.15" customHeight="1" x14ac:dyDescent="0.35">
      <c r="B26" s="622" t="s">
        <v>92</v>
      </c>
      <c r="C26" s="166" t="s">
        <v>93</v>
      </c>
      <c r="D26" s="202">
        <v>20000</v>
      </c>
      <c r="E26" s="177"/>
      <c r="F26" s="177"/>
      <c r="G26" s="248">
        <f t="shared" si="0"/>
        <v>20000</v>
      </c>
      <c r="H26" s="171">
        <v>0.3</v>
      </c>
      <c r="I26" s="177"/>
      <c r="J26" s="167" t="s">
        <v>94</v>
      </c>
      <c r="K26" s="181">
        <v>6</v>
      </c>
    </row>
    <row r="27" spans="2:13" ht="46.5" x14ac:dyDescent="0.35">
      <c r="B27" s="623"/>
      <c r="C27" s="166" t="s">
        <v>95</v>
      </c>
      <c r="D27" s="202">
        <v>4000</v>
      </c>
      <c r="E27" s="177"/>
      <c r="F27" s="177"/>
      <c r="G27" s="248">
        <f t="shared" si="0"/>
        <v>4000</v>
      </c>
      <c r="H27" s="171">
        <v>0.3</v>
      </c>
      <c r="I27" s="177"/>
      <c r="J27" s="167" t="s">
        <v>96</v>
      </c>
      <c r="K27" s="181">
        <v>6</v>
      </c>
      <c r="M27" s="173">
        <f>+D26+D27+D28</f>
        <v>29000</v>
      </c>
    </row>
    <row r="28" spans="2:13" ht="31" x14ac:dyDescent="0.35">
      <c r="B28" s="623"/>
      <c r="C28" s="166" t="s">
        <v>97</v>
      </c>
      <c r="D28" s="202">
        <v>5000</v>
      </c>
      <c r="E28" s="177"/>
      <c r="F28" s="177"/>
      <c r="G28" s="248">
        <f t="shared" si="0"/>
        <v>5000</v>
      </c>
      <c r="H28" s="171">
        <v>0.4</v>
      </c>
      <c r="I28" s="177"/>
      <c r="J28" s="167" t="s">
        <v>98</v>
      </c>
      <c r="K28" s="181">
        <v>6</v>
      </c>
      <c r="M28" s="215">
        <f>M27+M24+M18</f>
        <v>162000</v>
      </c>
    </row>
    <row r="29" spans="2:13" ht="15.5" x14ac:dyDescent="0.35">
      <c r="B29" s="624"/>
      <c r="C29" s="166"/>
      <c r="D29" s="202"/>
      <c r="E29" s="177"/>
      <c r="F29" s="177"/>
      <c r="G29" s="248">
        <f t="shared" si="0"/>
        <v>0</v>
      </c>
      <c r="H29" s="171"/>
      <c r="I29" s="177"/>
      <c r="J29" s="167"/>
      <c r="K29" s="181"/>
      <c r="M29" s="215"/>
    </row>
    <row r="30" spans="2:13" ht="15.5" hidden="1" x14ac:dyDescent="0.35">
      <c r="B30" s="622" t="s">
        <v>99</v>
      </c>
      <c r="C30" s="166"/>
      <c r="D30" s="202"/>
      <c r="E30" s="177"/>
      <c r="F30" s="177"/>
      <c r="G30" s="248">
        <f t="shared" si="0"/>
        <v>0</v>
      </c>
      <c r="H30" s="171"/>
      <c r="I30" s="177"/>
      <c r="J30" s="167"/>
      <c r="K30" s="249"/>
    </row>
    <row r="31" spans="2:13" ht="15.5" hidden="1" x14ac:dyDescent="0.35">
      <c r="B31" s="623"/>
      <c r="C31" s="166"/>
      <c r="D31" s="202"/>
      <c r="E31" s="177"/>
      <c r="F31" s="177"/>
      <c r="G31" s="248">
        <f t="shared" si="0"/>
        <v>0</v>
      </c>
      <c r="H31" s="171"/>
      <c r="I31" s="177"/>
      <c r="J31" s="167"/>
      <c r="K31" s="249"/>
    </row>
    <row r="32" spans="2:13" ht="15.5" hidden="1" x14ac:dyDescent="0.35">
      <c r="B32" s="623"/>
      <c r="C32" s="166"/>
      <c r="D32" s="202"/>
      <c r="E32" s="177"/>
      <c r="F32" s="177"/>
      <c r="G32" s="248">
        <f t="shared" si="0"/>
        <v>0</v>
      </c>
      <c r="H32" s="171"/>
      <c r="I32" s="177"/>
      <c r="J32" s="167"/>
      <c r="K32" s="249"/>
    </row>
    <row r="33" spans="1:13" ht="15.5" hidden="1" x14ac:dyDescent="0.35">
      <c r="B33" s="623"/>
      <c r="C33" s="166"/>
      <c r="D33" s="202"/>
      <c r="E33" s="177"/>
      <c r="F33" s="177"/>
      <c r="G33" s="248">
        <f t="shared" si="0"/>
        <v>0</v>
      </c>
      <c r="H33" s="171"/>
      <c r="I33" s="177"/>
      <c r="J33" s="167"/>
      <c r="K33" s="249"/>
    </row>
    <row r="34" spans="1:13" ht="15.5" hidden="1" x14ac:dyDescent="0.35">
      <c r="B34" s="624"/>
      <c r="C34" s="166"/>
      <c r="D34" s="202"/>
      <c r="E34" s="177"/>
      <c r="F34" s="177"/>
      <c r="G34" s="248">
        <f t="shared" si="0"/>
        <v>0</v>
      </c>
      <c r="H34" s="171"/>
      <c r="I34" s="177"/>
      <c r="J34" s="167"/>
      <c r="K34" s="249"/>
    </row>
    <row r="35" spans="1:13" ht="15.5" x14ac:dyDescent="0.35">
      <c r="A35" s="24"/>
      <c r="C35" s="73" t="s">
        <v>100</v>
      </c>
      <c r="D35" s="201">
        <f>SUM(D16:D34)</f>
        <v>162000</v>
      </c>
      <c r="E35" s="10">
        <f>SUM(E16:E34)</f>
        <v>0</v>
      </c>
      <c r="F35" s="10">
        <f>SUM(F16:F34)</f>
        <v>0</v>
      </c>
      <c r="G35" s="10">
        <f>SUM(G16:G34)</f>
        <v>162000</v>
      </c>
      <c r="H35" s="10">
        <f>(H16*G16)+(H17*G17)+(H18*G18)+(H19*G19)+(H20*G20)+(H21*G21)+(H22*G22)+(H23*G23)+(H24*G24)+(H25*G25)+(H26*G26)+(H27*G27)+(H28*G28)+(H29*G29)+(H30*G30)+(H31*G31)+(H32*G32)+(H33*G33)+(H34*G34)</f>
        <v>58400</v>
      </c>
      <c r="I35" s="10">
        <f>SUM(I16:I34)</f>
        <v>0</v>
      </c>
      <c r="J35" s="170"/>
      <c r="K35" s="133"/>
    </row>
    <row r="36" spans="1:13" ht="39" customHeight="1" x14ac:dyDescent="0.35">
      <c r="A36" s="24"/>
      <c r="B36" s="72" t="s">
        <v>101</v>
      </c>
      <c r="C36" s="630" t="s">
        <v>102</v>
      </c>
      <c r="D36" s="630"/>
      <c r="E36" s="630"/>
      <c r="F36" s="630"/>
      <c r="G36" s="630"/>
      <c r="H36" s="630"/>
      <c r="I36" s="631"/>
      <c r="J36" s="630"/>
      <c r="K36" s="134"/>
    </row>
    <row r="37" spans="1:13" ht="33" customHeight="1" x14ac:dyDescent="0.35">
      <c r="A37" s="24"/>
      <c r="B37" s="622" t="s">
        <v>103</v>
      </c>
      <c r="C37" s="166" t="s">
        <v>104</v>
      </c>
      <c r="D37" s="202">
        <v>15000</v>
      </c>
      <c r="E37" s="177"/>
      <c r="F37" s="177"/>
      <c r="G37" s="248">
        <f t="shared" ref="G37:G61" si="1">D37+E37+F37</f>
        <v>15000</v>
      </c>
      <c r="H37" s="171">
        <v>0.4</v>
      </c>
      <c r="I37" s="177"/>
      <c r="J37" s="167" t="s">
        <v>105</v>
      </c>
      <c r="K37" s="181">
        <v>6</v>
      </c>
      <c r="M37" s="168"/>
    </row>
    <row r="38" spans="1:13" ht="31" x14ac:dyDescent="0.35">
      <c r="A38" s="24"/>
      <c r="B38" s="623"/>
      <c r="C38" s="166" t="s">
        <v>106</v>
      </c>
      <c r="D38" s="202">
        <v>5000</v>
      </c>
      <c r="E38" s="177"/>
      <c r="F38" s="177"/>
      <c r="G38" s="248">
        <f t="shared" si="1"/>
        <v>5000</v>
      </c>
      <c r="H38" s="171">
        <v>0.4</v>
      </c>
      <c r="I38" s="177"/>
      <c r="J38" s="167" t="s">
        <v>107</v>
      </c>
      <c r="K38" s="181">
        <v>6</v>
      </c>
      <c r="M38" s="173"/>
    </row>
    <row r="39" spans="1:13" ht="46.5" x14ac:dyDescent="0.35">
      <c r="A39" s="24"/>
      <c r="B39" s="624"/>
      <c r="C39" s="166" t="s">
        <v>108</v>
      </c>
      <c r="D39" s="202">
        <v>4000</v>
      </c>
      <c r="E39" s="177"/>
      <c r="F39" s="177"/>
      <c r="G39" s="248">
        <f t="shared" si="1"/>
        <v>4000</v>
      </c>
      <c r="H39" s="171">
        <v>0.3</v>
      </c>
      <c r="I39" s="177"/>
      <c r="J39" s="167" t="s">
        <v>109</v>
      </c>
      <c r="K39" s="181">
        <v>6</v>
      </c>
      <c r="M39" s="173">
        <f>D37+D38+D39</f>
        <v>24000</v>
      </c>
    </row>
    <row r="40" spans="1:13" ht="31" x14ac:dyDescent="0.35">
      <c r="A40" s="24"/>
      <c r="B40" s="622" t="s">
        <v>110</v>
      </c>
      <c r="C40" s="166" t="s">
        <v>111</v>
      </c>
      <c r="D40" s="202">
        <v>13000</v>
      </c>
      <c r="E40" s="177"/>
      <c r="F40" s="177"/>
      <c r="G40" s="248">
        <f t="shared" si="1"/>
        <v>13000</v>
      </c>
      <c r="H40" s="171">
        <v>0.3</v>
      </c>
      <c r="I40" s="177"/>
      <c r="J40" s="167" t="s">
        <v>94</v>
      </c>
      <c r="K40" s="181">
        <v>6</v>
      </c>
    </row>
    <row r="41" spans="1:13" ht="46.5" x14ac:dyDescent="0.35">
      <c r="A41" s="24"/>
      <c r="B41" s="623"/>
      <c r="C41" s="166" t="s">
        <v>112</v>
      </c>
      <c r="D41" s="202">
        <v>45000</v>
      </c>
      <c r="E41" s="177"/>
      <c r="F41" s="177"/>
      <c r="G41" s="248">
        <f t="shared" si="1"/>
        <v>45000</v>
      </c>
      <c r="H41" s="171">
        <v>0.3</v>
      </c>
      <c r="I41" s="177"/>
      <c r="J41" s="167" t="s">
        <v>113</v>
      </c>
      <c r="K41" s="181">
        <v>6</v>
      </c>
      <c r="M41" s="173">
        <f>D40+D41+D42</f>
        <v>78000</v>
      </c>
    </row>
    <row r="42" spans="1:13" ht="31" x14ac:dyDescent="0.35">
      <c r="A42" s="24"/>
      <c r="B42" s="623"/>
      <c r="C42" s="166" t="s">
        <v>114</v>
      </c>
      <c r="D42" s="202">
        <v>20000</v>
      </c>
      <c r="E42" s="177"/>
      <c r="F42" s="177"/>
      <c r="G42" s="248">
        <f t="shared" si="1"/>
        <v>20000</v>
      </c>
      <c r="H42" s="171">
        <v>0.3</v>
      </c>
      <c r="I42" s="177"/>
      <c r="J42" s="167" t="s">
        <v>115</v>
      </c>
      <c r="K42" s="181">
        <v>6</v>
      </c>
    </row>
    <row r="43" spans="1:13" ht="31.4" customHeight="1" x14ac:dyDescent="0.35">
      <c r="A43" s="24"/>
      <c r="B43" s="622" t="s">
        <v>116</v>
      </c>
      <c r="C43" s="166" t="s">
        <v>117</v>
      </c>
      <c r="D43" s="202">
        <v>10000</v>
      </c>
      <c r="E43" s="177"/>
      <c r="F43" s="177"/>
      <c r="G43" s="248">
        <f t="shared" si="1"/>
        <v>10000</v>
      </c>
      <c r="H43" s="171">
        <v>0.3</v>
      </c>
      <c r="I43" s="177"/>
      <c r="J43" s="167" t="s">
        <v>118</v>
      </c>
      <c r="K43" s="181">
        <v>6</v>
      </c>
    </row>
    <row r="44" spans="1:13" ht="46.5" x14ac:dyDescent="0.35">
      <c r="A44" s="24"/>
      <c r="B44" s="623"/>
      <c r="C44" s="166" t="s">
        <v>119</v>
      </c>
      <c r="D44" s="202">
        <f>15000+15000</f>
        <v>30000</v>
      </c>
      <c r="E44" s="177"/>
      <c r="F44" s="177"/>
      <c r="G44" s="248">
        <f t="shared" si="1"/>
        <v>30000</v>
      </c>
      <c r="H44" s="171">
        <v>0.3</v>
      </c>
      <c r="I44" s="177"/>
      <c r="J44" s="167" t="s">
        <v>94</v>
      </c>
      <c r="K44" s="181">
        <v>6</v>
      </c>
      <c r="M44" s="215">
        <f>D43+D44+D45</f>
        <v>60000</v>
      </c>
    </row>
    <row r="45" spans="1:13" ht="46.5" x14ac:dyDescent="0.35">
      <c r="A45" s="24"/>
      <c r="B45" s="623"/>
      <c r="C45" s="166" t="s">
        <v>120</v>
      </c>
      <c r="D45" s="202">
        <f>10000+10000</f>
        <v>20000</v>
      </c>
      <c r="E45" s="177"/>
      <c r="F45" s="177"/>
      <c r="G45" s="248">
        <f t="shared" si="1"/>
        <v>20000</v>
      </c>
      <c r="H45" s="171">
        <v>0.3</v>
      </c>
      <c r="I45" s="177"/>
      <c r="J45" s="167" t="s">
        <v>121</v>
      </c>
      <c r="K45" s="181">
        <v>6</v>
      </c>
      <c r="M45" s="173"/>
    </row>
    <row r="46" spans="1:13" ht="15.5" x14ac:dyDescent="0.35">
      <c r="A46" s="24"/>
      <c r="B46" s="624"/>
      <c r="C46" s="166"/>
      <c r="D46" s="202"/>
      <c r="E46" s="177"/>
      <c r="F46" s="177"/>
      <c r="G46" s="248">
        <f t="shared" si="1"/>
        <v>0</v>
      </c>
      <c r="H46" s="171"/>
      <c r="I46" s="177"/>
      <c r="J46" s="167"/>
      <c r="K46" s="181"/>
    </row>
    <row r="47" spans="1:13" ht="31.4" customHeight="1" x14ac:dyDescent="0.35">
      <c r="A47" s="24"/>
      <c r="B47" s="622" t="s">
        <v>122</v>
      </c>
      <c r="C47" s="166" t="s">
        <v>123</v>
      </c>
      <c r="D47" s="202">
        <v>25000</v>
      </c>
      <c r="E47" s="177"/>
      <c r="F47" s="177"/>
      <c r="G47" s="248">
        <f t="shared" si="1"/>
        <v>25000</v>
      </c>
      <c r="H47" s="171">
        <v>0.3</v>
      </c>
      <c r="I47" s="177"/>
      <c r="J47" s="167" t="s">
        <v>94</v>
      </c>
      <c r="K47" s="181">
        <v>6</v>
      </c>
    </row>
    <row r="48" spans="1:13" ht="31" x14ac:dyDescent="0.35">
      <c r="A48" s="24"/>
      <c r="B48" s="623"/>
      <c r="C48" s="166" t="s">
        <v>124</v>
      </c>
      <c r="D48" s="202">
        <v>10000</v>
      </c>
      <c r="E48" s="177"/>
      <c r="F48" s="177"/>
      <c r="G48" s="248">
        <f t="shared" si="1"/>
        <v>10000</v>
      </c>
      <c r="H48" s="171">
        <v>0.3</v>
      </c>
      <c r="I48" s="177"/>
      <c r="J48" s="167" t="s">
        <v>125</v>
      </c>
      <c r="K48" s="181">
        <v>6</v>
      </c>
      <c r="M48" s="173"/>
    </row>
    <row r="49" spans="1:13" ht="46.5" x14ac:dyDescent="0.35">
      <c r="A49" s="24"/>
      <c r="B49" s="623"/>
      <c r="C49" s="166" t="s">
        <v>126</v>
      </c>
      <c r="D49" s="202">
        <v>5000</v>
      </c>
      <c r="E49" s="177"/>
      <c r="F49" s="177"/>
      <c r="G49" s="248">
        <f t="shared" si="1"/>
        <v>5000</v>
      </c>
      <c r="H49" s="171">
        <v>0.3</v>
      </c>
      <c r="I49" s="177"/>
      <c r="J49" s="167" t="s">
        <v>127</v>
      </c>
      <c r="K49" s="181">
        <v>6</v>
      </c>
      <c r="M49" s="215">
        <f>D47+D48+D49</f>
        <v>40000</v>
      </c>
    </row>
    <row r="50" spans="1:13" ht="15.5" x14ac:dyDescent="0.35">
      <c r="A50" s="24"/>
      <c r="B50" s="623"/>
      <c r="C50" s="166"/>
      <c r="D50" s="202"/>
      <c r="E50" s="177"/>
      <c r="F50" s="177"/>
      <c r="G50" s="248">
        <f t="shared" si="1"/>
        <v>0</v>
      </c>
      <c r="H50" s="171"/>
      <c r="I50" s="177"/>
      <c r="J50" s="167"/>
      <c r="K50" s="181"/>
    </row>
    <row r="51" spans="1:13" ht="15.5" x14ac:dyDescent="0.35">
      <c r="A51" s="24"/>
      <c r="B51" s="624"/>
      <c r="C51" s="166"/>
      <c r="D51" s="202"/>
      <c r="E51" s="177"/>
      <c r="F51" s="177"/>
      <c r="G51" s="248">
        <f t="shared" si="1"/>
        <v>0</v>
      </c>
      <c r="H51" s="171"/>
      <c r="I51" s="177"/>
      <c r="J51" s="167"/>
      <c r="K51" s="181"/>
    </row>
    <row r="52" spans="1:13" ht="31.4" customHeight="1" x14ac:dyDescent="0.35">
      <c r="A52" s="24"/>
      <c r="B52" s="622" t="s">
        <v>128</v>
      </c>
      <c r="C52" s="166" t="s">
        <v>129</v>
      </c>
      <c r="D52" s="202">
        <v>25000</v>
      </c>
      <c r="E52" s="177"/>
      <c r="F52" s="177"/>
      <c r="G52" s="248">
        <f t="shared" si="1"/>
        <v>25000</v>
      </c>
      <c r="H52" s="171">
        <v>0.4</v>
      </c>
      <c r="I52" s="177"/>
      <c r="J52" s="167" t="s">
        <v>94</v>
      </c>
      <c r="K52" s="181">
        <v>6</v>
      </c>
    </row>
    <row r="53" spans="1:13" ht="31" x14ac:dyDescent="0.35">
      <c r="A53" s="24"/>
      <c r="B53" s="623"/>
      <c r="C53" s="166" t="s">
        <v>124</v>
      </c>
      <c r="D53" s="202">
        <v>9000</v>
      </c>
      <c r="E53" s="177"/>
      <c r="F53" s="177"/>
      <c r="G53" s="248">
        <f t="shared" si="1"/>
        <v>9000</v>
      </c>
      <c r="H53" s="171">
        <v>0.3</v>
      </c>
      <c r="I53" s="177"/>
      <c r="J53" s="167" t="s">
        <v>125</v>
      </c>
      <c r="K53" s="181">
        <v>6</v>
      </c>
      <c r="M53" s="173">
        <f>D52+D53+D54</f>
        <v>39000</v>
      </c>
    </row>
    <row r="54" spans="1:13" ht="46.5" x14ac:dyDescent="0.35">
      <c r="A54" s="24"/>
      <c r="B54" s="623"/>
      <c r="C54" s="166" t="s">
        <v>130</v>
      </c>
      <c r="D54" s="202">
        <v>5000</v>
      </c>
      <c r="E54" s="177"/>
      <c r="F54" s="177"/>
      <c r="G54" s="248">
        <f t="shared" si="1"/>
        <v>5000</v>
      </c>
      <c r="H54" s="171">
        <v>0.3</v>
      </c>
      <c r="I54" s="177"/>
      <c r="J54" s="167" t="s">
        <v>127</v>
      </c>
      <c r="K54" s="181">
        <v>6</v>
      </c>
    </row>
    <row r="55" spans="1:13" ht="15.5" x14ac:dyDescent="0.35">
      <c r="A55" s="24"/>
      <c r="B55" s="623"/>
      <c r="C55" s="166"/>
      <c r="D55" s="202"/>
      <c r="E55" s="177"/>
      <c r="F55" s="177"/>
      <c r="G55" s="248">
        <f t="shared" si="1"/>
        <v>0</v>
      </c>
      <c r="H55" s="171"/>
      <c r="I55" s="177"/>
      <c r="J55" s="167"/>
      <c r="K55" s="181"/>
    </row>
    <row r="56" spans="1:13" ht="15.5" x14ac:dyDescent="0.35">
      <c r="A56" s="24"/>
      <c r="B56" s="624"/>
      <c r="C56" s="166"/>
      <c r="D56" s="202"/>
      <c r="E56" s="177"/>
      <c r="F56" s="177"/>
      <c r="G56" s="248">
        <f t="shared" si="1"/>
        <v>0</v>
      </c>
      <c r="H56" s="171"/>
      <c r="I56" s="177"/>
      <c r="J56" s="167"/>
      <c r="K56" s="181"/>
    </row>
    <row r="57" spans="1:13" ht="51.65" customHeight="1" x14ac:dyDescent="0.35">
      <c r="A57" s="24"/>
      <c r="B57" s="622" t="s">
        <v>131</v>
      </c>
      <c r="C57" s="166" t="s">
        <v>132</v>
      </c>
      <c r="D57" s="202">
        <v>30000</v>
      </c>
      <c r="E57" s="177"/>
      <c r="F57" s="177"/>
      <c r="G57" s="248">
        <f t="shared" si="1"/>
        <v>30000</v>
      </c>
      <c r="H57" s="171">
        <v>0.4</v>
      </c>
      <c r="I57" s="177"/>
      <c r="J57" s="167" t="s">
        <v>133</v>
      </c>
      <c r="K57" s="181">
        <v>6</v>
      </c>
      <c r="M57" s="173">
        <f>D57</f>
        <v>30000</v>
      </c>
    </row>
    <row r="58" spans="1:13" ht="15.5" x14ac:dyDescent="0.35">
      <c r="A58" s="24"/>
      <c r="B58" s="623"/>
      <c r="C58" s="166"/>
      <c r="D58" s="202"/>
      <c r="E58" s="177"/>
      <c r="F58" s="177"/>
      <c r="G58" s="248">
        <f t="shared" si="1"/>
        <v>0</v>
      </c>
      <c r="H58" s="171"/>
      <c r="I58" s="177"/>
      <c r="J58" s="167"/>
      <c r="K58" s="181"/>
    </row>
    <row r="59" spans="1:13" ht="15.5" x14ac:dyDescent="0.35">
      <c r="A59" s="24"/>
      <c r="B59" s="623"/>
      <c r="C59" s="166"/>
      <c r="D59" s="202"/>
      <c r="E59" s="177"/>
      <c r="F59" s="177"/>
      <c r="G59" s="248">
        <f t="shared" si="1"/>
        <v>0</v>
      </c>
      <c r="H59" s="171"/>
      <c r="I59" s="177"/>
      <c r="J59" s="167"/>
      <c r="K59" s="181"/>
    </row>
    <row r="60" spans="1:13" ht="15.5" x14ac:dyDescent="0.35">
      <c r="A60" s="24"/>
      <c r="B60" s="623"/>
      <c r="C60" s="245"/>
      <c r="D60" s="202"/>
      <c r="E60" s="177"/>
      <c r="F60" s="177"/>
      <c r="G60" s="248">
        <f t="shared" si="1"/>
        <v>0</v>
      </c>
      <c r="H60" s="250"/>
      <c r="I60" s="251"/>
      <c r="J60" s="170"/>
      <c r="K60" s="181"/>
    </row>
    <row r="61" spans="1:13" ht="15.5" x14ac:dyDescent="0.35">
      <c r="A61" s="24"/>
      <c r="B61" s="624"/>
      <c r="C61" s="245"/>
      <c r="D61" s="202"/>
      <c r="E61" s="177"/>
      <c r="F61" s="177"/>
      <c r="G61" s="248">
        <f t="shared" si="1"/>
        <v>0</v>
      </c>
      <c r="H61" s="250"/>
      <c r="I61" s="251"/>
      <c r="J61" s="170"/>
      <c r="K61" s="181"/>
    </row>
    <row r="62" spans="1:13" ht="15.5" x14ac:dyDescent="0.35">
      <c r="A62" s="24"/>
      <c r="C62" s="73" t="s">
        <v>134</v>
      </c>
      <c r="D62" s="203">
        <f>SUM(D37:D61)</f>
        <v>271000</v>
      </c>
      <c r="E62" s="12">
        <f>SUM(E37:E61)</f>
        <v>0</v>
      </c>
      <c r="F62" s="12">
        <f>SUM(F37:F61)</f>
        <v>0</v>
      </c>
      <c r="G62" s="12">
        <f>SUM(G37:G61)</f>
        <v>271000</v>
      </c>
      <c r="H62" s="10">
        <f>(H37*G37)+(H38*G38)+(H39*G39)+(H40*G40)+(H41*G41)+(H42*G42)+(H43*G43)+(H44*G44)+(H45*G45)+(H46*G46)+(H47*G47)+(H48*G48)+(H49*G49)+(H50*G50)+(H51*G51)+(H52*G52)+(H53*G53)+(H54*G54)+(H55*G55)+(H56*G56)+(H57*G57)+(H58*G58)+(H59*G59)+(H60*G60)+(H61*G61)</f>
        <v>88800</v>
      </c>
      <c r="I62" s="10">
        <f>SUM(I37:I61)</f>
        <v>0</v>
      </c>
      <c r="J62" s="170"/>
      <c r="K62" s="182"/>
      <c r="M62" s="215">
        <f>M57+M53+M49+M44+M41+M39</f>
        <v>271000</v>
      </c>
    </row>
    <row r="63" spans="1:13" ht="31.4" customHeight="1" x14ac:dyDescent="0.35">
      <c r="A63" s="24"/>
      <c r="B63" s="72" t="s">
        <v>135</v>
      </c>
      <c r="C63" s="630" t="s">
        <v>136</v>
      </c>
      <c r="D63" s="630"/>
      <c r="E63" s="630"/>
      <c r="F63" s="630"/>
      <c r="G63" s="630"/>
      <c r="H63" s="630"/>
      <c r="I63" s="631"/>
      <c r="J63" s="630"/>
      <c r="K63" s="183"/>
    </row>
    <row r="64" spans="1:13" ht="64.400000000000006" customHeight="1" x14ac:dyDescent="0.35">
      <c r="A64" s="24"/>
      <c r="B64" s="622" t="s">
        <v>137</v>
      </c>
      <c r="C64" s="166" t="s">
        <v>138</v>
      </c>
      <c r="D64" s="202">
        <v>5000</v>
      </c>
      <c r="E64" s="177"/>
      <c r="F64" s="177"/>
      <c r="G64" s="248">
        <f>D64+E64+F64</f>
        <v>5000</v>
      </c>
      <c r="H64" s="171">
        <v>0.4</v>
      </c>
      <c r="I64" s="177"/>
      <c r="J64" s="167" t="s">
        <v>121</v>
      </c>
      <c r="K64" s="181">
        <v>6</v>
      </c>
    </row>
    <row r="65" spans="1:13" ht="31" x14ac:dyDescent="0.35">
      <c r="A65" s="24"/>
      <c r="B65" s="623"/>
      <c r="C65" s="166" t="s">
        <v>139</v>
      </c>
      <c r="D65" s="202">
        <v>20000</v>
      </c>
      <c r="E65" s="177"/>
      <c r="F65" s="177"/>
      <c r="G65" s="248">
        <f t="shared" ref="G65:G88" si="2">D65+E65+F65</f>
        <v>20000</v>
      </c>
      <c r="H65" s="171">
        <v>0.4</v>
      </c>
      <c r="I65" s="177"/>
      <c r="J65" s="167" t="s">
        <v>94</v>
      </c>
      <c r="K65" s="181">
        <v>6</v>
      </c>
      <c r="M65" s="173">
        <f>D64+D65+D66+D67</f>
        <v>76430.69</v>
      </c>
    </row>
    <row r="66" spans="1:13" ht="31" x14ac:dyDescent="0.35">
      <c r="A66" s="24"/>
      <c r="B66" s="623"/>
      <c r="C66" s="166" t="s">
        <v>140</v>
      </c>
      <c r="D66" s="202">
        <v>45430.69</v>
      </c>
      <c r="E66" s="177"/>
      <c r="F66" s="177"/>
      <c r="G66" s="248">
        <f t="shared" si="2"/>
        <v>45430.69</v>
      </c>
      <c r="H66" s="171">
        <v>0.4</v>
      </c>
      <c r="I66" s="177"/>
      <c r="J66" s="167" t="s">
        <v>141</v>
      </c>
      <c r="K66" s="181">
        <v>6</v>
      </c>
      <c r="M66" s="173"/>
    </row>
    <row r="67" spans="1:13" ht="31" x14ac:dyDescent="0.35">
      <c r="A67" s="24"/>
      <c r="B67" s="623"/>
      <c r="C67" s="166" t="s">
        <v>142</v>
      </c>
      <c r="D67" s="202">
        <v>6000</v>
      </c>
      <c r="E67" s="177"/>
      <c r="F67" s="177"/>
      <c r="G67" s="248">
        <f t="shared" si="2"/>
        <v>6000</v>
      </c>
      <c r="H67" s="171">
        <v>0.4</v>
      </c>
      <c r="I67" s="177"/>
      <c r="J67" s="167" t="s">
        <v>98</v>
      </c>
      <c r="K67" s="181">
        <v>6</v>
      </c>
    </row>
    <row r="68" spans="1:13" ht="15.5" x14ac:dyDescent="0.35">
      <c r="A68" s="24"/>
      <c r="B68" s="624"/>
      <c r="C68" s="166"/>
      <c r="D68" s="202"/>
      <c r="E68" s="177"/>
      <c r="F68" s="177"/>
      <c r="G68" s="248">
        <f t="shared" si="2"/>
        <v>0</v>
      </c>
      <c r="H68" s="171"/>
      <c r="I68" s="177"/>
      <c r="J68" s="167"/>
      <c r="K68" s="181"/>
    </row>
    <row r="69" spans="1:13" ht="77.5" x14ac:dyDescent="0.35">
      <c r="A69" s="24"/>
      <c r="B69" s="622" t="s">
        <v>143</v>
      </c>
      <c r="C69" s="166" t="s">
        <v>144</v>
      </c>
      <c r="D69" s="202">
        <v>18000</v>
      </c>
      <c r="E69" s="177"/>
      <c r="F69" s="177"/>
      <c r="G69" s="248">
        <f t="shared" si="2"/>
        <v>18000</v>
      </c>
      <c r="H69" s="171">
        <v>0.4</v>
      </c>
      <c r="I69" s="177"/>
      <c r="J69" s="167" t="s">
        <v>145</v>
      </c>
      <c r="K69" s="181">
        <v>6</v>
      </c>
    </row>
    <row r="70" spans="1:13" ht="31" x14ac:dyDescent="0.35">
      <c r="A70" s="24"/>
      <c r="B70" s="623"/>
      <c r="C70" s="166" t="s">
        <v>146</v>
      </c>
      <c r="D70" s="202">
        <v>10000</v>
      </c>
      <c r="E70" s="177"/>
      <c r="F70" s="177"/>
      <c r="G70" s="248">
        <f t="shared" si="2"/>
        <v>10000</v>
      </c>
      <c r="H70" s="171"/>
      <c r="I70" s="177"/>
      <c r="J70" s="167" t="s">
        <v>147</v>
      </c>
      <c r="K70" s="181">
        <v>6</v>
      </c>
      <c r="M70" s="173">
        <f>D69+D70+D71</f>
        <v>29500</v>
      </c>
    </row>
    <row r="71" spans="1:13" ht="31" x14ac:dyDescent="0.35">
      <c r="A71" s="24"/>
      <c r="B71" s="623"/>
      <c r="C71" s="166" t="s">
        <v>148</v>
      </c>
      <c r="D71" s="202">
        <v>1500</v>
      </c>
      <c r="E71" s="177"/>
      <c r="F71" s="177"/>
      <c r="G71" s="248">
        <f t="shared" si="2"/>
        <v>1500</v>
      </c>
      <c r="H71" s="171">
        <v>0.4</v>
      </c>
      <c r="I71" s="177"/>
      <c r="J71" s="167" t="s">
        <v>98</v>
      </c>
      <c r="K71" s="181">
        <v>6</v>
      </c>
    </row>
    <row r="72" spans="1:13" ht="15.5" x14ac:dyDescent="0.35">
      <c r="A72" s="24"/>
      <c r="B72" s="623"/>
      <c r="C72" s="166"/>
      <c r="D72" s="202"/>
      <c r="E72" s="177"/>
      <c r="F72" s="177"/>
      <c r="G72" s="248">
        <f t="shared" si="2"/>
        <v>0</v>
      </c>
      <c r="H72" s="171"/>
      <c r="I72" s="177"/>
      <c r="J72" s="167"/>
      <c r="K72" s="181"/>
    </row>
    <row r="73" spans="1:13" ht="15.5" x14ac:dyDescent="0.35">
      <c r="A73" s="24"/>
      <c r="B73" s="624"/>
      <c r="C73" s="166"/>
      <c r="D73" s="202"/>
      <c r="E73" s="177"/>
      <c r="F73" s="177"/>
      <c r="G73" s="248">
        <f t="shared" si="2"/>
        <v>0</v>
      </c>
      <c r="H73" s="171"/>
      <c r="I73" s="177"/>
      <c r="J73" s="167"/>
      <c r="K73" s="181"/>
    </row>
    <row r="74" spans="1:13" ht="32.5" customHeight="1" x14ac:dyDescent="0.35">
      <c r="A74" s="24"/>
      <c r="B74" s="622" t="s">
        <v>149</v>
      </c>
      <c r="C74" s="166" t="s">
        <v>150</v>
      </c>
      <c r="D74" s="202">
        <v>15000</v>
      </c>
      <c r="E74" s="177"/>
      <c r="F74" s="177"/>
      <c r="G74" s="248">
        <f t="shared" si="2"/>
        <v>15000</v>
      </c>
      <c r="H74" s="171">
        <v>0.3</v>
      </c>
      <c r="I74" s="177"/>
      <c r="J74" s="167" t="s">
        <v>151</v>
      </c>
      <c r="K74" s="181">
        <v>6</v>
      </c>
    </row>
    <row r="75" spans="1:13" ht="31" x14ac:dyDescent="0.35">
      <c r="A75" s="24"/>
      <c r="B75" s="623"/>
      <c r="C75" s="166" t="s">
        <v>97</v>
      </c>
      <c r="D75" s="202">
        <v>6500</v>
      </c>
      <c r="E75" s="177"/>
      <c r="F75" s="177"/>
      <c r="G75" s="248">
        <f t="shared" si="2"/>
        <v>6500</v>
      </c>
      <c r="H75" s="171">
        <v>0.4</v>
      </c>
      <c r="I75" s="177"/>
      <c r="J75" s="167" t="s">
        <v>80</v>
      </c>
      <c r="K75" s="181">
        <v>6</v>
      </c>
      <c r="M75" s="173">
        <f>D74+D75</f>
        <v>21500</v>
      </c>
    </row>
    <row r="76" spans="1:13" ht="15.5" x14ac:dyDescent="0.35">
      <c r="A76" s="24"/>
      <c r="B76" s="623"/>
      <c r="C76" s="166"/>
      <c r="D76" s="202"/>
      <c r="E76" s="177"/>
      <c r="F76" s="177"/>
      <c r="G76" s="248">
        <f t="shared" si="2"/>
        <v>0</v>
      </c>
      <c r="H76" s="171"/>
      <c r="I76" s="177"/>
      <c r="J76" s="167"/>
      <c r="K76" s="181"/>
    </row>
    <row r="77" spans="1:13" ht="15.5" x14ac:dyDescent="0.35">
      <c r="A77" s="24"/>
      <c r="B77" s="623"/>
      <c r="C77" s="166"/>
      <c r="D77" s="202"/>
      <c r="E77" s="177"/>
      <c r="F77" s="177"/>
      <c r="G77" s="248">
        <f t="shared" si="2"/>
        <v>0</v>
      </c>
      <c r="H77" s="171"/>
      <c r="I77" s="177"/>
      <c r="J77" s="167"/>
      <c r="K77" s="181"/>
    </row>
    <row r="78" spans="1:13" ht="15.5" x14ac:dyDescent="0.35">
      <c r="A78" s="24"/>
      <c r="B78" s="624"/>
      <c r="C78" s="166"/>
      <c r="D78" s="202"/>
      <c r="E78" s="177"/>
      <c r="F78" s="177"/>
      <c r="G78" s="248">
        <f t="shared" si="2"/>
        <v>0</v>
      </c>
      <c r="H78" s="171"/>
      <c r="I78" s="177"/>
      <c r="J78" s="167"/>
      <c r="K78" s="181"/>
    </row>
    <row r="79" spans="1:13" ht="30" customHeight="1" x14ac:dyDescent="0.35">
      <c r="A79" s="24"/>
      <c r="B79" s="622" t="s">
        <v>152</v>
      </c>
      <c r="C79" s="166" t="s">
        <v>153</v>
      </c>
      <c r="D79" s="202">
        <v>20000</v>
      </c>
      <c r="E79" s="177"/>
      <c r="F79" s="177"/>
      <c r="G79" s="248">
        <f t="shared" si="2"/>
        <v>20000</v>
      </c>
      <c r="H79" s="171">
        <v>0.3</v>
      </c>
      <c r="I79" s="177"/>
      <c r="J79" s="167" t="s">
        <v>154</v>
      </c>
      <c r="K79" s="181">
        <v>6</v>
      </c>
    </row>
    <row r="80" spans="1:13" ht="31" x14ac:dyDescent="0.35">
      <c r="A80" s="24"/>
      <c r="B80" s="623"/>
      <c r="C80" s="166" t="s">
        <v>155</v>
      </c>
      <c r="D80" s="202">
        <v>8000</v>
      </c>
      <c r="E80" s="177"/>
      <c r="F80" s="177"/>
      <c r="G80" s="248">
        <f t="shared" si="2"/>
        <v>8000</v>
      </c>
      <c r="H80" s="171">
        <v>0.3</v>
      </c>
      <c r="I80" s="177"/>
      <c r="J80" s="167" t="s">
        <v>156</v>
      </c>
      <c r="K80" s="181">
        <v>6</v>
      </c>
      <c r="M80" s="173">
        <f>D79+D80</f>
        <v>28000</v>
      </c>
    </row>
    <row r="81" spans="1:13" ht="15.5" x14ac:dyDescent="0.35">
      <c r="A81" s="24"/>
      <c r="B81" s="623"/>
      <c r="C81" s="166"/>
      <c r="D81" s="202"/>
      <c r="E81" s="177"/>
      <c r="F81" s="177"/>
      <c r="G81" s="248">
        <f t="shared" si="2"/>
        <v>0</v>
      </c>
      <c r="H81" s="171"/>
      <c r="I81" s="177"/>
      <c r="J81" s="167"/>
      <c r="K81" s="181"/>
    </row>
    <row r="82" spans="1:13" ht="15.5" x14ac:dyDescent="0.35">
      <c r="A82" s="24"/>
      <c r="B82" s="623"/>
      <c r="C82" s="166"/>
      <c r="D82" s="202"/>
      <c r="E82" s="177"/>
      <c r="F82" s="177"/>
      <c r="G82" s="248">
        <f t="shared" si="2"/>
        <v>0</v>
      </c>
      <c r="H82" s="171"/>
      <c r="I82" s="177"/>
      <c r="J82" s="167"/>
      <c r="K82" s="181"/>
    </row>
    <row r="83" spans="1:13" ht="15.5" x14ac:dyDescent="0.35">
      <c r="A83" s="24"/>
      <c r="B83" s="624"/>
      <c r="C83" s="166"/>
      <c r="D83" s="202"/>
      <c r="E83" s="177"/>
      <c r="F83" s="177"/>
      <c r="G83" s="248">
        <f t="shared" si="2"/>
        <v>0</v>
      </c>
      <c r="H83" s="171"/>
      <c r="I83" s="177"/>
      <c r="J83" s="167"/>
      <c r="K83" s="181"/>
    </row>
    <row r="84" spans="1:13" ht="46.5" x14ac:dyDescent="0.35">
      <c r="A84" s="24"/>
      <c r="B84" s="622" t="s">
        <v>157</v>
      </c>
      <c r="C84" s="166" t="s">
        <v>158</v>
      </c>
      <c r="D84" s="202">
        <v>10000</v>
      </c>
      <c r="E84" s="177"/>
      <c r="F84" s="177"/>
      <c r="G84" s="248">
        <f t="shared" si="2"/>
        <v>10000</v>
      </c>
      <c r="H84" s="171">
        <v>0.3</v>
      </c>
      <c r="I84" s="177"/>
      <c r="J84" s="167" t="s">
        <v>145</v>
      </c>
      <c r="K84" s="181">
        <v>6</v>
      </c>
      <c r="M84" s="173"/>
    </row>
    <row r="85" spans="1:13" s="24" customFormat="1" ht="31" x14ac:dyDescent="0.35">
      <c r="B85" s="623"/>
      <c r="C85" s="166" t="s">
        <v>159</v>
      </c>
      <c r="D85" s="202">
        <v>2000</v>
      </c>
      <c r="E85" s="177"/>
      <c r="F85" s="177"/>
      <c r="G85" s="248">
        <f t="shared" si="2"/>
        <v>2000</v>
      </c>
      <c r="H85" s="171">
        <v>0.3</v>
      </c>
      <c r="I85" s="177"/>
      <c r="J85" s="167" t="s">
        <v>118</v>
      </c>
      <c r="K85" s="181">
        <v>6</v>
      </c>
      <c r="M85" s="216">
        <f>D84+D85</f>
        <v>12000</v>
      </c>
    </row>
    <row r="86" spans="1:13" s="24" customFormat="1" ht="15.5" x14ac:dyDescent="0.35">
      <c r="B86" s="623"/>
      <c r="C86" s="166"/>
      <c r="D86" s="202"/>
      <c r="E86" s="177"/>
      <c r="F86" s="177"/>
      <c r="G86" s="248">
        <f t="shared" si="2"/>
        <v>0</v>
      </c>
      <c r="H86" s="171"/>
      <c r="I86" s="177"/>
      <c r="J86" s="167"/>
      <c r="K86" s="181"/>
    </row>
    <row r="87" spans="1:13" s="24" customFormat="1" ht="15.5" x14ac:dyDescent="0.35">
      <c r="A87" s="23"/>
      <c r="B87" s="623"/>
      <c r="C87" s="245"/>
      <c r="D87" s="202"/>
      <c r="E87" s="177"/>
      <c r="F87" s="177"/>
      <c r="G87" s="248">
        <f t="shared" si="2"/>
        <v>0</v>
      </c>
      <c r="H87" s="250"/>
      <c r="I87" s="251"/>
      <c r="J87" s="170"/>
      <c r="K87" s="181"/>
    </row>
    <row r="88" spans="1:13" ht="15.5" x14ac:dyDescent="0.35">
      <c r="B88" s="624"/>
      <c r="C88" s="245"/>
      <c r="D88" s="202"/>
      <c r="E88" s="177"/>
      <c r="F88" s="177"/>
      <c r="G88" s="248">
        <f t="shared" si="2"/>
        <v>0</v>
      </c>
      <c r="H88" s="250"/>
      <c r="I88" s="251"/>
      <c r="J88" s="170"/>
      <c r="K88" s="181"/>
    </row>
    <row r="89" spans="1:13" ht="15.5" x14ac:dyDescent="0.35">
      <c r="C89" s="73" t="s">
        <v>160</v>
      </c>
      <c r="D89" s="203">
        <f>SUM(D64:D88)</f>
        <v>167430.69</v>
      </c>
      <c r="E89" s="12">
        <f t="shared" ref="E89:F89" si="3">SUM(E64:E88)</f>
        <v>0</v>
      </c>
      <c r="F89" s="12">
        <f t="shared" si="3"/>
        <v>0</v>
      </c>
      <c r="G89" s="10">
        <f>SUM(G64:G88)</f>
        <v>167430.69</v>
      </c>
      <c r="H89" s="10">
        <f>(H64*G64)+(H65*G65)+(H66*G66)+(H67*G67)+(H68*G68)+(H69*G69)+(H70*G70)+(H71*G71)+(H72*G72)+(H73*G73)+(H74*G74)+(H75*G75)+(H76*G76)+(H77*G77)+(H78*G78)+(H79*G79)+(H80*G80)+(H81*G81)+(H82*G82)+(H83*G83)+(H84*G84)+(H85*G85)+(H86*G86)+(H87*G87)+(H88*G88)</f>
        <v>57472.275999999998</v>
      </c>
      <c r="I89" s="10">
        <f>SUM(I64:I88)</f>
        <v>0</v>
      </c>
      <c r="J89" s="170"/>
      <c r="K89" s="182"/>
    </row>
    <row r="90" spans="1:13" ht="36" customHeight="1" x14ac:dyDescent="0.35">
      <c r="B90" s="72" t="s">
        <v>161</v>
      </c>
      <c r="C90" s="630"/>
      <c r="D90" s="630"/>
      <c r="E90" s="630"/>
      <c r="F90" s="630"/>
      <c r="G90" s="630"/>
      <c r="H90" s="630"/>
      <c r="I90" s="631"/>
      <c r="J90" s="630"/>
      <c r="K90" s="183"/>
    </row>
    <row r="91" spans="1:13" ht="15.5" x14ac:dyDescent="0.35">
      <c r="B91" s="622" t="s">
        <v>162</v>
      </c>
      <c r="C91" s="166"/>
      <c r="D91" s="202"/>
      <c r="E91" s="177"/>
      <c r="F91" s="177"/>
      <c r="G91" s="248">
        <f>D91+E91+F91</f>
        <v>0</v>
      </c>
      <c r="H91" s="171"/>
      <c r="I91" s="177"/>
      <c r="J91" s="167"/>
      <c r="K91" s="181"/>
    </row>
    <row r="92" spans="1:13" ht="15.5" x14ac:dyDescent="0.35">
      <c r="B92" s="623"/>
      <c r="C92" s="166"/>
      <c r="D92" s="202"/>
      <c r="E92" s="177"/>
      <c r="F92" s="177"/>
      <c r="G92" s="248">
        <f t="shared" ref="G92:G100" si="4">D92+E92+F92</f>
        <v>0</v>
      </c>
      <c r="H92" s="171"/>
      <c r="I92" s="177"/>
      <c r="J92" s="167"/>
      <c r="K92" s="181"/>
    </row>
    <row r="93" spans="1:13" ht="15.5" x14ac:dyDescent="0.35">
      <c r="B93" s="623"/>
      <c r="C93" s="166"/>
      <c r="D93" s="202"/>
      <c r="E93" s="177"/>
      <c r="F93" s="177"/>
      <c r="G93" s="248">
        <f t="shared" si="4"/>
        <v>0</v>
      </c>
      <c r="H93" s="171"/>
      <c r="I93" s="177"/>
      <c r="J93" s="167"/>
      <c r="K93" s="181"/>
    </row>
    <row r="94" spans="1:13" ht="15.5" x14ac:dyDescent="0.35">
      <c r="B94" s="623"/>
      <c r="C94" s="166"/>
      <c r="D94" s="202"/>
      <c r="E94" s="177"/>
      <c r="F94" s="177"/>
      <c r="G94" s="248">
        <f t="shared" si="4"/>
        <v>0</v>
      </c>
      <c r="H94" s="171"/>
      <c r="I94" s="177"/>
      <c r="J94" s="167"/>
      <c r="K94" s="181"/>
    </row>
    <row r="95" spans="1:13" ht="15.5" x14ac:dyDescent="0.35">
      <c r="B95" s="624"/>
      <c r="C95" s="166"/>
      <c r="D95" s="202"/>
      <c r="E95" s="177"/>
      <c r="F95" s="177"/>
      <c r="G95" s="248">
        <f t="shared" si="4"/>
        <v>0</v>
      </c>
      <c r="H95" s="171"/>
      <c r="I95" s="177"/>
      <c r="J95" s="167"/>
      <c r="K95" s="181"/>
    </row>
    <row r="96" spans="1:13" ht="15.5" x14ac:dyDescent="0.35">
      <c r="B96" s="622" t="s">
        <v>163</v>
      </c>
      <c r="C96" s="166"/>
      <c r="D96" s="202"/>
      <c r="E96" s="177"/>
      <c r="F96" s="177"/>
      <c r="G96" s="248">
        <f t="shared" si="4"/>
        <v>0</v>
      </c>
      <c r="H96" s="171"/>
      <c r="I96" s="177"/>
      <c r="J96" s="167"/>
      <c r="K96" s="181"/>
    </row>
    <row r="97" spans="2:13" ht="15.5" x14ac:dyDescent="0.35">
      <c r="B97" s="623"/>
      <c r="C97" s="166"/>
      <c r="D97" s="202"/>
      <c r="E97" s="177"/>
      <c r="F97" s="177"/>
      <c r="G97" s="248">
        <f t="shared" si="4"/>
        <v>0</v>
      </c>
      <c r="H97" s="171"/>
      <c r="I97" s="177"/>
      <c r="J97" s="167"/>
      <c r="K97" s="181"/>
    </row>
    <row r="98" spans="2:13" ht="15.5" x14ac:dyDescent="0.35">
      <c r="B98" s="623"/>
      <c r="C98" s="166"/>
      <c r="D98" s="202"/>
      <c r="E98" s="177"/>
      <c r="F98" s="177"/>
      <c r="G98" s="248">
        <f t="shared" si="4"/>
        <v>0</v>
      </c>
      <c r="H98" s="171"/>
      <c r="I98" s="177"/>
      <c r="J98" s="167"/>
      <c r="K98" s="181"/>
    </row>
    <row r="99" spans="2:13" ht="15.5" x14ac:dyDescent="0.35">
      <c r="B99" s="623"/>
      <c r="C99" s="166"/>
      <c r="D99" s="202"/>
      <c r="E99" s="177"/>
      <c r="F99" s="177"/>
      <c r="G99" s="248">
        <f t="shared" si="4"/>
        <v>0</v>
      </c>
      <c r="H99" s="171"/>
      <c r="I99" s="177"/>
      <c r="J99" s="167"/>
      <c r="K99" s="181"/>
    </row>
    <row r="100" spans="2:13" ht="15.5" x14ac:dyDescent="0.35">
      <c r="B100" s="624"/>
      <c r="C100" s="166"/>
      <c r="D100" s="202"/>
      <c r="E100" s="177"/>
      <c r="F100" s="177"/>
      <c r="G100" s="248">
        <f t="shared" si="4"/>
        <v>0</v>
      </c>
      <c r="H100" s="171"/>
      <c r="I100" s="177"/>
      <c r="J100" s="167"/>
      <c r="K100" s="181"/>
    </row>
    <row r="101" spans="2:13" ht="15.5" x14ac:dyDescent="0.35">
      <c r="C101" s="73" t="s">
        <v>164</v>
      </c>
      <c r="D101" s="201">
        <f>SUM(D91:D100)</f>
        <v>0</v>
      </c>
      <c r="E101" s="10">
        <f>SUM(E91:E100)</f>
        <v>0</v>
      </c>
      <c r="F101" s="10">
        <f>SUM(F91:F100)</f>
        <v>0</v>
      </c>
      <c r="G101" s="10">
        <f>SUM(G91:G100)</f>
        <v>0</v>
      </c>
      <c r="H101" s="10">
        <f>(H91*G91)+(H92*G92)+(H93*G93)+(H94*G94)+(H95*G95)+(H96*G96)+(H97*G97)+(H98*G98)+(H99*G99)+(H100*G100)</f>
        <v>0</v>
      </c>
      <c r="I101" s="10">
        <f>SUM(I91:I100)</f>
        <v>0</v>
      </c>
      <c r="J101" s="170"/>
      <c r="K101" s="182"/>
    </row>
    <row r="102" spans="2:13" ht="15.5" x14ac:dyDescent="0.35">
      <c r="B102" s="252"/>
      <c r="C102" s="253"/>
      <c r="D102" s="254"/>
      <c r="E102" s="255"/>
      <c r="F102" s="255"/>
      <c r="G102" s="255"/>
      <c r="H102" s="255"/>
      <c r="I102" s="255"/>
      <c r="J102" s="255"/>
      <c r="K102" s="184"/>
    </row>
    <row r="103" spans="2:13" ht="15.5" x14ac:dyDescent="0.35">
      <c r="B103" s="73" t="s">
        <v>165</v>
      </c>
      <c r="C103" s="634" t="s">
        <v>166</v>
      </c>
      <c r="D103" s="634"/>
      <c r="E103" s="634"/>
      <c r="F103" s="634"/>
      <c r="G103" s="634"/>
      <c r="H103" s="634"/>
      <c r="I103" s="635"/>
      <c r="J103" s="634"/>
      <c r="K103" s="185"/>
    </row>
    <row r="104" spans="2:13" ht="32.5" customHeight="1" x14ac:dyDescent="0.35">
      <c r="B104" s="72" t="s">
        <v>17</v>
      </c>
      <c r="C104" s="630" t="s">
        <v>167</v>
      </c>
      <c r="D104" s="630"/>
      <c r="E104" s="630"/>
      <c r="F104" s="630"/>
      <c r="G104" s="630"/>
      <c r="H104" s="630"/>
      <c r="I104" s="631"/>
      <c r="J104" s="630"/>
      <c r="K104" s="183"/>
    </row>
    <row r="105" spans="2:13" ht="46.5" x14ac:dyDescent="0.35">
      <c r="B105" s="622" t="s">
        <v>168</v>
      </c>
      <c r="C105" s="166" t="s">
        <v>169</v>
      </c>
      <c r="D105" s="202"/>
      <c r="E105" s="177">
        <v>28000</v>
      </c>
      <c r="F105" s="177"/>
      <c r="G105" s="248">
        <f>D105+E105+F105</f>
        <v>28000</v>
      </c>
      <c r="H105" s="171">
        <v>0.4</v>
      </c>
      <c r="I105" s="177"/>
      <c r="J105" s="167" t="s">
        <v>170</v>
      </c>
      <c r="K105" s="181">
        <v>4</v>
      </c>
      <c r="M105" s="173"/>
    </row>
    <row r="106" spans="2:13" ht="31" x14ac:dyDescent="0.35">
      <c r="B106" s="623"/>
      <c r="C106" s="166" t="s">
        <v>171</v>
      </c>
      <c r="D106" s="202"/>
      <c r="E106" s="177">
        <v>2000</v>
      </c>
      <c r="F106" s="177"/>
      <c r="G106" s="248">
        <f t="shared" ref="G106:G199" si="5">D106+E106+F106</f>
        <v>2000</v>
      </c>
      <c r="H106" s="171">
        <v>0.4</v>
      </c>
      <c r="I106" s="177"/>
      <c r="J106" s="167" t="s">
        <v>172</v>
      </c>
      <c r="K106" s="181">
        <v>4</v>
      </c>
      <c r="M106" s="173">
        <f>E105+E106+E107</f>
        <v>35000</v>
      </c>
    </row>
    <row r="107" spans="2:13" ht="31.4" customHeight="1" x14ac:dyDescent="0.35">
      <c r="B107" s="623"/>
      <c r="C107" s="166" t="s">
        <v>173</v>
      </c>
      <c r="D107" s="202"/>
      <c r="E107" s="177">
        <v>5000</v>
      </c>
      <c r="F107" s="177"/>
      <c r="G107" s="248">
        <f t="shared" si="5"/>
        <v>5000</v>
      </c>
      <c r="H107" s="171">
        <v>0.4</v>
      </c>
      <c r="I107" s="177"/>
      <c r="J107" s="167" t="s">
        <v>174</v>
      </c>
      <c r="K107" s="181">
        <v>4</v>
      </c>
    </row>
    <row r="108" spans="2:13" ht="15.5" x14ac:dyDescent="0.35">
      <c r="B108" s="623"/>
      <c r="C108" s="166"/>
      <c r="D108" s="202"/>
      <c r="E108" s="177"/>
      <c r="F108" s="177"/>
      <c r="G108" s="248">
        <f t="shared" si="5"/>
        <v>0</v>
      </c>
      <c r="H108" s="171"/>
      <c r="I108" s="177"/>
      <c r="J108" s="167"/>
      <c r="K108" s="181"/>
    </row>
    <row r="109" spans="2:13" ht="15.5" x14ac:dyDescent="0.35">
      <c r="B109" s="624"/>
      <c r="C109" s="166"/>
      <c r="D109" s="202"/>
      <c r="E109" s="177"/>
      <c r="F109" s="177"/>
      <c r="G109" s="248">
        <f t="shared" si="5"/>
        <v>0</v>
      </c>
      <c r="H109" s="171"/>
      <c r="I109" s="177"/>
      <c r="J109" s="167"/>
      <c r="K109" s="181"/>
    </row>
    <row r="110" spans="2:13" ht="35.15" customHeight="1" x14ac:dyDescent="0.35">
      <c r="B110" s="622" t="s">
        <v>175</v>
      </c>
      <c r="C110" s="166" t="s">
        <v>176</v>
      </c>
      <c r="D110" s="202"/>
      <c r="E110" s="177">
        <v>20000</v>
      </c>
      <c r="F110" s="177"/>
      <c r="G110" s="248">
        <f t="shared" si="5"/>
        <v>20000</v>
      </c>
      <c r="H110" s="171">
        <v>0.4</v>
      </c>
      <c r="I110" s="177"/>
      <c r="J110" s="167" t="s">
        <v>177</v>
      </c>
      <c r="K110" s="181">
        <v>6</v>
      </c>
    </row>
    <row r="111" spans="2:13" ht="31" x14ac:dyDescent="0.35">
      <c r="B111" s="623"/>
      <c r="C111" s="166" t="s">
        <v>178</v>
      </c>
      <c r="D111" s="202"/>
      <c r="E111" s="177">
        <v>30000</v>
      </c>
      <c r="F111" s="177"/>
      <c r="G111" s="248">
        <f t="shared" si="5"/>
        <v>30000</v>
      </c>
      <c r="H111" s="171">
        <v>0.4</v>
      </c>
      <c r="I111" s="177"/>
      <c r="J111" s="167" t="s">
        <v>179</v>
      </c>
      <c r="K111" s="181">
        <v>6</v>
      </c>
      <c r="M111" s="173">
        <f>E110+E111+E112</f>
        <v>61500</v>
      </c>
    </row>
    <row r="112" spans="2:13" ht="33.65" customHeight="1" x14ac:dyDescent="0.35">
      <c r="B112" s="623"/>
      <c r="C112" s="166" t="s">
        <v>180</v>
      </c>
      <c r="D112" s="202"/>
      <c r="E112" s="177">
        <v>11500</v>
      </c>
      <c r="F112" s="177"/>
      <c r="G112" s="248">
        <f t="shared" si="5"/>
        <v>11500</v>
      </c>
      <c r="H112" s="171">
        <v>0.4</v>
      </c>
      <c r="I112" s="177"/>
      <c r="J112" s="167" t="s">
        <v>181</v>
      </c>
      <c r="K112" s="181">
        <v>6</v>
      </c>
    </row>
    <row r="113" spans="2:13" ht="15.5" x14ac:dyDescent="0.35">
      <c r="B113" s="623"/>
      <c r="C113" s="166"/>
      <c r="D113" s="202"/>
      <c r="E113" s="177"/>
      <c r="F113" s="177"/>
      <c r="G113" s="248">
        <f t="shared" si="5"/>
        <v>0</v>
      </c>
      <c r="H113" s="171"/>
      <c r="I113" s="177"/>
      <c r="J113" s="167"/>
      <c r="K113" s="181"/>
    </row>
    <row r="114" spans="2:13" ht="15.5" x14ac:dyDescent="0.35">
      <c r="B114" s="624"/>
      <c r="C114" s="166"/>
      <c r="D114" s="202"/>
      <c r="E114" s="177"/>
      <c r="F114" s="177"/>
      <c r="G114" s="248">
        <f t="shared" si="5"/>
        <v>0</v>
      </c>
      <c r="H114" s="171"/>
      <c r="I114" s="177"/>
      <c r="J114" s="167"/>
      <c r="K114" s="181"/>
    </row>
    <row r="115" spans="2:13" ht="81" customHeight="1" x14ac:dyDescent="0.35">
      <c r="B115" s="622" t="s">
        <v>182</v>
      </c>
      <c r="C115" s="166" t="s">
        <v>183</v>
      </c>
      <c r="D115" s="202"/>
      <c r="E115" s="177">
        <v>20000</v>
      </c>
      <c r="F115" s="177"/>
      <c r="G115" s="248">
        <f t="shared" si="5"/>
        <v>20000</v>
      </c>
      <c r="H115" s="171"/>
      <c r="I115" s="177"/>
      <c r="J115" s="167" t="s">
        <v>184</v>
      </c>
      <c r="K115" s="181">
        <v>2</v>
      </c>
    </row>
    <row r="116" spans="2:13" ht="31" x14ac:dyDescent="0.35">
      <c r="B116" s="623"/>
      <c r="C116" s="166" t="s">
        <v>185</v>
      </c>
      <c r="D116" s="202"/>
      <c r="E116" s="177">
        <v>30000</v>
      </c>
      <c r="F116" s="177"/>
      <c r="G116" s="248">
        <f t="shared" si="5"/>
        <v>30000</v>
      </c>
      <c r="H116" s="171"/>
      <c r="I116" s="177"/>
      <c r="J116" s="167" t="s">
        <v>186</v>
      </c>
      <c r="K116" s="181">
        <v>2</v>
      </c>
      <c r="M116" s="173">
        <f>E115+E116</f>
        <v>50000</v>
      </c>
    </row>
    <row r="117" spans="2:13" ht="15.5" x14ac:dyDescent="0.35">
      <c r="B117" s="623"/>
      <c r="C117" s="166"/>
      <c r="D117" s="202"/>
      <c r="E117" s="177"/>
      <c r="F117" s="177"/>
      <c r="G117" s="248">
        <f t="shared" si="5"/>
        <v>0</v>
      </c>
      <c r="H117" s="171"/>
      <c r="I117" s="177"/>
      <c r="J117" s="167"/>
      <c r="K117" s="181"/>
    </row>
    <row r="118" spans="2:13" ht="15.5" x14ac:dyDescent="0.35">
      <c r="B118" s="623"/>
      <c r="C118" s="166"/>
      <c r="D118" s="202"/>
      <c r="E118" s="177"/>
      <c r="F118" s="177"/>
      <c r="G118" s="248">
        <f t="shared" si="5"/>
        <v>0</v>
      </c>
      <c r="H118" s="171"/>
      <c r="I118" s="177"/>
      <c r="J118" s="167"/>
      <c r="K118" s="181"/>
    </row>
    <row r="119" spans="2:13" ht="15.5" x14ac:dyDescent="0.35">
      <c r="B119" s="624"/>
      <c r="C119" s="166"/>
      <c r="D119" s="202"/>
      <c r="E119" s="177"/>
      <c r="F119" s="177"/>
      <c r="G119" s="248">
        <f t="shared" si="5"/>
        <v>0</v>
      </c>
      <c r="H119" s="171"/>
      <c r="I119" s="177"/>
      <c r="J119" s="167"/>
      <c r="K119" s="181"/>
    </row>
    <row r="120" spans="2:13" ht="65.5" customHeight="1" x14ac:dyDescent="0.35">
      <c r="B120" s="622" t="s">
        <v>187</v>
      </c>
      <c r="C120" s="166" t="s">
        <v>188</v>
      </c>
      <c r="D120" s="202"/>
      <c r="E120" s="177">
        <v>44120</v>
      </c>
      <c r="F120" s="177"/>
      <c r="G120" s="248">
        <f t="shared" si="5"/>
        <v>44120</v>
      </c>
      <c r="H120" s="171">
        <v>0.5</v>
      </c>
      <c r="I120" s="177"/>
      <c r="J120" s="167" t="s">
        <v>186</v>
      </c>
      <c r="K120" s="181">
        <v>2</v>
      </c>
      <c r="M120" s="173"/>
    </row>
    <row r="121" spans="2:13" ht="33" customHeight="1" x14ac:dyDescent="0.35">
      <c r="B121" s="623"/>
      <c r="C121" s="166" t="s">
        <v>189</v>
      </c>
      <c r="D121" s="202"/>
      <c r="E121" s="177">
        <v>10000</v>
      </c>
      <c r="F121" s="177"/>
      <c r="G121" s="248">
        <f t="shared" si="5"/>
        <v>10000</v>
      </c>
      <c r="H121" s="171">
        <v>0.5</v>
      </c>
      <c r="I121" s="177"/>
      <c r="J121" s="167" t="s">
        <v>190</v>
      </c>
      <c r="K121" s="181">
        <v>2</v>
      </c>
      <c r="M121" s="173">
        <f>E120+E121</f>
        <v>54120</v>
      </c>
    </row>
    <row r="122" spans="2:13" ht="15.5" x14ac:dyDescent="0.35">
      <c r="B122" s="623"/>
      <c r="D122" s="202"/>
      <c r="E122" s="177"/>
      <c r="F122" s="177"/>
      <c r="G122" s="248">
        <f t="shared" si="5"/>
        <v>0</v>
      </c>
      <c r="H122" s="171"/>
      <c r="I122" s="177"/>
      <c r="J122" s="167"/>
      <c r="K122" s="181"/>
    </row>
    <row r="123" spans="2:13" ht="15.5" x14ac:dyDescent="0.35">
      <c r="B123" s="623"/>
      <c r="C123" s="166"/>
      <c r="D123" s="202"/>
      <c r="E123" s="177"/>
      <c r="F123" s="177"/>
      <c r="G123" s="248">
        <f t="shared" si="5"/>
        <v>0</v>
      </c>
      <c r="H123" s="171"/>
      <c r="I123" s="177"/>
      <c r="J123" s="167"/>
      <c r="K123" s="181"/>
    </row>
    <row r="124" spans="2:13" ht="15.5" x14ac:dyDescent="0.35">
      <c r="B124" s="624"/>
      <c r="C124" s="166"/>
      <c r="D124" s="202"/>
      <c r="E124" s="177"/>
      <c r="F124" s="177"/>
      <c r="G124" s="248">
        <f t="shared" si="5"/>
        <v>0</v>
      </c>
      <c r="H124" s="171"/>
      <c r="I124" s="177"/>
      <c r="J124" s="167"/>
      <c r="K124" s="181"/>
    </row>
    <row r="125" spans="2:13" ht="31" x14ac:dyDescent="0.35">
      <c r="B125" s="622" t="s">
        <v>191</v>
      </c>
      <c r="C125" s="166" t="s">
        <v>192</v>
      </c>
      <c r="D125" s="202"/>
      <c r="E125" s="176">
        <v>42000</v>
      </c>
      <c r="F125" s="177"/>
      <c r="G125" s="248">
        <f t="shared" si="5"/>
        <v>42000</v>
      </c>
      <c r="H125" s="171">
        <v>0.6</v>
      </c>
      <c r="I125" s="177"/>
      <c r="J125" s="167" t="s">
        <v>193</v>
      </c>
      <c r="K125" s="181">
        <v>2</v>
      </c>
    </row>
    <row r="126" spans="2:13" ht="31" x14ac:dyDescent="0.35">
      <c r="B126" s="623"/>
      <c r="C126" s="166" t="s">
        <v>194</v>
      </c>
      <c r="D126" s="202"/>
      <c r="E126" s="177">
        <v>20000</v>
      </c>
      <c r="F126" s="177"/>
      <c r="G126" s="248">
        <f t="shared" si="5"/>
        <v>20000</v>
      </c>
      <c r="H126" s="171">
        <v>0.6</v>
      </c>
      <c r="I126" s="177"/>
      <c r="J126" s="167" t="s">
        <v>193</v>
      </c>
      <c r="K126" s="181">
        <v>2</v>
      </c>
      <c r="M126" s="173">
        <f>E125+E126</f>
        <v>62000</v>
      </c>
    </row>
    <row r="127" spans="2:13" ht="15.5" x14ac:dyDescent="0.35">
      <c r="B127" s="623"/>
      <c r="C127" s="166"/>
      <c r="D127" s="202"/>
      <c r="E127" s="177"/>
      <c r="F127" s="177"/>
      <c r="G127" s="248">
        <f t="shared" si="5"/>
        <v>0</v>
      </c>
      <c r="H127" s="171"/>
      <c r="I127" s="177"/>
      <c r="J127" s="167"/>
      <c r="K127" s="181"/>
      <c r="M127" s="173"/>
    </row>
    <row r="128" spans="2:13" ht="15.5" x14ac:dyDescent="0.35">
      <c r="B128" s="623"/>
      <c r="C128" s="166"/>
      <c r="D128" s="202"/>
      <c r="E128" s="177"/>
      <c r="F128" s="177"/>
      <c r="G128" s="248">
        <f t="shared" si="5"/>
        <v>0</v>
      </c>
      <c r="H128" s="171"/>
      <c r="I128" s="177"/>
      <c r="J128" s="167"/>
      <c r="K128" s="181"/>
    </row>
    <row r="129" spans="2:13" ht="15.5" x14ac:dyDescent="0.35">
      <c r="B129" s="624"/>
      <c r="C129" s="166"/>
      <c r="D129" s="202"/>
      <c r="E129" s="177"/>
      <c r="F129" s="177"/>
      <c r="G129" s="248">
        <f t="shared" si="5"/>
        <v>0</v>
      </c>
      <c r="H129" s="171"/>
      <c r="I129" s="177"/>
      <c r="J129" s="167"/>
      <c r="K129" s="181"/>
    </row>
    <row r="130" spans="2:13" ht="46.5" x14ac:dyDescent="0.35">
      <c r="B130" s="622" t="s">
        <v>195</v>
      </c>
      <c r="C130" s="166" t="s">
        <v>196</v>
      </c>
      <c r="D130" s="202"/>
      <c r="E130" s="176">
        <v>15000</v>
      </c>
      <c r="F130" s="177"/>
      <c r="G130" s="248">
        <f t="shared" si="5"/>
        <v>15000</v>
      </c>
      <c r="H130" s="171">
        <v>0.5</v>
      </c>
      <c r="I130" s="177"/>
      <c r="J130" s="167" t="s">
        <v>197</v>
      </c>
      <c r="K130" s="181">
        <v>7</v>
      </c>
    </row>
    <row r="131" spans="2:13" ht="46.5" x14ac:dyDescent="0.35">
      <c r="B131" s="623"/>
      <c r="C131" s="166" t="s">
        <v>198</v>
      </c>
      <c r="D131" s="202"/>
      <c r="E131" s="176">
        <v>2000</v>
      </c>
      <c r="F131" s="177"/>
      <c r="G131" s="248">
        <f t="shared" si="5"/>
        <v>2000</v>
      </c>
      <c r="H131" s="171">
        <v>0.5</v>
      </c>
      <c r="I131" s="177"/>
      <c r="J131" s="167" t="s">
        <v>199</v>
      </c>
      <c r="K131" s="181">
        <v>7</v>
      </c>
      <c r="M131" s="173">
        <f>E130+E131+E132</f>
        <v>20000</v>
      </c>
    </row>
    <row r="132" spans="2:13" ht="31" x14ac:dyDescent="0.35">
      <c r="B132" s="623"/>
      <c r="C132" s="166" t="s">
        <v>200</v>
      </c>
      <c r="D132" s="202"/>
      <c r="E132" s="176">
        <v>3000</v>
      </c>
      <c r="F132" s="177"/>
      <c r="G132" s="248">
        <f t="shared" si="5"/>
        <v>3000</v>
      </c>
      <c r="H132" s="171">
        <v>0.5</v>
      </c>
      <c r="I132" s="177"/>
      <c r="J132" s="167" t="s">
        <v>201</v>
      </c>
      <c r="K132" s="181">
        <v>5</v>
      </c>
      <c r="M132" s="173"/>
    </row>
    <row r="133" spans="2:13" ht="15.5" x14ac:dyDescent="0.35">
      <c r="B133" s="623"/>
      <c r="C133" s="166"/>
      <c r="D133" s="202"/>
      <c r="E133" s="177"/>
      <c r="F133" s="177"/>
      <c r="G133" s="248">
        <f t="shared" si="5"/>
        <v>0</v>
      </c>
      <c r="H133" s="171"/>
      <c r="I133" s="177"/>
      <c r="J133" s="167"/>
      <c r="K133" s="181"/>
    </row>
    <row r="134" spans="2:13" ht="15.5" x14ac:dyDescent="0.35">
      <c r="B134" s="624"/>
      <c r="C134" s="166"/>
      <c r="D134" s="202"/>
      <c r="E134" s="177"/>
      <c r="F134" s="177"/>
      <c r="G134" s="248">
        <f t="shared" si="5"/>
        <v>0</v>
      </c>
      <c r="H134" s="171"/>
      <c r="I134" s="177"/>
      <c r="J134" s="167"/>
      <c r="K134" s="181"/>
    </row>
    <row r="135" spans="2:13" ht="46.5" x14ac:dyDescent="0.35">
      <c r="B135" s="622" t="s">
        <v>202</v>
      </c>
      <c r="C135" s="166" t="s">
        <v>203</v>
      </c>
      <c r="D135" s="202"/>
      <c r="E135" s="176">
        <v>16000</v>
      </c>
      <c r="F135" s="177"/>
      <c r="G135" s="248">
        <f t="shared" si="5"/>
        <v>16000</v>
      </c>
      <c r="H135" s="171">
        <v>0.4</v>
      </c>
      <c r="I135" s="177"/>
      <c r="J135" s="167" t="s">
        <v>204</v>
      </c>
      <c r="K135" s="181">
        <v>7</v>
      </c>
      <c r="M135" s="173">
        <f>E135+E136+E137</f>
        <v>20000</v>
      </c>
    </row>
    <row r="136" spans="2:13" ht="15.5" x14ac:dyDescent="0.35">
      <c r="B136" s="623"/>
      <c r="C136" s="166" t="s">
        <v>205</v>
      </c>
      <c r="D136" s="202"/>
      <c r="E136" s="176">
        <v>2000</v>
      </c>
      <c r="F136" s="177"/>
      <c r="G136" s="248">
        <f t="shared" si="5"/>
        <v>2000</v>
      </c>
      <c r="H136" s="171">
        <v>0.4</v>
      </c>
      <c r="I136" s="177"/>
      <c r="J136" s="167" t="s">
        <v>206</v>
      </c>
      <c r="K136" s="181">
        <v>7</v>
      </c>
      <c r="M136" s="173"/>
    </row>
    <row r="137" spans="2:13" ht="31" x14ac:dyDescent="0.35">
      <c r="B137" s="623"/>
      <c r="C137" s="166" t="s">
        <v>207</v>
      </c>
      <c r="D137" s="202"/>
      <c r="E137" s="176">
        <v>2000</v>
      </c>
      <c r="F137" s="177"/>
      <c r="G137" s="248">
        <f t="shared" si="5"/>
        <v>2000</v>
      </c>
      <c r="H137" s="171">
        <v>0.4</v>
      </c>
      <c r="I137" s="177"/>
      <c r="J137" s="167" t="s">
        <v>208</v>
      </c>
      <c r="K137" s="181">
        <v>5</v>
      </c>
      <c r="M137" s="173"/>
    </row>
    <row r="138" spans="2:13" ht="15.5" x14ac:dyDescent="0.35">
      <c r="B138" s="623"/>
      <c r="C138" s="166"/>
      <c r="D138" s="202"/>
      <c r="E138" s="177"/>
      <c r="F138" s="177"/>
      <c r="G138" s="248">
        <f t="shared" si="5"/>
        <v>0</v>
      </c>
      <c r="H138" s="171"/>
      <c r="I138" s="177"/>
      <c r="J138" s="167"/>
      <c r="K138" s="181"/>
    </row>
    <row r="139" spans="2:13" ht="15.5" x14ac:dyDescent="0.35">
      <c r="B139" s="624"/>
      <c r="C139" s="166"/>
      <c r="D139" s="202"/>
      <c r="E139" s="177"/>
      <c r="F139" s="177"/>
      <c r="G139" s="248">
        <f t="shared" si="5"/>
        <v>0</v>
      </c>
      <c r="H139" s="171"/>
      <c r="I139" s="177"/>
      <c r="J139" s="167"/>
      <c r="K139" s="181"/>
    </row>
    <row r="140" spans="2:13" ht="31" x14ac:dyDescent="0.35">
      <c r="B140" s="622" t="s">
        <v>209</v>
      </c>
      <c r="C140" s="166" t="s">
        <v>210</v>
      </c>
      <c r="D140" s="202"/>
      <c r="E140" s="176">
        <v>2500</v>
      </c>
      <c r="F140" s="177"/>
      <c r="G140" s="248">
        <f t="shared" si="5"/>
        <v>2500</v>
      </c>
      <c r="H140" s="171">
        <v>0.4</v>
      </c>
      <c r="I140" s="177"/>
      <c r="J140" s="167" t="s">
        <v>211</v>
      </c>
      <c r="K140" s="181">
        <v>7</v>
      </c>
      <c r="M140" s="173">
        <f>E140+E141+E142</f>
        <v>17500</v>
      </c>
    </row>
    <row r="141" spans="2:13" ht="31" x14ac:dyDescent="0.35">
      <c r="B141" s="623"/>
      <c r="C141" s="166" t="s">
        <v>212</v>
      </c>
      <c r="D141" s="202"/>
      <c r="E141" s="176">
        <v>14000</v>
      </c>
      <c r="F141" s="177"/>
      <c r="G141" s="248">
        <f t="shared" si="5"/>
        <v>14000</v>
      </c>
      <c r="H141" s="171">
        <v>0.4</v>
      </c>
      <c r="J141" s="167" t="s">
        <v>213</v>
      </c>
      <c r="K141" s="181">
        <v>7</v>
      </c>
      <c r="M141" s="173"/>
    </row>
    <row r="142" spans="2:13" ht="31" x14ac:dyDescent="0.35">
      <c r="B142" s="623"/>
      <c r="C142" s="166" t="s">
        <v>207</v>
      </c>
      <c r="D142" s="202"/>
      <c r="E142" s="176">
        <v>1000</v>
      </c>
      <c r="F142" s="177"/>
      <c r="G142" s="248">
        <f t="shared" si="5"/>
        <v>1000</v>
      </c>
      <c r="H142" s="171">
        <v>0.4</v>
      </c>
      <c r="I142" s="177"/>
      <c r="J142" s="167" t="s">
        <v>208</v>
      </c>
      <c r="K142" s="181">
        <v>5</v>
      </c>
    </row>
    <row r="143" spans="2:13" ht="15.5" x14ac:dyDescent="0.35">
      <c r="B143" s="623"/>
      <c r="C143" s="166"/>
      <c r="D143" s="202"/>
      <c r="E143" s="177"/>
      <c r="F143" s="177"/>
      <c r="G143" s="248">
        <f t="shared" si="5"/>
        <v>0</v>
      </c>
      <c r="H143" s="171"/>
      <c r="I143" s="177"/>
      <c r="J143" s="167"/>
      <c r="K143" s="181"/>
    </row>
    <row r="144" spans="2:13" ht="15.5" x14ac:dyDescent="0.35">
      <c r="B144" s="624"/>
      <c r="C144" s="166"/>
      <c r="D144" s="202"/>
      <c r="E144" s="177"/>
      <c r="F144" s="177"/>
      <c r="G144" s="248">
        <f t="shared" si="5"/>
        <v>0</v>
      </c>
      <c r="H144" s="171"/>
      <c r="I144" s="177"/>
      <c r="J144" s="167"/>
      <c r="K144" s="181"/>
    </row>
    <row r="145" spans="2:13" ht="31.4" customHeight="1" x14ac:dyDescent="0.35">
      <c r="B145" s="622" t="s">
        <v>214</v>
      </c>
      <c r="C145" s="166" t="s">
        <v>215</v>
      </c>
      <c r="D145" s="202"/>
      <c r="E145" s="176">
        <v>14500</v>
      </c>
      <c r="F145" s="177"/>
      <c r="G145" s="248">
        <f t="shared" si="5"/>
        <v>14500</v>
      </c>
      <c r="H145" s="171">
        <v>0.4</v>
      </c>
      <c r="I145" s="177"/>
      <c r="J145" s="167" t="s">
        <v>213</v>
      </c>
      <c r="K145" s="181">
        <v>5</v>
      </c>
    </row>
    <row r="146" spans="2:13" ht="31" x14ac:dyDescent="0.35">
      <c r="B146" s="623"/>
      <c r="C146" s="166" t="s">
        <v>210</v>
      </c>
      <c r="D146" s="202"/>
      <c r="E146" s="176">
        <v>2000</v>
      </c>
      <c r="F146" s="177"/>
      <c r="G146" s="248">
        <f t="shared" si="5"/>
        <v>2000</v>
      </c>
      <c r="H146" s="171">
        <v>0.4</v>
      </c>
      <c r="I146" s="177"/>
      <c r="J146" s="167" t="s">
        <v>211</v>
      </c>
      <c r="K146" s="181">
        <v>7</v>
      </c>
      <c r="M146" s="173">
        <f>E145+E146+E147</f>
        <v>17500</v>
      </c>
    </row>
    <row r="147" spans="2:13" ht="31" x14ac:dyDescent="0.35">
      <c r="B147" s="623"/>
      <c r="C147" s="166" t="s">
        <v>207</v>
      </c>
      <c r="D147" s="202"/>
      <c r="E147" s="176">
        <v>1000</v>
      </c>
      <c r="F147" s="177"/>
      <c r="G147" s="248">
        <f t="shared" si="5"/>
        <v>1000</v>
      </c>
      <c r="H147" s="171">
        <v>0.4</v>
      </c>
      <c r="I147" s="177"/>
      <c r="J147" s="167" t="s">
        <v>208</v>
      </c>
      <c r="K147" s="181">
        <v>5</v>
      </c>
    </row>
    <row r="148" spans="2:13" ht="15.5" x14ac:dyDescent="0.35">
      <c r="B148" s="623"/>
      <c r="C148" s="166"/>
      <c r="D148" s="202"/>
      <c r="E148" s="177"/>
      <c r="F148" s="177"/>
      <c r="G148" s="248">
        <f t="shared" si="5"/>
        <v>0</v>
      </c>
      <c r="H148" s="171"/>
      <c r="I148" s="177"/>
      <c r="J148" s="167"/>
      <c r="K148" s="181"/>
    </row>
    <row r="149" spans="2:13" ht="15.5" x14ac:dyDescent="0.35">
      <c r="B149" s="624"/>
      <c r="C149" s="166"/>
      <c r="D149" s="202"/>
      <c r="E149" s="177"/>
      <c r="F149" s="177"/>
      <c r="G149" s="248">
        <f t="shared" si="5"/>
        <v>0</v>
      </c>
      <c r="H149" s="171"/>
      <c r="I149" s="177"/>
      <c r="J149" s="167"/>
      <c r="K149" s="181"/>
    </row>
    <row r="150" spans="2:13" ht="31.4" customHeight="1" x14ac:dyDescent="0.35">
      <c r="B150" s="622" t="s">
        <v>216</v>
      </c>
      <c r="C150" s="166" t="s">
        <v>217</v>
      </c>
      <c r="D150" s="202"/>
      <c r="E150" s="176">
        <v>77000</v>
      </c>
      <c r="F150" s="177"/>
      <c r="G150" s="248">
        <f t="shared" si="5"/>
        <v>77000</v>
      </c>
      <c r="H150" s="171">
        <v>0.4</v>
      </c>
      <c r="I150" s="177"/>
      <c r="J150" s="167" t="s">
        <v>218</v>
      </c>
      <c r="K150" s="181">
        <v>4</v>
      </c>
    </row>
    <row r="151" spans="2:13" ht="46.5" x14ac:dyDescent="0.35">
      <c r="B151" s="623"/>
      <c r="C151" s="166" t="s">
        <v>219</v>
      </c>
      <c r="D151" s="202"/>
      <c r="E151" s="176">
        <v>3000</v>
      </c>
      <c r="F151" s="177"/>
      <c r="G151" s="248">
        <f t="shared" si="5"/>
        <v>3000</v>
      </c>
      <c r="H151" s="171">
        <v>0.4</v>
      </c>
      <c r="I151" s="177"/>
      <c r="J151" s="167" t="s">
        <v>220</v>
      </c>
      <c r="K151" s="181">
        <v>4</v>
      </c>
      <c r="M151" s="173">
        <f>E150+E151</f>
        <v>80000</v>
      </c>
    </row>
    <row r="152" spans="2:13" ht="15.5" x14ac:dyDescent="0.35">
      <c r="B152" s="623"/>
      <c r="C152" s="166"/>
      <c r="D152" s="202"/>
      <c r="E152" s="177"/>
      <c r="F152" s="177"/>
      <c r="G152" s="248">
        <f t="shared" si="5"/>
        <v>0</v>
      </c>
      <c r="H152" s="171"/>
      <c r="I152" s="177"/>
      <c r="J152" s="167"/>
      <c r="K152" s="181"/>
    </row>
    <row r="153" spans="2:13" ht="15.5" x14ac:dyDescent="0.35">
      <c r="B153" s="623"/>
      <c r="C153" s="166"/>
      <c r="D153" s="202"/>
      <c r="E153" s="177"/>
      <c r="F153" s="177"/>
      <c r="G153" s="248">
        <f t="shared" si="5"/>
        <v>0</v>
      </c>
      <c r="H153" s="171"/>
      <c r="I153" s="177"/>
      <c r="J153" s="167"/>
      <c r="K153" s="181"/>
    </row>
    <row r="154" spans="2:13" ht="15.5" x14ac:dyDescent="0.35">
      <c r="B154" s="624"/>
      <c r="C154" s="166"/>
      <c r="D154" s="202"/>
      <c r="E154" s="177"/>
      <c r="F154" s="177"/>
      <c r="G154" s="248">
        <f t="shared" si="5"/>
        <v>0</v>
      </c>
      <c r="H154" s="171"/>
      <c r="I154" s="177"/>
      <c r="J154" s="167"/>
      <c r="K154" s="181"/>
    </row>
    <row r="155" spans="2:13" ht="31" x14ac:dyDescent="0.35">
      <c r="B155" s="622" t="s">
        <v>221</v>
      </c>
      <c r="C155" s="166" t="s">
        <v>222</v>
      </c>
      <c r="D155" s="202"/>
      <c r="E155" s="176">
        <v>5379</v>
      </c>
      <c r="F155" s="177"/>
      <c r="G155" s="248">
        <f t="shared" si="5"/>
        <v>5379</v>
      </c>
      <c r="H155" s="171">
        <v>0.4</v>
      </c>
      <c r="I155" s="177"/>
      <c r="J155" s="167" t="s">
        <v>220</v>
      </c>
      <c r="K155" s="181">
        <v>6</v>
      </c>
      <c r="M155" s="173"/>
    </row>
    <row r="156" spans="2:13" ht="15.5" x14ac:dyDescent="0.35">
      <c r="B156" s="623"/>
      <c r="C156" s="166"/>
      <c r="D156" s="202"/>
      <c r="E156" s="176"/>
      <c r="F156" s="177"/>
      <c r="G156" s="248">
        <f t="shared" si="5"/>
        <v>0</v>
      </c>
      <c r="H156" s="171"/>
      <c r="I156" s="177"/>
      <c r="J156" s="167"/>
      <c r="K156" s="181"/>
      <c r="M156" s="173"/>
    </row>
    <row r="157" spans="2:13" ht="15.5" x14ac:dyDescent="0.35">
      <c r="B157" s="623"/>
      <c r="C157" s="166"/>
      <c r="D157" s="202"/>
      <c r="E157" s="176"/>
      <c r="F157" s="177"/>
      <c r="G157" s="248">
        <f t="shared" si="5"/>
        <v>0</v>
      </c>
      <c r="H157" s="171"/>
      <c r="I157" s="177"/>
      <c r="J157" s="167"/>
      <c r="K157" s="181"/>
    </row>
    <row r="158" spans="2:13" ht="15.5" x14ac:dyDescent="0.35">
      <c r="B158" s="623"/>
      <c r="C158" s="166"/>
      <c r="D158" s="202"/>
      <c r="E158" s="176"/>
      <c r="F158" s="177"/>
      <c r="G158" s="248">
        <f t="shared" si="5"/>
        <v>0</v>
      </c>
      <c r="H158" s="171"/>
      <c r="I158" s="177"/>
      <c r="J158" s="167"/>
      <c r="K158" s="181"/>
    </row>
    <row r="159" spans="2:13" ht="15.5" x14ac:dyDescent="0.35">
      <c r="B159" s="624"/>
      <c r="C159" s="166"/>
      <c r="D159" s="202"/>
      <c r="E159" s="177"/>
      <c r="F159" s="177"/>
      <c r="G159" s="248">
        <f t="shared" si="5"/>
        <v>0</v>
      </c>
      <c r="H159" s="171"/>
      <c r="I159" s="177"/>
      <c r="J159" s="167"/>
      <c r="K159" s="181"/>
    </row>
    <row r="160" spans="2:13" ht="31" x14ac:dyDescent="0.35">
      <c r="B160" s="622" t="s">
        <v>223</v>
      </c>
      <c r="C160" s="166" t="s">
        <v>224</v>
      </c>
      <c r="D160" s="202"/>
      <c r="E160" s="176">
        <v>8800</v>
      </c>
      <c r="F160" s="177"/>
      <c r="G160" s="248">
        <f t="shared" si="5"/>
        <v>8800</v>
      </c>
      <c r="H160" s="171">
        <v>0.4</v>
      </c>
      <c r="I160" s="177"/>
      <c r="J160" s="167" t="s">
        <v>225</v>
      </c>
      <c r="K160" s="181">
        <v>7</v>
      </c>
      <c r="M160" s="173"/>
    </row>
    <row r="161" spans="2:13" ht="31" x14ac:dyDescent="0.35">
      <c r="B161" s="623"/>
      <c r="C161" s="166" t="s">
        <v>226</v>
      </c>
      <c r="D161" s="202"/>
      <c r="E161" s="176">
        <v>5000</v>
      </c>
      <c r="F161" s="177"/>
      <c r="G161" s="248">
        <f t="shared" si="5"/>
        <v>5000</v>
      </c>
      <c r="H161" s="171">
        <v>0.4</v>
      </c>
      <c r="I161" s="177"/>
      <c r="J161" s="167" t="s">
        <v>227</v>
      </c>
      <c r="K161" s="181">
        <v>7</v>
      </c>
      <c r="M161" s="173">
        <f>E160+E161+E162+E163</f>
        <v>15000</v>
      </c>
    </row>
    <row r="162" spans="2:13" ht="31" x14ac:dyDescent="0.35">
      <c r="B162" s="623"/>
      <c r="C162" s="166" t="s">
        <v>228</v>
      </c>
      <c r="D162" s="202"/>
      <c r="E162" s="176">
        <v>700</v>
      </c>
      <c r="F162" s="177"/>
      <c r="G162" s="248">
        <f t="shared" si="5"/>
        <v>700</v>
      </c>
      <c r="H162" s="171">
        <v>0.4</v>
      </c>
      <c r="I162" s="177"/>
      <c r="J162" s="167" t="s">
        <v>229</v>
      </c>
      <c r="K162" s="181">
        <v>7</v>
      </c>
    </row>
    <row r="163" spans="2:13" ht="31" x14ac:dyDescent="0.35">
      <c r="B163" s="623"/>
      <c r="C163" s="166" t="s">
        <v>159</v>
      </c>
      <c r="D163" s="202"/>
      <c r="E163" s="176">
        <v>500</v>
      </c>
      <c r="F163" s="177"/>
      <c r="G163" s="248">
        <f t="shared" si="5"/>
        <v>500</v>
      </c>
      <c r="H163" s="171">
        <v>0.4</v>
      </c>
      <c r="I163" s="177"/>
      <c r="J163" s="167" t="s">
        <v>208</v>
      </c>
      <c r="K163" s="181">
        <v>5</v>
      </c>
    </row>
    <row r="164" spans="2:13" ht="15.5" x14ac:dyDescent="0.35">
      <c r="B164" s="624"/>
      <c r="C164" s="166"/>
      <c r="D164" s="202"/>
      <c r="E164" s="177"/>
      <c r="F164" s="177"/>
      <c r="G164" s="248">
        <f t="shared" si="5"/>
        <v>0</v>
      </c>
      <c r="H164" s="171"/>
      <c r="I164" s="177"/>
      <c r="J164" s="167"/>
      <c r="K164" s="181"/>
    </row>
    <row r="165" spans="2:13" ht="15.5" x14ac:dyDescent="0.35">
      <c r="B165" s="622" t="s">
        <v>230</v>
      </c>
      <c r="C165" s="166" t="s">
        <v>231</v>
      </c>
      <c r="D165" s="202"/>
      <c r="E165" s="176">
        <v>20000</v>
      </c>
      <c r="F165" s="177"/>
      <c r="G165" s="248">
        <f t="shared" si="5"/>
        <v>20000</v>
      </c>
      <c r="H165" s="171">
        <v>0.3</v>
      </c>
      <c r="I165" s="177"/>
      <c r="J165" s="167"/>
      <c r="K165" s="181">
        <v>6</v>
      </c>
    </row>
    <row r="166" spans="2:13" ht="15.5" x14ac:dyDescent="0.35">
      <c r="B166" s="623"/>
      <c r="C166" s="166"/>
      <c r="D166" s="202"/>
      <c r="E166" s="177"/>
      <c r="F166" s="177"/>
      <c r="G166" s="248">
        <f t="shared" si="5"/>
        <v>0</v>
      </c>
      <c r="H166" s="171"/>
      <c r="I166" s="177"/>
      <c r="J166" s="167"/>
      <c r="K166" s="181"/>
      <c r="M166" s="173"/>
    </row>
    <row r="167" spans="2:13" ht="15.5" x14ac:dyDescent="0.35">
      <c r="B167" s="623"/>
      <c r="C167" s="166"/>
      <c r="D167" s="202"/>
      <c r="E167" s="177"/>
      <c r="F167" s="177"/>
      <c r="G167" s="248">
        <f t="shared" si="5"/>
        <v>0</v>
      </c>
      <c r="H167" s="171"/>
      <c r="I167" s="177"/>
      <c r="J167" s="167"/>
      <c r="K167" s="181"/>
      <c r="M167" s="173"/>
    </row>
    <row r="168" spans="2:13" ht="15.5" x14ac:dyDescent="0.35">
      <c r="B168" s="623"/>
      <c r="C168" s="166"/>
      <c r="D168" s="202"/>
      <c r="E168" s="177"/>
      <c r="F168" s="177"/>
      <c r="G168" s="248">
        <f t="shared" si="5"/>
        <v>0</v>
      </c>
      <c r="H168" s="171"/>
      <c r="I168" s="177"/>
      <c r="J168" s="167"/>
      <c r="K168" s="181"/>
    </row>
    <row r="169" spans="2:13" ht="15.5" x14ac:dyDescent="0.35">
      <c r="B169" s="624"/>
      <c r="C169" s="166"/>
      <c r="D169" s="202"/>
      <c r="E169" s="177"/>
      <c r="F169" s="177"/>
      <c r="G169" s="248">
        <f t="shared" si="5"/>
        <v>0</v>
      </c>
      <c r="H169" s="171"/>
      <c r="I169" s="177"/>
      <c r="J169" s="167"/>
      <c r="K169" s="181"/>
    </row>
    <row r="170" spans="2:13" ht="46.5" x14ac:dyDescent="0.35">
      <c r="B170" s="622" t="s">
        <v>232</v>
      </c>
      <c r="C170" s="166" t="s">
        <v>233</v>
      </c>
      <c r="D170" s="202"/>
      <c r="E170" s="176">
        <v>70000</v>
      </c>
      <c r="F170" s="177"/>
      <c r="G170" s="248">
        <f t="shared" si="5"/>
        <v>70000</v>
      </c>
      <c r="H170" s="171">
        <v>0.6</v>
      </c>
      <c r="I170" s="177"/>
      <c r="J170" s="256" t="s">
        <v>234</v>
      </c>
      <c r="K170" s="181">
        <v>6</v>
      </c>
    </row>
    <row r="171" spans="2:13" ht="15.5" x14ac:dyDescent="0.35">
      <c r="B171" s="623"/>
      <c r="C171" s="166"/>
      <c r="D171" s="202"/>
      <c r="E171" s="177"/>
      <c r="F171" s="177"/>
      <c r="G171" s="248">
        <f t="shared" si="5"/>
        <v>0</v>
      </c>
      <c r="H171" s="171"/>
      <c r="I171" s="177"/>
      <c r="J171" s="167"/>
      <c r="K171" s="181"/>
      <c r="M171" s="173"/>
    </row>
    <row r="172" spans="2:13" ht="15.5" x14ac:dyDescent="0.35">
      <c r="B172" s="623"/>
      <c r="C172" s="166"/>
      <c r="D172" s="202"/>
      <c r="E172" s="177"/>
      <c r="F172" s="177"/>
      <c r="G172" s="248">
        <f t="shared" si="5"/>
        <v>0</v>
      </c>
      <c r="H172" s="171"/>
      <c r="I172" s="177"/>
      <c r="J172" s="167"/>
      <c r="K172" s="181"/>
      <c r="M172" s="173"/>
    </row>
    <row r="173" spans="2:13" ht="15.5" x14ac:dyDescent="0.35">
      <c r="B173" s="623"/>
      <c r="C173" s="166"/>
      <c r="D173" s="202"/>
      <c r="E173" s="177"/>
      <c r="F173" s="177"/>
      <c r="G173" s="248">
        <f t="shared" si="5"/>
        <v>0</v>
      </c>
      <c r="H173" s="171"/>
      <c r="I173" s="177"/>
      <c r="J173" s="167"/>
      <c r="K173" s="181"/>
    </row>
    <row r="174" spans="2:13" ht="15.5" x14ac:dyDescent="0.35">
      <c r="B174" s="624"/>
      <c r="C174" s="166"/>
      <c r="D174" s="202"/>
      <c r="E174" s="177"/>
      <c r="F174" s="177"/>
      <c r="G174" s="248">
        <f t="shared" si="5"/>
        <v>0</v>
      </c>
      <c r="H174" s="171"/>
      <c r="I174" s="177"/>
      <c r="J174" s="167"/>
      <c r="K174" s="181"/>
    </row>
    <row r="175" spans="2:13" ht="46.5" x14ac:dyDescent="0.35">
      <c r="B175" s="639" t="s">
        <v>235</v>
      </c>
      <c r="C175" s="166" t="s">
        <v>236</v>
      </c>
      <c r="D175" s="202"/>
      <c r="E175" s="176">
        <v>1000</v>
      </c>
      <c r="F175" s="177"/>
      <c r="G175" s="248">
        <f t="shared" si="5"/>
        <v>1000</v>
      </c>
      <c r="H175" s="171">
        <v>0.35</v>
      </c>
      <c r="I175" s="177"/>
      <c r="J175" s="167" t="s">
        <v>237</v>
      </c>
      <c r="K175" s="181">
        <v>5</v>
      </c>
      <c r="M175" s="173">
        <f>E175+E176+E177+E178+E179</f>
        <v>7000</v>
      </c>
    </row>
    <row r="176" spans="2:13" ht="46.5" x14ac:dyDescent="0.35">
      <c r="B176" s="639"/>
      <c r="C176" s="166" t="s">
        <v>238</v>
      </c>
      <c r="D176" s="202"/>
      <c r="E176" s="176">
        <v>500</v>
      </c>
      <c r="F176" s="177"/>
      <c r="G176" s="248">
        <f t="shared" si="5"/>
        <v>500</v>
      </c>
      <c r="H176" s="171">
        <v>0.35</v>
      </c>
      <c r="I176" s="177"/>
      <c r="J176" s="167" t="s">
        <v>239</v>
      </c>
      <c r="K176" s="181">
        <v>7</v>
      </c>
    </row>
    <row r="177" spans="2:13" ht="31" x14ac:dyDescent="0.35">
      <c r="B177" s="639"/>
      <c r="C177" s="166" t="s">
        <v>240</v>
      </c>
      <c r="D177" s="202"/>
      <c r="E177" s="176">
        <v>1000</v>
      </c>
      <c r="F177" s="177"/>
      <c r="G177" s="248">
        <f t="shared" si="5"/>
        <v>1000</v>
      </c>
      <c r="H177" s="171">
        <v>0.35</v>
      </c>
      <c r="I177" s="177"/>
      <c r="J177" s="167" t="s">
        <v>201</v>
      </c>
      <c r="K177" s="181">
        <v>5</v>
      </c>
    </row>
    <row r="178" spans="2:13" ht="31" x14ac:dyDescent="0.35">
      <c r="B178" s="639"/>
      <c r="C178" s="166" t="s">
        <v>215</v>
      </c>
      <c r="D178" s="202"/>
      <c r="E178" s="176">
        <v>1500</v>
      </c>
      <c r="F178" s="177"/>
      <c r="G178" s="248">
        <f t="shared" si="5"/>
        <v>1500</v>
      </c>
      <c r="H178" s="171">
        <v>0.35</v>
      </c>
      <c r="I178" s="177"/>
      <c r="J178" s="166" t="s">
        <v>241</v>
      </c>
      <c r="K178" s="181">
        <v>7</v>
      </c>
    </row>
    <row r="179" spans="2:13" ht="31" x14ac:dyDescent="0.35">
      <c r="B179" s="639"/>
      <c r="C179" s="166" t="s">
        <v>242</v>
      </c>
      <c r="D179" s="202"/>
      <c r="E179" s="176">
        <v>3000</v>
      </c>
      <c r="F179" s="177"/>
      <c r="G179" s="248">
        <f t="shared" si="5"/>
        <v>3000</v>
      </c>
      <c r="H179" s="171">
        <v>0.35</v>
      </c>
      <c r="I179" s="177"/>
      <c r="J179" s="167" t="s">
        <v>227</v>
      </c>
      <c r="K179" s="181">
        <v>2</v>
      </c>
    </row>
    <row r="180" spans="2:13" ht="62" x14ac:dyDescent="0.35">
      <c r="B180" s="622" t="s">
        <v>243</v>
      </c>
      <c r="C180" s="166" t="s">
        <v>244</v>
      </c>
      <c r="D180" s="202"/>
      <c r="E180" s="176">
        <v>2000</v>
      </c>
      <c r="F180" s="177"/>
      <c r="G180" s="248">
        <f t="shared" si="5"/>
        <v>2000</v>
      </c>
      <c r="H180" s="171">
        <v>0.35</v>
      </c>
      <c r="I180" s="177"/>
      <c r="J180" s="167" t="s">
        <v>245</v>
      </c>
      <c r="K180" s="181">
        <v>7</v>
      </c>
      <c r="M180" s="215">
        <f>E180+E181+E182+E183</f>
        <v>50000</v>
      </c>
    </row>
    <row r="181" spans="2:13" ht="31" x14ac:dyDescent="0.35">
      <c r="B181" s="623"/>
      <c r="C181" s="166" t="s">
        <v>207</v>
      </c>
      <c r="D181" s="202"/>
      <c r="E181" s="176">
        <v>1000</v>
      </c>
      <c r="F181" s="177"/>
      <c r="G181" s="248">
        <f t="shared" si="5"/>
        <v>1000</v>
      </c>
      <c r="H181" s="171">
        <v>0.35</v>
      </c>
      <c r="I181" s="177"/>
      <c r="J181" s="167" t="s">
        <v>240</v>
      </c>
      <c r="K181" s="181">
        <v>5</v>
      </c>
      <c r="M181" s="173"/>
    </row>
    <row r="182" spans="2:13" ht="15.5" x14ac:dyDescent="0.35">
      <c r="B182" s="623"/>
      <c r="C182" s="166" t="s">
        <v>246</v>
      </c>
      <c r="D182" s="202"/>
      <c r="E182" s="176">
        <v>7000</v>
      </c>
      <c r="F182" s="177"/>
      <c r="G182" s="248">
        <f t="shared" si="5"/>
        <v>7000</v>
      </c>
      <c r="H182" s="171">
        <v>0.35</v>
      </c>
      <c r="I182" s="177"/>
      <c r="J182" s="167" t="s">
        <v>241</v>
      </c>
      <c r="K182" s="181">
        <v>2</v>
      </c>
    </row>
    <row r="183" spans="2:13" ht="31" x14ac:dyDescent="0.35">
      <c r="B183" s="623"/>
      <c r="C183" s="166" t="s">
        <v>247</v>
      </c>
      <c r="D183" s="202"/>
      <c r="E183" s="176">
        <v>40000</v>
      </c>
      <c r="F183" s="177"/>
      <c r="G183" s="248">
        <f t="shared" si="5"/>
        <v>40000</v>
      </c>
      <c r="H183" s="171">
        <v>0.35</v>
      </c>
      <c r="I183" s="177"/>
      <c r="J183" s="167" t="s">
        <v>227</v>
      </c>
      <c r="K183" s="181">
        <v>2</v>
      </c>
    </row>
    <row r="184" spans="2:13" ht="15.5" x14ac:dyDescent="0.35">
      <c r="B184" s="624"/>
      <c r="C184" s="166"/>
      <c r="D184" s="202"/>
      <c r="E184" s="177"/>
      <c r="F184" s="177"/>
      <c r="G184" s="248">
        <f t="shared" si="5"/>
        <v>0</v>
      </c>
      <c r="H184" s="171"/>
      <c r="I184" s="177"/>
      <c r="J184" s="167"/>
      <c r="K184" s="181"/>
    </row>
    <row r="185" spans="2:13" ht="48.65" customHeight="1" x14ac:dyDescent="0.35">
      <c r="B185" s="639" t="s">
        <v>248</v>
      </c>
      <c r="C185" s="166" t="s">
        <v>249</v>
      </c>
      <c r="D185" s="202"/>
      <c r="E185" s="176">
        <v>27500</v>
      </c>
      <c r="F185" s="177"/>
      <c r="G185" s="248">
        <f t="shared" si="5"/>
        <v>27500</v>
      </c>
      <c r="H185" s="171">
        <v>0.6</v>
      </c>
      <c r="I185" s="177"/>
      <c r="J185" s="167" t="s">
        <v>250</v>
      </c>
      <c r="K185" s="181">
        <v>2</v>
      </c>
    </row>
    <row r="186" spans="2:13" ht="18.649999999999999" customHeight="1" x14ac:dyDescent="0.35">
      <c r="B186" s="639"/>
      <c r="C186" s="166" t="s">
        <v>251</v>
      </c>
      <c r="D186" s="202"/>
      <c r="E186" s="176">
        <v>2500</v>
      </c>
      <c r="F186" s="177"/>
      <c r="G186" s="248">
        <f t="shared" si="5"/>
        <v>2500</v>
      </c>
      <c r="H186" s="171"/>
      <c r="I186" s="177"/>
      <c r="J186" s="167"/>
      <c r="K186" s="181">
        <v>2</v>
      </c>
      <c r="M186" s="173"/>
    </row>
    <row r="187" spans="2:13" ht="18.649999999999999" customHeight="1" x14ac:dyDescent="0.35">
      <c r="B187" s="639"/>
      <c r="C187" s="166"/>
      <c r="D187" s="202"/>
      <c r="E187" s="177"/>
      <c r="F187" s="177"/>
      <c r="G187" s="248">
        <f t="shared" si="5"/>
        <v>0</v>
      </c>
      <c r="H187" s="171"/>
      <c r="I187" s="177"/>
      <c r="J187" s="167"/>
      <c r="K187" s="181"/>
    </row>
    <row r="188" spans="2:13" ht="18.649999999999999" customHeight="1" x14ac:dyDescent="0.35">
      <c r="B188" s="639"/>
      <c r="C188" s="166"/>
      <c r="D188" s="202"/>
      <c r="E188" s="177"/>
      <c r="F188" s="177"/>
      <c r="G188" s="248">
        <f t="shared" si="5"/>
        <v>0</v>
      </c>
      <c r="H188" s="171"/>
      <c r="I188" s="177"/>
      <c r="J188" s="167"/>
      <c r="K188" s="181"/>
    </row>
    <row r="189" spans="2:13" ht="18.649999999999999" customHeight="1" x14ac:dyDescent="0.35">
      <c r="B189" s="639"/>
      <c r="C189" s="166"/>
      <c r="D189" s="202"/>
      <c r="E189" s="177"/>
      <c r="F189" s="177"/>
      <c r="G189" s="248">
        <f t="shared" si="5"/>
        <v>0</v>
      </c>
      <c r="H189" s="171"/>
      <c r="I189" s="177"/>
      <c r="J189" s="167"/>
      <c r="K189" s="181"/>
    </row>
    <row r="190" spans="2:13" ht="15.5" hidden="1" x14ac:dyDescent="0.35">
      <c r="B190" s="622"/>
      <c r="C190" s="166"/>
      <c r="D190" s="202"/>
      <c r="E190" s="177"/>
      <c r="F190" s="177"/>
      <c r="G190" s="248">
        <f t="shared" si="5"/>
        <v>0</v>
      </c>
      <c r="H190" s="171"/>
      <c r="I190" s="177"/>
      <c r="J190" s="167"/>
      <c r="K190" s="181"/>
    </row>
    <row r="191" spans="2:13" ht="15.5" hidden="1" x14ac:dyDescent="0.35">
      <c r="B191" s="623"/>
      <c r="C191" s="166"/>
      <c r="D191" s="202"/>
      <c r="E191" s="177"/>
      <c r="F191" s="177"/>
      <c r="G191" s="248">
        <f t="shared" si="5"/>
        <v>0</v>
      </c>
      <c r="H191" s="171"/>
      <c r="I191" s="177"/>
      <c r="J191" s="167"/>
      <c r="K191" s="181"/>
      <c r="M191" s="173"/>
    </row>
    <row r="192" spans="2:13" ht="15.5" hidden="1" x14ac:dyDescent="0.35">
      <c r="B192" s="623"/>
      <c r="C192" s="166"/>
      <c r="D192" s="202"/>
      <c r="E192" s="177"/>
      <c r="F192" s="177"/>
      <c r="G192" s="248">
        <f t="shared" si="5"/>
        <v>0</v>
      </c>
      <c r="H192" s="171"/>
      <c r="I192" s="177"/>
      <c r="J192" s="167"/>
      <c r="K192" s="181"/>
    </row>
    <row r="193" spans="1:13" ht="15.5" hidden="1" x14ac:dyDescent="0.35">
      <c r="B193" s="623"/>
      <c r="C193" s="166"/>
      <c r="D193" s="202"/>
      <c r="E193" s="177"/>
      <c r="F193" s="177"/>
      <c r="G193" s="248">
        <f t="shared" si="5"/>
        <v>0</v>
      </c>
      <c r="H193" s="171"/>
      <c r="I193" s="177"/>
      <c r="J193" s="167"/>
      <c r="K193" s="181"/>
    </row>
    <row r="194" spans="1:13" ht="15.5" hidden="1" x14ac:dyDescent="0.35">
      <c r="B194" s="624"/>
      <c r="C194" s="166"/>
      <c r="D194" s="202"/>
      <c r="E194" s="177"/>
      <c r="F194" s="177"/>
      <c r="G194" s="248">
        <f t="shared" si="5"/>
        <v>0</v>
      </c>
      <c r="H194" s="171"/>
      <c r="I194" s="177"/>
      <c r="J194" s="167"/>
      <c r="K194" s="181"/>
    </row>
    <row r="195" spans="1:13" ht="15.5" hidden="1" x14ac:dyDescent="0.35">
      <c r="B195" s="622" t="s">
        <v>252</v>
      </c>
      <c r="C195" s="166"/>
      <c r="D195" s="202"/>
      <c r="E195" s="177"/>
      <c r="F195" s="177"/>
      <c r="G195" s="248">
        <f t="shared" si="5"/>
        <v>0</v>
      </c>
      <c r="H195" s="171"/>
      <c r="I195" s="177"/>
      <c r="J195" s="167"/>
      <c r="K195" s="181"/>
    </row>
    <row r="196" spans="1:13" ht="15.5" hidden="1" x14ac:dyDescent="0.35">
      <c r="B196" s="623"/>
      <c r="C196" s="166"/>
      <c r="D196" s="202"/>
      <c r="E196" s="177"/>
      <c r="F196" s="177"/>
      <c r="G196" s="248">
        <f t="shared" si="5"/>
        <v>0</v>
      </c>
      <c r="H196" s="171"/>
      <c r="I196" s="177"/>
      <c r="J196" s="167"/>
      <c r="K196" s="181"/>
    </row>
    <row r="197" spans="1:13" ht="15.5" hidden="1" x14ac:dyDescent="0.35">
      <c r="B197" s="623"/>
      <c r="C197" s="166"/>
      <c r="D197" s="202"/>
      <c r="E197" s="177"/>
      <c r="F197" s="177"/>
      <c r="G197" s="248">
        <f t="shared" si="5"/>
        <v>0</v>
      </c>
      <c r="H197" s="171"/>
      <c r="I197" s="177"/>
      <c r="J197" s="167"/>
      <c r="K197" s="181"/>
    </row>
    <row r="198" spans="1:13" ht="15.5" hidden="1" x14ac:dyDescent="0.35">
      <c r="A198" s="24"/>
      <c r="B198" s="623"/>
      <c r="C198" s="245"/>
      <c r="D198" s="202"/>
      <c r="E198" s="251"/>
      <c r="F198" s="251"/>
      <c r="G198" s="248">
        <f t="shared" si="5"/>
        <v>0</v>
      </c>
      <c r="H198" s="250"/>
      <c r="I198" s="251"/>
      <c r="J198" s="170"/>
      <c r="K198" s="181"/>
    </row>
    <row r="199" spans="1:13" s="24" customFormat="1" ht="15.5" hidden="1" x14ac:dyDescent="0.35">
      <c r="B199" s="624"/>
      <c r="C199" s="245"/>
      <c r="D199" s="202"/>
      <c r="E199" s="251"/>
      <c r="F199" s="251"/>
      <c r="G199" s="248">
        <f t="shared" si="5"/>
        <v>0</v>
      </c>
      <c r="H199" s="250"/>
      <c r="I199" s="251"/>
      <c r="J199" s="170"/>
      <c r="K199" s="181"/>
    </row>
    <row r="200" spans="1:13" s="24" customFormat="1" ht="15.5" x14ac:dyDescent="0.35">
      <c r="A200" s="23"/>
      <c r="B200" s="23"/>
      <c r="C200" s="73" t="s">
        <v>253</v>
      </c>
      <c r="D200" s="201">
        <f>SUM(D105:D199)</f>
        <v>0</v>
      </c>
      <c r="E200" s="10">
        <f>SUM(E105:E199)</f>
        <v>614999</v>
      </c>
      <c r="F200" s="10">
        <f>SUM(F105:F199)</f>
        <v>0</v>
      </c>
      <c r="G200" s="10">
        <f>SUM(G105:G199)</f>
        <v>614999</v>
      </c>
      <c r="H200" s="257">
        <f>(H105*G105)+(H106*G106)+(H107*G107)+(H108*G108)+(H109*G109)+(H110*G110)+(H111*G111)+(H112*G112)+(H113*G113)+(H114*G114)+(H115*G115)+(H116*G116)+(H117*G117)+(H118*G118)+(H119*G119)+(H120*G120)+(H121*G121)+(H122*G122)+(H123*G123)+(H124*G124)+(H125*G125)+(H126*G126)+(H127*G127)+(H128*G128)+(H129*G129)+(H130*G130)+(H131*G131)+(H132*G132)+(H133*G133)+(H134*G134)+(H135*G135)+(H136*G136)+(H137*G137)+(H138*G138)+(H139*G139)+(H140*G140)+(H141*G141)+(H142*G142)+(H143*G143)+(H144*G144)+(H145*G145)+(H146*G146)+(H147*G147)+(H148*G148)+(H149*G149)+(H150*G150)+(H151*G151)+(H152*G152)+(H153*G153)+(H154*G154)+(H155*G155)+(H156*G156)+(H157*G157)+(H158*G158)+(H159*G159)+(H160*G160)+(H161*G161)+(H162*G162)+(H163*G163)+(H164*G164)+(H165*G165)+(H166*G166)+(H167*G167)+(H168*G168)+(H169*G169)+(H170*G170)+(H171*G171)+(H172*G172)+(H173*G173)+(H174*G174)+(H175*G175)+(H176*G176)+(H177*G177)+(H178*G178)+(H179*G179)+(H180*G180)+(H181*G181)+(H182*G182)+(H183*G183)+(H184*G184)+(H185*G185)+(H186*G186)+(H187*G187)+(H188*G188)+(H189*G189)+(H190*G190)+(H191*G191)+(H192*G192)+(H193*G193)+(H194*G194)+(H195*G195)+(H196*G196)+(H197*G197)+(H198*G198)+(H199*G199)</f>
        <v>259461.6</v>
      </c>
      <c r="I200" s="10">
        <f>SUM(I105:I199)</f>
        <v>0</v>
      </c>
      <c r="J200" s="170"/>
      <c r="K200" s="182"/>
    </row>
    <row r="201" spans="1:13" ht="30" customHeight="1" x14ac:dyDescent="0.35">
      <c r="B201" s="72" t="s">
        <v>254</v>
      </c>
      <c r="C201" s="630" t="s">
        <v>255</v>
      </c>
      <c r="D201" s="630"/>
      <c r="E201" s="630"/>
      <c r="F201" s="630"/>
      <c r="G201" s="630"/>
      <c r="H201" s="630"/>
      <c r="I201" s="631"/>
      <c r="J201" s="630"/>
      <c r="K201" s="183"/>
    </row>
    <row r="202" spans="1:13" s="24" customFormat="1" ht="31" x14ac:dyDescent="0.35">
      <c r="B202" s="622" t="s">
        <v>256</v>
      </c>
      <c r="C202" s="245" t="s">
        <v>257</v>
      </c>
      <c r="D202" s="251">
        <v>12000</v>
      </c>
      <c r="E202" s="251"/>
      <c r="F202" s="251"/>
      <c r="G202" s="347">
        <f>D202+E202+F202</f>
        <v>12000</v>
      </c>
      <c r="H202" s="250">
        <v>0.3</v>
      </c>
      <c r="I202" s="251"/>
      <c r="J202" s="170" t="s">
        <v>213</v>
      </c>
      <c r="K202" s="345">
        <v>7</v>
      </c>
    </row>
    <row r="203" spans="1:13" s="24" customFormat="1" ht="31" x14ac:dyDescent="0.35">
      <c r="B203" s="623"/>
      <c r="C203" s="245" t="s">
        <v>207</v>
      </c>
      <c r="D203" s="251">
        <v>1500</v>
      </c>
      <c r="E203" s="251"/>
      <c r="F203" s="251"/>
      <c r="G203" s="347">
        <f t="shared" ref="G203:G246" si="6">D203+E203+F203</f>
        <v>1500</v>
      </c>
      <c r="H203" s="250">
        <v>0.3</v>
      </c>
      <c r="I203" s="251"/>
      <c r="J203" s="170" t="s">
        <v>201</v>
      </c>
      <c r="K203" s="345">
        <v>5</v>
      </c>
      <c r="M203" s="346">
        <f>D202+D203+D204+D205</f>
        <v>17500</v>
      </c>
    </row>
    <row r="204" spans="1:13" s="24" customFormat="1" ht="46.5" x14ac:dyDescent="0.35">
      <c r="B204" s="623"/>
      <c r="C204" s="245" t="s">
        <v>258</v>
      </c>
      <c r="D204" s="251">
        <v>2000</v>
      </c>
      <c r="E204" s="251"/>
      <c r="F204" s="251"/>
      <c r="G204" s="347">
        <f t="shared" si="6"/>
        <v>2000</v>
      </c>
      <c r="H204" s="250">
        <v>0.3</v>
      </c>
      <c r="I204" s="251"/>
      <c r="J204" s="170" t="s">
        <v>259</v>
      </c>
      <c r="K204" s="345">
        <v>5</v>
      </c>
      <c r="M204" s="346"/>
    </row>
    <row r="205" spans="1:13" s="24" customFormat="1" ht="46.5" x14ac:dyDescent="0.35">
      <c r="B205" s="623"/>
      <c r="C205" s="245" t="s">
        <v>260</v>
      </c>
      <c r="D205" s="251">
        <v>2000</v>
      </c>
      <c r="E205" s="251"/>
      <c r="F205" s="251"/>
      <c r="G205" s="347">
        <f t="shared" si="6"/>
        <v>2000</v>
      </c>
      <c r="H205" s="250">
        <v>0.3</v>
      </c>
      <c r="I205" s="251"/>
      <c r="J205" s="170" t="s">
        <v>261</v>
      </c>
      <c r="K205" s="345">
        <v>4</v>
      </c>
    </row>
    <row r="206" spans="1:13" ht="15.5" x14ac:dyDescent="0.35">
      <c r="B206" s="624"/>
      <c r="C206" s="166"/>
      <c r="D206" s="202"/>
      <c r="E206" s="177"/>
      <c r="F206" s="177"/>
      <c r="G206" s="248">
        <f t="shared" si="6"/>
        <v>0</v>
      </c>
      <c r="H206" s="171"/>
      <c r="I206" s="177"/>
      <c r="J206" s="167"/>
      <c r="K206" s="181"/>
    </row>
    <row r="207" spans="1:13" ht="31" x14ac:dyDescent="0.35">
      <c r="B207" s="622" t="s">
        <v>262</v>
      </c>
      <c r="C207" s="166" t="s">
        <v>257</v>
      </c>
      <c r="D207" s="202">
        <v>11000</v>
      </c>
      <c r="E207" s="177"/>
      <c r="F207" s="177"/>
      <c r="G207" s="248">
        <f t="shared" si="6"/>
        <v>11000</v>
      </c>
      <c r="H207" s="171">
        <v>0.3</v>
      </c>
      <c r="I207" s="177"/>
      <c r="J207" s="167" t="s">
        <v>213</v>
      </c>
      <c r="K207" s="181">
        <v>7</v>
      </c>
    </row>
    <row r="208" spans="1:13" ht="31" x14ac:dyDescent="0.35">
      <c r="B208" s="623"/>
      <c r="C208" s="166" t="s">
        <v>207</v>
      </c>
      <c r="D208" s="202">
        <v>1500</v>
      </c>
      <c r="E208" s="177"/>
      <c r="F208" s="177"/>
      <c r="G208" s="248">
        <f t="shared" si="6"/>
        <v>1500</v>
      </c>
      <c r="H208" s="171">
        <v>0.3</v>
      </c>
      <c r="I208" s="177"/>
      <c r="J208" s="167" t="s">
        <v>201</v>
      </c>
      <c r="K208" s="181">
        <v>5</v>
      </c>
      <c r="M208" s="173">
        <f>D207+D208+D209+D210</f>
        <v>16500</v>
      </c>
    </row>
    <row r="209" spans="2:13" ht="46.5" x14ac:dyDescent="0.35">
      <c r="B209" s="623"/>
      <c r="C209" s="166" t="s">
        <v>258</v>
      </c>
      <c r="D209" s="202">
        <v>2000</v>
      </c>
      <c r="E209" s="177"/>
      <c r="F209" s="177"/>
      <c r="G209" s="248">
        <f t="shared" si="6"/>
        <v>2000</v>
      </c>
      <c r="H209" s="171">
        <v>0.3</v>
      </c>
      <c r="I209" s="177"/>
      <c r="J209" s="167" t="s">
        <v>259</v>
      </c>
      <c r="K209" s="181">
        <v>5</v>
      </c>
      <c r="M209" s="173"/>
    </row>
    <row r="210" spans="2:13" ht="46.5" x14ac:dyDescent="0.35">
      <c r="B210" s="623"/>
      <c r="C210" s="166" t="s">
        <v>260</v>
      </c>
      <c r="D210" s="202">
        <v>2000</v>
      </c>
      <c r="E210" s="177"/>
      <c r="F210" s="177"/>
      <c r="G210" s="248">
        <f t="shared" si="6"/>
        <v>2000</v>
      </c>
      <c r="H210" s="171">
        <v>0.3</v>
      </c>
      <c r="I210" s="177"/>
      <c r="J210" s="167" t="s">
        <v>263</v>
      </c>
      <c r="K210" s="181">
        <v>4</v>
      </c>
    </row>
    <row r="211" spans="2:13" ht="26.15" customHeight="1" x14ac:dyDescent="0.35">
      <c r="B211" s="624"/>
      <c r="C211" s="166"/>
      <c r="D211" s="202"/>
      <c r="E211" s="177"/>
      <c r="F211" s="177"/>
      <c r="G211" s="248">
        <f t="shared" si="6"/>
        <v>0</v>
      </c>
      <c r="H211" s="171"/>
      <c r="I211" s="177"/>
      <c r="J211" s="167"/>
      <c r="K211" s="181"/>
    </row>
    <row r="212" spans="2:13" ht="46.5" x14ac:dyDescent="0.35">
      <c r="B212" s="622" t="s">
        <v>264</v>
      </c>
      <c r="C212" s="166" t="s">
        <v>260</v>
      </c>
      <c r="D212" s="202">
        <v>3000</v>
      </c>
      <c r="E212" s="177"/>
      <c r="F212" s="177"/>
      <c r="G212" s="248">
        <f t="shared" si="6"/>
        <v>3000</v>
      </c>
      <c r="H212" s="171">
        <v>0.3</v>
      </c>
      <c r="I212" s="177"/>
      <c r="J212" s="167" t="s">
        <v>265</v>
      </c>
      <c r="K212" s="181">
        <v>4</v>
      </c>
      <c r="M212" s="215">
        <f>D212+D213+D214</f>
        <v>17500</v>
      </c>
    </row>
    <row r="213" spans="2:13" ht="31" x14ac:dyDescent="0.35">
      <c r="B213" s="623"/>
      <c r="C213" s="166" t="s">
        <v>207</v>
      </c>
      <c r="D213" s="202">
        <f>2500-500+500</f>
        <v>2500</v>
      </c>
      <c r="E213" s="177"/>
      <c r="F213" s="177"/>
      <c r="G213" s="248">
        <f t="shared" si="6"/>
        <v>2500</v>
      </c>
      <c r="H213" s="171">
        <v>0.3</v>
      </c>
      <c r="I213" s="177"/>
      <c r="J213" s="167" t="s">
        <v>201</v>
      </c>
      <c r="K213" s="181">
        <v>5</v>
      </c>
      <c r="M213" s="173"/>
    </row>
    <row r="214" spans="2:13" ht="31" x14ac:dyDescent="0.35">
      <c r="B214" s="623"/>
      <c r="C214" s="166" t="s">
        <v>266</v>
      </c>
      <c r="D214" s="202">
        <v>12000</v>
      </c>
      <c r="E214" s="177"/>
      <c r="F214" s="177"/>
      <c r="G214" s="248">
        <f t="shared" si="6"/>
        <v>12000</v>
      </c>
      <c r="H214" s="171">
        <v>0.3</v>
      </c>
      <c r="I214" s="177"/>
      <c r="J214" s="167" t="s">
        <v>213</v>
      </c>
      <c r="K214" s="181">
        <v>7</v>
      </c>
      <c r="M214" s="173"/>
    </row>
    <row r="215" spans="2:13" ht="15.5" x14ac:dyDescent="0.35">
      <c r="B215" s="623"/>
      <c r="C215" s="166"/>
      <c r="D215" s="202"/>
      <c r="E215" s="177"/>
      <c r="F215" s="177"/>
      <c r="G215" s="248">
        <f t="shared" si="6"/>
        <v>0</v>
      </c>
      <c r="H215" s="171"/>
      <c r="I215" s="177"/>
      <c r="J215" s="167"/>
      <c r="K215" s="181"/>
    </row>
    <row r="216" spans="2:13" ht="15.65" customHeight="1" x14ac:dyDescent="0.35">
      <c r="B216" s="624"/>
      <c r="C216" s="166"/>
      <c r="D216" s="202"/>
      <c r="E216" s="177"/>
      <c r="F216" s="177"/>
      <c r="G216" s="248">
        <f t="shared" si="6"/>
        <v>0</v>
      </c>
      <c r="H216" s="171"/>
      <c r="I216" s="177"/>
      <c r="J216" s="167"/>
      <c r="K216" s="181"/>
    </row>
    <row r="217" spans="2:13" ht="31.4" customHeight="1" x14ac:dyDescent="0.35">
      <c r="B217" s="622" t="s">
        <v>267</v>
      </c>
      <c r="C217" s="166" t="s">
        <v>268</v>
      </c>
      <c r="D217" s="202">
        <v>10000</v>
      </c>
      <c r="E217" s="177"/>
      <c r="F217" s="177"/>
      <c r="G217" s="248">
        <f t="shared" si="6"/>
        <v>10000</v>
      </c>
      <c r="H217" s="171">
        <v>0.3</v>
      </c>
      <c r="I217" s="177"/>
      <c r="J217" s="167" t="s">
        <v>269</v>
      </c>
      <c r="K217" s="181">
        <v>2</v>
      </c>
      <c r="M217" s="173">
        <f>D217</f>
        <v>10000</v>
      </c>
    </row>
    <row r="218" spans="2:13" ht="15.5" x14ac:dyDescent="0.35">
      <c r="B218" s="623"/>
      <c r="C218" s="166"/>
      <c r="D218" s="202"/>
      <c r="E218" s="177"/>
      <c r="F218" s="177"/>
      <c r="G218" s="248">
        <f t="shared" si="6"/>
        <v>0</v>
      </c>
      <c r="H218" s="171"/>
      <c r="I218" s="177"/>
      <c r="J218" s="167"/>
      <c r="K218" s="181"/>
      <c r="M218" s="173"/>
    </row>
    <row r="219" spans="2:13" ht="23.15" customHeight="1" x14ac:dyDescent="0.35">
      <c r="B219" s="623"/>
      <c r="C219" s="166"/>
      <c r="D219" s="202"/>
      <c r="E219" s="177"/>
      <c r="F219" s="177"/>
      <c r="G219" s="248">
        <f t="shared" si="6"/>
        <v>0</v>
      </c>
      <c r="H219" s="171"/>
      <c r="I219" s="177"/>
      <c r="J219" s="167"/>
      <c r="K219" s="181"/>
      <c r="M219" s="173"/>
    </row>
    <row r="220" spans="2:13" ht="23.15" customHeight="1" x14ac:dyDescent="0.35">
      <c r="B220" s="623"/>
      <c r="C220" s="166"/>
      <c r="D220" s="202"/>
      <c r="E220" s="177"/>
      <c r="F220" s="177"/>
      <c r="G220" s="248">
        <f t="shared" si="6"/>
        <v>0</v>
      </c>
      <c r="H220" s="171"/>
      <c r="I220" s="177"/>
      <c r="J220" s="167"/>
      <c r="K220" s="181"/>
    </row>
    <row r="221" spans="2:13" ht="23.15" customHeight="1" x14ac:dyDescent="0.35">
      <c r="B221" s="624"/>
      <c r="C221" s="166"/>
      <c r="D221" s="202"/>
      <c r="E221" s="177"/>
      <c r="F221" s="177"/>
      <c r="G221" s="248">
        <f t="shared" si="6"/>
        <v>0</v>
      </c>
      <c r="H221" s="171"/>
      <c r="I221" s="177"/>
      <c r="J221" s="167"/>
      <c r="K221" s="181"/>
    </row>
    <row r="222" spans="2:13" ht="31" x14ac:dyDescent="0.35">
      <c r="B222" s="622" t="s">
        <v>270</v>
      </c>
      <c r="C222" s="166" t="s">
        <v>271</v>
      </c>
      <c r="D222" s="202">
        <v>19116.769999999997</v>
      </c>
      <c r="E222" s="177"/>
      <c r="F222" s="177"/>
      <c r="G222" s="248">
        <f t="shared" si="6"/>
        <v>19116.769999999997</v>
      </c>
      <c r="H222" s="171">
        <v>0.3</v>
      </c>
      <c r="I222" s="177"/>
      <c r="J222" s="167" t="s">
        <v>272</v>
      </c>
      <c r="K222" s="181">
        <v>6</v>
      </c>
    </row>
    <row r="223" spans="2:13" ht="35.5" customHeight="1" x14ac:dyDescent="0.35">
      <c r="B223" s="623"/>
      <c r="C223" s="166" t="s">
        <v>273</v>
      </c>
      <c r="D223" s="202">
        <v>5000</v>
      </c>
      <c r="E223" s="177"/>
      <c r="F223" s="177"/>
      <c r="G223" s="248">
        <f t="shared" si="6"/>
        <v>5000</v>
      </c>
      <c r="H223" s="171">
        <v>0.3</v>
      </c>
      <c r="I223" s="177"/>
      <c r="J223" s="167" t="s">
        <v>272</v>
      </c>
      <c r="K223" s="181">
        <v>6</v>
      </c>
      <c r="M223" s="173">
        <f>D222+D223+D224</f>
        <v>44116.77</v>
      </c>
    </row>
    <row r="224" spans="2:13" ht="62" x14ac:dyDescent="0.35">
      <c r="B224" s="623"/>
      <c r="C224" s="166" t="s">
        <v>249</v>
      </c>
      <c r="D224" s="202">
        <v>20000</v>
      </c>
      <c r="E224" s="177"/>
      <c r="F224" s="177"/>
      <c r="G224" s="248">
        <f t="shared" si="6"/>
        <v>20000</v>
      </c>
      <c r="H224" s="171">
        <v>0.3</v>
      </c>
      <c r="I224" s="177"/>
      <c r="J224" s="167" t="s">
        <v>272</v>
      </c>
      <c r="K224" s="181">
        <v>6</v>
      </c>
    </row>
    <row r="225" spans="2:13" ht="15.5" x14ac:dyDescent="0.35">
      <c r="B225" s="623"/>
      <c r="C225" s="166"/>
      <c r="D225" s="202"/>
      <c r="E225" s="177"/>
      <c r="F225" s="177"/>
      <c r="G225" s="248">
        <f t="shared" si="6"/>
        <v>0</v>
      </c>
      <c r="H225" s="171"/>
      <c r="I225" s="177"/>
      <c r="J225" s="167"/>
      <c r="K225" s="181"/>
    </row>
    <row r="226" spans="2:13" ht="15.5" x14ac:dyDescent="0.35">
      <c r="B226" s="624"/>
      <c r="C226" s="166"/>
      <c r="D226" s="202"/>
      <c r="E226" s="177"/>
      <c r="F226" s="177"/>
      <c r="G226" s="248">
        <f t="shared" si="6"/>
        <v>0</v>
      </c>
      <c r="H226" s="171"/>
      <c r="I226" s="177"/>
      <c r="J226" s="167"/>
      <c r="K226" s="181"/>
    </row>
    <row r="227" spans="2:13" ht="15.5" hidden="1" x14ac:dyDescent="0.35">
      <c r="B227" s="622"/>
      <c r="C227" s="166"/>
      <c r="D227" s="202"/>
      <c r="E227" s="177"/>
      <c r="F227" s="177"/>
      <c r="G227" s="248">
        <f t="shared" si="6"/>
        <v>0</v>
      </c>
      <c r="H227" s="171"/>
      <c r="I227" s="177"/>
      <c r="J227" s="167"/>
      <c r="K227" s="181"/>
    </row>
    <row r="228" spans="2:13" ht="15.5" hidden="1" x14ac:dyDescent="0.35">
      <c r="B228" s="623"/>
      <c r="C228" s="166"/>
      <c r="D228" s="202"/>
      <c r="E228" s="177"/>
      <c r="F228" s="177"/>
      <c r="G228" s="248">
        <f t="shared" si="6"/>
        <v>0</v>
      </c>
      <c r="H228" s="171"/>
      <c r="I228" s="177"/>
      <c r="J228" s="167"/>
      <c r="K228" s="181"/>
      <c r="M228" s="173"/>
    </row>
    <row r="229" spans="2:13" ht="20.149999999999999" hidden="1" customHeight="1" x14ac:dyDescent="0.35">
      <c r="B229" s="623"/>
      <c r="C229" s="166"/>
      <c r="D229" s="202"/>
      <c r="E229" s="177"/>
      <c r="F229" s="177"/>
      <c r="G229" s="248">
        <f t="shared" si="6"/>
        <v>0</v>
      </c>
      <c r="H229" s="171"/>
      <c r="I229" s="177"/>
      <c r="J229" s="167"/>
      <c r="K229" s="181"/>
    </row>
    <row r="230" spans="2:13" ht="20.149999999999999" hidden="1" customHeight="1" x14ac:dyDescent="0.35">
      <c r="B230" s="623"/>
      <c r="C230" s="166"/>
      <c r="D230" s="202"/>
      <c r="E230" s="177"/>
      <c r="F230" s="177"/>
      <c r="G230" s="248">
        <f t="shared" si="6"/>
        <v>0</v>
      </c>
      <c r="H230" s="171"/>
      <c r="I230" s="177"/>
      <c r="J230" s="167"/>
      <c r="K230" s="181"/>
    </row>
    <row r="231" spans="2:13" ht="20.149999999999999" hidden="1" customHeight="1" x14ac:dyDescent="0.35">
      <c r="B231" s="624"/>
      <c r="C231" s="166"/>
      <c r="D231" s="202"/>
      <c r="E231" s="177"/>
      <c r="F231" s="177"/>
      <c r="G231" s="248">
        <f t="shared" si="6"/>
        <v>0</v>
      </c>
      <c r="H231" s="171"/>
      <c r="I231" s="177"/>
      <c r="J231" s="167"/>
      <c r="K231" s="181"/>
    </row>
    <row r="232" spans="2:13" ht="34.4" hidden="1" customHeight="1" x14ac:dyDescent="0.35">
      <c r="B232" s="622"/>
      <c r="C232" s="166"/>
      <c r="D232" s="202"/>
      <c r="E232" s="177"/>
      <c r="F232" s="177"/>
      <c r="G232" s="248">
        <f t="shared" si="6"/>
        <v>0</v>
      </c>
      <c r="H232" s="171"/>
      <c r="I232" s="177"/>
      <c r="J232" s="167"/>
      <c r="K232" s="181"/>
    </row>
    <row r="233" spans="2:13" ht="22.4" hidden="1" customHeight="1" x14ac:dyDescent="0.35">
      <c r="B233" s="623"/>
      <c r="C233" s="166"/>
      <c r="D233" s="202"/>
      <c r="E233" s="177"/>
      <c r="F233" s="177"/>
      <c r="G233" s="248">
        <f t="shared" si="6"/>
        <v>0</v>
      </c>
      <c r="H233" s="171"/>
      <c r="I233" s="177"/>
      <c r="J233" s="167"/>
      <c r="K233" s="181"/>
    </row>
    <row r="234" spans="2:13" ht="22.4" hidden="1" customHeight="1" x14ac:dyDescent="0.35">
      <c r="B234" s="623"/>
      <c r="C234" s="166"/>
      <c r="D234" s="202"/>
      <c r="E234" s="177"/>
      <c r="F234" s="177"/>
      <c r="G234" s="248">
        <f t="shared" si="6"/>
        <v>0</v>
      </c>
      <c r="H234" s="171"/>
      <c r="I234" s="177"/>
      <c r="J234" s="167"/>
      <c r="K234" s="181"/>
      <c r="M234" s="173"/>
    </row>
    <row r="235" spans="2:13" ht="22.4" hidden="1" customHeight="1" x14ac:dyDescent="0.35">
      <c r="B235" s="623"/>
      <c r="C235" s="166"/>
      <c r="D235" s="202"/>
      <c r="E235" s="177"/>
      <c r="F235" s="177"/>
      <c r="G235" s="248">
        <f t="shared" si="6"/>
        <v>0</v>
      </c>
      <c r="H235" s="171"/>
      <c r="I235" s="177"/>
      <c r="J235" s="167"/>
      <c r="K235" s="181"/>
    </row>
    <row r="236" spans="2:13" ht="22.4" hidden="1" customHeight="1" x14ac:dyDescent="0.35">
      <c r="B236" s="624"/>
      <c r="C236" s="166"/>
      <c r="D236" s="202"/>
      <c r="E236" s="177"/>
      <c r="F236" s="177"/>
      <c r="G236" s="248">
        <f t="shared" si="6"/>
        <v>0</v>
      </c>
      <c r="H236" s="171"/>
      <c r="I236" s="177"/>
      <c r="J236" s="167"/>
      <c r="K236" s="181"/>
    </row>
    <row r="237" spans="2:13" ht="15.5" hidden="1" x14ac:dyDescent="0.35">
      <c r="B237" s="622"/>
      <c r="C237" s="166"/>
      <c r="D237" s="202"/>
      <c r="E237" s="177"/>
      <c r="F237" s="177"/>
      <c r="G237" s="248">
        <f t="shared" si="6"/>
        <v>0</v>
      </c>
      <c r="H237" s="171"/>
      <c r="I237" s="177"/>
      <c r="J237" s="167"/>
      <c r="K237" s="181"/>
    </row>
    <row r="238" spans="2:13" ht="15.5" hidden="1" x14ac:dyDescent="0.35">
      <c r="B238" s="623"/>
      <c r="C238" s="166"/>
      <c r="D238" s="202"/>
      <c r="E238" s="177"/>
      <c r="F238" s="177"/>
      <c r="G238" s="248">
        <f t="shared" si="6"/>
        <v>0</v>
      </c>
      <c r="H238" s="171"/>
      <c r="I238" s="177"/>
      <c r="J238" s="167"/>
      <c r="K238" s="181"/>
      <c r="M238" s="173"/>
    </row>
    <row r="239" spans="2:13" ht="19.399999999999999" hidden="1" customHeight="1" x14ac:dyDescent="0.35">
      <c r="B239" s="623"/>
      <c r="C239" s="166"/>
      <c r="D239" s="202"/>
      <c r="E239" s="177"/>
      <c r="F239" s="177"/>
      <c r="G239" s="248">
        <f t="shared" si="6"/>
        <v>0</v>
      </c>
      <c r="H239" s="171"/>
      <c r="I239" s="177"/>
      <c r="J239" s="167"/>
      <c r="K239" s="181"/>
    </row>
    <row r="240" spans="2:13" ht="19.399999999999999" hidden="1" customHeight="1" x14ac:dyDescent="0.35">
      <c r="B240" s="623"/>
      <c r="C240" s="166"/>
      <c r="D240" s="202"/>
      <c r="E240" s="177"/>
      <c r="F240" s="177"/>
      <c r="G240" s="248">
        <f t="shared" si="6"/>
        <v>0</v>
      </c>
      <c r="H240" s="171"/>
      <c r="I240" s="177"/>
      <c r="J240" s="167"/>
      <c r="K240" s="181"/>
    </row>
    <row r="241" spans="2:11" ht="19.399999999999999" hidden="1" customHeight="1" x14ac:dyDescent="0.35">
      <c r="B241" s="624"/>
      <c r="C241" s="166"/>
      <c r="D241" s="202"/>
      <c r="E241" s="177"/>
      <c r="F241" s="177"/>
      <c r="G241" s="248">
        <f t="shared" si="6"/>
        <v>0</v>
      </c>
      <c r="H241" s="171"/>
      <c r="I241" s="177"/>
      <c r="J241" s="167"/>
      <c r="K241" s="181"/>
    </row>
    <row r="242" spans="2:11" ht="15.5" hidden="1" x14ac:dyDescent="0.35">
      <c r="B242" s="622" t="s">
        <v>274</v>
      </c>
      <c r="C242" s="166"/>
      <c r="D242" s="202"/>
      <c r="E242" s="177"/>
      <c r="F242" s="177"/>
      <c r="G242" s="248">
        <f t="shared" si="6"/>
        <v>0</v>
      </c>
      <c r="H242" s="171"/>
      <c r="I242" s="177"/>
      <c r="J242" s="167"/>
      <c r="K242" s="181"/>
    </row>
    <row r="243" spans="2:11" ht="15.5" hidden="1" x14ac:dyDescent="0.35">
      <c r="B243" s="623"/>
      <c r="C243" s="166"/>
      <c r="D243" s="202"/>
      <c r="E243" s="177"/>
      <c r="F243" s="177"/>
      <c r="G243" s="248">
        <f t="shared" si="6"/>
        <v>0</v>
      </c>
      <c r="H243" s="171"/>
      <c r="I243" s="177"/>
      <c r="J243" s="167"/>
      <c r="K243" s="181"/>
    </row>
    <row r="244" spans="2:11" ht="15.5" hidden="1" x14ac:dyDescent="0.35">
      <c r="B244" s="623"/>
      <c r="C244" s="166"/>
      <c r="D244" s="202"/>
      <c r="E244" s="177"/>
      <c r="F244" s="177"/>
      <c r="G244" s="248">
        <f t="shared" si="6"/>
        <v>0</v>
      </c>
      <c r="H244" s="171"/>
      <c r="I244" s="177"/>
      <c r="J244" s="167"/>
      <c r="K244" s="181"/>
    </row>
    <row r="245" spans="2:11" ht="15.5" hidden="1" x14ac:dyDescent="0.35">
      <c r="B245" s="623"/>
      <c r="C245" s="166"/>
      <c r="D245" s="202"/>
      <c r="E245" s="177"/>
      <c r="F245" s="177"/>
      <c r="G245" s="248">
        <f t="shared" si="6"/>
        <v>0</v>
      </c>
      <c r="H245" s="171"/>
      <c r="I245" s="177"/>
      <c r="J245" s="167"/>
      <c r="K245" s="181"/>
    </row>
    <row r="246" spans="2:11" ht="15.5" hidden="1" x14ac:dyDescent="0.35">
      <c r="B246" s="624"/>
      <c r="C246" s="166"/>
      <c r="D246" s="202"/>
      <c r="E246" s="177"/>
      <c r="F246" s="177"/>
      <c r="G246" s="248">
        <f t="shared" si="6"/>
        <v>0</v>
      </c>
      <c r="H246" s="171"/>
      <c r="I246" s="177"/>
      <c r="J246" s="167"/>
      <c r="K246" s="181"/>
    </row>
    <row r="247" spans="2:11" ht="15.5" x14ac:dyDescent="0.35">
      <c r="C247" s="73" t="s">
        <v>275</v>
      </c>
      <c r="D247" s="203">
        <f>SUM(D202:D246)</f>
        <v>105616.76999999999</v>
      </c>
      <c r="E247" s="12">
        <f>SUM(E202:E246)</f>
        <v>0</v>
      </c>
      <c r="F247" s="12">
        <f>SUM(F202:F246)</f>
        <v>0</v>
      </c>
      <c r="G247" s="10">
        <f>SUM(G202:G246)</f>
        <v>105616.76999999999</v>
      </c>
      <c r="H247" s="10">
        <f>(H202*G202)+(H203*G203)+(H204*G204)+(H205*G205)+(H206*G206)+(H207*G207)+(H208*G208)+(H209*G209)+(H210*G210)+(H211*G211)+(H212*G212)+(H213*G213)+(H214*G214)+(H215*G215)+(H216*G216)+(H217*G217)+(H218*G218)+(H219*G219)+(H220*G220)+(H221*G221)+(H222*G222)+(H223*G223)+(H224*G224)+(H225*G225)+(H226*G226)+(H227*G227)+(H228*G228)+(H229*G229)+(H230*G230)+(H231*G231)+(H232*G232)+(H233*G233)+(H234*G234)+(H235*G235)+(H236*G236)+(H237*G237)+(H238*G238)+(H239*G239)+(H240*G240)+(H241*G241)+(H242*G242)+(H243*G243)+(H244*G244)+(H245*G245)+(H246*G246)</f>
        <v>31685.030999999999</v>
      </c>
      <c r="I247" s="10">
        <f>SUM(I202:I246)</f>
        <v>0</v>
      </c>
      <c r="J247" s="170"/>
      <c r="K247" s="182"/>
    </row>
    <row r="248" spans="2:11" ht="27.65" hidden="1" customHeight="1" x14ac:dyDescent="0.35">
      <c r="B248" s="72" t="s">
        <v>276</v>
      </c>
      <c r="C248" s="630"/>
      <c r="D248" s="630"/>
      <c r="E248" s="630"/>
      <c r="F248" s="630"/>
      <c r="G248" s="630"/>
      <c r="H248" s="630"/>
      <c r="I248" s="631"/>
      <c r="J248" s="630"/>
      <c r="K248" s="183"/>
    </row>
    <row r="249" spans="2:11" ht="15.5" hidden="1" x14ac:dyDescent="0.35">
      <c r="B249" s="622" t="s">
        <v>277</v>
      </c>
      <c r="C249" s="166"/>
      <c r="D249" s="202"/>
      <c r="E249" s="177"/>
      <c r="F249" s="177"/>
      <c r="G249" s="248">
        <f>D249+E249+F249</f>
        <v>0</v>
      </c>
      <c r="H249" s="171"/>
      <c r="I249" s="177"/>
      <c r="J249" s="167"/>
      <c r="K249" s="181"/>
    </row>
    <row r="250" spans="2:11" ht="15.5" hidden="1" x14ac:dyDescent="0.35">
      <c r="B250" s="623"/>
      <c r="C250" s="166"/>
      <c r="D250" s="202"/>
      <c r="E250" s="177"/>
      <c r="F250" s="177"/>
      <c r="G250" s="248">
        <f t="shared" ref="G250:G258" si="7">D250+E250+F250</f>
        <v>0</v>
      </c>
      <c r="H250" s="171"/>
      <c r="I250" s="177"/>
      <c r="J250" s="167"/>
      <c r="K250" s="181"/>
    </row>
    <row r="251" spans="2:11" ht="15.5" hidden="1" x14ac:dyDescent="0.35">
      <c r="B251" s="623"/>
      <c r="C251" s="166"/>
      <c r="D251" s="202"/>
      <c r="E251" s="177"/>
      <c r="F251" s="177"/>
      <c r="G251" s="248">
        <f t="shared" si="7"/>
        <v>0</v>
      </c>
      <c r="H251" s="171"/>
      <c r="I251" s="177"/>
      <c r="J251" s="167"/>
      <c r="K251" s="181"/>
    </row>
    <row r="252" spans="2:11" ht="15.5" hidden="1" x14ac:dyDescent="0.35">
      <c r="B252" s="623"/>
      <c r="C252" s="166"/>
      <c r="D252" s="202"/>
      <c r="E252" s="177"/>
      <c r="F252" s="177"/>
      <c r="G252" s="248">
        <f t="shared" si="7"/>
        <v>0</v>
      </c>
      <c r="H252" s="171"/>
      <c r="I252" s="177"/>
      <c r="J252" s="167"/>
      <c r="K252" s="181"/>
    </row>
    <row r="253" spans="2:11" ht="15.5" hidden="1" x14ac:dyDescent="0.35">
      <c r="B253" s="624"/>
      <c r="C253" s="166"/>
      <c r="D253" s="202"/>
      <c r="E253" s="177"/>
      <c r="F253" s="177"/>
      <c r="G253" s="248">
        <f t="shared" si="7"/>
        <v>0</v>
      </c>
      <c r="H253" s="171"/>
      <c r="I253" s="177"/>
      <c r="J253" s="167"/>
      <c r="K253" s="181"/>
    </row>
    <row r="254" spans="2:11" ht="15.5" hidden="1" x14ac:dyDescent="0.35">
      <c r="B254" s="622" t="s">
        <v>278</v>
      </c>
      <c r="C254" s="166"/>
      <c r="D254" s="202"/>
      <c r="E254" s="177"/>
      <c r="F254" s="177"/>
      <c r="G254" s="248">
        <f t="shared" si="7"/>
        <v>0</v>
      </c>
      <c r="H254" s="171"/>
      <c r="I254" s="177"/>
      <c r="J254" s="167"/>
      <c r="K254" s="181"/>
    </row>
    <row r="255" spans="2:11" ht="15.5" hidden="1" x14ac:dyDescent="0.35">
      <c r="B255" s="623"/>
      <c r="C255" s="166"/>
      <c r="D255" s="202"/>
      <c r="E255" s="177"/>
      <c r="F255" s="177"/>
      <c r="G255" s="248">
        <f t="shared" si="7"/>
        <v>0</v>
      </c>
      <c r="H255" s="171"/>
      <c r="I255" s="177"/>
      <c r="J255" s="167"/>
      <c r="K255" s="181"/>
    </row>
    <row r="256" spans="2:11" ht="15.5" hidden="1" x14ac:dyDescent="0.35">
      <c r="B256" s="623"/>
      <c r="C256" s="166"/>
      <c r="D256" s="202"/>
      <c r="E256" s="177"/>
      <c r="F256" s="177"/>
      <c r="G256" s="248">
        <f t="shared" si="7"/>
        <v>0</v>
      </c>
      <c r="H256" s="171"/>
      <c r="I256" s="177"/>
      <c r="J256" s="167"/>
      <c r="K256" s="181"/>
    </row>
    <row r="257" spans="2:13" ht="15.5" hidden="1" x14ac:dyDescent="0.35">
      <c r="B257" s="623"/>
      <c r="C257" s="166"/>
      <c r="D257" s="202"/>
      <c r="E257" s="177"/>
      <c r="F257" s="177"/>
      <c r="G257" s="248">
        <f t="shared" si="7"/>
        <v>0</v>
      </c>
      <c r="H257" s="171"/>
      <c r="I257" s="177"/>
      <c r="J257" s="167"/>
      <c r="K257" s="181"/>
    </row>
    <row r="258" spans="2:13" ht="15.5" hidden="1" x14ac:dyDescent="0.35">
      <c r="B258" s="624"/>
      <c r="C258" s="166"/>
      <c r="D258" s="202"/>
      <c r="E258" s="177"/>
      <c r="F258" s="177"/>
      <c r="G258" s="248">
        <f t="shared" si="7"/>
        <v>0</v>
      </c>
      <c r="H258" s="171"/>
      <c r="I258" s="177"/>
      <c r="J258" s="167"/>
      <c r="K258" s="181"/>
    </row>
    <row r="259" spans="2:13" ht="15.5" hidden="1" x14ac:dyDescent="0.35">
      <c r="C259" s="73" t="s">
        <v>279</v>
      </c>
      <c r="D259" s="203">
        <f>SUM(D249:D258)</f>
        <v>0</v>
      </c>
      <c r="E259" s="12">
        <f>SUM(E249:E258)</f>
        <v>0</v>
      </c>
      <c r="F259" s="12">
        <f>SUM(F249:F258)</f>
        <v>0</v>
      </c>
      <c r="G259" s="10">
        <f>SUM(G249:G258)</f>
        <v>0</v>
      </c>
      <c r="H259" s="10">
        <f>(H249*G249)+(H250*G250)+(H251*G251)+(H252*G252)+(H253*G253)+(H254*G254)+(H255*G255)+(H256*G256)+(H257*G257)+(H258*G258)</f>
        <v>0</v>
      </c>
      <c r="I259" s="10">
        <f>SUM(I249:I258)</f>
        <v>0</v>
      </c>
      <c r="J259" s="170"/>
      <c r="K259" s="182"/>
    </row>
    <row r="260" spans="2:13" ht="15.5" x14ac:dyDescent="0.35">
      <c r="C260" s="636"/>
      <c r="D260" s="637"/>
      <c r="E260" s="637"/>
      <c r="F260" s="637"/>
      <c r="G260" s="637"/>
      <c r="H260" s="637"/>
      <c r="I260" s="637"/>
      <c r="J260" s="638"/>
      <c r="K260" s="182"/>
    </row>
    <row r="261" spans="2:13" ht="15.5" x14ac:dyDescent="0.35">
      <c r="B261" s="73" t="s">
        <v>280</v>
      </c>
      <c r="C261" s="634" t="s">
        <v>281</v>
      </c>
      <c r="D261" s="634"/>
      <c r="E261" s="634"/>
      <c r="F261" s="634"/>
      <c r="G261" s="634"/>
      <c r="H261" s="634"/>
      <c r="I261" s="635"/>
      <c r="J261" s="634"/>
      <c r="K261" s="185"/>
    </row>
    <row r="262" spans="2:13" ht="30" customHeight="1" x14ac:dyDescent="0.35">
      <c r="B262" s="72" t="s">
        <v>282</v>
      </c>
      <c r="C262" s="630" t="s">
        <v>283</v>
      </c>
      <c r="D262" s="630"/>
      <c r="E262" s="630"/>
      <c r="F262" s="630"/>
      <c r="G262" s="630"/>
      <c r="H262" s="630"/>
      <c r="I262" s="631"/>
      <c r="J262" s="630"/>
      <c r="K262" s="183"/>
    </row>
    <row r="263" spans="2:13" ht="62" x14ac:dyDescent="0.35">
      <c r="B263" s="622" t="s">
        <v>284</v>
      </c>
      <c r="C263" s="169" t="s">
        <v>285</v>
      </c>
      <c r="D263" s="202">
        <v>15000</v>
      </c>
      <c r="E263" s="177"/>
      <c r="F263" s="177"/>
      <c r="G263" s="248">
        <f>D263+E263+F263</f>
        <v>15000</v>
      </c>
      <c r="H263" s="171">
        <v>0.3</v>
      </c>
      <c r="I263" s="177"/>
      <c r="J263" s="167" t="s">
        <v>286</v>
      </c>
      <c r="K263" s="181">
        <v>4</v>
      </c>
    </row>
    <row r="264" spans="2:13" ht="18.649999999999999" customHeight="1" x14ac:dyDescent="0.35">
      <c r="B264" s="623"/>
      <c r="C264" s="177"/>
      <c r="D264" s="202"/>
      <c r="E264" s="177"/>
      <c r="F264" s="177"/>
      <c r="G264" s="248">
        <f t="shared" ref="G264:G287" si="8">D264+E264+F264</f>
        <v>0</v>
      </c>
      <c r="H264" s="171"/>
      <c r="I264" s="177"/>
      <c r="J264" s="167"/>
      <c r="K264" s="181"/>
      <c r="M264" s="173"/>
    </row>
    <row r="265" spans="2:13" ht="18.649999999999999" customHeight="1" x14ac:dyDescent="0.35">
      <c r="B265" s="623"/>
      <c r="C265" s="177"/>
      <c r="D265" s="202"/>
      <c r="E265" s="177"/>
      <c r="F265" s="177"/>
      <c r="G265" s="248">
        <f t="shared" si="8"/>
        <v>0</v>
      </c>
      <c r="H265" s="171"/>
      <c r="I265" s="177"/>
      <c r="J265" s="167"/>
      <c r="K265" s="181"/>
      <c r="M265" s="173"/>
    </row>
    <row r="266" spans="2:13" ht="18.649999999999999" customHeight="1" x14ac:dyDescent="0.35">
      <c r="B266" s="623"/>
      <c r="C266" s="177"/>
      <c r="D266" s="202"/>
      <c r="E266" s="177"/>
      <c r="F266" s="177"/>
      <c r="G266" s="248">
        <f t="shared" si="8"/>
        <v>0</v>
      </c>
      <c r="H266" s="171"/>
      <c r="I266" s="177"/>
      <c r="J266" s="167"/>
      <c r="K266" s="181"/>
    </row>
    <row r="267" spans="2:13" ht="18.649999999999999" customHeight="1" x14ac:dyDescent="0.35">
      <c r="B267" s="624"/>
      <c r="C267" s="177"/>
      <c r="D267" s="202"/>
      <c r="E267" s="177"/>
      <c r="F267" s="177"/>
      <c r="G267" s="248">
        <f t="shared" si="8"/>
        <v>0</v>
      </c>
      <c r="H267" s="171"/>
      <c r="I267" s="177"/>
      <c r="J267" s="167"/>
      <c r="K267" s="181"/>
    </row>
    <row r="268" spans="2:13" ht="77.5" x14ac:dyDescent="0.35">
      <c r="B268" s="622" t="s">
        <v>287</v>
      </c>
      <c r="C268" s="169" t="s">
        <v>288</v>
      </c>
      <c r="D268" s="202">
        <v>15000</v>
      </c>
      <c r="E268" s="177"/>
      <c r="F268" s="177"/>
      <c r="G268" s="248">
        <f t="shared" si="8"/>
        <v>15000</v>
      </c>
      <c r="H268" s="171">
        <v>0.3</v>
      </c>
      <c r="I268" s="177"/>
      <c r="J268" s="167" t="s">
        <v>286</v>
      </c>
      <c r="K268" s="181">
        <v>4</v>
      </c>
    </row>
    <row r="269" spans="2:13" ht="23.15" customHeight="1" x14ac:dyDescent="0.35">
      <c r="B269" s="623"/>
      <c r="C269" s="177"/>
      <c r="D269" s="202"/>
      <c r="E269" s="177"/>
      <c r="F269" s="177"/>
      <c r="G269" s="248">
        <f t="shared" si="8"/>
        <v>0</v>
      </c>
      <c r="H269" s="171"/>
      <c r="I269" s="177"/>
      <c r="J269" s="167"/>
      <c r="K269" s="181"/>
      <c r="M269" s="173"/>
    </row>
    <row r="270" spans="2:13" ht="23.15" customHeight="1" x14ac:dyDescent="0.35">
      <c r="B270" s="623"/>
      <c r="C270" s="177"/>
      <c r="D270" s="202"/>
      <c r="E270" s="177"/>
      <c r="F270" s="177"/>
      <c r="G270" s="248">
        <f t="shared" si="8"/>
        <v>0</v>
      </c>
      <c r="H270" s="171"/>
      <c r="I270" s="177"/>
      <c r="J270" s="167"/>
      <c r="K270" s="181"/>
    </row>
    <row r="271" spans="2:13" ht="23.15" customHeight="1" x14ac:dyDescent="0.35">
      <c r="B271" s="623"/>
      <c r="C271" s="177"/>
      <c r="D271" s="202"/>
      <c r="E271" s="177"/>
      <c r="F271" s="177"/>
      <c r="G271" s="248">
        <f t="shared" si="8"/>
        <v>0</v>
      </c>
      <c r="H271" s="171"/>
      <c r="I271" s="177"/>
      <c r="J271" s="167"/>
      <c r="K271" s="181"/>
    </row>
    <row r="272" spans="2:13" ht="23.15" customHeight="1" x14ac:dyDescent="0.35">
      <c r="B272" s="624"/>
      <c r="C272" s="177"/>
      <c r="D272" s="202"/>
      <c r="E272" s="177"/>
      <c r="F272" s="177"/>
      <c r="G272" s="248">
        <f t="shared" si="8"/>
        <v>0</v>
      </c>
      <c r="H272" s="171"/>
      <c r="I272" s="177"/>
      <c r="J272" s="167"/>
      <c r="K272" s="181"/>
    </row>
    <row r="273" spans="2:13" ht="46.5" x14ac:dyDescent="0.35">
      <c r="B273" s="622" t="s">
        <v>289</v>
      </c>
      <c r="C273" s="169" t="s">
        <v>290</v>
      </c>
      <c r="D273" s="202">
        <v>10000</v>
      </c>
      <c r="E273" s="177"/>
      <c r="F273" s="177"/>
      <c r="G273" s="248">
        <f t="shared" si="8"/>
        <v>10000</v>
      </c>
      <c r="H273" s="171">
        <v>0.3</v>
      </c>
      <c r="I273" s="177"/>
      <c r="J273" s="167" t="s">
        <v>291</v>
      </c>
      <c r="K273" s="181">
        <v>4</v>
      </c>
    </row>
    <row r="274" spans="2:13" ht="15.5" x14ac:dyDescent="0.35">
      <c r="B274" s="623"/>
      <c r="C274" s="177"/>
      <c r="D274" s="202"/>
      <c r="E274" s="177"/>
      <c r="F274" s="177"/>
      <c r="G274" s="248">
        <f t="shared" si="8"/>
        <v>0</v>
      </c>
      <c r="H274" s="171"/>
      <c r="I274" s="177"/>
      <c r="J274" s="167"/>
      <c r="K274" s="181"/>
    </row>
    <row r="275" spans="2:13" ht="15.5" x14ac:dyDescent="0.35">
      <c r="B275" s="623"/>
      <c r="C275" s="177"/>
      <c r="D275" s="202"/>
      <c r="E275" s="177"/>
      <c r="F275" s="177"/>
      <c r="G275" s="248">
        <f t="shared" si="8"/>
        <v>0</v>
      </c>
      <c r="H275" s="171"/>
      <c r="I275" s="177"/>
      <c r="J275" s="167"/>
      <c r="K275" s="181"/>
      <c r="M275" s="173"/>
    </row>
    <row r="276" spans="2:13" ht="15.5" x14ac:dyDescent="0.35">
      <c r="B276" s="623"/>
      <c r="C276" s="177"/>
      <c r="D276" s="202"/>
      <c r="E276" s="177"/>
      <c r="F276" s="177"/>
      <c r="G276" s="248">
        <f t="shared" si="8"/>
        <v>0</v>
      </c>
      <c r="H276" s="171"/>
      <c r="I276" s="177"/>
      <c r="J276" s="167"/>
      <c r="K276" s="181"/>
    </row>
    <row r="277" spans="2:13" ht="15.5" x14ac:dyDescent="0.35">
      <c r="B277" s="624"/>
      <c r="C277" s="177"/>
      <c r="D277" s="202"/>
      <c r="E277" s="177"/>
      <c r="F277" s="177"/>
      <c r="G277" s="248">
        <f t="shared" si="8"/>
        <v>0</v>
      </c>
      <c r="H277" s="171"/>
      <c r="I277" s="177"/>
      <c r="J277" s="167"/>
      <c r="K277" s="181"/>
    </row>
    <row r="278" spans="2:13" ht="46.5" x14ac:dyDescent="0.35">
      <c r="B278" s="622" t="s">
        <v>292</v>
      </c>
      <c r="C278" s="169" t="s">
        <v>293</v>
      </c>
      <c r="D278" s="202">
        <v>10000</v>
      </c>
      <c r="E278" s="177"/>
      <c r="F278" s="177"/>
      <c r="G278" s="248">
        <f t="shared" si="8"/>
        <v>10000</v>
      </c>
      <c r="H278" s="171">
        <v>0.3</v>
      </c>
      <c r="I278" s="177"/>
      <c r="J278" s="167" t="s">
        <v>294</v>
      </c>
      <c r="K278" s="181">
        <v>6</v>
      </c>
    </row>
    <row r="279" spans="2:13" ht="46.5" x14ac:dyDescent="0.35">
      <c r="B279" s="623"/>
      <c r="C279" s="169" t="s">
        <v>295</v>
      </c>
      <c r="D279" s="202">
        <v>5000</v>
      </c>
      <c r="E279" s="177"/>
      <c r="F279" s="177"/>
      <c r="G279" s="248">
        <f t="shared" si="8"/>
        <v>5000</v>
      </c>
      <c r="H279" s="171">
        <v>0.3</v>
      </c>
      <c r="I279" s="177"/>
      <c r="J279" s="167" t="s">
        <v>296</v>
      </c>
      <c r="K279" s="181">
        <v>6</v>
      </c>
      <c r="M279" s="173"/>
    </row>
    <row r="280" spans="2:13" ht="24.65" customHeight="1" x14ac:dyDescent="0.35">
      <c r="B280" s="623"/>
      <c r="C280" s="177"/>
      <c r="D280" s="202"/>
      <c r="E280" s="177"/>
      <c r="F280" s="177"/>
      <c r="G280" s="248">
        <f t="shared" si="8"/>
        <v>0</v>
      </c>
      <c r="H280" s="171"/>
      <c r="I280" s="177"/>
      <c r="J280" s="167"/>
      <c r="K280" s="181"/>
    </row>
    <row r="281" spans="2:13" ht="24.65" customHeight="1" x14ac:dyDescent="0.35">
      <c r="B281" s="623"/>
      <c r="C281" s="177"/>
      <c r="D281" s="202"/>
      <c r="E281" s="177"/>
      <c r="F281" s="177"/>
      <c r="G281" s="248">
        <f t="shared" si="8"/>
        <v>0</v>
      </c>
      <c r="H281" s="171"/>
      <c r="I281" s="177"/>
      <c r="J281" s="167"/>
      <c r="K281" s="181"/>
    </row>
    <row r="282" spans="2:13" ht="24.65" customHeight="1" x14ac:dyDescent="0.35">
      <c r="B282" s="624"/>
      <c r="C282" s="177"/>
      <c r="D282" s="202"/>
      <c r="E282" s="177"/>
      <c r="F282" s="177"/>
      <c r="G282" s="248">
        <f t="shared" si="8"/>
        <v>0</v>
      </c>
      <c r="H282" s="171"/>
      <c r="I282" s="177"/>
      <c r="J282" s="167"/>
      <c r="K282" s="181"/>
    </row>
    <row r="283" spans="2:13" ht="46.4" customHeight="1" x14ac:dyDescent="0.35">
      <c r="B283" s="622" t="s">
        <v>297</v>
      </c>
      <c r="C283" s="166" t="s">
        <v>257</v>
      </c>
      <c r="D283" s="202">
        <v>10000</v>
      </c>
      <c r="E283" s="177"/>
      <c r="F283" s="177"/>
      <c r="G283" s="248">
        <f t="shared" si="8"/>
        <v>10000</v>
      </c>
      <c r="H283" s="171">
        <v>0.3</v>
      </c>
      <c r="I283" s="177"/>
      <c r="J283" s="167" t="s">
        <v>298</v>
      </c>
      <c r="K283" s="181">
        <v>7</v>
      </c>
      <c r="M283" s="215">
        <f>D283+D284+D285+D286</f>
        <v>22000</v>
      </c>
    </row>
    <row r="284" spans="2:13" ht="46.4" customHeight="1" x14ac:dyDescent="0.35">
      <c r="B284" s="623"/>
      <c r="C284" s="166" t="s">
        <v>207</v>
      </c>
      <c r="D284" s="202">
        <v>5000</v>
      </c>
      <c r="E284" s="177"/>
      <c r="F284" s="177"/>
      <c r="G284" s="248">
        <f t="shared" si="8"/>
        <v>5000</v>
      </c>
      <c r="H284" s="171">
        <v>0.3</v>
      </c>
      <c r="I284" s="177"/>
      <c r="J284" s="167" t="s">
        <v>201</v>
      </c>
      <c r="K284" s="181">
        <v>5</v>
      </c>
      <c r="M284" s="173"/>
    </row>
    <row r="285" spans="2:13" ht="46.4" customHeight="1" x14ac:dyDescent="0.35">
      <c r="B285" s="623"/>
      <c r="C285" s="166" t="s">
        <v>258</v>
      </c>
      <c r="D285" s="202">
        <v>2000</v>
      </c>
      <c r="E285" s="177"/>
      <c r="F285" s="177"/>
      <c r="G285" s="248">
        <f t="shared" si="8"/>
        <v>2000</v>
      </c>
      <c r="H285" s="171">
        <v>0.3</v>
      </c>
      <c r="I285" s="177"/>
      <c r="J285" s="167" t="s">
        <v>299</v>
      </c>
      <c r="K285" s="181">
        <v>5</v>
      </c>
      <c r="M285" s="173"/>
    </row>
    <row r="286" spans="2:13" ht="46.4" customHeight="1" x14ac:dyDescent="0.35">
      <c r="B286" s="623"/>
      <c r="C286" s="166" t="s">
        <v>260</v>
      </c>
      <c r="D286" s="202">
        <v>5000</v>
      </c>
      <c r="E286" s="251"/>
      <c r="F286" s="251"/>
      <c r="G286" s="248">
        <f t="shared" si="8"/>
        <v>5000</v>
      </c>
      <c r="H286" s="250">
        <v>0.3</v>
      </c>
      <c r="I286" s="251"/>
      <c r="J286" s="170" t="s">
        <v>300</v>
      </c>
      <c r="K286" s="181">
        <v>4</v>
      </c>
    </row>
    <row r="287" spans="2:13" ht="46.4" customHeight="1" x14ac:dyDescent="0.35">
      <c r="B287" s="624"/>
      <c r="C287" s="245"/>
      <c r="D287" s="202"/>
      <c r="E287" s="251"/>
      <c r="F287" s="251"/>
      <c r="G287" s="248">
        <f t="shared" si="8"/>
        <v>0</v>
      </c>
      <c r="H287" s="250"/>
      <c r="I287" s="251"/>
      <c r="J287" s="170"/>
      <c r="K287" s="181"/>
    </row>
    <row r="288" spans="2:13" ht="15.5" x14ac:dyDescent="0.35">
      <c r="C288" s="73" t="s">
        <v>301</v>
      </c>
      <c r="D288" s="201">
        <f>SUM(D263:D287)</f>
        <v>77000</v>
      </c>
      <c r="E288" s="10">
        <f t="shared" ref="E288:F288" si="9">SUM(E263:E287)</f>
        <v>0</v>
      </c>
      <c r="F288" s="10">
        <f t="shared" si="9"/>
        <v>0</v>
      </c>
      <c r="G288" s="10">
        <f>SUM(G263:G287)</f>
        <v>77000</v>
      </c>
      <c r="H288" s="10">
        <f>(H263*G263)+(H264*G264)+(H265*G265)+(H266*G266)+(H267*G267)+(H268*G268)+(H269*G269)+(H270*G270)+(H271*G271)+(H272*G272)+(H273*G273)+(H274*G274)+(H275*G275)+(H276*G276)+(H277*G277)+(H278*G278)+(H279*G279)+(H280*G280)+(H281*G281)+(H282*G282)+(H283*G283)+(H284*G284)+(H285*G285)+(H286*G286)+(H287*G287)</f>
        <v>23100</v>
      </c>
      <c r="I288" s="10">
        <f>SUM(I263:I287)</f>
        <v>0</v>
      </c>
      <c r="J288" s="170"/>
      <c r="K288" s="182"/>
    </row>
    <row r="289" spans="2:13" ht="32.5" customHeight="1" x14ac:dyDescent="0.35">
      <c r="B289" s="72" t="s">
        <v>302</v>
      </c>
      <c r="C289" s="630" t="s">
        <v>303</v>
      </c>
      <c r="D289" s="630"/>
      <c r="E289" s="630"/>
      <c r="F289" s="630"/>
      <c r="G289" s="630"/>
      <c r="H289" s="630"/>
      <c r="I289" s="631"/>
      <c r="J289" s="630"/>
      <c r="K289" s="183"/>
    </row>
    <row r="290" spans="2:13" ht="81" customHeight="1" x14ac:dyDescent="0.35">
      <c r="B290" s="622" t="s">
        <v>304</v>
      </c>
      <c r="C290" s="166" t="s">
        <v>305</v>
      </c>
      <c r="D290" s="202"/>
      <c r="E290" s="177">
        <v>5000</v>
      </c>
      <c r="F290" s="177"/>
      <c r="G290" s="248">
        <f>D290+E290+F290</f>
        <v>5000</v>
      </c>
      <c r="H290" s="171">
        <v>0.3</v>
      </c>
      <c r="I290" s="177"/>
      <c r="J290" s="167" t="s">
        <v>306</v>
      </c>
      <c r="K290" s="181">
        <v>7</v>
      </c>
    </row>
    <row r="291" spans="2:13" ht="37.4" customHeight="1" x14ac:dyDescent="0.35">
      <c r="B291" s="623"/>
      <c r="C291" s="166" t="s">
        <v>307</v>
      </c>
      <c r="D291" s="202"/>
      <c r="E291" s="177">
        <v>20000</v>
      </c>
      <c r="F291" s="177"/>
      <c r="G291" s="248">
        <f t="shared" ref="G291:G303" si="10">D291+E291+F291</f>
        <v>20000</v>
      </c>
      <c r="H291" s="171">
        <v>0.3</v>
      </c>
      <c r="I291" s="177"/>
      <c r="J291" s="167" t="s">
        <v>308</v>
      </c>
      <c r="K291" s="181">
        <v>7</v>
      </c>
      <c r="M291" s="173">
        <f>E290+E291</f>
        <v>25000</v>
      </c>
    </row>
    <row r="292" spans="2:13" ht="15.5" x14ac:dyDescent="0.35">
      <c r="B292" s="623"/>
      <c r="C292" s="166"/>
      <c r="D292" s="202"/>
      <c r="E292" s="177"/>
      <c r="F292" s="177"/>
      <c r="G292" s="248">
        <f t="shared" si="10"/>
        <v>0</v>
      </c>
      <c r="H292" s="171"/>
      <c r="I292" s="177"/>
      <c r="J292" s="167"/>
      <c r="K292" s="181"/>
    </row>
    <row r="293" spans="2:13" ht="15.5" x14ac:dyDescent="0.35">
      <c r="B293" s="623"/>
      <c r="C293" s="166"/>
      <c r="D293" s="202"/>
      <c r="E293" s="177"/>
      <c r="F293" s="177"/>
      <c r="G293" s="248">
        <f t="shared" si="10"/>
        <v>0</v>
      </c>
      <c r="H293" s="171"/>
      <c r="I293" s="177"/>
      <c r="J293" s="167"/>
      <c r="K293" s="181"/>
    </row>
    <row r="294" spans="2:13" ht="15.5" x14ac:dyDescent="0.35">
      <c r="B294" s="624"/>
      <c r="C294" s="166"/>
      <c r="D294" s="202"/>
      <c r="E294" s="177"/>
      <c r="F294" s="177"/>
      <c r="G294" s="248">
        <f t="shared" si="10"/>
        <v>0</v>
      </c>
      <c r="H294" s="171"/>
      <c r="I294" s="177"/>
      <c r="J294" s="167"/>
      <c r="K294" s="181"/>
    </row>
    <row r="295" spans="2:13" ht="31" x14ac:dyDescent="0.35">
      <c r="B295" s="622" t="s">
        <v>309</v>
      </c>
      <c r="C295" s="166" t="s">
        <v>257</v>
      </c>
      <c r="D295" s="202"/>
      <c r="E295" s="177">
        <v>10000</v>
      </c>
      <c r="F295" s="177"/>
      <c r="G295" s="248">
        <f t="shared" si="10"/>
        <v>10000</v>
      </c>
      <c r="H295" s="171">
        <v>0.3</v>
      </c>
      <c r="I295" s="177"/>
      <c r="J295" s="167" t="s">
        <v>310</v>
      </c>
      <c r="K295" s="181">
        <v>7</v>
      </c>
    </row>
    <row r="296" spans="2:13" ht="15.5" x14ac:dyDescent="0.35">
      <c r="B296" s="623"/>
      <c r="C296" s="166"/>
      <c r="D296" s="202"/>
      <c r="E296" s="177"/>
      <c r="F296" s="177"/>
      <c r="G296" s="248">
        <f t="shared" si="10"/>
        <v>0</v>
      </c>
      <c r="H296" s="171"/>
      <c r="I296" s="177"/>
      <c r="J296" s="167"/>
      <c r="K296" s="181"/>
    </row>
    <row r="297" spans="2:13" ht="15.5" x14ac:dyDescent="0.35">
      <c r="B297" s="623"/>
      <c r="C297" s="166"/>
      <c r="D297" s="202"/>
      <c r="E297" s="177"/>
      <c r="F297" s="177"/>
      <c r="G297" s="248">
        <f t="shared" si="10"/>
        <v>0</v>
      </c>
      <c r="H297" s="171"/>
      <c r="I297" s="177"/>
      <c r="J297" s="167"/>
      <c r="K297" s="181"/>
      <c r="M297" s="173"/>
    </row>
    <row r="298" spans="2:13" ht="15.5" x14ac:dyDescent="0.35">
      <c r="B298" s="623"/>
      <c r="C298" s="166"/>
      <c r="D298" s="202"/>
      <c r="E298" s="251"/>
      <c r="F298" s="251"/>
      <c r="G298" s="248">
        <f t="shared" si="10"/>
        <v>0</v>
      </c>
      <c r="H298" s="171"/>
      <c r="I298" s="177"/>
      <c r="J298" s="170"/>
      <c r="K298" s="181"/>
    </row>
    <row r="299" spans="2:13" ht="15.5" x14ac:dyDescent="0.35">
      <c r="B299" s="624"/>
      <c r="C299" s="166"/>
      <c r="D299" s="202"/>
      <c r="G299" s="248"/>
      <c r="H299" s="171"/>
      <c r="I299" s="177"/>
      <c r="J299" s="167"/>
      <c r="K299" s="181"/>
    </row>
    <row r="300" spans="2:13" ht="15.5" x14ac:dyDescent="0.35">
      <c r="B300" s="622" t="s">
        <v>311</v>
      </c>
      <c r="C300" s="166" t="s">
        <v>312</v>
      </c>
      <c r="D300" s="202"/>
      <c r="E300" s="177">
        <v>36891.800000000003</v>
      </c>
      <c r="F300" s="177"/>
      <c r="G300" s="248">
        <f>D300+E300+F300</f>
        <v>36891.800000000003</v>
      </c>
      <c r="H300" s="171">
        <v>0.4</v>
      </c>
      <c r="I300" s="177"/>
      <c r="J300" s="167" t="s">
        <v>107</v>
      </c>
      <c r="K300" s="181">
        <v>7</v>
      </c>
    </row>
    <row r="301" spans="2:13" ht="31" x14ac:dyDescent="0.35">
      <c r="B301" s="623"/>
      <c r="C301" s="166" t="s">
        <v>313</v>
      </c>
      <c r="D301" s="202"/>
      <c r="E301" s="177">
        <v>2000</v>
      </c>
      <c r="F301" s="177"/>
      <c r="G301" s="248">
        <f>D301+E301+F301</f>
        <v>2000</v>
      </c>
      <c r="H301" s="171">
        <v>0.4</v>
      </c>
      <c r="I301" s="177"/>
      <c r="J301" s="167" t="s">
        <v>314</v>
      </c>
      <c r="K301" s="181">
        <v>7</v>
      </c>
      <c r="M301" s="173">
        <f>E300+E301</f>
        <v>38891.800000000003</v>
      </c>
    </row>
    <row r="302" spans="2:13" ht="15.5" x14ac:dyDescent="0.35">
      <c r="B302" s="623"/>
      <c r="C302" s="166"/>
      <c r="D302" s="202"/>
      <c r="E302" s="177"/>
      <c r="F302" s="177"/>
      <c r="G302" s="248">
        <f t="shared" ref="G302:G314" si="11">D302+E302+F302</f>
        <v>0</v>
      </c>
      <c r="H302" s="171"/>
      <c r="I302" s="177"/>
      <c r="J302" s="167"/>
      <c r="K302" s="181"/>
    </row>
    <row r="303" spans="2:13" ht="15.5" x14ac:dyDescent="0.35">
      <c r="B303" s="623"/>
      <c r="C303" s="166"/>
      <c r="D303" s="202"/>
      <c r="E303" s="177"/>
      <c r="F303" s="177"/>
      <c r="G303" s="248">
        <f t="shared" si="10"/>
        <v>0</v>
      </c>
      <c r="H303" s="171"/>
      <c r="I303" s="177"/>
      <c r="J303" s="167"/>
      <c r="K303" s="181"/>
    </row>
    <row r="304" spans="2:13" ht="15.5" x14ac:dyDescent="0.35">
      <c r="B304" s="624"/>
      <c r="C304" s="166"/>
      <c r="D304" s="202"/>
      <c r="E304" s="177"/>
      <c r="F304" s="177"/>
      <c r="G304" s="248">
        <f>D304+E304+F304</f>
        <v>0</v>
      </c>
      <c r="H304" s="171"/>
      <c r="I304" s="177"/>
      <c r="J304" s="167"/>
      <c r="K304" s="181"/>
    </row>
    <row r="305" spans="2:11" ht="15.5" hidden="1" x14ac:dyDescent="0.35">
      <c r="B305" s="622" t="s">
        <v>315</v>
      </c>
      <c r="C305" s="166"/>
      <c r="D305" s="202"/>
      <c r="E305" s="177"/>
      <c r="F305" s="177"/>
      <c r="G305" s="248">
        <f t="shared" si="11"/>
        <v>0</v>
      </c>
      <c r="H305" s="171"/>
      <c r="I305" s="177"/>
      <c r="J305" s="167"/>
      <c r="K305" s="181"/>
    </row>
    <row r="306" spans="2:11" ht="15.5" hidden="1" x14ac:dyDescent="0.35">
      <c r="B306" s="623"/>
      <c r="C306" s="166"/>
      <c r="D306" s="202"/>
      <c r="E306" s="177"/>
      <c r="F306" s="177"/>
      <c r="G306" s="248">
        <f t="shared" si="11"/>
        <v>0</v>
      </c>
      <c r="H306" s="171"/>
      <c r="I306" s="177"/>
      <c r="J306" s="167"/>
      <c r="K306" s="181"/>
    </row>
    <row r="307" spans="2:11" ht="15.5" hidden="1" x14ac:dyDescent="0.35">
      <c r="B307" s="623"/>
      <c r="C307" s="166"/>
      <c r="D307" s="202"/>
      <c r="E307" s="177"/>
      <c r="F307" s="177"/>
      <c r="G307" s="248">
        <f t="shared" si="11"/>
        <v>0</v>
      </c>
      <c r="H307" s="171"/>
      <c r="I307" s="177"/>
      <c r="J307" s="167"/>
      <c r="K307" s="181"/>
    </row>
    <row r="308" spans="2:11" ht="15.5" hidden="1" x14ac:dyDescent="0.35">
      <c r="B308" s="623"/>
      <c r="C308" s="166"/>
      <c r="D308" s="202"/>
      <c r="E308" s="177"/>
      <c r="F308" s="177"/>
      <c r="G308" s="248">
        <f t="shared" si="11"/>
        <v>0</v>
      </c>
      <c r="H308" s="171"/>
      <c r="I308" s="177"/>
      <c r="J308" s="167"/>
      <c r="K308" s="181"/>
    </row>
    <row r="309" spans="2:11" ht="15.5" hidden="1" x14ac:dyDescent="0.35">
      <c r="B309" s="624"/>
      <c r="C309" s="166"/>
      <c r="D309" s="202"/>
      <c r="E309" s="177"/>
      <c r="F309" s="177"/>
      <c r="G309" s="248">
        <f t="shared" si="11"/>
        <v>0</v>
      </c>
      <c r="H309" s="171"/>
      <c r="I309" s="177"/>
      <c r="J309" s="167"/>
      <c r="K309" s="181"/>
    </row>
    <row r="310" spans="2:11" ht="15.5" hidden="1" x14ac:dyDescent="0.35">
      <c r="B310" s="622" t="s">
        <v>316</v>
      </c>
      <c r="C310" s="166"/>
      <c r="D310" s="202"/>
      <c r="E310" s="177"/>
      <c r="F310" s="177"/>
      <c r="G310" s="248">
        <f t="shared" si="11"/>
        <v>0</v>
      </c>
      <c r="H310" s="171"/>
      <c r="I310" s="177"/>
      <c r="J310" s="167"/>
      <c r="K310" s="181"/>
    </row>
    <row r="311" spans="2:11" ht="15.5" hidden="1" x14ac:dyDescent="0.35">
      <c r="B311" s="623"/>
      <c r="C311" s="166"/>
      <c r="D311" s="202"/>
      <c r="E311" s="177"/>
      <c r="F311" s="177"/>
      <c r="G311" s="248">
        <f t="shared" si="11"/>
        <v>0</v>
      </c>
      <c r="H311" s="171"/>
      <c r="I311" s="177"/>
      <c r="J311" s="167"/>
      <c r="K311" s="181"/>
    </row>
    <row r="312" spans="2:11" ht="15.5" hidden="1" x14ac:dyDescent="0.35">
      <c r="B312" s="623"/>
      <c r="C312" s="166"/>
      <c r="D312" s="202"/>
      <c r="E312" s="177"/>
      <c r="F312" s="177"/>
      <c r="G312" s="248">
        <f t="shared" si="11"/>
        <v>0</v>
      </c>
      <c r="H312" s="171"/>
      <c r="I312" s="177"/>
      <c r="J312" s="167"/>
      <c r="K312" s="181"/>
    </row>
    <row r="313" spans="2:11" ht="15.5" hidden="1" x14ac:dyDescent="0.35">
      <c r="B313" s="623"/>
      <c r="C313" s="245"/>
      <c r="D313" s="202"/>
      <c r="E313" s="251"/>
      <c r="F313" s="251"/>
      <c r="G313" s="248">
        <f t="shared" si="11"/>
        <v>0</v>
      </c>
      <c r="H313" s="250"/>
      <c r="I313" s="251"/>
      <c r="J313" s="170"/>
      <c r="K313" s="181"/>
    </row>
    <row r="314" spans="2:11" ht="15.5" hidden="1" x14ac:dyDescent="0.35">
      <c r="B314" s="624"/>
      <c r="C314" s="245"/>
      <c r="D314" s="202"/>
      <c r="E314" s="251"/>
      <c r="F314" s="251"/>
      <c r="G314" s="248">
        <f t="shared" si="11"/>
        <v>0</v>
      </c>
      <c r="H314" s="250"/>
      <c r="I314" s="251"/>
      <c r="J314" s="170"/>
      <c r="K314" s="181"/>
    </row>
    <row r="315" spans="2:11" ht="15.5" x14ac:dyDescent="0.35">
      <c r="C315" s="73" t="s">
        <v>317</v>
      </c>
      <c r="D315" s="203">
        <f>SUM(D290:D314)</f>
        <v>0</v>
      </c>
      <c r="E315" s="12">
        <f t="shared" ref="E315:F315" si="12">SUM(E290:E314)</f>
        <v>73891.8</v>
      </c>
      <c r="F315" s="12">
        <f t="shared" si="12"/>
        <v>0</v>
      </c>
      <c r="G315" s="10">
        <f>SUM(G290:G314)</f>
        <v>73891.8</v>
      </c>
      <c r="H315" s="10">
        <f>(H290*G290)+(H291*G291)+(H292*G292)+(H293*G293)+(H294*G294)+(H295*G295)+(H296*G296)+(H297*G297)+(H298*G298)+(H299*G299)+(H300*G300)+(H301*G301)+(H302*G302)+(H303*G303)+(H304*G304)+(H305*G305)+(H306*G306)+(H307*G307)+(H308*G308)+(H309*G309)+(H310*G310)+(H311*G311)+(H312*G312)+(H313*G313)+(H314*G314)</f>
        <v>26056.720000000001</v>
      </c>
      <c r="I315" s="10">
        <f>SUM(I290:I314)</f>
        <v>0</v>
      </c>
      <c r="J315" s="170"/>
      <c r="K315" s="182"/>
    </row>
    <row r="316" spans="2:11" ht="15.5" hidden="1" x14ac:dyDescent="0.35">
      <c r="B316" s="73" t="s">
        <v>318</v>
      </c>
      <c r="C316" s="630"/>
      <c r="D316" s="630"/>
      <c r="E316" s="630"/>
      <c r="F316" s="630"/>
      <c r="G316" s="630"/>
      <c r="H316" s="630"/>
      <c r="I316" s="631"/>
      <c r="J316" s="630"/>
      <c r="K316" s="183"/>
    </row>
    <row r="317" spans="2:11" ht="15.5" hidden="1" x14ac:dyDescent="0.35">
      <c r="B317" s="622" t="s">
        <v>319</v>
      </c>
      <c r="C317" s="166"/>
      <c r="D317" s="202"/>
      <c r="E317" s="177"/>
      <c r="F317" s="177"/>
      <c r="G317" s="248">
        <f>D317+E317+F317</f>
        <v>0</v>
      </c>
      <c r="H317" s="171"/>
      <c r="I317" s="177"/>
      <c r="J317" s="167"/>
      <c r="K317" s="181"/>
    </row>
    <row r="318" spans="2:11" ht="15.5" hidden="1" x14ac:dyDescent="0.35">
      <c r="B318" s="623"/>
      <c r="C318" s="166"/>
      <c r="D318" s="202"/>
      <c r="E318" s="177"/>
      <c r="F318" s="177"/>
      <c r="G318" s="248">
        <f t="shared" ref="G318:G326" si="13">D318+E318+F318</f>
        <v>0</v>
      </c>
      <c r="H318" s="171"/>
      <c r="I318" s="177"/>
      <c r="J318" s="167"/>
      <c r="K318" s="181"/>
    </row>
    <row r="319" spans="2:11" ht="15.5" hidden="1" x14ac:dyDescent="0.35">
      <c r="B319" s="623"/>
      <c r="C319" s="166"/>
      <c r="D319" s="202"/>
      <c r="E319" s="177"/>
      <c r="F319" s="177"/>
      <c r="G319" s="248">
        <f t="shared" si="13"/>
        <v>0</v>
      </c>
      <c r="H319" s="171"/>
      <c r="I319" s="177"/>
      <c r="J319" s="167"/>
      <c r="K319" s="181"/>
    </row>
    <row r="320" spans="2:11" ht="15.5" hidden="1" x14ac:dyDescent="0.35">
      <c r="B320" s="623"/>
      <c r="C320" s="166"/>
      <c r="D320" s="202"/>
      <c r="E320" s="177"/>
      <c r="F320" s="177"/>
      <c r="G320" s="248">
        <f t="shared" si="13"/>
        <v>0</v>
      </c>
      <c r="H320" s="171"/>
      <c r="I320" s="177"/>
      <c r="J320" s="167"/>
      <c r="K320" s="181"/>
    </row>
    <row r="321" spans="2:13" ht="15.5" hidden="1" x14ac:dyDescent="0.35">
      <c r="B321" s="624"/>
      <c r="C321" s="166"/>
      <c r="D321" s="202"/>
      <c r="E321" s="177"/>
      <c r="F321" s="177"/>
      <c r="G321" s="248">
        <f t="shared" si="13"/>
        <v>0</v>
      </c>
      <c r="H321" s="171"/>
      <c r="I321" s="177"/>
      <c r="J321" s="167"/>
      <c r="K321" s="181"/>
    </row>
    <row r="322" spans="2:13" ht="15.5" hidden="1" x14ac:dyDescent="0.35">
      <c r="B322" s="622" t="s">
        <v>320</v>
      </c>
      <c r="C322" s="166"/>
      <c r="D322" s="202"/>
      <c r="E322" s="177"/>
      <c r="F322" s="177"/>
      <c r="G322" s="248">
        <f t="shared" si="13"/>
        <v>0</v>
      </c>
      <c r="H322" s="171"/>
      <c r="I322" s="177"/>
      <c r="J322" s="167"/>
      <c r="K322" s="181"/>
    </row>
    <row r="323" spans="2:13" ht="15.5" hidden="1" x14ac:dyDescent="0.35">
      <c r="B323" s="623"/>
      <c r="C323" s="166"/>
      <c r="D323" s="202"/>
      <c r="E323" s="177"/>
      <c r="F323" s="177"/>
      <c r="G323" s="248">
        <f t="shared" si="13"/>
        <v>0</v>
      </c>
      <c r="H323" s="171"/>
      <c r="I323" s="177"/>
      <c r="J323" s="167"/>
      <c r="K323" s="181"/>
    </row>
    <row r="324" spans="2:13" ht="15.5" hidden="1" x14ac:dyDescent="0.35">
      <c r="B324" s="623"/>
      <c r="C324" s="166"/>
      <c r="D324" s="202"/>
      <c r="E324" s="177"/>
      <c r="F324" s="177"/>
      <c r="G324" s="248">
        <f t="shared" si="13"/>
        <v>0</v>
      </c>
      <c r="H324" s="171"/>
      <c r="I324" s="177"/>
      <c r="J324" s="167"/>
      <c r="K324" s="181"/>
    </row>
    <row r="325" spans="2:13" ht="15.5" hidden="1" x14ac:dyDescent="0.35">
      <c r="B325" s="623"/>
      <c r="C325" s="166"/>
      <c r="D325" s="202"/>
      <c r="E325" s="177"/>
      <c r="F325" s="177"/>
      <c r="G325" s="248">
        <f t="shared" si="13"/>
        <v>0</v>
      </c>
      <c r="H325" s="171"/>
      <c r="I325" s="177"/>
      <c r="J325" s="167"/>
      <c r="K325" s="181"/>
    </row>
    <row r="326" spans="2:13" ht="15.5" hidden="1" x14ac:dyDescent="0.35">
      <c r="B326" s="624"/>
      <c r="C326" s="166"/>
      <c r="D326" s="202"/>
      <c r="E326" s="177"/>
      <c r="F326" s="177"/>
      <c r="G326" s="248">
        <f t="shared" si="13"/>
        <v>0</v>
      </c>
      <c r="H326" s="171"/>
      <c r="I326" s="177"/>
      <c r="J326" s="167"/>
      <c r="K326" s="181"/>
    </row>
    <row r="327" spans="2:13" ht="15.5" hidden="1" x14ac:dyDescent="0.35">
      <c r="C327" s="73" t="s">
        <v>321</v>
      </c>
      <c r="D327" s="201">
        <f>SUM(D317:D326)</f>
        <v>0</v>
      </c>
      <c r="E327" s="10">
        <f>SUM(E317:E326)</f>
        <v>0</v>
      </c>
      <c r="F327" s="10">
        <f>SUM(F317:F326)</f>
        <v>0</v>
      </c>
      <c r="G327" s="10">
        <f>SUM(G317:G326)</f>
        <v>0</v>
      </c>
      <c r="H327" s="10">
        <f>(H317*G317)+(H318*G318)+(H319*G319)+(H320*G320)+(H321*G321)+(H322*G322)+(H323*G323)+(H324*G324)+(H325*G325)+(H326*G326)</f>
        <v>0</v>
      </c>
      <c r="I327" s="10">
        <f>SUM(I317:I326)</f>
        <v>0</v>
      </c>
      <c r="J327" s="170"/>
      <c r="K327" s="182"/>
    </row>
    <row r="328" spans="2:13" ht="15.75" customHeight="1" x14ac:dyDescent="0.35">
      <c r="B328" s="4"/>
      <c r="C328" s="252"/>
      <c r="D328" s="258"/>
      <c r="E328" s="259"/>
      <c r="F328" s="259"/>
      <c r="G328" s="259"/>
      <c r="H328" s="259"/>
      <c r="I328" s="259"/>
      <c r="J328" s="260"/>
      <c r="K328" s="186"/>
    </row>
    <row r="329" spans="2:13" ht="15.5" x14ac:dyDescent="0.35">
      <c r="B329" s="73" t="s">
        <v>322</v>
      </c>
      <c r="C329" s="634" t="s">
        <v>323</v>
      </c>
      <c r="D329" s="634"/>
      <c r="E329" s="634"/>
      <c r="F329" s="634"/>
      <c r="G329" s="634"/>
      <c r="H329" s="634"/>
      <c r="I329" s="635"/>
      <c r="J329" s="634"/>
      <c r="K329" s="185"/>
    </row>
    <row r="330" spans="2:13" ht="29.5" customHeight="1" x14ac:dyDescent="0.35">
      <c r="B330" s="72" t="s">
        <v>24</v>
      </c>
      <c r="C330" s="630" t="s">
        <v>324</v>
      </c>
      <c r="D330" s="630"/>
      <c r="E330" s="630"/>
      <c r="F330" s="630"/>
      <c r="G330" s="630"/>
      <c r="H330" s="630"/>
      <c r="I330" s="631"/>
      <c r="J330" s="630"/>
      <c r="K330" s="183"/>
    </row>
    <row r="331" spans="2:13" ht="33" customHeight="1" x14ac:dyDescent="0.35">
      <c r="B331" s="622" t="s">
        <v>325</v>
      </c>
      <c r="C331" s="166" t="s">
        <v>326</v>
      </c>
      <c r="D331" s="202">
        <v>9000</v>
      </c>
      <c r="E331" s="177"/>
      <c r="F331" s="177"/>
      <c r="G331" s="248">
        <f>D331+E331+F331</f>
        <v>9000</v>
      </c>
      <c r="H331" s="171">
        <v>0.4</v>
      </c>
      <c r="I331" s="177"/>
      <c r="J331" s="167" t="s">
        <v>327</v>
      </c>
      <c r="K331" s="181">
        <v>4</v>
      </c>
      <c r="M331" s="173">
        <f>D331</f>
        <v>9000</v>
      </c>
    </row>
    <row r="332" spans="2:13" ht="15.5" x14ac:dyDescent="0.35">
      <c r="B332" s="623"/>
      <c r="C332" s="166"/>
      <c r="D332" s="202"/>
      <c r="E332" s="177"/>
      <c r="F332" s="177"/>
      <c r="G332" s="248">
        <f t="shared" ref="G332:G355" si="14">D332+E332+F332</f>
        <v>0</v>
      </c>
      <c r="H332" s="171"/>
      <c r="I332" s="177"/>
      <c r="J332" s="167"/>
      <c r="K332" s="181"/>
      <c r="M332" s="173"/>
    </row>
    <row r="333" spans="2:13" ht="15.5" x14ac:dyDescent="0.35">
      <c r="B333" s="623"/>
      <c r="C333" s="166"/>
      <c r="D333" s="202"/>
      <c r="E333" s="177"/>
      <c r="F333" s="177"/>
      <c r="G333" s="248">
        <f t="shared" si="14"/>
        <v>0</v>
      </c>
      <c r="H333" s="171"/>
      <c r="I333" s="177"/>
      <c r="J333" s="167"/>
      <c r="K333" s="181"/>
      <c r="M333" s="173"/>
    </row>
    <row r="334" spans="2:13" ht="15.5" x14ac:dyDescent="0.35">
      <c r="B334" s="623"/>
      <c r="C334" s="166"/>
      <c r="D334" s="202"/>
      <c r="E334" s="177"/>
      <c r="F334" s="177"/>
      <c r="G334" s="248">
        <f t="shared" si="14"/>
        <v>0</v>
      </c>
      <c r="H334" s="171"/>
      <c r="I334" s="177"/>
      <c r="J334" s="167"/>
      <c r="K334" s="181"/>
    </row>
    <row r="335" spans="2:13" ht="15.5" x14ac:dyDescent="0.35">
      <c r="B335" s="624"/>
      <c r="C335" s="166"/>
      <c r="D335" s="202"/>
      <c r="E335" s="177"/>
      <c r="F335" s="177"/>
      <c r="G335" s="248">
        <f t="shared" si="14"/>
        <v>0</v>
      </c>
      <c r="H335" s="171"/>
      <c r="I335" s="177"/>
      <c r="J335" s="167"/>
      <c r="K335" s="181"/>
    </row>
    <row r="336" spans="2:13" ht="31" x14ac:dyDescent="0.35">
      <c r="B336" s="622" t="s">
        <v>328</v>
      </c>
      <c r="C336" s="166" t="s">
        <v>329</v>
      </c>
      <c r="D336" s="202">
        <v>498.93</v>
      </c>
      <c r="E336" s="177"/>
      <c r="F336" s="177"/>
      <c r="G336" s="248">
        <f t="shared" si="14"/>
        <v>498.93</v>
      </c>
      <c r="H336" s="171"/>
      <c r="I336" s="177"/>
      <c r="J336" s="167" t="s">
        <v>330</v>
      </c>
      <c r="K336" s="181">
        <v>4</v>
      </c>
      <c r="M336" s="215">
        <f>D336+D337+D338</f>
        <v>7443.93</v>
      </c>
    </row>
    <row r="337" spans="2:13" ht="33" customHeight="1" x14ac:dyDescent="0.35">
      <c r="B337" s="623"/>
      <c r="C337" s="166" t="s">
        <v>331</v>
      </c>
      <c r="D337" s="202">
        <v>4445</v>
      </c>
      <c r="E337" s="177"/>
      <c r="F337" s="177"/>
      <c r="G337" s="248">
        <f t="shared" si="14"/>
        <v>4445</v>
      </c>
      <c r="H337" s="171">
        <v>0.3</v>
      </c>
      <c r="I337" s="177"/>
      <c r="J337" s="167" t="s">
        <v>330</v>
      </c>
      <c r="K337" s="181">
        <v>4</v>
      </c>
      <c r="M337" s="173"/>
    </row>
    <row r="338" spans="2:13" ht="46.5" x14ac:dyDescent="0.35">
      <c r="B338" s="623"/>
      <c r="C338" s="166" t="s">
        <v>332</v>
      </c>
      <c r="D338" s="202">
        <v>2500</v>
      </c>
      <c r="E338" s="177"/>
      <c r="F338" s="177"/>
      <c r="G338" s="248">
        <f t="shared" si="14"/>
        <v>2500</v>
      </c>
      <c r="H338" s="171">
        <v>0.3</v>
      </c>
      <c r="I338" s="177"/>
      <c r="J338" s="167" t="s">
        <v>333</v>
      </c>
      <c r="K338" s="181">
        <v>7</v>
      </c>
    </row>
    <row r="339" spans="2:13" ht="15.5" x14ac:dyDescent="0.35">
      <c r="B339" s="623"/>
      <c r="C339" s="166"/>
      <c r="D339" s="202"/>
      <c r="E339" s="177"/>
      <c r="F339" s="177"/>
      <c r="G339" s="248">
        <f t="shared" si="14"/>
        <v>0</v>
      </c>
      <c r="H339" s="171"/>
      <c r="I339" s="177"/>
      <c r="J339" s="167"/>
      <c r="K339" s="181"/>
    </row>
    <row r="340" spans="2:13" ht="15.5" x14ac:dyDescent="0.35">
      <c r="B340" s="624"/>
      <c r="C340" s="166"/>
      <c r="D340" s="202"/>
      <c r="E340" s="177"/>
      <c r="F340" s="177"/>
      <c r="G340" s="248">
        <f t="shared" si="14"/>
        <v>0</v>
      </c>
      <c r="H340" s="171"/>
      <c r="I340" s="177"/>
      <c r="J340" s="167"/>
      <c r="K340" s="181"/>
    </row>
    <row r="341" spans="2:13" ht="46.5" x14ac:dyDescent="0.35">
      <c r="B341" s="622" t="s">
        <v>334</v>
      </c>
      <c r="C341" s="166" t="s">
        <v>335</v>
      </c>
      <c r="D341" s="202">
        <v>10212.978999999999</v>
      </c>
      <c r="E341" s="177"/>
      <c r="F341" s="177"/>
      <c r="G341" s="248">
        <f t="shared" si="14"/>
        <v>10212.978999999999</v>
      </c>
      <c r="H341" s="171">
        <v>0.3</v>
      </c>
      <c r="I341" s="177"/>
      <c r="J341" s="167" t="s">
        <v>336</v>
      </c>
      <c r="K341" s="181">
        <v>6</v>
      </c>
      <c r="M341" s="173">
        <f>D341</f>
        <v>10212.978999999999</v>
      </c>
    </row>
    <row r="342" spans="2:13" ht="15.5" x14ac:dyDescent="0.35">
      <c r="B342" s="623"/>
      <c r="C342" s="166"/>
      <c r="D342" s="202"/>
      <c r="E342" s="177"/>
      <c r="F342" s="177"/>
      <c r="G342" s="248">
        <f t="shared" si="14"/>
        <v>0</v>
      </c>
      <c r="H342" s="171"/>
      <c r="I342" s="177"/>
      <c r="J342" s="167"/>
      <c r="K342" s="181"/>
    </row>
    <row r="343" spans="2:13" ht="15.5" x14ac:dyDescent="0.35">
      <c r="B343" s="623"/>
      <c r="C343" s="166"/>
      <c r="D343" s="202"/>
      <c r="E343" s="177"/>
      <c r="F343" s="177"/>
      <c r="G343" s="248">
        <f t="shared" si="14"/>
        <v>0</v>
      </c>
      <c r="H343" s="171"/>
      <c r="I343" s="177"/>
      <c r="J343" s="167"/>
      <c r="K343" s="181"/>
      <c r="M343" s="173"/>
    </row>
    <row r="344" spans="2:13" ht="15.5" x14ac:dyDescent="0.35">
      <c r="B344" s="623"/>
      <c r="C344" s="166"/>
      <c r="D344" s="202"/>
      <c r="E344" s="177"/>
      <c r="F344" s="177"/>
      <c r="G344" s="248">
        <f t="shared" si="14"/>
        <v>0</v>
      </c>
      <c r="H344" s="171"/>
      <c r="I344" s="177"/>
      <c r="J344" s="167"/>
      <c r="K344" s="181"/>
      <c r="M344" s="173"/>
    </row>
    <row r="345" spans="2:13" ht="15.5" x14ac:dyDescent="0.35">
      <c r="B345" s="624"/>
      <c r="C345" s="166"/>
      <c r="D345" s="202"/>
      <c r="E345" s="177"/>
      <c r="F345" s="177"/>
      <c r="G345" s="248">
        <f t="shared" si="14"/>
        <v>0</v>
      </c>
      <c r="H345" s="171"/>
      <c r="I345" s="177"/>
      <c r="J345" s="167"/>
      <c r="K345" s="181"/>
    </row>
    <row r="346" spans="2:13" ht="15.5" hidden="1" x14ac:dyDescent="0.35">
      <c r="B346" s="622" t="s">
        <v>337</v>
      </c>
      <c r="C346" s="166"/>
      <c r="D346" s="202"/>
      <c r="E346" s="177"/>
      <c r="F346" s="177"/>
      <c r="G346" s="248">
        <f t="shared" si="14"/>
        <v>0</v>
      </c>
      <c r="H346" s="171"/>
      <c r="I346" s="177"/>
      <c r="J346" s="167"/>
      <c r="K346" s="181"/>
    </row>
    <row r="347" spans="2:13" ht="15.5" hidden="1" x14ac:dyDescent="0.35">
      <c r="B347" s="623"/>
      <c r="C347" s="166"/>
      <c r="D347" s="202"/>
      <c r="E347" s="177"/>
      <c r="F347" s="177"/>
      <c r="G347" s="248">
        <f t="shared" si="14"/>
        <v>0</v>
      </c>
      <c r="H347" s="171"/>
      <c r="I347" s="177"/>
      <c r="J347" s="167"/>
      <c r="K347" s="181"/>
    </row>
    <row r="348" spans="2:13" ht="15.5" hidden="1" x14ac:dyDescent="0.35">
      <c r="B348" s="623"/>
      <c r="C348" s="166"/>
      <c r="D348" s="202"/>
      <c r="E348" s="177"/>
      <c r="F348" s="177"/>
      <c r="G348" s="248">
        <f t="shared" si="14"/>
        <v>0</v>
      </c>
      <c r="H348" s="171"/>
      <c r="I348" s="177"/>
      <c r="J348" s="167"/>
      <c r="K348" s="181"/>
    </row>
    <row r="349" spans="2:13" ht="15.5" hidden="1" x14ac:dyDescent="0.35">
      <c r="B349" s="623"/>
      <c r="C349" s="166"/>
      <c r="D349" s="202"/>
      <c r="E349" s="177"/>
      <c r="F349" s="177"/>
      <c r="G349" s="248">
        <f t="shared" si="14"/>
        <v>0</v>
      </c>
      <c r="H349" s="171"/>
      <c r="I349" s="177"/>
      <c r="J349" s="167"/>
      <c r="K349" s="181"/>
    </row>
    <row r="350" spans="2:13" ht="15.5" hidden="1" x14ac:dyDescent="0.35">
      <c r="B350" s="624"/>
      <c r="C350" s="166"/>
      <c r="D350" s="202"/>
      <c r="E350" s="177"/>
      <c r="F350" s="177"/>
      <c r="G350" s="248">
        <f t="shared" si="14"/>
        <v>0</v>
      </c>
      <c r="H350" s="171"/>
      <c r="I350" s="177"/>
      <c r="J350" s="167"/>
      <c r="K350" s="181"/>
    </row>
    <row r="351" spans="2:13" ht="15.5" hidden="1" x14ac:dyDescent="0.35">
      <c r="B351" s="622" t="s">
        <v>338</v>
      </c>
      <c r="C351" s="166"/>
      <c r="D351" s="202"/>
      <c r="E351" s="177"/>
      <c r="F351" s="177"/>
      <c r="G351" s="248">
        <f t="shared" si="14"/>
        <v>0</v>
      </c>
      <c r="H351" s="171"/>
      <c r="I351" s="177"/>
      <c r="J351" s="167"/>
      <c r="K351" s="181"/>
    </row>
    <row r="352" spans="2:13" ht="15.5" hidden="1" x14ac:dyDescent="0.35">
      <c r="B352" s="623"/>
      <c r="C352" s="166"/>
      <c r="D352" s="202"/>
      <c r="E352" s="177"/>
      <c r="F352" s="177"/>
      <c r="G352" s="248">
        <f t="shared" si="14"/>
        <v>0</v>
      </c>
      <c r="H352" s="171"/>
      <c r="I352" s="177"/>
      <c r="J352" s="167"/>
      <c r="K352" s="181"/>
    </row>
    <row r="353" spans="2:13" ht="15.5" hidden="1" x14ac:dyDescent="0.35">
      <c r="B353" s="623"/>
      <c r="C353" s="166"/>
      <c r="D353" s="202"/>
      <c r="E353" s="177"/>
      <c r="F353" s="177"/>
      <c r="G353" s="248">
        <f t="shared" si="14"/>
        <v>0</v>
      </c>
      <c r="H353" s="171"/>
      <c r="I353" s="177"/>
      <c r="J353" s="167"/>
      <c r="K353" s="181"/>
    </row>
    <row r="354" spans="2:13" ht="15.5" hidden="1" x14ac:dyDescent="0.35">
      <c r="B354" s="623"/>
      <c r="C354" s="245"/>
      <c r="D354" s="202"/>
      <c r="E354" s="251"/>
      <c r="F354" s="251"/>
      <c r="G354" s="248">
        <f t="shared" si="14"/>
        <v>0</v>
      </c>
      <c r="H354" s="250"/>
      <c r="I354" s="251"/>
      <c r="J354" s="170"/>
      <c r="K354" s="181"/>
    </row>
    <row r="355" spans="2:13" ht="15.5" hidden="1" x14ac:dyDescent="0.35">
      <c r="B355" s="624"/>
      <c r="C355" s="245"/>
      <c r="D355" s="202"/>
      <c r="E355" s="251"/>
      <c r="F355" s="251"/>
      <c r="G355" s="248">
        <f t="shared" si="14"/>
        <v>0</v>
      </c>
      <c r="H355" s="250"/>
      <c r="I355" s="251"/>
      <c r="J355" s="170"/>
      <c r="K355" s="181"/>
    </row>
    <row r="356" spans="2:13" ht="15.5" x14ac:dyDescent="0.35">
      <c r="C356" s="73" t="s">
        <v>339</v>
      </c>
      <c r="D356" s="201">
        <f>SUM(D331:D355)</f>
        <v>26656.909</v>
      </c>
      <c r="E356" s="10">
        <f t="shared" ref="E356:F356" si="15">SUM(E331:E355)</f>
        <v>0</v>
      </c>
      <c r="F356" s="10">
        <f t="shared" si="15"/>
        <v>0</v>
      </c>
      <c r="G356" s="10">
        <f>SUM(G331:G355)</f>
        <v>26656.909</v>
      </c>
      <c r="H356" s="10">
        <f>(H331*G331)+(H332*G332)+(H333*G333)+(H334*G334)+(H335*G335)+(H336*G336)+(H337*G337)+(H338*G338)+(H339*G339)+(H340*G340)+(H341*G341)+(H342*G342)+(H343*G343)+(H344*G344)+(H345*G345)+(H346*G346)+(H347*G347)+(H348*G348)+(H349*G349)+(H350*G350)+(H351*G351)+(H352*G352)+(H353*G353)+(H354*G354)+(H355*G355)</f>
        <v>8747.3937000000005</v>
      </c>
      <c r="I356" s="10">
        <f>SUM(I331:I355)</f>
        <v>0</v>
      </c>
      <c r="J356" s="170"/>
      <c r="K356" s="182"/>
    </row>
    <row r="357" spans="2:13" ht="36" customHeight="1" x14ac:dyDescent="0.35">
      <c r="B357" s="72" t="s">
        <v>25</v>
      </c>
      <c r="C357" s="630" t="s">
        <v>340</v>
      </c>
      <c r="D357" s="630"/>
      <c r="E357" s="630"/>
      <c r="F357" s="630"/>
      <c r="G357" s="630"/>
      <c r="H357" s="630"/>
      <c r="I357" s="631"/>
      <c r="J357" s="630"/>
      <c r="K357" s="183"/>
    </row>
    <row r="358" spans="2:13" ht="31" x14ac:dyDescent="0.35">
      <c r="B358" s="622" t="s">
        <v>341</v>
      </c>
      <c r="C358" s="166" t="s">
        <v>342</v>
      </c>
      <c r="D358" s="202">
        <v>2000</v>
      </c>
      <c r="E358" s="177"/>
      <c r="F358" s="177"/>
      <c r="G358" s="248">
        <f>D358+E358+F358</f>
        <v>2000</v>
      </c>
      <c r="H358" s="171"/>
      <c r="I358" s="177"/>
      <c r="J358" s="167" t="s">
        <v>336</v>
      </c>
      <c r="K358" s="181">
        <v>6</v>
      </c>
      <c r="M358" s="215">
        <f>D358+D359+D360</f>
        <v>10000</v>
      </c>
    </row>
    <row r="359" spans="2:13" ht="46.5" x14ac:dyDescent="0.35">
      <c r="B359" s="623"/>
      <c r="C359" s="166" t="s">
        <v>343</v>
      </c>
      <c r="D359" s="202">
        <v>6000</v>
      </c>
      <c r="E359" s="177"/>
      <c r="F359" s="177"/>
      <c r="G359" s="248">
        <f t="shared" ref="G359:G382" si="16">D359+E359+F359</f>
        <v>6000</v>
      </c>
      <c r="H359" s="171">
        <v>0.3</v>
      </c>
      <c r="I359" s="177"/>
      <c r="J359" s="167" t="s">
        <v>336</v>
      </c>
      <c r="K359" s="181">
        <v>6</v>
      </c>
      <c r="M359" s="173"/>
    </row>
    <row r="360" spans="2:13" ht="31" x14ac:dyDescent="0.35">
      <c r="B360" s="623"/>
      <c r="C360" s="166" t="s">
        <v>344</v>
      </c>
      <c r="D360" s="202">
        <v>2000</v>
      </c>
      <c r="E360" s="177"/>
      <c r="F360" s="177"/>
      <c r="G360" s="248">
        <f t="shared" si="16"/>
        <v>2000</v>
      </c>
      <c r="H360" s="171"/>
      <c r="I360" s="177"/>
      <c r="J360" s="167" t="s">
        <v>336</v>
      </c>
      <c r="K360" s="181">
        <v>6</v>
      </c>
      <c r="M360" s="173"/>
    </row>
    <row r="361" spans="2:13" ht="15.5" x14ac:dyDescent="0.35">
      <c r="B361" s="623"/>
      <c r="C361" s="166"/>
      <c r="D361" s="202"/>
      <c r="E361" s="177"/>
      <c r="F361" s="177"/>
      <c r="G361" s="248">
        <f t="shared" si="16"/>
        <v>0</v>
      </c>
      <c r="H361" s="171"/>
      <c r="I361" s="177"/>
      <c r="J361" s="167"/>
      <c r="K361" s="181"/>
    </row>
    <row r="362" spans="2:13" ht="15.5" x14ac:dyDescent="0.35">
      <c r="B362" s="624"/>
      <c r="C362" s="166"/>
      <c r="D362" s="202"/>
      <c r="E362" s="177"/>
      <c r="F362" s="177"/>
      <c r="G362" s="248">
        <f t="shared" si="16"/>
        <v>0</v>
      </c>
      <c r="H362" s="171"/>
      <c r="I362" s="177"/>
      <c r="J362" s="167"/>
      <c r="K362" s="181"/>
    </row>
    <row r="363" spans="2:13" ht="31" x14ac:dyDescent="0.35">
      <c r="B363" s="622" t="s">
        <v>345</v>
      </c>
      <c r="C363" s="166" t="s">
        <v>346</v>
      </c>
      <c r="D363" s="202">
        <v>10000</v>
      </c>
      <c r="E363" s="177"/>
      <c r="F363" s="177"/>
      <c r="G363" s="248">
        <f t="shared" si="16"/>
        <v>10000</v>
      </c>
      <c r="H363" s="171">
        <v>0.3</v>
      </c>
      <c r="I363" s="177"/>
      <c r="J363" s="167" t="s">
        <v>347</v>
      </c>
      <c r="K363" s="181">
        <v>4</v>
      </c>
      <c r="M363" s="173">
        <f>D363</f>
        <v>10000</v>
      </c>
    </row>
    <row r="364" spans="2:13" ht="15.5" x14ac:dyDescent="0.35">
      <c r="B364" s="623"/>
      <c r="C364" s="166"/>
      <c r="D364" s="202"/>
      <c r="E364" s="177"/>
      <c r="F364" s="177"/>
      <c r="G364" s="248">
        <f t="shared" si="16"/>
        <v>0</v>
      </c>
      <c r="H364" s="171"/>
      <c r="I364" s="177"/>
      <c r="J364" s="167"/>
      <c r="K364" s="181"/>
      <c r="M364" s="173"/>
    </row>
    <row r="365" spans="2:13" ht="15.5" x14ac:dyDescent="0.35">
      <c r="B365" s="623"/>
      <c r="C365" s="166"/>
      <c r="D365" s="202"/>
      <c r="E365" s="177"/>
      <c r="F365" s="177"/>
      <c r="G365" s="248">
        <f t="shared" si="16"/>
        <v>0</v>
      </c>
      <c r="H365" s="171"/>
      <c r="I365" s="177"/>
      <c r="J365" s="167"/>
      <c r="K365" s="181"/>
    </row>
    <row r="366" spans="2:13" ht="15.5" x14ac:dyDescent="0.35">
      <c r="B366" s="623"/>
      <c r="C366" s="166"/>
      <c r="D366" s="202"/>
      <c r="E366" s="177"/>
      <c r="F366" s="177"/>
      <c r="G366" s="248">
        <f t="shared" si="16"/>
        <v>0</v>
      </c>
      <c r="H366" s="171"/>
      <c r="I366" s="177"/>
      <c r="J366" s="167"/>
      <c r="K366" s="181"/>
    </row>
    <row r="367" spans="2:13" ht="15.5" x14ac:dyDescent="0.35">
      <c r="B367" s="624"/>
      <c r="C367" s="166"/>
      <c r="D367" s="202"/>
      <c r="E367" s="177"/>
      <c r="F367" s="177"/>
      <c r="G367" s="248">
        <f t="shared" si="16"/>
        <v>0</v>
      </c>
      <c r="H367" s="171"/>
      <c r="I367" s="177"/>
      <c r="J367" s="167"/>
      <c r="K367" s="181"/>
    </row>
    <row r="368" spans="2:13" ht="31" x14ac:dyDescent="0.35">
      <c r="B368" s="622" t="s">
        <v>348</v>
      </c>
      <c r="C368" s="166" t="s">
        <v>349</v>
      </c>
      <c r="D368" s="202">
        <v>2000</v>
      </c>
      <c r="E368" s="177"/>
      <c r="F368" s="177"/>
      <c r="G368" s="248">
        <f t="shared" si="16"/>
        <v>2000</v>
      </c>
      <c r="H368" s="171">
        <v>0.3</v>
      </c>
      <c r="I368" s="177"/>
      <c r="J368" s="167" t="s">
        <v>350</v>
      </c>
      <c r="K368" s="181">
        <v>4</v>
      </c>
      <c r="M368" s="215">
        <f>D368+D369+D370</f>
        <v>11000</v>
      </c>
    </row>
    <row r="369" spans="2:13" ht="31" x14ac:dyDescent="0.35">
      <c r="B369" s="623"/>
      <c r="C369" s="166" t="s">
        <v>97</v>
      </c>
      <c r="D369" s="202">
        <v>1000</v>
      </c>
      <c r="E369" s="177"/>
      <c r="F369" s="177"/>
      <c r="G369" s="248">
        <f t="shared" si="16"/>
        <v>1000</v>
      </c>
      <c r="H369" s="171">
        <v>0.3</v>
      </c>
      <c r="I369" s="177"/>
      <c r="J369" s="167" t="s">
        <v>201</v>
      </c>
      <c r="K369" s="181">
        <v>5</v>
      </c>
      <c r="M369" s="173"/>
    </row>
    <row r="370" spans="2:13" ht="31" x14ac:dyDescent="0.35">
      <c r="B370" s="623"/>
      <c r="C370" s="166" t="s">
        <v>266</v>
      </c>
      <c r="D370" s="202">
        <v>8000</v>
      </c>
      <c r="E370" s="177"/>
      <c r="F370" s="177"/>
      <c r="G370" s="248">
        <f t="shared" si="16"/>
        <v>8000</v>
      </c>
      <c r="H370" s="171">
        <v>0.3</v>
      </c>
      <c r="I370" s="177"/>
      <c r="J370" s="167" t="s">
        <v>213</v>
      </c>
      <c r="K370" s="181">
        <v>7</v>
      </c>
      <c r="M370" s="173"/>
    </row>
    <row r="371" spans="2:13" ht="15.5" x14ac:dyDescent="0.35">
      <c r="B371" s="623"/>
      <c r="C371" s="166"/>
      <c r="D371" s="202"/>
      <c r="E371" s="177"/>
      <c r="F371" s="177"/>
      <c r="G371" s="248">
        <f t="shared" si="16"/>
        <v>0</v>
      </c>
      <c r="H371" s="171"/>
      <c r="I371" s="177"/>
      <c r="J371" s="167"/>
      <c r="K371" s="181"/>
    </row>
    <row r="372" spans="2:13" ht="15.5" x14ac:dyDescent="0.35">
      <c r="B372" s="624"/>
      <c r="C372" s="166"/>
      <c r="D372" s="202"/>
      <c r="E372" s="177"/>
      <c r="F372" s="177"/>
      <c r="G372" s="248">
        <f t="shared" si="16"/>
        <v>0</v>
      </c>
      <c r="H372" s="171"/>
      <c r="I372" s="177"/>
      <c r="J372" s="167"/>
      <c r="K372" s="181"/>
    </row>
    <row r="373" spans="2:13" ht="31" x14ac:dyDescent="0.35">
      <c r="B373" s="622" t="s">
        <v>351</v>
      </c>
      <c r="C373" s="166" t="s">
        <v>352</v>
      </c>
      <c r="D373" s="202">
        <v>10000</v>
      </c>
      <c r="E373" s="177"/>
      <c r="F373" s="177"/>
      <c r="G373" s="248">
        <f t="shared" si="16"/>
        <v>10000</v>
      </c>
      <c r="H373" s="171">
        <v>0.3</v>
      </c>
      <c r="I373" s="177"/>
      <c r="J373" s="167" t="s">
        <v>310</v>
      </c>
      <c r="K373" s="181">
        <v>7</v>
      </c>
      <c r="M373" s="173">
        <f>D373+D374</f>
        <v>15000</v>
      </c>
    </row>
    <row r="374" spans="2:13" ht="31" x14ac:dyDescent="0.35">
      <c r="B374" s="623"/>
      <c r="C374" s="166" t="s">
        <v>353</v>
      </c>
      <c r="D374" s="202">
        <v>5000</v>
      </c>
      <c r="E374" s="177"/>
      <c r="F374" s="177"/>
      <c r="G374" s="248">
        <f t="shared" si="16"/>
        <v>5000</v>
      </c>
      <c r="H374" s="171">
        <v>0.3</v>
      </c>
      <c r="I374" s="177"/>
      <c r="J374" s="167" t="s">
        <v>354</v>
      </c>
      <c r="K374" s="181">
        <v>5</v>
      </c>
      <c r="M374" s="173"/>
    </row>
    <row r="375" spans="2:13" ht="15.5" x14ac:dyDescent="0.35">
      <c r="B375" s="623"/>
      <c r="C375" s="166"/>
      <c r="D375" s="202"/>
      <c r="E375" s="177"/>
      <c r="F375" s="177"/>
      <c r="G375" s="248">
        <f t="shared" si="16"/>
        <v>0</v>
      </c>
      <c r="H375" s="171"/>
      <c r="I375" s="177"/>
      <c r="J375" s="167"/>
      <c r="K375" s="181"/>
    </row>
    <row r="376" spans="2:13" ht="15.5" x14ac:dyDescent="0.35">
      <c r="B376" s="623"/>
      <c r="C376" s="166"/>
      <c r="D376" s="202"/>
      <c r="E376" s="177"/>
      <c r="F376" s="177"/>
      <c r="G376" s="248">
        <f t="shared" si="16"/>
        <v>0</v>
      </c>
      <c r="H376" s="171"/>
      <c r="I376" s="177"/>
      <c r="J376" s="167"/>
      <c r="K376" s="181"/>
    </row>
    <row r="377" spans="2:13" ht="15.5" x14ac:dyDescent="0.35">
      <c r="B377" s="624"/>
      <c r="C377" s="166"/>
      <c r="D377" s="202"/>
      <c r="E377" s="177"/>
      <c r="F377" s="177"/>
      <c r="G377" s="248">
        <f t="shared" si="16"/>
        <v>0</v>
      </c>
      <c r="H377" s="171"/>
      <c r="I377" s="177"/>
      <c r="J377" s="167"/>
      <c r="K377" s="181"/>
    </row>
    <row r="378" spans="2:13" ht="15.5" hidden="1" x14ac:dyDescent="0.35">
      <c r="B378" s="622" t="s">
        <v>355</v>
      </c>
      <c r="C378" s="166"/>
      <c r="D378" s="202"/>
      <c r="E378" s="177"/>
      <c r="F378" s="177"/>
      <c r="G378" s="248">
        <f t="shared" si="16"/>
        <v>0</v>
      </c>
      <c r="H378" s="171"/>
      <c r="I378" s="177"/>
      <c r="J378" s="167"/>
      <c r="K378" s="181"/>
    </row>
    <row r="379" spans="2:13" ht="15.5" hidden="1" x14ac:dyDescent="0.35">
      <c r="B379" s="623"/>
      <c r="C379" s="166"/>
      <c r="D379" s="202"/>
      <c r="E379" s="177"/>
      <c r="F379" s="177"/>
      <c r="G379" s="248">
        <f t="shared" si="16"/>
        <v>0</v>
      </c>
      <c r="H379" s="171"/>
      <c r="I379" s="177"/>
      <c r="J379" s="167"/>
      <c r="K379" s="181"/>
    </row>
    <row r="380" spans="2:13" ht="15.5" hidden="1" x14ac:dyDescent="0.35">
      <c r="B380" s="623"/>
      <c r="C380" s="166"/>
      <c r="D380" s="202"/>
      <c r="E380" s="177"/>
      <c r="F380" s="177"/>
      <c r="G380" s="248">
        <f t="shared" si="16"/>
        <v>0</v>
      </c>
      <c r="H380" s="171"/>
      <c r="I380" s="177"/>
      <c r="J380" s="167"/>
      <c r="K380" s="181"/>
    </row>
    <row r="381" spans="2:13" ht="15.5" hidden="1" x14ac:dyDescent="0.35">
      <c r="B381" s="623"/>
      <c r="C381" s="245"/>
      <c r="D381" s="202"/>
      <c r="E381" s="251"/>
      <c r="F381" s="251"/>
      <c r="G381" s="248">
        <f t="shared" si="16"/>
        <v>0</v>
      </c>
      <c r="H381" s="250"/>
      <c r="I381" s="251"/>
      <c r="J381" s="170"/>
      <c r="K381" s="181"/>
    </row>
    <row r="382" spans="2:13" ht="15.5" hidden="1" x14ac:dyDescent="0.35">
      <c r="B382" s="624"/>
      <c r="C382" s="245"/>
      <c r="D382" s="202"/>
      <c r="E382" s="251"/>
      <c r="F382" s="251"/>
      <c r="G382" s="248">
        <f t="shared" si="16"/>
        <v>0</v>
      </c>
      <c r="H382" s="250"/>
      <c r="I382" s="251"/>
      <c r="J382" s="170"/>
      <c r="K382" s="181"/>
    </row>
    <row r="383" spans="2:13" ht="15.5" x14ac:dyDescent="0.35">
      <c r="C383" s="73" t="s">
        <v>356</v>
      </c>
      <c r="D383" s="203">
        <f>SUM(D358:D382)</f>
        <v>46000</v>
      </c>
      <c r="E383" s="12">
        <f>SUM(E358:E382)</f>
        <v>0</v>
      </c>
      <c r="F383" s="12">
        <f>SUM(F358:F382)</f>
        <v>0</v>
      </c>
      <c r="G383" s="10">
        <f>SUM(G358:G382)</f>
        <v>46000</v>
      </c>
      <c r="H383" s="10">
        <f>(H358*G358)+(H359*G359)+(H360*G360)+(H361*G361)+(H362*G362)+(H363*G363)+(H364*G364)+(H365*G365)+(H366*G366)+(H367*G367)+(H368*G368)+(H369*G369)+(H370*G370)+(H371*G371)+(H372*G372)+(H373*G373)+(H374*G374)+(H375*G375)+(H376*G376)+(H377*G377)+(H378*G378)+(H379*G379)+(H380*G380)+(H381*G381)+(H382*G382)</f>
        <v>12600</v>
      </c>
      <c r="I383" s="10">
        <f>SUM(I358:I382)</f>
        <v>0</v>
      </c>
      <c r="J383" s="170"/>
      <c r="K383" s="182"/>
    </row>
    <row r="384" spans="2:13" ht="34.4" customHeight="1" x14ac:dyDescent="0.35">
      <c r="B384" s="72" t="s">
        <v>26</v>
      </c>
      <c r="C384" s="632" t="s">
        <v>357</v>
      </c>
      <c r="D384" s="632"/>
      <c r="E384" s="632"/>
      <c r="F384" s="632"/>
      <c r="G384" s="632"/>
      <c r="H384" s="632"/>
      <c r="I384" s="633"/>
      <c r="J384" s="632"/>
      <c r="K384" s="183"/>
    </row>
    <row r="385" spans="2:13" ht="46.5" x14ac:dyDescent="0.35">
      <c r="B385" s="622" t="s">
        <v>358</v>
      </c>
      <c r="C385" s="166" t="s">
        <v>359</v>
      </c>
      <c r="D385" s="202">
        <v>15000</v>
      </c>
      <c r="E385" s="177"/>
      <c r="F385" s="177"/>
      <c r="G385" s="248">
        <f>D385+E385+F385</f>
        <v>15000</v>
      </c>
      <c r="H385" s="171">
        <v>0.3</v>
      </c>
      <c r="I385" s="177"/>
      <c r="J385" s="167" t="s">
        <v>250</v>
      </c>
      <c r="K385" s="181">
        <v>4</v>
      </c>
      <c r="M385" s="215">
        <f>D385+D386+D387</f>
        <v>30000</v>
      </c>
    </row>
    <row r="386" spans="2:13" ht="46.5" x14ac:dyDescent="0.35">
      <c r="B386" s="623"/>
      <c r="C386" s="166" t="s">
        <v>360</v>
      </c>
      <c r="D386" s="202">
        <v>10000</v>
      </c>
      <c r="E386" s="177"/>
      <c r="F386" s="177"/>
      <c r="G386" s="248">
        <f t="shared" ref="G386:G410" si="17">D386+E386+F386</f>
        <v>10000</v>
      </c>
      <c r="H386" s="171">
        <v>0.4</v>
      </c>
      <c r="I386" s="177"/>
      <c r="J386" s="167" t="s">
        <v>361</v>
      </c>
      <c r="K386" s="181">
        <v>4</v>
      </c>
      <c r="M386" s="173"/>
    </row>
    <row r="387" spans="2:13" ht="15.5" x14ac:dyDescent="0.35">
      <c r="B387" s="623"/>
      <c r="C387" s="169" t="s">
        <v>362</v>
      </c>
      <c r="D387" s="202">
        <v>5000</v>
      </c>
      <c r="E387" s="177"/>
      <c r="F387" s="177"/>
      <c r="G387" s="248">
        <f t="shared" si="17"/>
        <v>5000</v>
      </c>
      <c r="H387" s="171">
        <v>0.4</v>
      </c>
      <c r="I387" s="177"/>
      <c r="J387" s="167" t="s">
        <v>363</v>
      </c>
      <c r="K387" s="181">
        <v>7</v>
      </c>
      <c r="M387" s="173"/>
    </row>
    <row r="388" spans="2:13" ht="15.5" x14ac:dyDescent="0.35">
      <c r="B388" s="623"/>
      <c r="C388" s="177"/>
      <c r="D388" s="202"/>
      <c r="E388" s="177"/>
      <c r="F388" s="177"/>
      <c r="G388" s="248">
        <f t="shared" si="17"/>
        <v>0</v>
      </c>
      <c r="H388" s="171"/>
      <c r="I388" s="177"/>
      <c r="J388" s="167"/>
      <c r="K388" s="181"/>
    </row>
    <row r="389" spans="2:13" ht="15.5" x14ac:dyDescent="0.35">
      <c r="B389" s="623"/>
      <c r="C389" s="166"/>
      <c r="D389" s="202"/>
      <c r="E389" s="177"/>
      <c r="F389" s="177"/>
      <c r="G389" s="248">
        <f t="shared" si="17"/>
        <v>0</v>
      </c>
      <c r="H389" s="171"/>
      <c r="I389" s="177"/>
      <c r="J389" s="167"/>
      <c r="K389" s="181"/>
    </row>
    <row r="390" spans="2:13" ht="20.149999999999999" customHeight="1" x14ac:dyDescent="0.35">
      <c r="B390" s="624"/>
      <c r="C390" s="166"/>
      <c r="D390" s="202"/>
      <c r="E390" s="177"/>
      <c r="F390" s="177"/>
      <c r="G390" s="248">
        <f t="shared" si="17"/>
        <v>0</v>
      </c>
      <c r="H390" s="171"/>
      <c r="I390" s="177"/>
      <c r="J390" s="167"/>
      <c r="K390" s="181"/>
    </row>
    <row r="391" spans="2:13" ht="35.5" customHeight="1" x14ac:dyDescent="0.35">
      <c r="B391" s="622" t="s">
        <v>364</v>
      </c>
      <c r="C391" s="166" t="s">
        <v>365</v>
      </c>
      <c r="D391" s="202">
        <v>8289.7199999999993</v>
      </c>
      <c r="E391" s="177"/>
      <c r="F391" s="177"/>
      <c r="G391" s="248">
        <f t="shared" si="17"/>
        <v>8289.7199999999993</v>
      </c>
      <c r="H391" s="171">
        <v>0.3</v>
      </c>
      <c r="I391" s="177"/>
      <c r="J391" s="167" t="s">
        <v>310</v>
      </c>
      <c r="K391" s="181">
        <v>7</v>
      </c>
      <c r="M391" s="173">
        <f>D391+D392</f>
        <v>10189.719999999999</v>
      </c>
    </row>
    <row r="392" spans="2:13" ht="35.5" customHeight="1" x14ac:dyDescent="0.35">
      <c r="B392" s="623"/>
      <c r="C392" s="166" t="s">
        <v>97</v>
      </c>
      <c r="D392" s="202">
        <v>1900</v>
      </c>
      <c r="E392" s="177"/>
      <c r="F392" s="177"/>
      <c r="G392" s="248">
        <f t="shared" si="17"/>
        <v>1900</v>
      </c>
      <c r="H392" s="171">
        <v>0.3</v>
      </c>
      <c r="I392" s="177"/>
      <c r="J392" s="167" t="s">
        <v>201</v>
      </c>
      <c r="K392" s="181">
        <v>5</v>
      </c>
      <c r="M392" s="173"/>
    </row>
    <row r="393" spans="2:13" ht="35.5" customHeight="1" x14ac:dyDescent="0.35">
      <c r="B393" s="623"/>
      <c r="C393" s="166"/>
      <c r="D393" s="202"/>
      <c r="E393" s="177"/>
      <c r="F393" s="177"/>
      <c r="G393" s="248">
        <f t="shared" si="17"/>
        <v>0</v>
      </c>
      <c r="H393" s="171"/>
      <c r="I393" s="177"/>
      <c r="J393" s="167"/>
      <c r="K393" s="181"/>
    </row>
    <row r="394" spans="2:13" ht="35.5" customHeight="1" x14ac:dyDescent="0.35">
      <c r="B394" s="623"/>
      <c r="C394" s="166"/>
      <c r="D394" s="202"/>
      <c r="E394" s="177"/>
      <c r="F394" s="177"/>
      <c r="G394" s="248">
        <f t="shared" si="17"/>
        <v>0</v>
      </c>
      <c r="H394" s="171"/>
      <c r="I394" s="177"/>
      <c r="J394" s="167"/>
      <c r="K394" s="181"/>
    </row>
    <row r="395" spans="2:13" ht="35.5" customHeight="1" x14ac:dyDescent="0.35">
      <c r="B395" s="624"/>
      <c r="C395" s="166"/>
      <c r="D395" s="202"/>
      <c r="E395" s="177"/>
      <c r="F395" s="177"/>
      <c r="G395" s="248">
        <f t="shared" si="17"/>
        <v>0</v>
      </c>
      <c r="H395" s="171"/>
      <c r="I395" s="177"/>
      <c r="J395" s="167"/>
      <c r="K395" s="181"/>
    </row>
    <row r="396" spans="2:13" ht="31" x14ac:dyDescent="0.35">
      <c r="B396" s="622" t="s">
        <v>366</v>
      </c>
      <c r="C396" s="166" t="s">
        <v>367</v>
      </c>
      <c r="D396" s="202">
        <v>10000</v>
      </c>
      <c r="E396" s="177"/>
      <c r="F396" s="177"/>
      <c r="G396" s="248">
        <f t="shared" si="17"/>
        <v>10000</v>
      </c>
      <c r="H396" s="171">
        <v>0.3</v>
      </c>
      <c r="I396" s="177"/>
      <c r="J396" s="167" t="s">
        <v>368</v>
      </c>
      <c r="K396" s="181">
        <v>7</v>
      </c>
      <c r="M396" s="215">
        <f>D396+D397+D398+D399</f>
        <v>28000</v>
      </c>
    </row>
    <row r="397" spans="2:13" ht="15.5" x14ac:dyDescent="0.35">
      <c r="B397" s="623"/>
      <c r="C397" s="166" t="s">
        <v>369</v>
      </c>
      <c r="D397" s="202">
        <v>6000</v>
      </c>
      <c r="E397" s="177"/>
      <c r="F397" s="177"/>
      <c r="G397" s="248">
        <f t="shared" si="17"/>
        <v>6000</v>
      </c>
      <c r="H397" s="171">
        <v>0.3</v>
      </c>
      <c r="I397" s="177"/>
      <c r="J397" s="167" t="s">
        <v>250</v>
      </c>
      <c r="K397" s="181">
        <v>4</v>
      </c>
      <c r="M397" s="173"/>
    </row>
    <row r="398" spans="2:13" ht="31" x14ac:dyDescent="0.35">
      <c r="B398" s="623"/>
      <c r="C398" s="166" t="s">
        <v>370</v>
      </c>
      <c r="D398" s="202">
        <v>10000</v>
      </c>
      <c r="E398" s="177"/>
      <c r="F398" s="177"/>
      <c r="G398" s="248">
        <f t="shared" si="17"/>
        <v>10000</v>
      </c>
      <c r="H398" s="171">
        <v>0.3</v>
      </c>
      <c r="I398" s="177"/>
      <c r="J398" s="167" t="s">
        <v>371</v>
      </c>
      <c r="K398" s="181">
        <v>7</v>
      </c>
      <c r="M398" s="173"/>
    </row>
    <row r="399" spans="2:13" ht="31" x14ac:dyDescent="0.35">
      <c r="B399" s="623"/>
      <c r="C399" s="166" t="s">
        <v>97</v>
      </c>
      <c r="D399" s="202">
        <v>2000</v>
      </c>
      <c r="E399" s="177"/>
      <c r="F399" s="177"/>
      <c r="G399" s="248">
        <f t="shared" si="17"/>
        <v>2000</v>
      </c>
      <c r="H399" s="171">
        <v>0.3</v>
      </c>
      <c r="I399" s="177"/>
      <c r="J399" s="167" t="s">
        <v>201</v>
      </c>
      <c r="K399" s="181">
        <v>5</v>
      </c>
    </row>
    <row r="400" spans="2:13" ht="15.5" x14ac:dyDescent="0.35">
      <c r="B400" s="624"/>
      <c r="C400" s="166"/>
      <c r="D400" s="202"/>
      <c r="E400" s="177"/>
      <c r="F400" s="177"/>
      <c r="G400" s="248">
        <f t="shared" si="17"/>
        <v>0</v>
      </c>
      <c r="H400" s="171"/>
      <c r="I400" s="177"/>
      <c r="J400" s="167"/>
      <c r="K400" s="181"/>
    </row>
    <row r="401" spans="2:13" ht="46.5" x14ac:dyDescent="0.35">
      <c r="B401" s="622" t="s">
        <v>372</v>
      </c>
      <c r="C401" s="166" t="s">
        <v>373</v>
      </c>
      <c r="D401" s="202">
        <v>3000</v>
      </c>
      <c r="E401" s="177"/>
      <c r="F401" s="177"/>
      <c r="G401" s="248">
        <f t="shared" si="17"/>
        <v>3000</v>
      </c>
      <c r="H401" s="171">
        <v>0.3</v>
      </c>
      <c r="I401" s="177"/>
      <c r="J401" s="167" t="s">
        <v>374</v>
      </c>
      <c r="K401" s="181">
        <v>7</v>
      </c>
      <c r="M401" s="173">
        <f>D401+D402</f>
        <v>10500</v>
      </c>
    </row>
    <row r="402" spans="2:13" ht="46.5" x14ac:dyDescent="0.35">
      <c r="B402" s="623"/>
      <c r="C402" s="166" t="s">
        <v>375</v>
      </c>
      <c r="D402" s="202">
        <v>7500</v>
      </c>
      <c r="E402" s="177"/>
      <c r="F402" s="177"/>
      <c r="G402" s="248">
        <f t="shared" si="17"/>
        <v>7500</v>
      </c>
      <c r="H402" s="171">
        <v>0.3</v>
      </c>
      <c r="I402" s="177"/>
      <c r="J402" s="167" t="s">
        <v>308</v>
      </c>
      <c r="K402" s="181">
        <v>3</v>
      </c>
      <c r="M402" s="173"/>
    </row>
    <row r="403" spans="2:13" ht="15.5" x14ac:dyDescent="0.35">
      <c r="B403" s="623"/>
      <c r="C403" s="166"/>
      <c r="D403" s="202"/>
      <c r="E403" s="177"/>
      <c r="F403" s="177"/>
      <c r="G403" s="248">
        <f t="shared" si="17"/>
        <v>0</v>
      </c>
      <c r="H403" s="171"/>
      <c r="I403" s="177"/>
      <c r="J403" s="167"/>
      <c r="K403" s="181"/>
    </row>
    <row r="404" spans="2:13" ht="15.5" x14ac:dyDescent="0.35">
      <c r="B404" s="623"/>
      <c r="C404" s="166"/>
      <c r="D404" s="202"/>
      <c r="E404" s="177"/>
      <c r="F404" s="177"/>
      <c r="G404" s="248">
        <f t="shared" si="17"/>
        <v>0</v>
      </c>
      <c r="H404" s="171"/>
      <c r="I404" s="177"/>
      <c r="J404" s="167"/>
      <c r="K404" s="181"/>
    </row>
    <row r="405" spans="2:13" ht="15.5" x14ac:dyDescent="0.35">
      <c r="B405" s="624"/>
      <c r="C405" s="166"/>
      <c r="D405" s="202"/>
      <c r="E405" s="177"/>
      <c r="F405" s="177"/>
      <c r="G405" s="248">
        <f t="shared" si="17"/>
        <v>0</v>
      </c>
      <c r="H405" s="171"/>
      <c r="I405" s="177"/>
      <c r="J405" s="167"/>
      <c r="K405" s="181"/>
    </row>
    <row r="406" spans="2:13" ht="15.5" hidden="1" x14ac:dyDescent="0.35">
      <c r="B406" s="622" t="s">
        <v>376</v>
      </c>
      <c r="C406" s="166"/>
      <c r="D406" s="202"/>
      <c r="E406" s="177"/>
      <c r="F406" s="177"/>
      <c r="G406" s="248">
        <f t="shared" si="17"/>
        <v>0</v>
      </c>
      <c r="H406" s="171"/>
      <c r="I406" s="177"/>
      <c r="J406" s="167"/>
      <c r="K406" s="181"/>
    </row>
    <row r="407" spans="2:13" ht="15.5" hidden="1" x14ac:dyDescent="0.35">
      <c r="B407" s="623"/>
      <c r="C407" s="166"/>
      <c r="D407" s="202"/>
      <c r="E407" s="177"/>
      <c r="F407" s="177"/>
      <c r="G407" s="248">
        <f t="shared" si="17"/>
        <v>0</v>
      </c>
      <c r="H407" s="171"/>
      <c r="I407" s="177"/>
      <c r="J407" s="167"/>
      <c r="K407" s="181"/>
    </row>
    <row r="408" spans="2:13" ht="15.5" hidden="1" x14ac:dyDescent="0.35">
      <c r="B408" s="623"/>
      <c r="C408" s="166"/>
      <c r="D408" s="202"/>
      <c r="E408" s="177"/>
      <c r="F408" s="177"/>
      <c r="G408" s="248">
        <f t="shared" si="17"/>
        <v>0</v>
      </c>
      <c r="H408" s="171"/>
      <c r="I408" s="177"/>
      <c r="J408" s="167"/>
      <c r="K408" s="181"/>
    </row>
    <row r="409" spans="2:13" ht="15.5" hidden="1" x14ac:dyDescent="0.35">
      <c r="B409" s="623"/>
      <c r="C409" s="245"/>
      <c r="D409" s="202"/>
      <c r="E409" s="251"/>
      <c r="F409" s="251"/>
      <c r="G409" s="248">
        <f t="shared" si="17"/>
        <v>0</v>
      </c>
      <c r="H409" s="250"/>
      <c r="I409" s="251"/>
      <c r="J409" s="170"/>
      <c r="K409" s="181"/>
    </row>
    <row r="410" spans="2:13" ht="15.5" hidden="1" x14ac:dyDescent="0.35">
      <c r="B410" s="624"/>
      <c r="C410" s="245"/>
      <c r="D410" s="202"/>
      <c r="E410" s="251"/>
      <c r="F410" s="251"/>
      <c r="G410" s="248">
        <f t="shared" si="17"/>
        <v>0</v>
      </c>
      <c r="H410" s="250"/>
      <c r="I410" s="251"/>
      <c r="J410" s="170"/>
      <c r="K410" s="181"/>
    </row>
    <row r="411" spans="2:13" ht="15.5" x14ac:dyDescent="0.35">
      <c r="C411" s="73" t="s">
        <v>377</v>
      </c>
      <c r="D411" s="203">
        <f>SUM(D385:D410)</f>
        <v>78689.72</v>
      </c>
      <c r="E411" s="12">
        <f t="shared" ref="E411:F411" si="18">SUM(E385:E410)</f>
        <v>0</v>
      </c>
      <c r="F411" s="12">
        <f t="shared" si="18"/>
        <v>0</v>
      </c>
      <c r="G411" s="10">
        <f>SUM(G385:G410)</f>
        <v>78689.72</v>
      </c>
      <c r="H411" s="10">
        <f>(H385*G385)+(H386*G386)+(H387*G387)+(H388*G388)+(H389*G389)+(H390*G390)+(H391*G391)+(H392*G392)+(H393*G393)+(H394*G394)+(H395*G395)+(H396*G396)+(H397*G397)+(H398*G398)+(H399*G399)+(H400*G400)+(H401*G401)+(H402*G402)+(H403*G403)+(H404*G404)+(H405*G405)+(H406*G406)+(H407*G407)+(H408*G408)+(H409*G409)+(H410*G410)</f>
        <v>25106.915999999997</v>
      </c>
      <c r="I411" s="10">
        <f>SUM(I385:I410)</f>
        <v>0</v>
      </c>
      <c r="J411" s="170"/>
      <c r="K411" s="182"/>
    </row>
    <row r="412" spans="2:13" ht="34.4" hidden="1" customHeight="1" x14ac:dyDescent="0.35">
      <c r="B412" s="72" t="s">
        <v>378</v>
      </c>
      <c r="C412" s="630"/>
      <c r="D412" s="630"/>
      <c r="E412" s="630"/>
      <c r="F412" s="630"/>
      <c r="G412" s="630"/>
      <c r="H412" s="630"/>
      <c r="I412" s="631"/>
      <c r="J412" s="630"/>
      <c r="K412" s="183"/>
    </row>
    <row r="413" spans="2:13" ht="15.5" hidden="1" x14ac:dyDescent="0.35">
      <c r="B413" s="622" t="s">
        <v>379</v>
      </c>
      <c r="C413" s="166"/>
      <c r="D413" s="202"/>
      <c r="E413" s="177"/>
      <c r="F413" s="177"/>
      <c r="G413" s="248">
        <f>D413+E413+F413</f>
        <v>0</v>
      </c>
      <c r="H413" s="171"/>
      <c r="I413" s="177"/>
      <c r="J413" s="167"/>
      <c r="K413" s="181"/>
    </row>
    <row r="414" spans="2:13" ht="15.5" hidden="1" x14ac:dyDescent="0.35">
      <c r="B414" s="623"/>
      <c r="C414" s="166"/>
      <c r="D414" s="202"/>
      <c r="E414" s="177"/>
      <c r="F414" s="177"/>
      <c r="G414" s="248">
        <f t="shared" ref="G414:G422" si="19">D414+E414+F414</f>
        <v>0</v>
      </c>
      <c r="H414" s="171"/>
      <c r="I414" s="177"/>
      <c r="J414" s="167"/>
      <c r="K414" s="181"/>
    </row>
    <row r="415" spans="2:13" ht="15.5" hidden="1" x14ac:dyDescent="0.35">
      <c r="B415" s="623"/>
      <c r="C415" s="166"/>
      <c r="D415" s="202"/>
      <c r="E415" s="177"/>
      <c r="F415" s="177"/>
      <c r="G415" s="248">
        <f t="shared" si="19"/>
        <v>0</v>
      </c>
      <c r="H415" s="171"/>
      <c r="I415" s="177"/>
      <c r="J415" s="167"/>
      <c r="K415" s="181"/>
    </row>
    <row r="416" spans="2:13" ht="15.5" hidden="1" x14ac:dyDescent="0.35">
      <c r="B416" s="623"/>
      <c r="C416" s="166"/>
      <c r="D416" s="202"/>
      <c r="E416" s="177"/>
      <c r="F416" s="177"/>
      <c r="G416" s="248">
        <f t="shared" si="19"/>
        <v>0</v>
      </c>
      <c r="H416" s="171"/>
      <c r="I416" s="177"/>
      <c r="J416" s="167"/>
      <c r="K416" s="181"/>
    </row>
    <row r="417" spans="2:13" ht="15.5" hidden="1" x14ac:dyDescent="0.35">
      <c r="B417" s="624"/>
      <c r="C417" s="166"/>
      <c r="D417" s="202"/>
      <c r="E417" s="177"/>
      <c r="F417" s="177"/>
      <c r="G417" s="248">
        <f t="shared" si="19"/>
        <v>0</v>
      </c>
      <c r="H417" s="171"/>
      <c r="I417" s="177"/>
      <c r="J417" s="167"/>
      <c r="K417" s="181"/>
    </row>
    <row r="418" spans="2:13" ht="15.5" hidden="1" x14ac:dyDescent="0.35">
      <c r="B418" s="622" t="s">
        <v>380</v>
      </c>
      <c r="C418" s="166"/>
      <c r="D418" s="202"/>
      <c r="E418" s="177"/>
      <c r="F418" s="177"/>
      <c r="G418" s="248">
        <f t="shared" si="19"/>
        <v>0</v>
      </c>
      <c r="H418" s="171"/>
      <c r="I418" s="177"/>
      <c r="J418" s="167"/>
      <c r="K418" s="181"/>
    </row>
    <row r="419" spans="2:13" ht="15.5" hidden="1" x14ac:dyDescent="0.35">
      <c r="B419" s="623"/>
      <c r="C419" s="166"/>
      <c r="D419" s="202"/>
      <c r="E419" s="177"/>
      <c r="F419" s="177"/>
      <c r="G419" s="248">
        <f t="shared" si="19"/>
        <v>0</v>
      </c>
      <c r="H419" s="171"/>
      <c r="I419" s="177"/>
      <c r="J419" s="167"/>
      <c r="K419" s="181"/>
    </row>
    <row r="420" spans="2:13" ht="15.5" hidden="1" x14ac:dyDescent="0.35">
      <c r="B420" s="623"/>
      <c r="C420" s="166"/>
      <c r="D420" s="202"/>
      <c r="E420" s="177"/>
      <c r="F420" s="177"/>
      <c r="G420" s="248">
        <f t="shared" si="19"/>
        <v>0</v>
      </c>
      <c r="H420" s="171"/>
      <c r="I420" s="177"/>
      <c r="J420" s="167"/>
      <c r="K420" s="181"/>
    </row>
    <row r="421" spans="2:13" ht="15.5" hidden="1" x14ac:dyDescent="0.35">
      <c r="B421" s="623"/>
      <c r="C421" s="166"/>
      <c r="D421" s="202"/>
      <c r="E421" s="177"/>
      <c r="F421" s="177"/>
      <c r="G421" s="248">
        <f t="shared" si="19"/>
        <v>0</v>
      </c>
      <c r="H421" s="171"/>
      <c r="I421" s="177"/>
      <c r="J421" s="167"/>
      <c r="K421" s="181"/>
    </row>
    <row r="422" spans="2:13" ht="15.5" hidden="1" x14ac:dyDescent="0.35">
      <c r="B422" s="624"/>
      <c r="C422" s="166"/>
      <c r="D422" s="202"/>
      <c r="E422" s="177"/>
      <c r="F422" s="177"/>
      <c r="G422" s="248">
        <f t="shared" si="19"/>
        <v>0</v>
      </c>
      <c r="H422" s="171"/>
      <c r="I422" s="177"/>
      <c r="J422" s="167"/>
      <c r="K422" s="181"/>
    </row>
    <row r="423" spans="2:13" ht="15.5" hidden="1" x14ac:dyDescent="0.35">
      <c r="C423" s="73" t="s">
        <v>381</v>
      </c>
      <c r="D423" s="201">
        <f>SUM(D413:D422)</f>
        <v>0</v>
      </c>
      <c r="E423" s="10">
        <f>SUM(E413:E422)</f>
        <v>0</v>
      </c>
      <c r="F423" s="10">
        <f>SUM(F413:F422)</f>
        <v>0</v>
      </c>
      <c r="G423" s="10">
        <f>SUM(G413:G422)</f>
        <v>0</v>
      </c>
      <c r="H423" s="10">
        <f>(H413*G413)+(H414*G414)+(H415*G415)+(H416*G416)+(H417*G417)+(H418*G418)+(H419*G419)+(H420*G420)+(H421*G421)+(H422*G422)</f>
        <v>0</v>
      </c>
      <c r="I423" s="10">
        <f>SUM(I413:I422)</f>
        <v>0</v>
      </c>
      <c r="J423" s="170"/>
      <c r="K423" s="182"/>
    </row>
    <row r="424" spans="2:13" ht="15.75" customHeight="1" x14ac:dyDescent="0.35">
      <c r="B424" s="4"/>
      <c r="C424" s="252"/>
      <c r="D424" s="258"/>
      <c r="E424" s="259"/>
      <c r="F424" s="259"/>
      <c r="G424" s="259"/>
      <c r="H424" s="259"/>
      <c r="I424" s="259"/>
      <c r="J424" s="252"/>
      <c r="K424" s="186"/>
    </row>
    <row r="425" spans="2:13" ht="15.75" customHeight="1" x14ac:dyDescent="0.35">
      <c r="B425" s="4"/>
      <c r="C425" s="252"/>
      <c r="D425" s="258"/>
      <c r="E425" s="259"/>
      <c r="F425" s="259"/>
      <c r="G425" s="259"/>
      <c r="H425" s="259"/>
      <c r="I425" s="259"/>
      <c r="J425" s="252"/>
      <c r="K425" s="186"/>
    </row>
    <row r="426" spans="2:13" ht="34.5" customHeight="1" x14ac:dyDescent="0.35">
      <c r="B426" s="625" t="s">
        <v>382</v>
      </c>
      <c r="C426" s="178" t="s">
        <v>383</v>
      </c>
      <c r="D426" s="204">
        <v>202440</v>
      </c>
      <c r="E426" s="179"/>
      <c r="F426" s="179">
        <v>0</v>
      </c>
      <c r="G426" s="261">
        <f>D426+E426+F426</f>
        <v>202440</v>
      </c>
      <c r="H426" s="171">
        <v>0.5</v>
      </c>
      <c r="I426" s="262"/>
      <c r="J426" s="263"/>
      <c r="K426" s="187">
        <v>1</v>
      </c>
    </row>
    <row r="427" spans="2:13" ht="23.5" customHeight="1" x14ac:dyDescent="0.35">
      <c r="B427" s="626"/>
      <c r="C427" s="178" t="s">
        <v>384</v>
      </c>
      <c r="D427" s="204">
        <v>53165.708720000002</v>
      </c>
      <c r="E427" s="179"/>
      <c r="F427" s="179"/>
      <c r="G427" s="261">
        <f t="shared" ref="G427:G442" si="20">D427+E427+F427</f>
        <v>53165.708720000002</v>
      </c>
      <c r="H427" s="171">
        <v>0.5</v>
      </c>
      <c r="I427" s="262"/>
      <c r="J427" s="263"/>
      <c r="K427" s="187">
        <v>1</v>
      </c>
      <c r="M427" s="175"/>
    </row>
    <row r="428" spans="2:13" ht="23.5" customHeight="1" x14ac:dyDescent="0.35">
      <c r="B428" s="626"/>
      <c r="C428" s="178" t="s">
        <v>385</v>
      </c>
      <c r="D428" s="204">
        <f>12808*2</f>
        <v>25616</v>
      </c>
      <c r="E428" s="179"/>
      <c r="F428" s="179"/>
      <c r="G428" s="261">
        <f t="shared" si="20"/>
        <v>25616</v>
      </c>
      <c r="H428" s="171">
        <v>0.5</v>
      </c>
      <c r="I428" s="262"/>
      <c r="J428" s="263"/>
      <c r="K428" s="187">
        <v>1</v>
      </c>
    </row>
    <row r="429" spans="2:13" ht="23.5" customHeight="1" x14ac:dyDescent="0.35">
      <c r="B429" s="626"/>
      <c r="C429" s="179" t="s">
        <v>386</v>
      </c>
      <c r="D429" s="204"/>
      <c r="E429" s="179">
        <v>42936</v>
      </c>
      <c r="F429" s="179"/>
      <c r="G429" s="261">
        <f t="shared" si="20"/>
        <v>42936</v>
      </c>
      <c r="H429" s="171">
        <v>0.5</v>
      </c>
      <c r="I429" s="262"/>
      <c r="J429" s="263"/>
      <c r="K429" s="187">
        <v>1</v>
      </c>
    </row>
    <row r="430" spans="2:13" ht="23.5" customHeight="1" x14ac:dyDescent="0.35">
      <c r="B430" s="626"/>
      <c r="C430" s="179" t="s">
        <v>387</v>
      </c>
      <c r="D430" s="204"/>
      <c r="E430" s="179">
        <v>25716</v>
      </c>
      <c r="F430" s="179"/>
      <c r="G430" s="261">
        <f t="shared" si="20"/>
        <v>25716</v>
      </c>
      <c r="H430" s="171">
        <v>0.5</v>
      </c>
      <c r="I430" s="262"/>
      <c r="J430" s="263"/>
      <c r="K430" s="187">
        <v>1</v>
      </c>
    </row>
    <row r="431" spans="2:13" ht="23.5" customHeight="1" x14ac:dyDescent="0.35">
      <c r="B431" s="626"/>
      <c r="C431" s="179"/>
      <c r="D431" s="204"/>
      <c r="E431" s="179"/>
      <c r="F431" s="179"/>
      <c r="G431" s="261">
        <f t="shared" si="20"/>
        <v>0</v>
      </c>
      <c r="H431" s="264"/>
      <c r="I431" s="262"/>
      <c r="J431" s="263"/>
      <c r="K431" s="187"/>
    </row>
    <row r="432" spans="2:13" ht="23.5" customHeight="1" x14ac:dyDescent="0.35">
      <c r="B432" s="626"/>
      <c r="C432" s="179"/>
      <c r="D432" s="204"/>
      <c r="E432" s="179"/>
      <c r="F432" s="179"/>
      <c r="G432" s="261">
        <f t="shared" si="20"/>
        <v>0</v>
      </c>
      <c r="H432" s="264"/>
      <c r="I432" s="262"/>
      <c r="J432" s="263"/>
      <c r="K432" s="187"/>
    </row>
    <row r="433" spans="2:12" ht="23.5" hidden="1" customHeight="1" x14ac:dyDescent="0.35">
      <c r="B433" s="626"/>
      <c r="C433" s="179"/>
      <c r="D433" s="204"/>
      <c r="E433" s="179"/>
      <c r="F433" s="179"/>
      <c r="G433" s="261">
        <f t="shared" si="20"/>
        <v>0</v>
      </c>
      <c r="H433" s="264"/>
      <c r="I433" s="262"/>
      <c r="J433" s="263"/>
      <c r="K433" s="187"/>
    </row>
    <row r="434" spans="2:12" ht="23.5" hidden="1" customHeight="1" x14ac:dyDescent="0.35">
      <c r="B434" s="626"/>
      <c r="C434" s="178"/>
      <c r="D434" s="204"/>
      <c r="E434" s="179"/>
      <c r="F434" s="179"/>
      <c r="G434" s="261">
        <f t="shared" si="20"/>
        <v>0</v>
      </c>
      <c r="H434" s="264"/>
      <c r="I434" s="262"/>
      <c r="J434" s="263"/>
      <c r="K434" s="187"/>
    </row>
    <row r="435" spans="2:12" ht="23.5" hidden="1" customHeight="1" x14ac:dyDescent="0.35">
      <c r="B435" s="626"/>
      <c r="C435" s="178"/>
      <c r="D435" s="204"/>
      <c r="E435" s="179"/>
      <c r="F435" s="179"/>
      <c r="G435" s="261">
        <f t="shared" si="20"/>
        <v>0</v>
      </c>
      <c r="H435" s="264"/>
      <c r="I435" s="262"/>
      <c r="J435" s="263"/>
      <c r="K435" s="187"/>
    </row>
    <row r="436" spans="2:12" ht="23.5" hidden="1" customHeight="1" x14ac:dyDescent="0.35">
      <c r="B436" s="626"/>
      <c r="C436" s="178"/>
      <c r="D436" s="204"/>
      <c r="E436" s="179"/>
      <c r="F436" s="179"/>
      <c r="G436" s="261">
        <f t="shared" si="20"/>
        <v>0</v>
      </c>
      <c r="H436" s="264"/>
      <c r="I436" s="262"/>
      <c r="J436" s="263"/>
      <c r="K436" s="187"/>
    </row>
    <row r="437" spans="2:12" ht="23.5" hidden="1" customHeight="1" x14ac:dyDescent="0.35">
      <c r="B437" s="627"/>
      <c r="C437" s="178"/>
      <c r="D437" s="204"/>
      <c r="E437" s="179"/>
      <c r="F437" s="179"/>
      <c r="G437" s="261">
        <f t="shared" si="20"/>
        <v>0</v>
      </c>
      <c r="H437" s="264"/>
      <c r="I437" s="262"/>
      <c r="J437" s="263"/>
      <c r="K437" s="187"/>
    </row>
    <row r="438" spans="2:12" ht="27" customHeight="1" x14ac:dyDescent="0.35">
      <c r="B438" s="625" t="s">
        <v>388</v>
      </c>
      <c r="C438" s="179" t="s">
        <v>389</v>
      </c>
      <c r="D438" s="204">
        <v>50000</v>
      </c>
      <c r="E438" s="179"/>
      <c r="F438" s="179"/>
      <c r="G438" s="261">
        <f t="shared" si="20"/>
        <v>50000</v>
      </c>
      <c r="H438" s="264"/>
      <c r="I438" s="262"/>
      <c r="J438" s="263"/>
      <c r="K438" s="187">
        <v>3</v>
      </c>
      <c r="L438" s="175"/>
    </row>
    <row r="439" spans="2:12" ht="27" customHeight="1" x14ac:dyDescent="0.35">
      <c r="B439" s="626"/>
      <c r="C439" s="195" t="s">
        <v>390</v>
      </c>
      <c r="D439" s="204">
        <v>20000</v>
      </c>
      <c r="E439" s="179"/>
      <c r="F439" s="179"/>
      <c r="G439" s="261">
        <f t="shared" si="20"/>
        <v>20000</v>
      </c>
      <c r="H439" s="264"/>
      <c r="I439" s="262"/>
      <c r="J439" s="263"/>
      <c r="K439" s="187">
        <v>3</v>
      </c>
      <c r="L439" s="175"/>
    </row>
    <row r="440" spans="2:12" ht="27" customHeight="1" x14ac:dyDescent="0.35">
      <c r="B440" s="626"/>
      <c r="C440" s="195" t="s">
        <v>391</v>
      </c>
      <c r="D440" s="204">
        <v>90000</v>
      </c>
      <c r="E440" s="179">
        <v>69560</v>
      </c>
      <c r="F440" s="179"/>
      <c r="G440" s="261">
        <f t="shared" si="20"/>
        <v>159560</v>
      </c>
      <c r="H440" s="264"/>
      <c r="I440" s="262"/>
      <c r="J440" s="263"/>
      <c r="K440" s="187">
        <v>7</v>
      </c>
      <c r="L440" s="175"/>
    </row>
    <row r="441" spans="2:12" ht="15.5" x14ac:dyDescent="0.35">
      <c r="B441" s="627"/>
      <c r="C441" s="195"/>
      <c r="D441" s="204"/>
      <c r="E441" s="179"/>
      <c r="F441" s="179"/>
      <c r="G441" s="261">
        <f t="shared" si="20"/>
        <v>0</v>
      </c>
      <c r="H441" s="264"/>
      <c r="I441" s="262"/>
      <c r="J441" s="263"/>
      <c r="K441" s="187">
        <v>7</v>
      </c>
      <c r="L441" s="175"/>
    </row>
    <row r="442" spans="2:12" ht="15.5" x14ac:dyDescent="0.35">
      <c r="B442" s="625" t="s">
        <v>392</v>
      </c>
      <c r="C442" s="180" t="s">
        <v>393</v>
      </c>
      <c r="D442" s="204">
        <v>83730</v>
      </c>
      <c r="E442" s="179"/>
      <c r="F442" s="179"/>
      <c r="G442" s="261">
        <f t="shared" si="20"/>
        <v>83730</v>
      </c>
      <c r="H442" s="264">
        <v>0.5</v>
      </c>
      <c r="I442" s="262"/>
      <c r="J442" s="263"/>
      <c r="K442" s="187">
        <v>7</v>
      </c>
    </row>
    <row r="443" spans="2:12" ht="15.5" x14ac:dyDescent="0.35">
      <c r="B443" s="626"/>
      <c r="C443" s="180"/>
      <c r="D443" s="204"/>
      <c r="E443" s="179"/>
      <c r="F443" s="179"/>
      <c r="G443" s="261"/>
      <c r="H443" s="264"/>
      <c r="I443" s="262"/>
      <c r="J443" s="263"/>
      <c r="K443" s="187"/>
    </row>
    <row r="444" spans="2:12" ht="15.5" hidden="1" x14ac:dyDescent="0.35">
      <c r="B444" s="626"/>
      <c r="C444" s="180"/>
      <c r="D444" s="204"/>
      <c r="E444" s="179"/>
      <c r="F444" s="179"/>
      <c r="G444" s="261"/>
      <c r="H444" s="264"/>
      <c r="I444" s="262"/>
      <c r="J444" s="263"/>
      <c r="K444" s="187"/>
    </row>
    <row r="445" spans="2:12" ht="13.75" customHeight="1" x14ac:dyDescent="0.35">
      <c r="B445" s="627"/>
      <c r="C445" s="180"/>
      <c r="D445" s="204"/>
      <c r="E445" s="179"/>
      <c r="F445" s="179"/>
      <c r="G445" s="261"/>
      <c r="H445" s="264"/>
      <c r="I445" s="262"/>
      <c r="J445" s="263"/>
      <c r="K445" s="187"/>
    </row>
    <row r="446" spans="2:12" ht="31" x14ac:dyDescent="0.35">
      <c r="B446" s="85" t="s">
        <v>394</v>
      </c>
      <c r="C446" s="265"/>
      <c r="D446" s="204">
        <v>50000</v>
      </c>
      <c r="E446" s="174"/>
      <c r="F446" s="262"/>
      <c r="G446" s="261">
        <f>D446+E446+F446</f>
        <v>50000</v>
      </c>
      <c r="H446" s="264">
        <v>0.5</v>
      </c>
      <c r="I446" s="262"/>
      <c r="J446" s="263"/>
      <c r="K446" s="187">
        <v>4</v>
      </c>
    </row>
    <row r="447" spans="2:12" ht="42" customHeight="1" x14ac:dyDescent="0.35">
      <c r="B447" s="4"/>
      <c r="C447" s="86" t="s">
        <v>395</v>
      </c>
      <c r="D447" s="205">
        <f>SUM(D426:D446)</f>
        <v>574951.70872</v>
      </c>
      <c r="E447" s="88">
        <f>SUM(E426:E446)</f>
        <v>138212</v>
      </c>
      <c r="F447" s="88">
        <f t="shared" ref="F447" si="21">SUM(F426:F446)</f>
        <v>0</v>
      </c>
      <c r="G447" s="88">
        <f>SUM(G426:G446)</f>
        <v>713163.70872</v>
      </c>
      <c r="H447" s="10">
        <f>(H426*G426)+(H427*G427)+(H428*G428)+(H429*G429)+(H430*G430)+(H431*G431)+(H432*G432)+(H433*G433)+(H434*G434)+(H435*G435)+(H436*G436)+(H437*G437)+(H438*G438)+(H442*G442)+(H443*G443)+(H444*G444)+(H445*G445)+(H446*G446)</f>
        <v>241801.85436</v>
      </c>
      <c r="I447" s="10">
        <f>SUM(I426:I446)</f>
        <v>0</v>
      </c>
      <c r="J447" s="265"/>
      <c r="K447" s="188"/>
    </row>
    <row r="448" spans="2:12" ht="15.75" customHeight="1" x14ac:dyDescent="0.35">
      <c r="B448" s="4"/>
      <c r="C448" s="252"/>
      <c r="D448" s="258"/>
      <c r="E448" s="259"/>
      <c r="F448" s="259"/>
      <c r="G448" s="259"/>
      <c r="H448" s="259"/>
      <c r="I448" s="259"/>
      <c r="J448" s="252"/>
      <c r="K448" s="130"/>
    </row>
    <row r="449" spans="2:11" ht="15.75" customHeight="1" x14ac:dyDescent="0.35">
      <c r="B449" s="4"/>
      <c r="C449" s="252"/>
      <c r="D449" s="258"/>
      <c r="E449" s="259"/>
      <c r="F449" s="259"/>
      <c r="G449" s="259"/>
      <c r="H449" s="259"/>
      <c r="I449" s="259"/>
      <c r="J449" s="252"/>
      <c r="K449" s="130"/>
    </row>
    <row r="450" spans="2:11" ht="15.75" customHeight="1" x14ac:dyDescent="0.35">
      <c r="B450" s="4"/>
      <c r="C450" s="252"/>
      <c r="D450" s="258"/>
      <c r="E450" s="259"/>
      <c r="F450" s="259"/>
      <c r="G450" s="266"/>
      <c r="H450" s="259"/>
      <c r="I450" s="259"/>
      <c r="J450" s="252"/>
      <c r="K450" s="130"/>
    </row>
    <row r="451" spans="2:11" ht="15.75" customHeight="1" x14ac:dyDescent="0.35">
      <c r="B451" s="4"/>
      <c r="C451" s="252"/>
      <c r="D451" s="258"/>
      <c r="E451" s="259"/>
      <c r="F451" s="259"/>
      <c r="G451" s="259"/>
      <c r="H451" s="259"/>
      <c r="I451" s="259"/>
      <c r="J451" s="252"/>
      <c r="K451" s="130"/>
    </row>
    <row r="452" spans="2:11" ht="15.75" customHeight="1" x14ac:dyDescent="0.35">
      <c r="B452" s="4"/>
      <c r="C452" s="252"/>
      <c r="D452" s="258"/>
      <c r="E452" s="259"/>
      <c r="F452" s="259"/>
      <c r="G452" s="259"/>
      <c r="H452" s="259"/>
      <c r="I452" s="259"/>
      <c r="J452" s="252"/>
      <c r="K452" s="130"/>
    </row>
    <row r="453" spans="2:11" ht="15.75" customHeight="1" x14ac:dyDescent="0.35">
      <c r="B453" s="4"/>
      <c r="C453" s="252"/>
      <c r="D453" s="258"/>
      <c r="E453" s="259"/>
      <c r="F453" s="259"/>
      <c r="G453" s="259"/>
      <c r="H453" s="259"/>
      <c r="I453" s="259"/>
      <c r="J453" s="252"/>
      <c r="K453" s="130"/>
    </row>
    <row r="454" spans="2:11" ht="15.75" customHeight="1" thickBot="1" x14ac:dyDescent="0.4">
      <c r="B454" s="4"/>
      <c r="C454" s="252"/>
      <c r="D454" s="258"/>
      <c r="E454" s="259"/>
      <c r="F454" s="259"/>
      <c r="G454" s="259"/>
      <c r="H454" s="259"/>
      <c r="I454" s="259"/>
      <c r="J454" s="252"/>
      <c r="K454" s="130"/>
    </row>
    <row r="455" spans="2:11" ht="15.5" x14ac:dyDescent="0.35">
      <c r="B455" s="4"/>
      <c r="C455" s="628" t="s">
        <v>44</v>
      </c>
      <c r="D455" s="629"/>
      <c r="E455" s="95"/>
      <c r="F455" s="95"/>
      <c r="G455" s="129"/>
      <c r="H455" s="9"/>
      <c r="I455" s="113"/>
      <c r="J455" s="9"/>
    </row>
    <row r="456" spans="2:11" ht="48" customHeight="1" x14ac:dyDescent="0.35">
      <c r="B456" s="4"/>
      <c r="C456" s="606"/>
      <c r="D456" s="206" t="s">
        <v>396</v>
      </c>
      <c r="E456" s="96" t="s">
        <v>397</v>
      </c>
      <c r="F456" s="10" t="s">
        <v>398</v>
      </c>
      <c r="G456" s="608" t="s">
        <v>63</v>
      </c>
      <c r="H456" s="252"/>
      <c r="I456" s="259"/>
      <c r="J456" s="9"/>
    </row>
    <row r="457" spans="2:11" ht="24.75" customHeight="1" x14ac:dyDescent="0.35">
      <c r="B457" s="4"/>
      <c r="C457" s="607"/>
      <c r="D457" s="207" t="str">
        <f>D13</f>
        <v>PNUD</v>
      </c>
      <c r="E457" s="97" t="str">
        <f>E13</f>
        <v>FAO</v>
      </c>
      <c r="F457" s="89">
        <f>F13</f>
        <v>0</v>
      </c>
      <c r="G457" s="609"/>
      <c r="H457" s="252"/>
      <c r="I457" s="259"/>
      <c r="J457" s="9"/>
    </row>
    <row r="458" spans="2:11" ht="41.25" customHeight="1" x14ac:dyDescent="0.35">
      <c r="B458" s="267"/>
      <c r="C458" s="124" t="s">
        <v>52</v>
      </c>
      <c r="D458" s="268">
        <f>(D447+D411+D383+D356+D315+D288+D247+D200+D89+D62+D35)</f>
        <v>1509345.7977199999</v>
      </c>
      <c r="E458" s="269">
        <f>(E447+E411+E383+E356+E315+E288+E247+E200+E89+E62+E35)</f>
        <v>827102.8</v>
      </c>
      <c r="F458" s="269">
        <f>SUM(F35,F62,F89,F101,F200,F247,F259,F288,F315,F327,F356,F383,F411,F423,F426,F438,F442,F446)</f>
        <v>0</v>
      </c>
      <c r="G458" s="269">
        <f>SUM(D458:F458)</f>
        <v>2336448.59772</v>
      </c>
      <c r="H458" s="252"/>
      <c r="I458" s="259"/>
      <c r="J458" s="267"/>
    </row>
    <row r="459" spans="2:11" ht="51.75" customHeight="1" x14ac:dyDescent="0.35">
      <c r="B459" s="270"/>
      <c r="C459" s="124" t="s">
        <v>53</v>
      </c>
      <c r="D459" s="268">
        <f>D458*0.07</f>
        <v>105654.2058404</v>
      </c>
      <c r="E459" s="271">
        <f>E458*0.07</f>
        <v>57897.196000000011</v>
      </c>
      <c r="F459" s="272">
        <f t="shared" ref="F459" si="22">F458*0.07</f>
        <v>0</v>
      </c>
      <c r="G459" s="269">
        <f>G458*0.07</f>
        <v>163551.40184040001</v>
      </c>
      <c r="H459" s="270"/>
      <c r="I459" s="273"/>
      <c r="J459" s="274"/>
    </row>
    <row r="460" spans="2:11" ht="51.75" customHeight="1" thickBot="1" x14ac:dyDescent="0.4">
      <c r="B460" s="270"/>
      <c r="C460" s="7" t="s">
        <v>63</v>
      </c>
      <c r="D460" s="208">
        <f>SUM(D458:D459)</f>
        <v>1615000.0035603999</v>
      </c>
      <c r="E460" s="98">
        <f>SUM(E458:E459)</f>
        <v>884999.99600000004</v>
      </c>
      <c r="F460" s="75">
        <f>SUM(F458:F459)</f>
        <v>0</v>
      </c>
      <c r="G460" s="84">
        <f>SUM(G458:G459)</f>
        <v>2499999.9995603999</v>
      </c>
      <c r="H460" s="270"/>
      <c r="I460" s="273"/>
      <c r="J460" s="274"/>
    </row>
    <row r="461" spans="2:11" ht="42" customHeight="1" x14ac:dyDescent="0.35">
      <c r="B461" s="270"/>
      <c r="I461" s="114"/>
      <c r="J461" s="2"/>
      <c r="K461" s="275"/>
    </row>
    <row r="462" spans="2:11" s="24" customFormat="1" ht="29.25" customHeight="1" thickBot="1" x14ac:dyDescent="0.4">
      <c r="B462" s="252"/>
      <c r="C462" s="4"/>
      <c r="D462" s="209"/>
      <c r="E462" s="19"/>
      <c r="F462" s="19"/>
      <c r="G462" s="19"/>
      <c r="H462" s="19"/>
      <c r="I462" s="115"/>
      <c r="J462" s="9"/>
      <c r="K462" s="276"/>
    </row>
    <row r="463" spans="2:11" ht="23.25" customHeight="1" x14ac:dyDescent="0.35">
      <c r="B463" s="274"/>
      <c r="C463" s="610" t="s">
        <v>399</v>
      </c>
      <c r="D463" s="611"/>
      <c r="E463" s="612"/>
      <c r="F463" s="612"/>
      <c r="G463" s="612"/>
      <c r="H463" s="613"/>
      <c r="I463" s="116"/>
      <c r="J463" s="274"/>
    </row>
    <row r="464" spans="2:11" ht="45.65" customHeight="1" x14ac:dyDescent="0.35">
      <c r="B464" s="274"/>
      <c r="C464" s="16"/>
      <c r="D464" s="206" t="s">
        <v>396</v>
      </c>
      <c r="E464" s="96" t="s">
        <v>397</v>
      </c>
      <c r="F464" s="10" t="s">
        <v>398</v>
      </c>
      <c r="G464" s="614" t="s">
        <v>63</v>
      </c>
      <c r="H464" s="616" t="s">
        <v>400</v>
      </c>
      <c r="I464" s="116"/>
      <c r="J464" s="274"/>
    </row>
    <row r="465" spans="2:11" ht="27.75" customHeight="1" x14ac:dyDescent="0.35">
      <c r="B465" s="274"/>
      <c r="C465" s="16"/>
      <c r="D465" s="199" t="str">
        <f>D13</f>
        <v>PNUD</v>
      </c>
      <c r="E465" s="14" t="str">
        <f>E13</f>
        <v>FAO</v>
      </c>
      <c r="F465" s="14">
        <f>F13</f>
        <v>0</v>
      </c>
      <c r="G465" s="615"/>
      <c r="H465" s="589"/>
      <c r="I465" s="116"/>
      <c r="J465" s="274"/>
    </row>
    <row r="466" spans="2:11" ht="55.5" customHeight="1" x14ac:dyDescent="0.35">
      <c r="B466" s="274"/>
      <c r="C466" s="15" t="s">
        <v>401</v>
      </c>
      <c r="D466" s="205">
        <f>$D$460*H466</f>
        <v>565250.00124613987</v>
      </c>
      <c r="E466" s="74">
        <f>$E$460*H466</f>
        <v>309749.99859999999</v>
      </c>
      <c r="F466" s="74">
        <f>$F$460*H466</f>
        <v>0</v>
      </c>
      <c r="G466" s="74">
        <f>SUM(D466:F466)</f>
        <v>874999.99984613992</v>
      </c>
      <c r="H466" s="102">
        <v>0.35</v>
      </c>
      <c r="I466" s="113"/>
      <c r="J466" s="274"/>
    </row>
    <row r="467" spans="2:11" ht="57.75" customHeight="1" x14ac:dyDescent="0.35">
      <c r="B467" s="617"/>
      <c r="C467" s="87" t="s">
        <v>402</v>
      </c>
      <c r="D467" s="210">
        <f>$D$460*H467</f>
        <v>565250.00124613987</v>
      </c>
      <c r="E467" s="74">
        <f>$E$460*H467</f>
        <v>309749.99859999999</v>
      </c>
      <c r="F467" s="74">
        <f>$F$460*H467</f>
        <v>0</v>
      </c>
      <c r="G467" s="74">
        <f t="shared" ref="G467:G468" si="23">SUM(D467:F467)</f>
        <v>874999.99984613992</v>
      </c>
      <c r="H467" s="103">
        <v>0.35</v>
      </c>
      <c r="I467" s="113"/>
    </row>
    <row r="468" spans="2:11" ht="57.75" customHeight="1" x14ac:dyDescent="0.35">
      <c r="B468" s="617"/>
      <c r="C468" s="87" t="s">
        <v>403</v>
      </c>
      <c r="D468" s="210">
        <f>$D$460*H468</f>
        <v>484500.00106811995</v>
      </c>
      <c r="E468" s="74">
        <f>$E$460*H468</f>
        <v>265499.9988</v>
      </c>
      <c r="F468" s="74">
        <f>$F$460*H468</f>
        <v>0</v>
      </c>
      <c r="G468" s="74">
        <f t="shared" si="23"/>
        <v>749999.99986811995</v>
      </c>
      <c r="H468" s="103">
        <v>0.3</v>
      </c>
      <c r="I468" s="113"/>
    </row>
    <row r="469" spans="2:11" ht="38.25" customHeight="1" thickBot="1" x14ac:dyDescent="0.4">
      <c r="B469" s="617"/>
      <c r="C469" s="7" t="s">
        <v>63</v>
      </c>
      <c r="D469" s="211">
        <f>SUM(D466:D468)</f>
        <v>1615000.0035603996</v>
      </c>
      <c r="E469" s="75">
        <f t="shared" ref="E469:F469" si="24">SUM(E466:E468)</f>
        <v>884999.99600000004</v>
      </c>
      <c r="F469" s="75">
        <f t="shared" si="24"/>
        <v>0</v>
      </c>
      <c r="G469" s="75">
        <f>SUM(G466:G468)</f>
        <v>2499999.9995603999</v>
      </c>
      <c r="H469" s="76"/>
      <c r="I469" s="117"/>
    </row>
    <row r="470" spans="2:11" ht="21.75" customHeight="1" thickBot="1" x14ac:dyDescent="0.4">
      <c r="B470" s="617"/>
      <c r="C470" s="1"/>
      <c r="D470" s="209"/>
      <c r="E470" s="5"/>
      <c r="F470" s="5"/>
      <c r="G470" s="5"/>
      <c r="H470" s="5"/>
      <c r="I470" s="118"/>
    </row>
    <row r="471" spans="2:11" ht="49.5" customHeight="1" x14ac:dyDescent="0.35">
      <c r="B471" s="617"/>
      <c r="C471" s="77" t="s">
        <v>404</v>
      </c>
      <c r="D471" s="212">
        <f>SUM(H35,H62,H89,H101,H200,H247,H259,H288,H315,H327,H356,H383,H411,H423,H447)*1.07</f>
        <v>891558.01643420011</v>
      </c>
      <c r="E471" s="19"/>
      <c r="F471" s="19"/>
      <c r="G471" s="19"/>
      <c r="H471" s="125" t="s">
        <v>405</v>
      </c>
      <c r="I471" s="126">
        <f>SUM(I447,I423,I411,I383,I356,I327,I315,I288,I259,I247,I200,I101,I89,I62,I35)</f>
        <v>0</v>
      </c>
    </row>
    <row r="472" spans="2:11" ht="28.5" customHeight="1" thickBot="1" x14ac:dyDescent="0.4">
      <c r="B472" s="617"/>
      <c r="C472" s="78" t="s">
        <v>406</v>
      </c>
      <c r="D472" s="213">
        <f>D471/G460</f>
        <v>0.35662320663638869</v>
      </c>
      <c r="E472" s="29"/>
      <c r="F472" s="29"/>
      <c r="G472" s="29"/>
      <c r="H472" s="128" t="s">
        <v>407</v>
      </c>
      <c r="I472" s="127">
        <f>I471/G458</f>
        <v>0</v>
      </c>
    </row>
    <row r="473" spans="2:11" ht="28.5" customHeight="1" x14ac:dyDescent="0.35">
      <c r="B473" s="617"/>
      <c r="C473" s="618"/>
      <c r="D473" s="619"/>
      <c r="E473" s="30" t="s">
        <v>408</v>
      </c>
      <c r="F473" s="30"/>
      <c r="G473" s="30"/>
    </row>
    <row r="474" spans="2:11" ht="28.5" customHeight="1" x14ac:dyDescent="0.35">
      <c r="B474" s="617"/>
      <c r="C474" s="78" t="s">
        <v>409</v>
      </c>
      <c r="D474" s="214">
        <f>SUM(D442:F446)*1.07</f>
        <v>143091.1</v>
      </c>
      <c r="E474" s="31"/>
      <c r="F474" s="31"/>
      <c r="G474" s="31"/>
    </row>
    <row r="475" spans="2:11" ht="23.25" customHeight="1" x14ac:dyDescent="0.35">
      <c r="B475" s="617"/>
      <c r="C475" s="78" t="s">
        <v>410</v>
      </c>
      <c r="D475" s="213">
        <f>D474/G460</f>
        <v>5.7236440010064463E-2</v>
      </c>
      <c r="E475" s="31"/>
      <c r="F475" s="31"/>
      <c r="G475" s="31"/>
    </row>
    <row r="476" spans="2:11" ht="68.25" customHeight="1" thickBot="1" x14ac:dyDescent="0.4">
      <c r="B476" s="617"/>
      <c r="C476" s="620" t="s">
        <v>411</v>
      </c>
      <c r="D476" s="621"/>
      <c r="E476" s="20"/>
      <c r="F476" s="20"/>
      <c r="G476" s="20"/>
      <c r="I476" s="120"/>
    </row>
    <row r="477" spans="2:11" ht="55.5" customHeight="1" x14ac:dyDescent="0.35">
      <c r="B477" s="617"/>
      <c r="K477" s="132"/>
    </row>
    <row r="478" spans="2:11" ht="42.75" customHeight="1" x14ac:dyDescent="0.35">
      <c r="B478" s="617"/>
    </row>
    <row r="479" spans="2:11" ht="21.75" customHeight="1" x14ac:dyDescent="0.35">
      <c r="B479" s="617"/>
    </row>
    <row r="480" spans="2:11" ht="21.75" customHeight="1" x14ac:dyDescent="0.35">
      <c r="B480" s="617"/>
    </row>
    <row r="481" spans="2:2" ht="23.25" customHeight="1" x14ac:dyDescent="0.35">
      <c r="B481" s="617"/>
    </row>
    <row r="482" spans="2:2" ht="23.25" customHeight="1" x14ac:dyDescent="0.35"/>
    <row r="483" spans="2:2" ht="21.75" customHeight="1" x14ac:dyDescent="0.35"/>
    <row r="484" spans="2:2" ht="16.5" customHeight="1" x14ac:dyDescent="0.35"/>
    <row r="485" spans="2:2" ht="29.25" customHeight="1" x14ac:dyDescent="0.35"/>
    <row r="486" spans="2:2" ht="24.75" customHeight="1" x14ac:dyDescent="0.35"/>
    <row r="487" spans="2:2" ht="33" customHeight="1" x14ac:dyDescent="0.35"/>
    <row r="489" spans="2:2" ht="15" customHeight="1" x14ac:dyDescent="0.35"/>
    <row r="490" spans="2:2" ht="25.5" customHeight="1" x14ac:dyDescent="0.35"/>
  </sheetData>
  <sheetProtection formatCells="0" formatColumns="0" formatRows="0"/>
  <mergeCells count="110">
    <mergeCell ref="B22:B25"/>
    <mergeCell ref="B26:B29"/>
    <mergeCell ref="B30:B34"/>
    <mergeCell ref="C36:J36"/>
    <mergeCell ref="B37:B39"/>
    <mergeCell ref="B40:B42"/>
    <mergeCell ref="B2:E2"/>
    <mergeCell ref="B6:M6"/>
    <mergeCell ref="B9:H9"/>
    <mergeCell ref="C14:J14"/>
    <mergeCell ref="C15:J15"/>
    <mergeCell ref="B16:B21"/>
    <mergeCell ref="B69:B73"/>
    <mergeCell ref="B74:B78"/>
    <mergeCell ref="B79:B83"/>
    <mergeCell ref="B84:B88"/>
    <mergeCell ref="C90:J90"/>
    <mergeCell ref="B91:B95"/>
    <mergeCell ref="B43:B46"/>
    <mergeCell ref="B47:B51"/>
    <mergeCell ref="B52:B56"/>
    <mergeCell ref="B57:B61"/>
    <mergeCell ref="C63:J63"/>
    <mergeCell ref="B64:B68"/>
    <mergeCell ref="B120:B124"/>
    <mergeCell ref="B125:B129"/>
    <mergeCell ref="B130:B134"/>
    <mergeCell ref="B135:B139"/>
    <mergeCell ref="B140:B144"/>
    <mergeCell ref="B145:B149"/>
    <mergeCell ref="B96:B100"/>
    <mergeCell ref="C103:J103"/>
    <mergeCell ref="C104:J104"/>
    <mergeCell ref="B105:B109"/>
    <mergeCell ref="B110:B114"/>
    <mergeCell ref="B115:B119"/>
    <mergeCell ref="B180:B184"/>
    <mergeCell ref="B185:B189"/>
    <mergeCell ref="B190:B194"/>
    <mergeCell ref="B195:B199"/>
    <mergeCell ref="C201:J201"/>
    <mergeCell ref="B202:B206"/>
    <mergeCell ref="B150:B154"/>
    <mergeCell ref="B155:B159"/>
    <mergeCell ref="B160:B164"/>
    <mergeCell ref="B165:B169"/>
    <mergeCell ref="B170:B174"/>
    <mergeCell ref="B175:B179"/>
    <mergeCell ref="B237:B241"/>
    <mergeCell ref="B242:B246"/>
    <mergeCell ref="C248:J248"/>
    <mergeCell ref="B249:B253"/>
    <mergeCell ref="B254:B258"/>
    <mergeCell ref="C260:J260"/>
    <mergeCell ref="B207:B211"/>
    <mergeCell ref="B212:B216"/>
    <mergeCell ref="B217:B221"/>
    <mergeCell ref="B222:B226"/>
    <mergeCell ref="B227:B231"/>
    <mergeCell ref="B232:B236"/>
    <mergeCell ref="B283:B287"/>
    <mergeCell ref="C289:J289"/>
    <mergeCell ref="B290:B294"/>
    <mergeCell ref="B295:B299"/>
    <mergeCell ref="B300:B304"/>
    <mergeCell ref="B305:B309"/>
    <mergeCell ref="C261:J261"/>
    <mergeCell ref="C262:J262"/>
    <mergeCell ref="B263:B267"/>
    <mergeCell ref="B268:B272"/>
    <mergeCell ref="B273:B277"/>
    <mergeCell ref="B278:B282"/>
    <mergeCell ref="B331:B335"/>
    <mergeCell ref="B336:B340"/>
    <mergeCell ref="B341:B345"/>
    <mergeCell ref="B346:B350"/>
    <mergeCell ref="B351:B355"/>
    <mergeCell ref="C357:J357"/>
    <mergeCell ref="B310:B314"/>
    <mergeCell ref="C316:J316"/>
    <mergeCell ref="B317:B321"/>
    <mergeCell ref="B322:B326"/>
    <mergeCell ref="C329:J329"/>
    <mergeCell ref="C330:J330"/>
    <mergeCell ref="B385:B390"/>
    <mergeCell ref="B391:B395"/>
    <mergeCell ref="B396:B400"/>
    <mergeCell ref="B401:B405"/>
    <mergeCell ref="B406:B410"/>
    <mergeCell ref="C412:J412"/>
    <mergeCell ref="B358:B362"/>
    <mergeCell ref="B363:B367"/>
    <mergeCell ref="B368:B372"/>
    <mergeCell ref="B373:B377"/>
    <mergeCell ref="B378:B382"/>
    <mergeCell ref="C384:J384"/>
    <mergeCell ref="C456:C457"/>
    <mergeCell ref="G456:G457"/>
    <mergeCell ref="C463:H463"/>
    <mergeCell ref="G464:G465"/>
    <mergeCell ref="H464:H465"/>
    <mergeCell ref="B467:B481"/>
    <mergeCell ref="C473:D473"/>
    <mergeCell ref="C476:D476"/>
    <mergeCell ref="B413:B417"/>
    <mergeCell ref="B418:B422"/>
    <mergeCell ref="B426:B437"/>
    <mergeCell ref="B438:B441"/>
    <mergeCell ref="B442:B445"/>
    <mergeCell ref="C455:D455"/>
  </mergeCells>
  <conditionalFormatting sqref="D472">
    <cfRule type="cellIs" dxfId="110" priority="2" operator="lessThan">
      <formula>0.15</formula>
    </cfRule>
  </conditionalFormatting>
  <conditionalFormatting sqref="D475">
    <cfRule type="cellIs" dxfId="109" priority="1" operator="lessThan">
      <formula>0.05</formula>
    </cfRule>
  </conditionalFormatting>
  <dataValidations count="7">
    <dataValidation allowBlank="1" showErrorMessage="1" prompt="% Towards Gender Equality and Women's Empowerment Must be Higher than 15%_x000a_" sqref="D474:G474" xr:uid="{00000000-0002-0000-0100-000000000000}"/>
    <dataValidation allowBlank="1" showInputMessage="1" showErrorMessage="1" prompt="Insert name of recipient agency here _x000a_" sqref="D13:G13" xr:uid="{00000000-0002-0000-0100-000001000000}"/>
    <dataValidation allowBlank="1" showInputMessage="1" showErrorMessage="1" prompt="Insert *text* description of Activity here" sqref="C16 C37:C38 C91:C100 C202 C249 C207 C283 C317:C326 C331:C348 C413:C422 C358:C373 C64:C81 D268:D278 C290:C295 C299:C305 C385:C386 C389:C403 C105:C119" xr:uid="{00000000-0002-0000-0100-000002000000}"/>
    <dataValidation allowBlank="1" showInputMessage="1" showErrorMessage="1" prompt="Insert *text* description of Output here" sqref="C15 C36 C63 C90 C104 C201 C248 C262 C289 C316 C330 C357 C384 C412" xr:uid="{00000000-0002-0000-0100-000003000000}"/>
    <dataValidation allowBlank="1" showInputMessage="1" showErrorMessage="1" prompt="Insert *text* description of Outcome here" sqref="C14:J14 C103:J103 C261:J261 C329:J329" xr:uid="{00000000-0002-0000-0100-000004000000}"/>
    <dataValidation allowBlank="1" showInputMessage="1" showErrorMessage="1" prompt="M&amp;E Budget Cannot be Less than 5%_x000a_" sqref="D475:G475" xr:uid="{00000000-0002-0000-0100-000005000000}"/>
    <dataValidation allowBlank="1" showInputMessage="1" showErrorMessage="1" prompt="% Towards Gender Equality and Women's Empowerment Must be Higher than 15%_x000a_" sqref="D472:G472" xr:uid="{00000000-0002-0000-0100-000006000000}"/>
  </dataValidations>
  <pageMargins left="0.7" right="0.7" top="0.75" bottom="0.75" header="0.3" footer="0.3"/>
  <pageSetup scale="74" orientation="landscape" r:id="rId1"/>
  <rowBreaks count="1" manualBreakCount="1">
    <brk id="20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B2CC6-EB1E-4E8E-AE8E-553E7D5E7802}">
  <sheetPr>
    <tabColor theme="0"/>
  </sheetPr>
  <dimension ref="A1:Y606"/>
  <sheetViews>
    <sheetView showGridLines="0" showZeros="0" topLeftCell="A11" zoomScale="70" zoomScaleNormal="70" workbookViewId="0">
      <pane xSplit="3" ySplit="3" topLeftCell="L581" activePane="bottomRight" state="frozen"/>
      <selection activeCell="A11" sqref="A11"/>
      <selection pane="topRight" activeCell="D11" sqref="D11"/>
      <selection pane="bottomLeft" activeCell="A14" sqref="A14"/>
      <selection pane="bottomRight" activeCell="O588" sqref="O588"/>
    </sheetView>
  </sheetViews>
  <sheetFormatPr baseColWidth="10" defaultColWidth="9.1796875" defaultRowHeight="14.5" x14ac:dyDescent="0.35"/>
  <cols>
    <col min="1" max="1" width="9.1796875" style="23" customWidth="1"/>
    <col min="2" max="2" width="37.453125" style="23" hidden="1" customWidth="1"/>
    <col min="3" max="3" width="45.81640625" style="23" hidden="1" customWidth="1"/>
    <col min="4" max="4" width="23" style="196" customWidth="1"/>
    <col min="5" max="5" width="23" style="23" customWidth="1"/>
    <col min="6" max="6" width="19.81640625" style="23" customWidth="1"/>
    <col min="7" max="7" width="21" style="23" customWidth="1"/>
    <col min="8" max="8" width="22.453125" style="23" customWidth="1"/>
    <col min="9" max="9" width="22.453125" style="119" customWidth="1"/>
    <col min="10" max="10" width="49.36328125" style="23" customWidth="1"/>
    <col min="11" max="11" width="11.81640625" style="131" customWidth="1"/>
    <col min="12" max="12" width="11.81640625" style="23" bestFit="1" customWidth="1"/>
    <col min="13" max="13" width="41.81640625" style="23" customWidth="1"/>
    <col min="14" max="14" width="54.54296875" style="23" customWidth="1"/>
    <col min="15" max="15" width="22.453125" style="23" customWidth="1"/>
    <col min="16" max="16" width="23.6328125" style="23" customWidth="1"/>
    <col min="17" max="17" width="23.453125" style="23" customWidth="1"/>
    <col min="18" max="18" width="17.453125" style="23" customWidth="1"/>
    <col min="19" max="19" width="26.54296875" style="23" customWidth="1"/>
    <col min="20" max="20" width="25.1796875" style="23" customWidth="1"/>
    <col min="21" max="21" width="25.1796875" style="541" hidden="1" customWidth="1"/>
    <col min="22" max="22" width="39.54296875" style="23" customWidth="1"/>
    <col min="23" max="23" width="9.1796875" style="23" customWidth="1"/>
    <col min="24" max="24" width="33.26953125" style="24" customWidth="1"/>
    <col min="25" max="25" width="26.6328125" style="23" customWidth="1"/>
    <col min="26" max="16384" width="9.1796875" style="23"/>
  </cols>
  <sheetData>
    <row r="1" spans="2:24" x14ac:dyDescent="0.35">
      <c r="K1" s="23"/>
    </row>
    <row r="2" spans="2:24" ht="47.25" customHeight="1" x14ac:dyDescent="1">
      <c r="B2" s="640" t="s">
        <v>54</v>
      </c>
      <c r="C2" s="640"/>
      <c r="D2" s="640"/>
      <c r="E2" s="640"/>
      <c r="F2" s="21"/>
      <c r="G2" s="21"/>
      <c r="H2" s="22"/>
      <c r="I2" s="121"/>
      <c r="J2" s="22"/>
      <c r="K2" s="23"/>
    </row>
    <row r="3" spans="2:24" ht="15.5" x14ac:dyDescent="0.35">
      <c r="B3" s="99"/>
      <c r="K3" s="23"/>
    </row>
    <row r="4" spans="2:24" ht="16" thickBot="1" x14ac:dyDescent="0.4">
      <c r="B4" s="25"/>
      <c r="K4" s="23"/>
    </row>
    <row r="5" spans="2:24" ht="36" x14ac:dyDescent="0.8">
      <c r="B5" s="83" t="s">
        <v>55</v>
      </c>
      <c r="C5" s="100"/>
      <c r="D5" s="197"/>
      <c r="E5" s="100"/>
      <c r="F5" s="100"/>
      <c r="G5" s="100"/>
      <c r="H5" s="100"/>
      <c r="I5" s="122"/>
      <c r="J5" s="100"/>
      <c r="K5" s="100"/>
      <c r="L5" s="100"/>
      <c r="M5" s="101"/>
    </row>
    <row r="6" spans="2:24" ht="189" customHeight="1" thickBot="1" x14ac:dyDescent="0.55000000000000004">
      <c r="B6" s="641" t="s">
        <v>56</v>
      </c>
      <c r="C6" s="642"/>
      <c r="D6" s="642"/>
      <c r="E6" s="642"/>
      <c r="F6" s="642"/>
      <c r="G6" s="642"/>
      <c r="H6" s="642"/>
      <c r="I6" s="643"/>
      <c r="J6" s="642"/>
      <c r="K6" s="642"/>
      <c r="L6" s="642"/>
      <c r="M6" s="644"/>
    </row>
    <row r="7" spans="2:24" ht="15.75" customHeight="1" x14ac:dyDescent="0.35">
      <c r="B7" s="26"/>
      <c r="K7" s="23"/>
    </row>
    <row r="8" spans="2:24" ht="15.75" customHeight="1" thickBot="1" x14ac:dyDescent="0.4">
      <c r="K8" s="23"/>
    </row>
    <row r="9" spans="2:24" ht="27" customHeight="1" thickBot="1" x14ac:dyDescent="0.65">
      <c r="B9" s="645" t="s">
        <v>57</v>
      </c>
      <c r="C9" s="646"/>
      <c r="D9" s="646"/>
      <c r="E9" s="646"/>
      <c r="F9" s="646"/>
      <c r="G9" s="646"/>
      <c r="H9" s="647"/>
      <c r="I9" s="123"/>
      <c r="K9" s="23"/>
    </row>
    <row r="10" spans="2:24" x14ac:dyDescent="0.35">
      <c r="K10" s="23"/>
    </row>
    <row r="11" spans="2:24" ht="25.5" customHeight="1" x14ac:dyDescent="0.7">
      <c r="B11" s="667" t="s">
        <v>412</v>
      </c>
      <c r="C11" s="667"/>
      <c r="D11" s="667"/>
      <c r="E11" s="667"/>
      <c r="F11" s="667"/>
      <c r="G11" s="667"/>
      <c r="H11" s="667"/>
      <c r="I11" s="667"/>
      <c r="J11" s="667"/>
      <c r="K11" s="667"/>
      <c r="L11" s="353"/>
      <c r="M11" s="668" t="s">
        <v>413</v>
      </c>
      <c r="N11" s="668"/>
      <c r="O11" s="668"/>
      <c r="P11" s="668"/>
      <c r="Q11" s="668"/>
      <c r="R11" s="668"/>
      <c r="S11" s="668"/>
      <c r="T11" s="668"/>
      <c r="U11" s="668"/>
      <c r="V11" s="668"/>
      <c r="W11" s="668"/>
      <c r="X11" s="668"/>
    </row>
    <row r="12" spans="2:24" ht="135" customHeight="1" x14ac:dyDescent="0.35">
      <c r="B12" s="14" t="s">
        <v>58</v>
      </c>
      <c r="C12" s="14" t="s">
        <v>59</v>
      </c>
      <c r="D12" s="199" t="s">
        <v>60</v>
      </c>
      <c r="E12" s="14" t="s">
        <v>61</v>
      </c>
      <c r="F12" s="14" t="s">
        <v>62</v>
      </c>
      <c r="G12" s="14" t="s">
        <v>63</v>
      </c>
      <c r="H12" s="14" t="s">
        <v>64</v>
      </c>
      <c r="I12" s="14" t="s">
        <v>65</v>
      </c>
      <c r="J12" s="14" t="s">
        <v>66</v>
      </c>
      <c r="K12" s="164" t="s">
        <v>67</v>
      </c>
      <c r="L12" s="353"/>
      <c r="M12" s="14" t="s">
        <v>58</v>
      </c>
      <c r="N12" s="14" t="s">
        <v>59</v>
      </c>
      <c r="O12" s="199" t="s">
        <v>60</v>
      </c>
      <c r="P12" s="14" t="s">
        <v>61</v>
      </c>
      <c r="Q12" s="14" t="s">
        <v>62</v>
      </c>
      <c r="R12" s="14" t="s">
        <v>63</v>
      </c>
      <c r="S12" s="14" t="s">
        <v>64</v>
      </c>
      <c r="T12" s="14" t="s">
        <v>65</v>
      </c>
      <c r="U12" s="542" t="s">
        <v>955</v>
      </c>
      <c r="V12" s="14" t="s">
        <v>66</v>
      </c>
      <c r="W12" s="164" t="s">
        <v>67</v>
      </c>
    </row>
    <row r="13" spans="2:24" ht="18.75" customHeight="1" x14ac:dyDescent="0.35">
      <c r="B13" s="247"/>
      <c r="C13" s="247"/>
      <c r="D13" s="200" t="s">
        <v>7</v>
      </c>
      <c r="E13" s="52" t="s">
        <v>8</v>
      </c>
      <c r="F13" s="52"/>
      <c r="G13" s="52"/>
      <c r="H13" s="247"/>
      <c r="I13" s="248"/>
      <c r="J13" s="247"/>
      <c r="K13" s="247"/>
      <c r="L13" s="353"/>
      <c r="M13" s="247"/>
      <c r="N13" s="247"/>
      <c r="O13" s="200" t="s">
        <v>7</v>
      </c>
      <c r="P13" s="52" t="s">
        <v>8</v>
      </c>
      <c r="Q13" s="52"/>
      <c r="R13" s="52"/>
      <c r="S13" s="247"/>
      <c r="T13" s="248"/>
      <c r="U13" s="543"/>
      <c r="V13" s="247"/>
      <c r="W13" s="247"/>
    </row>
    <row r="14" spans="2:24" ht="15.65" customHeight="1" x14ac:dyDescent="0.35">
      <c r="B14" s="72" t="s">
        <v>68</v>
      </c>
      <c r="C14" s="509" t="s">
        <v>69</v>
      </c>
      <c r="D14" s="507"/>
      <c r="E14" s="507"/>
      <c r="F14" s="507"/>
      <c r="G14" s="507"/>
      <c r="H14" s="507"/>
      <c r="I14" s="508"/>
      <c r="J14" s="507"/>
      <c r="K14" s="23">
        <v>0</v>
      </c>
      <c r="L14" s="353"/>
      <c r="M14" s="72" t="s">
        <v>68</v>
      </c>
      <c r="N14" s="648" t="s">
        <v>69</v>
      </c>
      <c r="O14" s="648"/>
      <c r="P14" s="648"/>
      <c r="Q14" s="648"/>
      <c r="R14" s="648"/>
      <c r="S14" s="648"/>
      <c r="T14" s="635"/>
      <c r="U14" s="635"/>
      <c r="V14" s="648"/>
      <c r="W14" s="23">
        <v>0</v>
      </c>
    </row>
    <row r="15" spans="2:24" ht="29.15" customHeight="1" x14ac:dyDescent="0.35">
      <c r="B15" s="72" t="s">
        <v>70</v>
      </c>
      <c r="C15" s="649" t="s">
        <v>71</v>
      </c>
      <c r="D15" s="649"/>
      <c r="E15" s="649"/>
      <c r="F15" s="649"/>
      <c r="G15" s="649"/>
      <c r="H15" s="649"/>
      <c r="I15" s="633"/>
      <c r="J15" s="649"/>
      <c r="K15" s="23"/>
      <c r="L15" s="353"/>
      <c r="M15" s="72" t="s">
        <v>70</v>
      </c>
      <c r="N15" s="649" t="s">
        <v>71</v>
      </c>
      <c r="O15" s="649"/>
      <c r="P15" s="649"/>
      <c r="Q15" s="649"/>
      <c r="R15" s="649"/>
      <c r="S15" s="649"/>
      <c r="T15" s="633"/>
      <c r="U15" s="633"/>
      <c r="V15" s="649"/>
    </row>
    <row r="16" spans="2:24" ht="15.5" x14ac:dyDescent="0.35">
      <c r="B16" s="622" t="s">
        <v>72</v>
      </c>
      <c r="C16" s="166" t="s">
        <v>73</v>
      </c>
      <c r="D16" s="202">
        <v>30000</v>
      </c>
      <c r="E16" s="177"/>
      <c r="F16" s="177"/>
      <c r="G16" s="248">
        <f>D16+E16+F16</f>
        <v>30000</v>
      </c>
      <c r="H16" s="171">
        <v>0.4</v>
      </c>
      <c r="I16" s="177"/>
      <c r="J16" s="167" t="s">
        <v>74</v>
      </c>
      <c r="K16" s="181">
        <v>6</v>
      </c>
      <c r="L16" s="353"/>
      <c r="M16" s="622" t="s">
        <v>72</v>
      </c>
      <c r="N16" s="166" t="s">
        <v>73</v>
      </c>
      <c r="O16" s="202">
        <v>30000</v>
      </c>
      <c r="P16" s="177"/>
      <c r="Q16" s="177"/>
      <c r="R16" s="248">
        <f>O16+P16+Q16</f>
        <v>30000</v>
      </c>
      <c r="S16" s="171">
        <v>0.4</v>
      </c>
      <c r="T16" s="527">
        <v>30000</v>
      </c>
      <c r="U16" s="544">
        <f t="shared" ref="U16:U28" si="0">T16*40/100</f>
        <v>12000</v>
      </c>
      <c r="V16" s="167" t="s">
        <v>74</v>
      </c>
      <c r="W16" s="181">
        <v>6</v>
      </c>
    </row>
    <row r="17" spans="2:23" ht="31" x14ac:dyDescent="0.35">
      <c r="B17" s="623"/>
      <c r="C17" s="166" t="s">
        <v>75</v>
      </c>
      <c r="D17" s="202">
        <v>5000</v>
      </c>
      <c r="E17" s="177"/>
      <c r="F17" s="177"/>
      <c r="G17" s="248">
        <f t="shared" ref="G17:G34" si="1">D17+E17+F17</f>
        <v>5000</v>
      </c>
      <c r="H17" s="171">
        <v>0</v>
      </c>
      <c r="I17" s="177"/>
      <c r="J17" s="167" t="s">
        <v>76</v>
      </c>
      <c r="K17" s="181">
        <v>6</v>
      </c>
      <c r="L17" s="353"/>
      <c r="M17" s="623"/>
      <c r="N17" s="166" t="s">
        <v>75</v>
      </c>
      <c r="O17" s="202">
        <v>5000</v>
      </c>
      <c r="P17" s="177"/>
      <c r="Q17" s="177"/>
      <c r="R17" s="248">
        <f t="shared" ref="R17:R20" si="2">O17+P17+Q17</f>
        <v>5000</v>
      </c>
      <c r="S17" s="171">
        <v>0</v>
      </c>
      <c r="T17" s="527">
        <v>5000</v>
      </c>
      <c r="U17" s="544"/>
      <c r="V17" s="167" t="s">
        <v>76</v>
      </c>
      <c r="W17" s="181">
        <v>6</v>
      </c>
    </row>
    <row r="18" spans="2:23" ht="35.15" customHeight="1" x14ac:dyDescent="0.35">
      <c r="B18" s="623"/>
      <c r="C18" s="166" t="s">
        <v>77</v>
      </c>
      <c r="D18" s="202">
        <v>10000</v>
      </c>
      <c r="E18" s="177"/>
      <c r="F18" s="177"/>
      <c r="G18" s="248">
        <f t="shared" si="1"/>
        <v>10000</v>
      </c>
      <c r="H18" s="171">
        <v>0.4</v>
      </c>
      <c r="I18" s="177"/>
      <c r="J18" s="167" t="s">
        <v>78</v>
      </c>
      <c r="K18" s="181">
        <v>6</v>
      </c>
      <c r="L18" s="353"/>
      <c r="M18" s="623"/>
      <c r="N18" s="166" t="s">
        <v>77</v>
      </c>
      <c r="O18" s="202">
        <v>10000</v>
      </c>
      <c r="P18" s="177"/>
      <c r="Q18" s="177"/>
      <c r="R18" s="248">
        <f t="shared" si="2"/>
        <v>10000</v>
      </c>
      <c r="S18" s="171">
        <v>0.4</v>
      </c>
      <c r="T18" s="527">
        <v>10000</v>
      </c>
      <c r="U18" s="544">
        <f t="shared" si="0"/>
        <v>4000</v>
      </c>
      <c r="V18" s="167" t="s">
        <v>78</v>
      </c>
      <c r="W18" s="181">
        <v>6</v>
      </c>
    </row>
    <row r="19" spans="2:23" ht="31" x14ac:dyDescent="0.35">
      <c r="B19" s="623"/>
      <c r="C19" s="166" t="s">
        <v>79</v>
      </c>
      <c r="D19" s="202">
        <v>5000</v>
      </c>
      <c r="E19" s="177"/>
      <c r="F19" s="177"/>
      <c r="G19" s="248">
        <f t="shared" si="1"/>
        <v>5000</v>
      </c>
      <c r="H19" s="171">
        <v>0.3</v>
      </c>
      <c r="I19" s="177"/>
      <c r="J19" s="167" t="s">
        <v>80</v>
      </c>
      <c r="K19" s="181">
        <v>6</v>
      </c>
      <c r="L19" s="353"/>
      <c r="M19" s="623"/>
      <c r="N19" s="166" t="s">
        <v>79</v>
      </c>
      <c r="O19" s="202">
        <v>5000</v>
      </c>
      <c r="P19" s="177"/>
      <c r="Q19" s="177"/>
      <c r="R19" s="248">
        <f t="shared" si="2"/>
        <v>5000</v>
      </c>
      <c r="S19" s="171">
        <v>0.3</v>
      </c>
      <c r="T19" s="527">
        <v>5000</v>
      </c>
      <c r="U19" s="544">
        <f>T19*30/100</f>
        <v>1500</v>
      </c>
      <c r="V19" s="167" t="s">
        <v>80</v>
      </c>
      <c r="W19" s="181">
        <v>6</v>
      </c>
    </row>
    <row r="20" spans="2:23" ht="31" x14ac:dyDescent="0.35">
      <c r="B20" s="623"/>
      <c r="C20" s="166" t="s">
        <v>81</v>
      </c>
      <c r="D20" s="202">
        <v>10000</v>
      </c>
      <c r="E20" s="177"/>
      <c r="F20" s="177"/>
      <c r="G20" s="248">
        <f t="shared" si="1"/>
        <v>10000</v>
      </c>
      <c r="H20" s="171">
        <v>0.4</v>
      </c>
      <c r="I20" s="177"/>
      <c r="J20" s="167" t="s">
        <v>82</v>
      </c>
      <c r="K20" s="181">
        <v>6</v>
      </c>
      <c r="L20" s="353"/>
      <c r="M20" s="623"/>
      <c r="N20" s="166" t="s">
        <v>81</v>
      </c>
      <c r="O20" s="202">
        <v>10000</v>
      </c>
      <c r="P20" s="177"/>
      <c r="Q20" s="177"/>
      <c r="R20" s="248">
        <f t="shared" si="2"/>
        <v>10000</v>
      </c>
      <c r="S20" s="171">
        <v>0.4</v>
      </c>
      <c r="T20" s="527">
        <v>10000</v>
      </c>
      <c r="U20" s="544">
        <f t="shared" si="0"/>
        <v>4000</v>
      </c>
      <c r="V20" s="167" t="s">
        <v>82</v>
      </c>
      <c r="W20" s="181">
        <v>6</v>
      </c>
    </row>
    <row r="21" spans="2:23" ht="15.5" x14ac:dyDescent="0.35">
      <c r="B21" s="624"/>
      <c r="C21" s="166"/>
      <c r="D21" s="202"/>
      <c r="E21" s="177"/>
      <c r="F21" s="177"/>
      <c r="G21" s="248"/>
      <c r="H21" s="171"/>
      <c r="I21" s="177"/>
      <c r="J21" s="167"/>
      <c r="K21" s="181"/>
      <c r="L21" s="353"/>
      <c r="M21" s="624"/>
      <c r="N21" s="166"/>
      <c r="O21" s="202"/>
      <c r="P21" s="177"/>
      <c r="Q21" s="177"/>
      <c r="R21" s="248"/>
      <c r="S21" s="171"/>
      <c r="T21" s="527"/>
      <c r="U21" s="544">
        <f t="shared" si="0"/>
        <v>0</v>
      </c>
      <c r="V21" s="167"/>
      <c r="W21" s="181"/>
    </row>
    <row r="22" spans="2:23" ht="31" x14ac:dyDescent="0.35">
      <c r="B22" s="622" t="s">
        <v>83</v>
      </c>
      <c r="C22" s="166" t="s">
        <v>84</v>
      </c>
      <c r="D22" s="202">
        <v>30000</v>
      </c>
      <c r="E22" s="177"/>
      <c r="F22" s="177"/>
      <c r="G22" s="248">
        <f t="shared" si="1"/>
        <v>30000</v>
      </c>
      <c r="H22" s="171">
        <v>0.4</v>
      </c>
      <c r="I22" s="177"/>
      <c r="J22" s="167" t="s">
        <v>85</v>
      </c>
      <c r="K22" s="181">
        <v>6</v>
      </c>
      <c r="L22" s="353"/>
      <c r="M22" s="622" t="s">
        <v>83</v>
      </c>
      <c r="N22" s="166" t="s">
        <v>84</v>
      </c>
      <c r="O22" s="202">
        <v>30000</v>
      </c>
      <c r="P22" s="177"/>
      <c r="Q22" s="177"/>
      <c r="R22" s="248">
        <f t="shared" ref="R22:R34" si="3">O22+P22+Q22</f>
        <v>30000</v>
      </c>
      <c r="S22" s="171">
        <v>0.4</v>
      </c>
      <c r="T22" s="527">
        <v>30000</v>
      </c>
      <c r="U22" s="544">
        <f t="shared" si="0"/>
        <v>12000</v>
      </c>
      <c r="V22" s="167" t="s">
        <v>85</v>
      </c>
      <c r="W22" s="181">
        <v>6</v>
      </c>
    </row>
    <row r="23" spans="2:23" ht="31" x14ac:dyDescent="0.35">
      <c r="B23" s="623"/>
      <c r="C23" s="166" t="s">
        <v>86</v>
      </c>
      <c r="D23" s="202">
        <v>15000</v>
      </c>
      <c r="E23" s="177"/>
      <c r="F23" s="177"/>
      <c r="G23" s="248">
        <f t="shared" si="1"/>
        <v>15000</v>
      </c>
      <c r="H23" s="171">
        <v>0.3</v>
      </c>
      <c r="I23" s="177"/>
      <c r="J23" s="167" t="s">
        <v>87</v>
      </c>
      <c r="K23" s="181">
        <v>6</v>
      </c>
      <c r="L23" s="353"/>
      <c r="M23" s="623"/>
      <c r="N23" s="166" t="s">
        <v>86</v>
      </c>
      <c r="O23" s="202">
        <v>15000</v>
      </c>
      <c r="P23" s="177"/>
      <c r="Q23" s="177"/>
      <c r="R23" s="248">
        <f t="shared" si="3"/>
        <v>15000</v>
      </c>
      <c r="S23" s="171">
        <v>0.3</v>
      </c>
      <c r="T23" s="527">
        <v>15000</v>
      </c>
      <c r="U23" s="544">
        <f>T23*30/100</f>
        <v>4500</v>
      </c>
      <c r="V23" s="167" t="s">
        <v>87</v>
      </c>
      <c r="W23" s="181">
        <v>6</v>
      </c>
    </row>
    <row r="24" spans="2:23" ht="31" x14ac:dyDescent="0.35">
      <c r="B24" s="623"/>
      <c r="C24" s="166" t="s">
        <v>88</v>
      </c>
      <c r="D24" s="202">
        <v>20000</v>
      </c>
      <c r="E24" s="177"/>
      <c r="F24" s="177"/>
      <c r="G24" s="248">
        <f t="shared" si="1"/>
        <v>20000</v>
      </c>
      <c r="H24" s="171">
        <v>0.4</v>
      </c>
      <c r="I24" s="177"/>
      <c r="J24" s="167" t="s">
        <v>89</v>
      </c>
      <c r="K24" s="181">
        <v>6</v>
      </c>
      <c r="L24" s="353"/>
      <c r="M24" s="623"/>
      <c r="N24" s="166" t="s">
        <v>88</v>
      </c>
      <c r="O24" s="202">
        <v>20000</v>
      </c>
      <c r="P24" s="177"/>
      <c r="Q24" s="177"/>
      <c r="R24" s="248">
        <f t="shared" si="3"/>
        <v>20000</v>
      </c>
      <c r="S24" s="171">
        <v>0.4</v>
      </c>
      <c r="T24" s="527">
        <v>20000</v>
      </c>
      <c r="U24" s="544">
        <f t="shared" si="0"/>
        <v>8000</v>
      </c>
      <c r="V24" s="167" t="s">
        <v>89</v>
      </c>
      <c r="W24" s="181">
        <v>6</v>
      </c>
    </row>
    <row r="25" spans="2:23" ht="31" x14ac:dyDescent="0.35">
      <c r="B25" s="624"/>
      <c r="C25" s="166" t="s">
        <v>90</v>
      </c>
      <c r="D25" s="202">
        <v>8000</v>
      </c>
      <c r="E25" s="177"/>
      <c r="F25" s="177"/>
      <c r="G25" s="248">
        <f t="shared" si="1"/>
        <v>8000</v>
      </c>
      <c r="H25" s="171">
        <v>0.4</v>
      </c>
      <c r="I25" s="177"/>
      <c r="J25" s="167" t="s">
        <v>91</v>
      </c>
      <c r="K25" s="181">
        <v>6</v>
      </c>
      <c r="L25" s="353"/>
      <c r="M25" s="624"/>
      <c r="N25" s="166" t="s">
        <v>90</v>
      </c>
      <c r="O25" s="202">
        <v>8000</v>
      </c>
      <c r="P25" s="177"/>
      <c r="Q25" s="177"/>
      <c r="R25" s="248">
        <f t="shared" si="3"/>
        <v>8000</v>
      </c>
      <c r="S25" s="171">
        <v>0.4</v>
      </c>
      <c r="T25" s="527">
        <v>8000</v>
      </c>
      <c r="U25" s="544">
        <f t="shared" si="0"/>
        <v>3200</v>
      </c>
      <c r="V25" s="167" t="s">
        <v>91</v>
      </c>
      <c r="W25" s="181">
        <v>6</v>
      </c>
    </row>
    <row r="26" spans="2:23" ht="31" x14ac:dyDescent="0.35">
      <c r="B26" s="622" t="s">
        <v>92</v>
      </c>
      <c r="C26" s="166" t="s">
        <v>93</v>
      </c>
      <c r="D26" s="202">
        <v>20000</v>
      </c>
      <c r="E26" s="177"/>
      <c r="F26" s="177"/>
      <c r="G26" s="248">
        <f t="shared" si="1"/>
        <v>20000</v>
      </c>
      <c r="H26" s="171">
        <v>0.3</v>
      </c>
      <c r="I26" s="177"/>
      <c r="J26" s="167" t="s">
        <v>94</v>
      </c>
      <c r="K26" s="181">
        <v>6</v>
      </c>
      <c r="L26" s="353"/>
      <c r="M26" s="622" t="s">
        <v>92</v>
      </c>
      <c r="N26" s="166" t="s">
        <v>93</v>
      </c>
      <c r="O26" s="202">
        <v>20000</v>
      </c>
      <c r="P26" s="177"/>
      <c r="Q26" s="177"/>
      <c r="R26" s="248">
        <f t="shared" si="3"/>
        <v>20000</v>
      </c>
      <c r="S26" s="171">
        <v>0.3</v>
      </c>
      <c r="T26" s="527">
        <v>20000</v>
      </c>
      <c r="U26" s="544">
        <f>T26*30/100</f>
        <v>6000</v>
      </c>
      <c r="V26" s="167" t="s">
        <v>94</v>
      </c>
      <c r="W26" s="181">
        <v>6</v>
      </c>
    </row>
    <row r="27" spans="2:23" ht="31" x14ac:dyDescent="0.35">
      <c r="B27" s="623"/>
      <c r="C27" s="166" t="s">
        <v>95</v>
      </c>
      <c r="D27" s="202">
        <v>4000</v>
      </c>
      <c r="E27" s="177"/>
      <c r="F27" s="177"/>
      <c r="G27" s="248">
        <f t="shared" si="1"/>
        <v>4000</v>
      </c>
      <c r="H27" s="171">
        <v>0.3</v>
      </c>
      <c r="I27" s="177"/>
      <c r="J27" s="167" t="s">
        <v>96</v>
      </c>
      <c r="K27" s="181">
        <v>6</v>
      </c>
      <c r="L27" s="353"/>
      <c r="M27" s="623"/>
      <c r="N27" s="166" t="s">
        <v>95</v>
      </c>
      <c r="O27" s="202">
        <v>4000</v>
      </c>
      <c r="P27" s="177"/>
      <c r="Q27" s="177"/>
      <c r="R27" s="248">
        <f t="shared" si="3"/>
        <v>4000</v>
      </c>
      <c r="S27" s="171">
        <v>0.3</v>
      </c>
      <c r="T27" s="527">
        <v>4000</v>
      </c>
      <c r="U27" s="544">
        <f>T27*30/100</f>
        <v>1200</v>
      </c>
      <c r="V27" s="167" t="s">
        <v>96</v>
      </c>
      <c r="W27" s="181">
        <v>6</v>
      </c>
    </row>
    <row r="28" spans="2:23" ht="31" x14ac:dyDescent="0.35">
      <c r="B28" s="623"/>
      <c r="C28" s="166" t="s">
        <v>97</v>
      </c>
      <c r="D28" s="202">
        <v>5000</v>
      </c>
      <c r="E28" s="177"/>
      <c r="F28" s="177"/>
      <c r="G28" s="248">
        <f t="shared" si="1"/>
        <v>5000</v>
      </c>
      <c r="H28" s="171">
        <v>0.4</v>
      </c>
      <c r="I28" s="177"/>
      <c r="J28" s="167" t="s">
        <v>98</v>
      </c>
      <c r="K28" s="181">
        <v>6</v>
      </c>
      <c r="L28" s="353"/>
      <c r="M28" s="623"/>
      <c r="N28" s="166" t="s">
        <v>97</v>
      </c>
      <c r="O28" s="202">
        <v>5000</v>
      </c>
      <c r="P28" s="177"/>
      <c r="Q28" s="177"/>
      <c r="R28" s="248">
        <f t="shared" si="3"/>
        <v>5000</v>
      </c>
      <c r="S28" s="171">
        <v>0.4</v>
      </c>
      <c r="T28" s="527">
        <v>5000</v>
      </c>
      <c r="U28" s="544">
        <f t="shared" si="0"/>
        <v>2000</v>
      </c>
      <c r="V28" s="167" t="s">
        <v>98</v>
      </c>
      <c r="W28" s="181">
        <v>6</v>
      </c>
    </row>
    <row r="29" spans="2:23" ht="15.5" x14ac:dyDescent="0.35">
      <c r="B29" s="624"/>
      <c r="C29" s="166"/>
      <c r="D29" s="202"/>
      <c r="E29" s="177"/>
      <c r="F29" s="177"/>
      <c r="G29" s="248">
        <f t="shared" si="1"/>
        <v>0</v>
      </c>
      <c r="H29" s="171"/>
      <c r="I29" s="177"/>
      <c r="J29" s="167"/>
      <c r="K29" s="181"/>
      <c r="L29" s="353"/>
      <c r="M29" s="624"/>
      <c r="N29" s="166"/>
      <c r="O29" s="202"/>
      <c r="P29" s="177"/>
      <c r="Q29" s="177"/>
      <c r="R29" s="248">
        <f t="shared" si="3"/>
        <v>0</v>
      </c>
      <c r="S29" s="171"/>
      <c r="T29" s="177"/>
      <c r="U29" s="544"/>
      <c r="V29" s="167"/>
      <c r="W29" s="181"/>
    </row>
    <row r="30" spans="2:23" ht="15.5" x14ac:dyDescent="0.35">
      <c r="B30" s="622" t="s">
        <v>99</v>
      </c>
      <c r="C30" s="166"/>
      <c r="D30" s="202"/>
      <c r="E30" s="177"/>
      <c r="F30" s="177"/>
      <c r="G30" s="248">
        <f t="shared" si="1"/>
        <v>0</v>
      </c>
      <c r="H30" s="171"/>
      <c r="I30" s="177"/>
      <c r="J30" s="167"/>
      <c r="K30" s="249"/>
      <c r="L30" s="353"/>
      <c r="M30" s="622" t="s">
        <v>99</v>
      </c>
      <c r="N30" s="166"/>
      <c r="O30" s="202"/>
      <c r="P30" s="177"/>
      <c r="Q30" s="177"/>
      <c r="R30" s="248">
        <f t="shared" si="3"/>
        <v>0</v>
      </c>
      <c r="S30" s="171"/>
      <c r="T30" s="177"/>
      <c r="U30" s="544"/>
      <c r="V30" s="167"/>
      <c r="W30" s="249"/>
    </row>
    <row r="31" spans="2:23" ht="15.5" x14ac:dyDescent="0.35">
      <c r="B31" s="623"/>
      <c r="C31" s="166"/>
      <c r="D31" s="202"/>
      <c r="E31" s="177"/>
      <c r="F31" s="177"/>
      <c r="G31" s="248">
        <f t="shared" si="1"/>
        <v>0</v>
      </c>
      <c r="H31" s="171"/>
      <c r="I31" s="177"/>
      <c r="J31" s="167"/>
      <c r="K31" s="249"/>
      <c r="L31" s="353"/>
      <c r="M31" s="623"/>
      <c r="N31" s="166"/>
      <c r="O31" s="202"/>
      <c r="P31" s="177"/>
      <c r="Q31" s="177"/>
      <c r="R31" s="248">
        <f t="shared" si="3"/>
        <v>0</v>
      </c>
      <c r="S31" s="171"/>
      <c r="T31" s="177"/>
      <c r="U31" s="544"/>
      <c r="V31" s="167"/>
      <c r="W31" s="249"/>
    </row>
    <row r="32" spans="2:23" ht="15.5" x14ac:dyDescent="0.35">
      <c r="B32" s="623"/>
      <c r="C32" s="166"/>
      <c r="D32" s="202"/>
      <c r="E32" s="177"/>
      <c r="F32" s="177"/>
      <c r="G32" s="248">
        <f t="shared" si="1"/>
        <v>0</v>
      </c>
      <c r="H32" s="171"/>
      <c r="I32" s="177"/>
      <c r="J32" s="167"/>
      <c r="K32" s="249"/>
      <c r="L32" s="353"/>
      <c r="M32" s="623"/>
      <c r="N32" s="166"/>
      <c r="O32" s="202"/>
      <c r="P32" s="177"/>
      <c r="Q32" s="177"/>
      <c r="R32" s="248">
        <f t="shared" si="3"/>
        <v>0</v>
      </c>
      <c r="S32" s="171"/>
      <c r="T32" s="177"/>
      <c r="U32" s="544"/>
      <c r="V32" s="167"/>
      <c r="W32" s="249"/>
    </row>
    <row r="33" spans="1:23" ht="15.5" x14ac:dyDescent="0.35">
      <c r="B33" s="623"/>
      <c r="C33" s="166"/>
      <c r="D33" s="202"/>
      <c r="E33" s="177"/>
      <c r="F33" s="177"/>
      <c r="G33" s="248">
        <f t="shared" si="1"/>
        <v>0</v>
      </c>
      <c r="H33" s="171"/>
      <c r="I33" s="177"/>
      <c r="J33" s="167"/>
      <c r="K33" s="249"/>
      <c r="L33" s="353"/>
      <c r="M33" s="623"/>
      <c r="N33" s="166"/>
      <c r="O33" s="202"/>
      <c r="P33" s="177"/>
      <c r="Q33" s="177"/>
      <c r="R33" s="248">
        <f t="shared" si="3"/>
        <v>0</v>
      </c>
      <c r="S33" s="171"/>
      <c r="T33" s="177"/>
      <c r="U33" s="544"/>
      <c r="V33" s="167"/>
      <c r="W33" s="249"/>
    </row>
    <row r="34" spans="1:23" ht="15.5" x14ac:dyDescent="0.35">
      <c r="B34" s="624"/>
      <c r="C34" s="166"/>
      <c r="D34" s="202"/>
      <c r="E34" s="177"/>
      <c r="F34" s="177"/>
      <c r="G34" s="248">
        <f t="shared" si="1"/>
        <v>0</v>
      </c>
      <c r="H34" s="171"/>
      <c r="I34" s="177"/>
      <c r="J34" s="167"/>
      <c r="K34" s="249"/>
      <c r="L34" s="353"/>
      <c r="M34" s="624"/>
      <c r="N34" s="166"/>
      <c r="O34" s="202"/>
      <c r="P34" s="177"/>
      <c r="Q34" s="177"/>
      <c r="R34" s="248">
        <f t="shared" si="3"/>
        <v>0</v>
      </c>
      <c r="S34" s="171"/>
      <c r="T34" s="177"/>
      <c r="U34" s="544"/>
      <c r="V34" s="167"/>
      <c r="W34" s="249"/>
    </row>
    <row r="35" spans="1:23" ht="15.5" x14ac:dyDescent="0.35">
      <c r="A35" s="24"/>
      <c r="C35" s="73" t="s">
        <v>100</v>
      </c>
      <c r="D35" s="201">
        <f>SUM(D16:D34)</f>
        <v>162000</v>
      </c>
      <c r="E35" s="10">
        <f>SUM(E16:E34)</f>
        <v>0</v>
      </c>
      <c r="F35" s="10">
        <f>SUM(F16:F34)</f>
        <v>0</v>
      </c>
      <c r="G35" s="10">
        <f>SUM(G16:G34)</f>
        <v>162000</v>
      </c>
      <c r="H35" s="10">
        <f>(H16*G16)+(H17*G17)+(H18*G18)+(H19*G19)+(H20*G20)+(H21*G21)+(H22*G22)+(H23*G23)+(H24*G24)+(H25*G25)+(H26*G26)+(H27*G27)+(H28*G28)+(H29*G29)+(H30*G30)+(H31*G31)+(H32*G32)+(H33*G33)+(H34*G34)</f>
        <v>58400</v>
      </c>
      <c r="I35" s="10">
        <f>SUM(I16:I34)</f>
        <v>0</v>
      </c>
      <c r="J35" s="170"/>
      <c r="K35" s="133"/>
      <c r="L35" s="353"/>
      <c r="N35" s="73" t="s">
        <v>100</v>
      </c>
      <c r="O35" s="201">
        <f>SUM(O16:O34)</f>
        <v>162000</v>
      </c>
      <c r="P35" s="10">
        <f>SUM(P16:P34)</f>
        <v>0</v>
      </c>
      <c r="Q35" s="10">
        <f>SUM(Q16:Q34)</f>
        <v>0</v>
      </c>
      <c r="R35" s="10">
        <f>SUM(R16:R34)</f>
        <v>162000</v>
      </c>
      <c r="S35" s="10">
        <f>(S16*R16)+(S17*R17)+(S18*R18)+(S19*R19)+(S20*R20)+(S21*R21)+(S22*R22)+(S23*R23)+(S24*R24)+(S25*R25)+(S26*R26)+(S27*R27)+(S28*R28)+(S29*R29)+(S30*R30)+(S31*R31)+(S32*R32)+(S33*R33)+(S34*R34)</f>
        <v>58400</v>
      </c>
      <c r="T35" s="10">
        <f>SUM(T16:T34)</f>
        <v>162000</v>
      </c>
      <c r="U35" s="545">
        <f>SUM(U16:U34)</f>
        <v>58400</v>
      </c>
      <c r="V35" s="170"/>
      <c r="W35" s="133"/>
    </row>
    <row r="36" spans="1:23" ht="39" customHeight="1" x14ac:dyDescent="0.35">
      <c r="A36" s="24"/>
      <c r="B36" s="72" t="s">
        <v>101</v>
      </c>
      <c r="C36" s="630" t="s">
        <v>102</v>
      </c>
      <c r="D36" s="630"/>
      <c r="E36" s="630"/>
      <c r="F36" s="630"/>
      <c r="G36" s="630"/>
      <c r="H36" s="630"/>
      <c r="I36" s="631"/>
      <c r="J36" s="630"/>
      <c r="K36" s="134"/>
      <c r="L36" s="353"/>
      <c r="M36" s="72" t="s">
        <v>101</v>
      </c>
      <c r="N36" s="630" t="s">
        <v>102</v>
      </c>
      <c r="O36" s="630"/>
      <c r="P36" s="630"/>
      <c r="Q36" s="630"/>
      <c r="R36" s="630"/>
      <c r="S36" s="630"/>
      <c r="T36" s="631"/>
      <c r="U36" s="631"/>
      <c r="V36" s="630"/>
      <c r="W36" s="134"/>
    </row>
    <row r="37" spans="1:23" ht="33" customHeight="1" x14ac:dyDescent="0.35">
      <c r="A37" s="24"/>
      <c r="B37" s="622" t="s">
        <v>103</v>
      </c>
      <c r="C37" s="166" t="s">
        <v>104</v>
      </c>
      <c r="D37" s="202">
        <v>15000</v>
      </c>
      <c r="E37" s="177"/>
      <c r="F37" s="177"/>
      <c r="G37" s="248">
        <f t="shared" ref="G37:G61" si="4">D37+E37+F37</f>
        <v>15000</v>
      </c>
      <c r="H37" s="171">
        <v>0.4</v>
      </c>
      <c r="I37" s="177"/>
      <c r="J37" s="167" t="s">
        <v>105</v>
      </c>
      <c r="K37" s="181">
        <v>6</v>
      </c>
      <c r="L37" s="353"/>
      <c r="M37" s="622" t="s">
        <v>103</v>
      </c>
      <c r="N37" s="166" t="s">
        <v>104</v>
      </c>
      <c r="O37" s="202">
        <v>15000</v>
      </c>
      <c r="P37" s="177"/>
      <c r="Q37" s="177"/>
      <c r="R37" s="248">
        <f t="shared" ref="R37:R61" si="5">O37+P37+Q37</f>
        <v>15000</v>
      </c>
      <c r="S37" s="171">
        <v>0.4</v>
      </c>
      <c r="T37" s="527">
        <v>15000</v>
      </c>
      <c r="U37" s="544"/>
      <c r="V37" s="167" t="s">
        <v>105</v>
      </c>
      <c r="W37" s="181">
        <v>6</v>
      </c>
    </row>
    <row r="38" spans="1:23" ht="15.5" x14ac:dyDescent="0.35">
      <c r="A38" s="24"/>
      <c r="B38" s="623"/>
      <c r="C38" s="166" t="s">
        <v>106</v>
      </c>
      <c r="D38" s="202">
        <v>5000</v>
      </c>
      <c r="E38" s="177"/>
      <c r="F38" s="177"/>
      <c r="G38" s="248">
        <f t="shared" si="4"/>
        <v>5000</v>
      </c>
      <c r="H38" s="171">
        <v>0.4</v>
      </c>
      <c r="I38" s="177"/>
      <c r="J38" s="167" t="s">
        <v>107</v>
      </c>
      <c r="K38" s="181">
        <v>6</v>
      </c>
      <c r="L38" s="353"/>
      <c r="M38" s="623"/>
      <c r="N38" s="166" t="s">
        <v>106</v>
      </c>
      <c r="O38" s="202">
        <v>5000</v>
      </c>
      <c r="P38" s="177"/>
      <c r="Q38" s="177"/>
      <c r="R38" s="248">
        <f t="shared" si="5"/>
        <v>5000</v>
      </c>
      <c r="S38" s="171">
        <v>0.4</v>
      </c>
      <c r="T38" s="527">
        <v>5000</v>
      </c>
      <c r="U38" s="544"/>
      <c r="V38" s="167" t="s">
        <v>107</v>
      </c>
      <c r="W38" s="181">
        <v>6</v>
      </c>
    </row>
    <row r="39" spans="1:23" ht="31" x14ac:dyDescent="0.35">
      <c r="A39" s="24"/>
      <c r="B39" s="624"/>
      <c r="C39" s="166" t="s">
        <v>108</v>
      </c>
      <c r="D39" s="202">
        <v>4000</v>
      </c>
      <c r="E39" s="177"/>
      <c r="F39" s="177"/>
      <c r="G39" s="248">
        <f t="shared" si="4"/>
        <v>4000</v>
      </c>
      <c r="H39" s="171">
        <v>0.3</v>
      </c>
      <c r="I39" s="177"/>
      <c r="J39" s="167" t="s">
        <v>109</v>
      </c>
      <c r="K39" s="181">
        <v>6</v>
      </c>
      <c r="L39" s="353"/>
      <c r="M39" s="624"/>
      <c r="N39" s="166" t="s">
        <v>108</v>
      </c>
      <c r="O39" s="202">
        <v>4000</v>
      </c>
      <c r="P39" s="177"/>
      <c r="Q39" s="177"/>
      <c r="R39" s="248">
        <f t="shared" si="5"/>
        <v>4000</v>
      </c>
      <c r="S39" s="171">
        <v>0.3</v>
      </c>
      <c r="T39" s="527">
        <v>4000</v>
      </c>
      <c r="U39" s="544"/>
      <c r="V39" s="167" t="s">
        <v>109</v>
      </c>
      <c r="W39" s="181">
        <v>6</v>
      </c>
    </row>
    <row r="40" spans="1:23" ht="31" x14ac:dyDescent="0.35">
      <c r="A40" s="24"/>
      <c r="B40" s="622" t="s">
        <v>110</v>
      </c>
      <c r="C40" s="166" t="s">
        <v>111</v>
      </c>
      <c r="D40" s="202">
        <v>13000</v>
      </c>
      <c r="E40" s="177"/>
      <c r="F40" s="177"/>
      <c r="G40" s="248">
        <f t="shared" si="4"/>
        <v>13000</v>
      </c>
      <c r="H40" s="171">
        <v>0.3</v>
      </c>
      <c r="I40" s="177"/>
      <c r="J40" s="167" t="s">
        <v>94</v>
      </c>
      <c r="K40" s="181">
        <v>6</v>
      </c>
      <c r="L40" s="353"/>
      <c r="M40" s="622" t="s">
        <v>110</v>
      </c>
      <c r="N40" s="166" t="s">
        <v>111</v>
      </c>
      <c r="O40" s="202">
        <v>13000</v>
      </c>
      <c r="P40" s="177"/>
      <c r="Q40" s="177"/>
      <c r="R40" s="248">
        <f t="shared" si="5"/>
        <v>13000</v>
      </c>
      <c r="S40" s="171">
        <v>0.3</v>
      </c>
      <c r="T40" s="527">
        <v>13000</v>
      </c>
      <c r="U40" s="544"/>
      <c r="V40" s="167" t="s">
        <v>94</v>
      </c>
      <c r="W40" s="181">
        <v>6</v>
      </c>
    </row>
    <row r="41" spans="1:23" ht="31" x14ac:dyDescent="0.35">
      <c r="A41" s="24"/>
      <c r="B41" s="623"/>
      <c r="C41" s="166" t="s">
        <v>112</v>
      </c>
      <c r="D41" s="202">
        <v>45000</v>
      </c>
      <c r="E41" s="177"/>
      <c r="F41" s="177"/>
      <c r="G41" s="248">
        <f t="shared" si="4"/>
        <v>45000</v>
      </c>
      <c r="H41" s="171">
        <v>0.3</v>
      </c>
      <c r="I41" s="177"/>
      <c r="J41" s="167" t="s">
        <v>113</v>
      </c>
      <c r="K41" s="181">
        <v>6</v>
      </c>
      <c r="L41" s="353"/>
      <c r="M41" s="623"/>
      <c r="N41" s="166" t="s">
        <v>112</v>
      </c>
      <c r="O41" s="202">
        <v>45000</v>
      </c>
      <c r="P41" s="177"/>
      <c r="Q41" s="177"/>
      <c r="R41" s="248">
        <f t="shared" si="5"/>
        <v>45000</v>
      </c>
      <c r="S41" s="171">
        <v>0.3</v>
      </c>
      <c r="T41" s="527">
        <v>45000</v>
      </c>
      <c r="U41" s="544"/>
      <c r="V41" s="167" t="s">
        <v>113</v>
      </c>
      <c r="W41" s="181">
        <v>6</v>
      </c>
    </row>
    <row r="42" spans="1:23" ht="31" x14ac:dyDescent="0.35">
      <c r="A42" s="24"/>
      <c r="B42" s="623"/>
      <c r="C42" s="166" t="s">
        <v>114</v>
      </c>
      <c r="D42" s="202">
        <v>20000</v>
      </c>
      <c r="E42" s="177"/>
      <c r="F42" s="177"/>
      <c r="G42" s="248">
        <f t="shared" si="4"/>
        <v>20000</v>
      </c>
      <c r="H42" s="171">
        <v>0.3</v>
      </c>
      <c r="I42" s="177"/>
      <c r="J42" s="167" t="s">
        <v>115</v>
      </c>
      <c r="K42" s="181">
        <v>6</v>
      </c>
      <c r="L42" s="353"/>
      <c r="M42" s="623"/>
      <c r="N42" s="166" t="s">
        <v>114</v>
      </c>
      <c r="O42" s="202">
        <v>20000</v>
      </c>
      <c r="P42" s="177"/>
      <c r="Q42" s="177"/>
      <c r="R42" s="248">
        <f t="shared" si="5"/>
        <v>20000</v>
      </c>
      <c r="S42" s="171">
        <v>0.3</v>
      </c>
      <c r="T42" s="527">
        <v>20000</v>
      </c>
      <c r="U42" s="544"/>
      <c r="V42" s="167" t="s">
        <v>115</v>
      </c>
      <c r="W42" s="181">
        <v>6</v>
      </c>
    </row>
    <row r="43" spans="1:23" ht="31" x14ac:dyDescent="0.35">
      <c r="A43" s="24"/>
      <c r="B43" s="622" t="s">
        <v>116</v>
      </c>
      <c r="C43" s="166" t="s">
        <v>117</v>
      </c>
      <c r="D43" s="202">
        <v>10000</v>
      </c>
      <c r="E43" s="177"/>
      <c r="F43" s="177"/>
      <c r="G43" s="248">
        <f t="shared" si="4"/>
        <v>10000</v>
      </c>
      <c r="H43" s="171">
        <v>0.3</v>
      </c>
      <c r="I43" s="177"/>
      <c r="J43" s="167" t="s">
        <v>118</v>
      </c>
      <c r="K43" s="181">
        <v>6</v>
      </c>
      <c r="L43" s="353"/>
      <c r="M43" s="622" t="s">
        <v>116</v>
      </c>
      <c r="N43" s="166" t="s">
        <v>117</v>
      </c>
      <c r="O43" s="202">
        <v>10000</v>
      </c>
      <c r="P43" s="177"/>
      <c r="Q43" s="177"/>
      <c r="R43" s="248">
        <f t="shared" si="5"/>
        <v>10000</v>
      </c>
      <c r="S43" s="171">
        <v>0.3</v>
      </c>
      <c r="T43" s="527">
        <v>10000</v>
      </c>
      <c r="U43" s="544"/>
      <c r="V43" s="167" t="s">
        <v>118</v>
      </c>
      <c r="W43" s="181">
        <v>6</v>
      </c>
    </row>
    <row r="44" spans="1:23" ht="31" x14ac:dyDescent="0.35">
      <c r="A44" s="24"/>
      <c r="B44" s="623"/>
      <c r="C44" s="166" t="s">
        <v>119</v>
      </c>
      <c r="D44" s="202">
        <f>15000+15000</f>
        <v>30000</v>
      </c>
      <c r="E44" s="177"/>
      <c r="F44" s="177"/>
      <c r="G44" s="248">
        <f t="shared" si="4"/>
        <v>30000</v>
      </c>
      <c r="H44" s="171">
        <v>0.3</v>
      </c>
      <c r="I44" s="177"/>
      <c r="J44" s="167" t="s">
        <v>94</v>
      </c>
      <c r="K44" s="181">
        <v>6</v>
      </c>
      <c r="L44" s="353"/>
      <c r="M44" s="623"/>
      <c r="N44" s="166" t="s">
        <v>119</v>
      </c>
      <c r="O44" s="202">
        <f>15000+15000</f>
        <v>30000</v>
      </c>
      <c r="P44" s="177"/>
      <c r="Q44" s="177"/>
      <c r="R44" s="248">
        <f t="shared" si="5"/>
        <v>30000</v>
      </c>
      <c r="S44" s="171">
        <v>0.3</v>
      </c>
      <c r="T44" s="527">
        <v>30000</v>
      </c>
      <c r="U44" s="544"/>
      <c r="V44" s="167" t="s">
        <v>94</v>
      </c>
      <c r="W44" s="181">
        <v>6</v>
      </c>
    </row>
    <row r="45" spans="1:23" ht="31" x14ac:dyDescent="0.35">
      <c r="A45" s="24"/>
      <c r="B45" s="623"/>
      <c r="C45" s="166" t="s">
        <v>120</v>
      </c>
      <c r="D45" s="202">
        <f>10000+10000</f>
        <v>20000</v>
      </c>
      <c r="E45" s="177"/>
      <c r="F45" s="177"/>
      <c r="G45" s="248">
        <f t="shared" si="4"/>
        <v>20000</v>
      </c>
      <c r="H45" s="171">
        <v>0.3</v>
      </c>
      <c r="I45" s="177"/>
      <c r="J45" s="167" t="s">
        <v>121</v>
      </c>
      <c r="K45" s="181">
        <v>6</v>
      </c>
      <c r="L45" s="353"/>
      <c r="M45" s="623"/>
      <c r="N45" s="166" t="s">
        <v>120</v>
      </c>
      <c r="O45" s="202">
        <f>10000+10000</f>
        <v>20000</v>
      </c>
      <c r="P45" s="177"/>
      <c r="Q45" s="177"/>
      <c r="R45" s="248">
        <f t="shared" si="5"/>
        <v>20000</v>
      </c>
      <c r="S45" s="171">
        <v>0.3</v>
      </c>
      <c r="T45" s="527">
        <v>20000</v>
      </c>
      <c r="U45" s="544"/>
      <c r="V45" s="167" t="s">
        <v>121</v>
      </c>
      <c r="W45" s="181">
        <v>6</v>
      </c>
    </row>
    <row r="46" spans="1:23" ht="15.5" x14ac:dyDescent="0.35">
      <c r="A46" s="24"/>
      <c r="B46" s="624"/>
      <c r="C46" s="166"/>
      <c r="D46" s="202"/>
      <c r="E46" s="177"/>
      <c r="F46" s="177"/>
      <c r="G46" s="248">
        <f t="shared" si="4"/>
        <v>0</v>
      </c>
      <c r="H46" s="171"/>
      <c r="I46" s="177"/>
      <c r="J46" s="167"/>
      <c r="K46" s="181"/>
      <c r="L46" s="353"/>
      <c r="M46" s="624"/>
      <c r="N46" s="166"/>
      <c r="O46" s="202"/>
      <c r="P46" s="177"/>
      <c r="Q46" s="177"/>
      <c r="R46" s="248">
        <f t="shared" si="5"/>
        <v>0</v>
      </c>
      <c r="S46" s="171"/>
      <c r="T46" s="527"/>
      <c r="U46" s="544"/>
      <c r="V46" s="167"/>
      <c r="W46" s="181"/>
    </row>
    <row r="47" spans="1:23" ht="31.4" customHeight="1" x14ac:dyDescent="0.35">
      <c r="A47" s="24"/>
      <c r="B47" s="622" t="s">
        <v>122</v>
      </c>
      <c r="C47" s="166" t="s">
        <v>123</v>
      </c>
      <c r="D47" s="202">
        <v>25000</v>
      </c>
      <c r="E47" s="177"/>
      <c r="F47" s="177"/>
      <c r="G47" s="248">
        <f t="shared" si="4"/>
        <v>25000</v>
      </c>
      <c r="H47" s="171">
        <v>0.3</v>
      </c>
      <c r="I47" s="177"/>
      <c r="J47" s="167" t="s">
        <v>94</v>
      </c>
      <c r="K47" s="181">
        <v>6</v>
      </c>
      <c r="L47" s="353"/>
      <c r="M47" s="622" t="s">
        <v>122</v>
      </c>
      <c r="N47" s="166" t="s">
        <v>123</v>
      </c>
      <c r="O47" s="202">
        <v>25000</v>
      </c>
      <c r="P47" s="177"/>
      <c r="Q47" s="177"/>
      <c r="R47" s="248">
        <f t="shared" si="5"/>
        <v>25000</v>
      </c>
      <c r="S47" s="171">
        <v>0.3</v>
      </c>
      <c r="T47" s="527">
        <v>25000</v>
      </c>
      <c r="U47" s="544"/>
      <c r="V47" s="167" t="s">
        <v>94</v>
      </c>
      <c r="W47" s="181">
        <v>6</v>
      </c>
    </row>
    <row r="48" spans="1:23" ht="31" x14ac:dyDescent="0.35">
      <c r="A48" s="24"/>
      <c r="B48" s="623"/>
      <c r="C48" s="166" t="s">
        <v>124</v>
      </c>
      <c r="D48" s="202">
        <v>10000</v>
      </c>
      <c r="E48" s="177"/>
      <c r="F48" s="177"/>
      <c r="G48" s="248">
        <f t="shared" si="4"/>
        <v>10000</v>
      </c>
      <c r="H48" s="171">
        <v>0.3</v>
      </c>
      <c r="I48" s="177"/>
      <c r="J48" s="167" t="s">
        <v>125</v>
      </c>
      <c r="K48" s="181">
        <v>6</v>
      </c>
      <c r="L48" s="353"/>
      <c r="M48" s="623"/>
      <c r="N48" s="166" t="s">
        <v>124</v>
      </c>
      <c r="O48" s="202">
        <v>10000</v>
      </c>
      <c r="P48" s="177"/>
      <c r="Q48" s="177"/>
      <c r="R48" s="248">
        <f t="shared" si="5"/>
        <v>10000</v>
      </c>
      <c r="S48" s="171">
        <v>0.3</v>
      </c>
      <c r="T48" s="527">
        <v>10000</v>
      </c>
      <c r="U48" s="544"/>
      <c r="V48" s="167" t="s">
        <v>125</v>
      </c>
      <c r="W48" s="181">
        <v>6</v>
      </c>
    </row>
    <row r="49" spans="1:23" ht="46.5" x14ac:dyDescent="0.35">
      <c r="A49" s="24"/>
      <c r="B49" s="623"/>
      <c r="C49" s="166" t="s">
        <v>126</v>
      </c>
      <c r="D49" s="202">
        <v>5000</v>
      </c>
      <c r="E49" s="177"/>
      <c r="F49" s="177"/>
      <c r="G49" s="248">
        <f t="shared" si="4"/>
        <v>5000</v>
      </c>
      <c r="H49" s="171">
        <v>0.3</v>
      </c>
      <c r="I49" s="177"/>
      <c r="J49" s="167" t="s">
        <v>127</v>
      </c>
      <c r="K49" s="181">
        <v>6</v>
      </c>
      <c r="L49" s="353"/>
      <c r="M49" s="623"/>
      <c r="N49" s="166" t="s">
        <v>126</v>
      </c>
      <c r="O49" s="202">
        <v>5000</v>
      </c>
      <c r="P49" s="177"/>
      <c r="Q49" s="177"/>
      <c r="R49" s="248">
        <f t="shared" si="5"/>
        <v>5000</v>
      </c>
      <c r="S49" s="171">
        <v>0.3</v>
      </c>
      <c r="T49" s="527">
        <v>5000</v>
      </c>
      <c r="U49" s="544"/>
      <c r="V49" s="167" t="s">
        <v>127</v>
      </c>
      <c r="W49" s="181">
        <v>6</v>
      </c>
    </row>
    <row r="50" spans="1:23" ht="15.5" x14ac:dyDescent="0.35">
      <c r="A50" s="24"/>
      <c r="B50" s="623"/>
      <c r="C50" s="166"/>
      <c r="D50" s="202"/>
      <c r="E50" s="177"/>
      <c r="F50" s="177"/>
      <c r="G50" s="248">
        <f t="shared" si="4"/>
        <v>0</v>
      </c>
      <c r="H50" s="171"/>
      <c r="I50" s="177"/>
      <c r="J50" s="167"/>
      <c r="K50" s="181"/>
      <c r="L50" s="353"/>
      <c r="M50" s="623"/>
      <c r="N50" s="166"/>
      <c r="O50" s="202"/>
      <c r="P50" s="177"/>
      <c r="Q50" s="177"/>
      <c r="R50" s="248">
        <f t="shared" si="5"/>
        <v>0</v>
      </c>
      <c r="S50" s="171"/>
      <c r="T50" s="527"/>
      <c r="U50" s="544"/>
      <c r="V50" s="167"/>
      <c r="W50" s="181"/>
    </row>
    <row r="51" spans="1:23" ht="15.5" x14ac:dyDescent="0.35">
      <c r="A51" s="24"/>
      <c r="B51" s="624"/>
      <c r="C51" s="166"/>
      <c r="D51" s="202"/>
      <c r="E51" s="177"/>
      <c r="F51" s="177"/>
      <c r="G51" s="248">
        <f t="shared" si="4"/>
        <v>0</v>
      </c>
      <c r="H51" s="171"/>
      <c r="I51" s="177"/>
      <c r="J51" s="167"/>
      <c r="K51" s="181"/>
      <c r="L51" s="353"/>
      <c r="M51" s="624"/>
      <c r="N51" s="166"/>
      <c r="O51" s="202"/>
      <c r="P51" s="177"/>
      <c r="Q51" s="177"/>
      <c r="R51" s="248">
        <f t="shared" si="5"/>
        <v>0</v>
      </c>
      <c r="S51" s="171"/>
      <c r="T51" s="527"/>
      <c r="U51" s="544"/>
      <c r="V51" s="167"/>
      <c r="W51" s="181"/>
    </row>
    <row r="52" spans="1:23" ht="31.4" customHeight="1" x14ac:dyDescent="0.35">
      <c r="A52" s="24"/>
      <c r="B52" s="622" t="s">
        <v>128</v>
      </c>
      <c r="C52" s="166" t="s">
        <v>129</v>
      </c>
      <c r="D52" s="202">
        <v>25000</v>
      </c>
      <c r="E52" s="177"/>
      <c r="F52" s="177"/>
      <c r="G52" s="248">
        <f t="shared" si="4"/>
        <v>25000</v>
      </c>
      <c r="H52" s="171">
        <v>0.4</v>
      </c>
      <c r="I52" s="177"/>
      <c r="J52" s="167" t="s">
        <v>94</v>
      </c>
      <c r="K52" s="181">
        <v>6</v>
      </c>
      <c r="L52" s="353"/>
      <c r="M52" s="622" t="s">
        <v>128</v>
      </c>
      <c r="N52" s="166" t="s">
        <v>129</v>
      </c>
      <c r="O52" s="202">
        <v>25000</v>
      </c>
      <c r="P52" s="177"/>
      <c r="Q52" s="177"/>
      <c r="R52" s="248">
        <f t="shared" si="5"/>
        <v>25000</v>
      </c>
      <c r="S52" s="171">
        <v>0.4</v>
      </c>
      <c r="T52" s="527">
        <v>25000</v>
      </c>
      <c r="U52" s="544"/>
      <c r="V52" s="167" t="s">
        <v>94</v>
      </c>
      <c r="W52" s="181">
        <v>6</v>
      </c>
    </row>
    <row r="53" spans="1:23" ht="31" x14ac:dyDescent="0.35">
      <c r="A53" s="24"/>
      <c r="B53" s="623"/>
      <c r="C53" s="166" t="s">
        <v>124</v>
      </c>
      <c r="D53" s="202">
        <v>9000</v>
      </c>
      <c r="E53" s="177"/>
      <c r="F53" s="177"/>
      <c r="G53" s="248">
        <f t="shared" si="4"/>
        <v>9000</v>
      </c>
      <c r="H53" s="171">
        <v>0.3</v>
      </c>
      <c r="I53" s="177"/>
      <c r="J53" s="167" t="s">
        <v>125</v>
      </c>
      <c r="K53" s="181">
        <v>6</v>
      </c>
      <c r="L53" s="353"/>
      <c r="M53" s="623"/>
      <c r="N53" s="166" t="s">
        <v>124</v>
      </c>
      <c r="O53" s="202">
        <v>9000</v>
      </c>
      <c r="P53" s="177"/>
      <c r="Q53" s="177"/>
      <c r="R53" s="248">
        <f t="shared" si="5"/>
        <v>9000</v>
      </c>
      <c r="S53" s="171">
        <v>0.3</v>
      </c>
      <c r="T53" s="527">
        <v>9000</v>
      </c>
      <c r="U53" s="544"/>
      <c r="V53" s="167" t="s">
        <v>125</v>
      </c>
      <c r="W53" s="181">
        <v>6</v>
      </c>
    </row>
    <row r="54" spans="1:23" ht="46.5" x14ac:dyDescent="0.35">
      <c r="A54" s="24"/>
      <c r="B54" s="623"/>
      <c r="C54" s="166" t="s">
        <v>130</v>
      </c>
      <c r="D54" s="202">
        <v>5000</v>
      </c>
      <c r="E54" s="177"/>
      <c r="F54" s="177"/>
      <c r="G54" s="248">
        <f t="shared" si="4"/>
        <v>5000</v>
      </c>
      <c r="H54" s="171">
        <v>0.3</v>
      </c>
      <c r="I54" s="177"/>
      <c r="J54" s="167" t="s">
        <v>127</v>
      </c>
      <c r="K54" s="181">
        <v>6</v>
      </c>
      <c r="L54" s="353"/>
      <c r="M54" s="623"/>
      <c r="N54" s="166" t="s">
        <v>130</v>
      </c>
      <c r="O54" s="202">
        <v>5000</v>
      </c>
      <c r="P54" s="177"/>
      <c r="Q54" s="177"/>
      <c r="R54" s="248">
        <f t="shared" si="5"/>
        <v>5000</v>
      </c>
      <c r="S54" s="171">
        <v>0.3</v>
      </c>
      <c r="T54" s="527">
        <v>5000</v>
      </c>
      <c r="U54" s="544"/>
      <c r="V54" s="167" t="s">
        <v>127</v>
      </c>
      <c r="W54" s="181">
        <v>6</v>
      </c>
    </row>
    <row r="55" spans="1:23" ht="15.5" x14ac:dyDescent="0.35">
      <c r="A55" s="24"/>
      <c r="B55" s="623"/>
      <c r="C55" s="166"/>
      <c r="D55" s="202"/>
      <c r="E55" s="177"/>
      <c r="F55" s="177"/>
      <c r="G55" s="248">
        <f t="shared" si="4"/>
        <v>0</v>
      </c>
      <c r="H55" s="171"/>
      <c r="I55" s="177"/>
      <c r="J55" s="167"/>
      <c r="K55" s="181"/>
      <c r="L55" s="353"/>
      <c r="M55" s="623"/>
      <c r="N55" s="166"/>
      <c r="O55" s="202"/>
      <c r="P55" s="177"/>
      <c r="Q55" s="177"/>
      <c r="R55" s="248">
        <f t="shared" si="5"/>
        <v>0</v>
      </c>
      <c r="S55" s="171"/>
      <c r="T55" s="527"/>
      <c r="U55" s="544"/>
      <c r="V55" s="167"/>
      <c r="W55" s="181"/>
    </row>
    <row r="56" spans="1:23" ht="15.5" x14ac:dyDescent="0.35">
      <c r="A56" s="24"/>
      <c r="B56" s="624"/>
      <c r="C56" s="166"/>
      <c r="D56" s="202"/>
      <c r="E56" s="177"/>
      <c r="F56" s="177"/>
      <c r="G56" s="248">
        <f t="shared" si="4"/>
        <v>0</v>
      </c>
      <c r="H56" s="171"/>
      <c r="I56" s="177"/>
      <c r="J56" s="167"/>
      <c r="K56" s="181"/>
      <c r="L56" s="353"/>
      <c r="M56" s="624"/>
      <c r="N56" s="166"/>
      <c r="O56" s="202"/>
      <c r="P56" s="177"/>
      <c r="Q56" s="177"/>
      <c r="R56" s="248">
        <f t="shared" si="5"/>
        <v>0</v>
      </c>
      <c r="S56" s="171"/>
      <c r="T56" s="527"/>
      <c r="U56" s="544"/>
      <c r="V56" s="167"/>
      <c r="W56" s="181"/>
    </row>
    <row r="57" spans="1:23" ht="51.65" customHeight="1" x14ac:dyDescent="0.35">
      <c r="A57" s="24"/>
      <c r="B57" s="622" t="s">
        <v>131</v>
      </c>
      <c r="C57" s="166" t="s">
        <v>132</v>
      </c>
      <c r="D57" s="202">
        <v>30000</v>
      </c>
      <c r="E57" s="177"/>
      <c r="F57" s="177"/>
      <c r="G57" s="248">
        <f t="shared" si="4"/>
        <v>30000</v>
      </c>
      <c r="H57" s="171">
        <v>0.4</v>
      </c>
      <c r="I57" s="177"/>
      <c r="J57" s="167" t="s">
        <v>133</v>
      </c>
      <c r="K57" s="181">
        <v>6</v>
      </c>
      <c r="L57" s="353"/>
      <c r="M57" s="622" t="s">
        <v>131</v>
      </c>
      <c r="N57" s="166" t="s">
        <v>132</v>
      </c>
      <c r="O57" s="202">
        <v>30000</v>
      </c>
      <c r="P57" s="177"/>
      <c r="Q57" s="177"/>
      <c r="R57" s="248">
        <f t="shared" si="5"/>
        <v>30000</v>
      </c>
      <c r="S57" s="171">
        <v>0.4</v>
      </c>
      <c r="T57" s="527">
        <v>30000</v>
      </c>
      <c r="U57" s="544"/>
      <c r="V57" s="167" t="s">
        <v>133</v>
      </c>
      <c r="W57" s="181">
        <v>6</v>
      </c>
    </row>
    <row r="58" spans="1:23" ht="15.5" x14ac:dyDescent="0.35">
      <c r="A58" s="24"/>
      <c r="B58" s="623"/>
      <c r="C58" s="166"/>
      <c r="D58" s="202"/>
      <c r="E58" s="177"/>
      <c r="F58" s="177"/>
      <c r="G58" s="248">
        <f t="shared" si="4"/>
        <v>0</v>
      </c>
      <c r="H58" s="171"/>
      <c r="I58" s="177"/>
      <c r="J58" s="167"/>
      <c r="K58" s="181"/>
      <c r="L58" s="353"/>
      <c r="M58" s="623"/>
      <c r="N58" s="166"/>
      <c r="O58" s="202"/>
      <c r="P58" s="177"/>
      <c r="Q58" s="177"/>
      <c r="R58" s="248">
        <f t="shared" si="5"/>
        <v>0</v>
      </c>
      <c r="S58" s="171"/>
      <c r="T58" s="527"/>
      <c r="U58" s="544"/>
      <c r="V58" s="167"/>
      <c r="W58" s="181"/>
    </row>
    <row r="59" spans="1:23" ht="15.5" x14ac:dyDescent="0.35">
      <c r="A59" s="24"/>
      <c r="B59" s="623"/>
      <c r="C59" s="166"/>
      <c r="D59" s="202"/>
      <c r="E59" s="177"/>
      <c r="F59" s="177"/>
      <c r="G59" s="248">
        <f t="shared" si="4"/>
        <v>0</v>
      </c>
      <c r="H59" s="171"/>
      <c r="I59" s="177"/>
      <c r="J59" s="167"/>
      <c r="K59" s="181"/>
      <c r="L59" s="353"/>
      <c r="M59" s="623"/>
      <c r="N59" s="166"/>
      <c r="O59" s="202"/>
      <c r="P59" s="177"/>
      <c r="Q59" s="177"/>
      <c r="R59" s="248">
        <f t="shared" si="5"/>
        <v>0</v>
      </c>
      <c r="S59" s="171"/>
      <c r="T59" s="527"/>
      <c r="U59" s="544"/>
      <c r="V59" s="167"/>
      <c r="W59" s="181"/>
    </row>
    <row r="60" spans="1:23" ht="15.5" x14ac:dyDescent="0.35">
      <c r="A60" s="24"/>
      <c r="B60" s="623"/>
      <c r="C60" s="245"/>
      <c r="D60" s="202"/>
      <c r="E60" s="177"/>
      <c r="F60" s="177"/>
      <c r="G60" s="248">
        <f t="shared" si="4"/>
        <v>0</v>
      </c>
      <c r="H60" s="250"/>
      <c r="I60" s="251"/>
      <c r="J60" s="170"/>
      <c r="K60" s="181"/>
      <c r="L60" s="353"/>
      <c r="M60" s="623"/>
      <c r="N60" s="245"/>
      <c r="O60" s="202"/>
      <c r="P60" s="177"/>
      <c r="Q60" s="177"/>
      <c r="R60" s="248">
        <f t="shared" si="5"/>
        <v>0</v>
      </c>
      <c r="S60" s="250"/>
      <c r="T60" s="527"/>
      <c r="U60" s="544"/>
      <c r="V60" s="170"/>
      <c r="W60" s="181"/>
    </row>
    <row r="61" spans="1:23" ht="15.5" x14ac:dyDescent="0.35">
      <c r="A61" s="24"/>
      <c r="B61" s="624"/>
      <c r="C61" s="245"/>
      <c r="D61" s="202"/>
      <c r="E61" s="177"/>
      <c r="F61" s="177"/>
      <c r="G61" s="248">
        <f t="shared" si="4"/>
        <v>0</v>
      </c>
      <c r="H61" s="250"/>
      <c r="I61" s="251"/>
      <c r="J61" s="170"/>
      <c r="K61" s="181"/>
      <c r="L61" s="353"/>
      <c r="M61" s="624"/>
      <c r="N61" s="245"/>
      <c r="O61" s="202"/>
      <c r="P61" s="177"/>
      <c r="Q61" s="177"/>
      <c r="R61" s="248">
        <f t="shared" si="5"/>
        <v>0</v>
      </c>
      <c r="S61" s="250"/>
      <c r="T61" s="527"/>
      <c r="U61" s="544"/>
      <c r="V61" s="170"/>
      <c r="W61" s="181"/>
    </row>
    <row r="62" spans="1:23" ht="15.5" x14ac:dyDescent="0.35">
      <c r="A62" s="24"/>
      <c r="C62" s="73" t="s">
        <v>134</v>
      </c>
      <c r="D62" s="203">
        <f>SUM(D37:D61)</f>
        <v>271000</v>
      </c>
      <c r="E62" s="12">
        <f>SUM(E37:E61)</f>
        <v>0</v>
      </c>
      <c r="F62" s="12">
        <f>SUM(F37:F61)</f>
        <v>0</v>
      </c>
      <c r="G62" s="12">
        <f>SUM(G37:G61)</f>
        <v>271000</v>
      </c>
      <c r="H62" s="10">
        <f>(H37*G37)+(H38*G38)+(H39*G39)+(H40*G40)+(H41*G41)+(H42*G42)+(H43*G43)+(H44*G44)+(H45*G45)+(H46*G46)+(H47*G47)+(H48*G48)+(H49*G49)+(H50*G50)+(H51*G51)+(H52*G52)+(H53*G53)+(H54*G54)+(H55*G55)+(H56*G56)+(H57*G57)+(H58*G58)+(H59*G59)+(H60*G60)+(H61*G61)</f>
        <v>88800</v>
      </c>
      <c r="I62" s="10">
        <f>SUM(I37:I61)</f>
        <v>0</v>
      </c>
      <c r="J62" s="170"/>
      <c r="K62" s="182"/>
      <c r="L62" s="353"/>
      <c r="N62" s="73" t="s">
        <v>134</v>
      </c>
      <c r="O62" s="203">
        <f>SUM(O37:O61)</f>
        <v>271000</v>
      </c>
      <c r="P62" s="12">
        <f>SUM(P37:P61)</f>
        <v>0</v>
      </c>
      <c r="Q62" s="12">
        <f>SUM(Q37:Q61)</f>
        <v>0</v>
      </c>
      <c r="R62" s="12">
        <f>SUM(R37:R61)</f>
        <v>271000</v>
      </c>
      <c r="S62" s="10">
        <f>(S37*R37)+(S38*R38)+(S39*R39)+(S40*R40)+(S41*R41)+(S42*R42)+(S43*R43)+(S44*R44)+(S45*R45)+(S46*R46)+(S47*R47)+(S48*R48)+(S49*R49)+(S50*R50)+(S51*R51)+(S52*R52)+(S53*R53)+(S54*R54)+(S55*R55)+(S56*R56)+(S57*R57)+(S58*R58)+(S59*R59)+(S60*R60)+(S61*R61)</f>
        <v>88800</v>
      </c>
      <c r="T62" s="10">
        <f>SUM(T37:T61)</f>
        <v>271000</v>
      </c>
      <c r="U62" s="545"/>
      <c r="V62" s="170"/>
      <c r="W62" s="182"/>
    </row>
    <row r="63" spans="1:23" ht="31.4" customHeight="1" x14ac:dyDescent="0.35">
      <c r="A63" s="24"/>
      <c r="B63" s="72" t="s">
        <v>135</v>
      </c>
      <c r="C63" s="665" t="s">
        <v>136</v>
      </c>
      <c r="D63" s="665"/>
      <c r="E63" s="665"/>
      <c r="F63" s="665"/>
      <c r="G63" s="665"/>
      <c r="H63" s="665"/>
      <c r="I63" s="666"/>
      <c r="J63" s="665"/>
      <c r="K63" s="183"/>
      <c r="L63" s="353"/>
      <c r="M63" s="72" t="s">
        <v>135</v>
      </c>
      <c r="N63" s="665" t="s">
        <v>136</v>
      </c>
      <c r="O63" s="665"/>
      <c r="P63" s="665"/>
      <c r="Q63" s="665"/>
      <c r="R63" s="665"/>
      <c r="S63" s="665"/>
      <c r="T63" s="666"/>
      <c r="U63" s="666"/>
      <c r="V63" s="665"/>
      <c r="W63" s="183"/>
    </row>
    <row r="64" spans="1:23" ht="46.5" x14ac:dyDescent="0.35">
      <c r="A64" s="24"/>
      <c r="B64" s="622" t="s">
        <v>137</v>
      </c>
      <c r="C64" s="166" t="s">
        <v>138</v>
      </c>
      <c r="D64" s="202">
        <v>5000</v>
      </c>
      <c r="E64" s="177"/>
      <c r="F64" s="177"/>
      <c r="G64" s="248">
        <f>D64+E64+F64</f>
        <v>5000</v>
      </c>
      <c r="H64" s="171">
        <v>0.4</v>
      </c>
      <c r="I64" s="177"/>
      <c r="J64" s="167" t="s">
        <v>121</v>
      </c>
      <c r="K64" s="181">
        <v>6</v>
      </c>
      <c r="L64" s="353"/>
      <c r="M64" s="622" t="s">
        <v>137</v>
      </c>
      <c r="N64" s="166" t="s">
        <v>138</v>
      </c>
      <c r="O64" s="202">
        <v>5000</v>
      </c>
      <c r="P64" s="177"/>
      <c r="Q64" s="177"/>
      <c r="R64" s="248">
        <f>O64+P64+Q64</f>
        <v>5000</v>
      </c>
      <c r="S64" s="171">
        <v>0.4</v>
      </c>
      <c r="T64" s="527">
        <v>5000</v>
      </c>
      <c r="U64" s="544">
        <f>T64*40/100</f>
        <v>2000</v>
      </c>
      <c r="V64" s="167" t="s">
        <v>121</v>
      </c>
      <c r="W64" s="181">
        <v>6</v>
      </c>
    </row>
    <row r="65" spans="1:23" ht="31" x14ac:dyDescent="0.35">
      <c r="A65" s="24"/>
      <c r="B65" s="623"/>
      <c r="C65" s="166" t="s">
        <v>139</v>
      </c>
      <c r="D65" s="202">
        <v>20000</v>
      </c>
      <c r="E65" s="177"/>
      <c r="F65" s="177"/>
      <c r="G65" s="248">
        <f t="shared" ref="G65:G102" si="6">D65+E65+F65</f>
        <v>20000</v>
      </c>
      <c r="H65" s="171">
        <v>0.4</v>
      </c>
      <c r="I65" s="177"/>
      <c r="J65" s="167" t="s">
        <v>94</v>
      </c>
      <c r="K65" s="181">
        <v>6</v>
      </c>
      <c r="L65" s="353"/>
      <c r="M65" s="623"/>
      <c r="N65" s="166" t="s">
        <v>139</v>
      </c>
      <c r="O65" s="202">
        <v>20000</v>
      </c>
      <c r="P65" s="177"/>
      <c r="Q65" s="177"/>
      <c r="R65" s="248">
        <f t="shared" ref="R65:R102" si="7">O65+P65+Q65</f>
        <v>20000</v>
      </c>
      <c r="S65" s="171">
        <v>0.4</v>
      </c>
      <c r="T65" s="527">
        <v>20000</v>
      </c>
      <c r="U65" s="544">
        <f t="shared" ref="U65:U102" si="8">T65*40/100</f>
        <v>8000</v>
      </c>
      <c r="V65" s="167" t="s">
        <v>94</v>
      </c>
      <c r="W65" s="181">
        <v>6</v>
      </c>
    </row>
    <row r="66" spans="1:23" ht="31" x14ac:dyDescent="0.35">
      <c r="A66" s="24"/>
      <c r="B66" s="623"/>
      <c r="C66" s="166" t="s">
        <v>140</v>
      </c>
      <c r="D66" s="202">
        <v>45430.69</v>
      </c>
      <c r="E66" s="177"/>
      <c r="F66" s="177"/>
      <c r="G66" s="248">
        <f t="shared" si="6"/>
        <v>45430.69</v>
      </c>
      <c r="H66" s="171">
        <v>0.4</v>
      </c>
      <c r="I66" s="177"/>
      <c r="J66" s="167" t="s">
        <v>141</v>
      </c>
      <c r="K66" s="181">
        <v>6</v>
      </c>
      <c r="L66" s="353"/>
      <c r="M66" s="623"/>
      <c r="N66" s="166" t="s">
        <v>140</v>
      </c>
      <c r="O66" s="202">
        <v>45430.69</v>
      </c>
      <c r="P66" s="177"/>
      <c r="Q66" s="177"/>
      <c r="R66" s="248">
        <f t="shared" si="7"/>
        <v>45430.69</v>
      </c>
      <c r="S66" s="171">
        <v>0.4</v>
      </c>
      <c r="T66" s="527">
        <v>45430.69</v>
      </c>
      <c r="U66" s="544">
        <f t="shared" si="8"/>
        <v>18172.276000000002</v>
      </c>
      <c r="V66" s="167" t="s">
        <v>141</v>
      </c>
      <c r="W66" s="181">
        <v>6</v>
      </c>
    </row>
    <row r="67" spans="1:23" ht="31" x14ac:dyDescent="0.35">
      <c r="A67" s="24"/>
      <c r="B67" s="623"/>
      <c r="C67" s="166" t="s">
        <v>142</v>
      </c>
      <c r="D67" s="202">
        <v>6000</v>
      </c>
      <c r="E67" s="177"/>
      <c r="F67" s="177"/>
      <c r="G67" s="248">
        <f t="shared" si="6"/>
        <v>6000</v>
      </c>
      <c r="H67" s="171">
        <v>0.4</v>
      </c>
      <c r="I67" s="177"/>
      <c r="J67" s="167" t="s">
        <v>98</v>
      </c>
      <c r="K67" s="181">
        <v>6</v>
      </c>
      <c r="L67" s="353"/>
      <c r="M67" s="623"/>
      <c r="N67" s="166" t="s">
        <v>142</v>
      </c>
      <c r="O67" s="202">
        <v>6000</v>
      </c>
      <c r="P67" s="177"/>
      <c r="Q67" s="177"/>
      <c r="R67" s="248">
        <f t="shared" si="7"/>
        <v>6000</v>
      </c>
      <c r="S67" s="171">
        <v>0.4</v>
      </c>
      <c r="T67" s="527">
        <v>6000</v>
      </c>
      <c r="U67" s="544">
        <f t="shared" si="8"/>
        <v>2400</v>
      </c>
      <c r="V67" s="167" t="s">
        <v>98</v>
      </c>
      <c r="W67" s="181">
        <v>6</v>
      </c>
    </row>
    <row r="68" spans="1:23" ht="15.5" x14ac:dyDescent="0.35">
      <c r="A68" s="24"/>
      <c r="B68" s="624"/>
      <c r="C68" s="166"/>
      <c r="D68" s="202"/>
      <c r="E68" s="177"/>
      <c r="F68" s="177"/>
      <c r="G68" s="248">
        <f t="shared" si="6"/>
        <v>0</v>
      </c>
      <c r="H68" s="171"/>
      <c r="I68" s="177"/>
      <c r="J68" s="167"/>
      <c r="K68" s="181"/>
      <c r="L68" s="353"/>
      <c r="M68" s="624"/>
      <c r="N68" s="166"/>
      <c r="O68" s="202"/>
      <c r="P68" s="177"/>
      <c r="Q68" s="177"/>
      <c r="R68" s="248">
        <f t="shared" si="7"/>
        <v>0</v>
      </c>
      <c r="S68" s="171"/>
      <c r="T68" s="527"/>
      <c r="U68" s="544">
        <f t="shared" si="8"/>
        <v>0</v>
      </c>
      <c r="V68" s="167"/>
      <c r="W68" s="181"/>
    </row>
    <row r="69" spans="1:23" ht="46.5" x14ac:dyDescent="0.35">
      <c r="A69" s="24"/>
      <c r="B69" s="622" t="s">
        <v>143</v>
      </c>
      <c r="C69" s="166" t="s">
        <v>144</v>
      </c>
      <c r="D69" s="202">
        <v>18000</v>
      </c>
      <c r="E69" s="177"/>
      <c r="F69" s="177"/>
      <c r="G69" s="248">
        <f t="shared" si="6"/>
        <v>18000</v>
      </c>
      <c r="H69" s="171">
        <v>0.4</v>
      </c>
      <c r="I69" s="177"/>
      <c r="J69" s="167" t="s">
        <v>145</v>
      </c>
      <c r="K69" s="181">
        <v>6</v>
      </c>
      <c r="L69" s="353"/>
      <c r="M69" s="622" t="s">
        <v>143</v>
      </c>
      <c r="N69" s="166" t="s">
        <v>144</v>
      </c>
      <c r="O69" s="202">
        <v>18000</v>
      </c>
      <c r="P69" s="177"/>
      <c r="Q69" s="177"/>
      <c r="R69" s="248">
        <f t="shared" si="7"/>
        <v>18000</v>
      </c>
      <c r="S69" s="171">
        <v>0.4</v>
      </c>
      <c r="T69" s="527">
        <v>18000</v>
      </c>
      <c r="U69" s="544">
        <f t="shared" si="8"/>
        <v>7200</v>
      </c>
      <c r="V69" s="167" t="s">
        <v>145</v>
      </c>
      <c r="W69" s="181">
        <v>6</v>
      </c>
    </row>
    <row r="70" spans="1:23" ht="31" x14ac:dyDescent="0.35">
      <c r="A70" s="24"/>
      <c r="B70" s="623"/>
      <c r="C70" s="166" t="s">
        <v>146</v>
      </c>
      <c r="D70" s="202">
        <v>10000</v>
      </c>
      <c r="E70" s="177"/>
      <c r="F70" s="177"/>
      <c r="G70" s="248">
        <f t="shared" si="6"/>
        <v>10000</v>
      </c>
      <c r="H70" s="171"/>
      <c r="I70" s="177"/>
      <c r="J70" s="167" t="s">
        <v>147</v>
      </c>
      <c r="K70" s="181">
        <v>6</v>
      </c>
      <c r="L70" s="353"/>
      <c r="M70" s="623"/>
      <c r="N70" s="166" t="s">
        <v>146</v>
      </c>
      <c r="O70" s="202">
        <v>10000</v>
      </c>
      <c r="P70" s="177"/>
      <c r="Q70" s="177"/>
      <c r="R70" s="248">
        <f t="shared" si="7"/>
        <v>10000</v>
      </c>
      <c r="S70" s="171"/>
      <c r="T70" s="527">
        <v>10000</v>
      </c>
      <c r="U70" s="544">
        <f t="shared" si="8"/>
        <v>4000</v>
      </c>
      <c r="V70" s="167" t="s">
        <v>147</v>
      </c>
      <c r="W70" s="181">
        <v>6</v>
      </c>
    </row>
    <row r="71" spans="1:23" ht="31" x14ac:dyDescent="0.35">
      <c r="A71" s="24"/>
      <c r="B71" s="623"/>
      <c r="C71" s="166" t="s">
        <v>148</v>
      </c>
      <c r="D71" s="202">
        <v>1500</v>
      </c>
      <c r="E71" s="177"/>
      <c r="F71" s="177"/>
      <c r="G71" s="248">
        <f t="shared" si="6"/>
        <v>1500</v>
      </c>
      <c r="H71" s="171">
        <v>0.4</v>
      </c>
      <c r="I71" s="177"/>
      <c r="J71" s="167" t="s">
        <v>98</v>
      </c>
      <c r="K71" s="181">
        <v>6</v>
      </c>
      <c r="L71" s="353"/>
      <c r="M71" s="623"/>
      <c r="N71" s="166" t="s">
        <v>148</v>
      </c>
      <c r="O71" s="202">
        <v>1500</v>
      </c>
      <c r="P71" s="177"/>
      <c r="Q71" s="177"/>
      <c r="R71" s="248">
        <f t="shared" si="7"/>
        <v>1500</v>
      </c>
      <c r="S71" s="171">
        <v>0.4</v>
      </c>
      <c r="T71" s="527">
        <v>1500</v>
      </c>
      <c r="U71" s="544">
        <f t="shared" si="8"/>
        <v>600</v>
      </c>
      <c r="V71" s="167" t="s">
        <v>98</v>
      </c>
      <c r="W71" s="181">
        <v>6</v>
      </c>
    </row>
    <row r="72" spans="1:23" ht="15.5" x14ac:dyDescent="0.35">
      <c r="A72" s="24"/>
      <c r="B72" s="623"/>
      <c r="C72" s="166"/>
      <c r="D72" s="202"/>
      <c r="E72" s="177"/>
      <c r="F72" s="177"/>
      <c r="G72" s="248">
        <f t="shared" si="6"/>
        <v>0</v>
      </c>
      <c r="H72" s="171"/>
      <c r="I72" s="177"/>
      <c r="J72" s="167"/>
      <c r="K72" s="181"/>
      <c r="L72" s="353"/>
      <c r="M72" s="623"/>
      <c r="N72" s="166"/>
      <c r="O72" s="202"/>
      <c r="P72" s="177"/>
      <c r="Q72" s="177"/>
      <c r="R72" s="248">
        <f t="shared" si="7"/>
        <v>0</v>
      </c>
      <c r="S72" s="171"/>
      <c r="T72" s="527"/>
      <c r="U72" s="544">
        <f t="shared" si="8"/>
        <v>0</v>
      </c>
      <c r="V72" s="167"/>
      <c r="W72" s="181"/>
    </row>
    <row r="73" spans="1:23" ht="15.5" x14ac:dyDescent="0.35">
      <c r="A73" s="24"/>
      <c r="B73" s="624"/>
      <c r="C73" s="166"/>
      <c r="D73" s="202"/>
      <c r="E73" s="177"/>
      <c r="F73" s="177"/>
      <c r="G73" s="248">
        <f t="shared" si="6"/>
        <v>0</v>
      </c>
      <c r="H73" s="171"/>
      <c r="I73" s="177"/>
      <c r="J73" s="167"/>
      <c r="K73" s="181"/>
      <c r="L73" s="353"/>
      <c r="M73" s="624"/>
      <c r="N73" s="166"/>
      <c r="O73" s="202"/>
      <c r="P73" s="177"/>
      <c r="Q73" s="177"/>
      <c r="R73" s="248">
        <f t="shared" si="7"/>
        <v>0</v>
      </c>
      <c r="S73" s="171"/>
      <c r="T73" s="527"/>
      <c r="U73" s="544">
        <f t="shared" si="8"/>
        <v>0</v>
      </c>
      <c r="V73" s="167"/>
      <c r="W73" s="181"/>
    </row>
    <row r="74" spans="1:23" ht="32.5" customHeight="1" x14ac:dyDescent="0.35">
      <c r="A74" s="24"/>
      <c r="B74" s="622" t="s">
        <v>149</v>
      </c>
      <c r="C74" s="166" t="s">
        <v>150</v>
      </c>
      <c r="D74" s="202">
        <v>15000</v>
      </c>
      <c r="E74" s="177"/>
      <c r="F74" s="177"/>
      <c r="G74" s="248">
        <f t="shared" si="6"/>
        <v>15000</v>
      </c>
      <c r="H74" s="171">
        <v>0.3</v>
      </c>
      <c r="I74" s="177"/>
      <c r="J74" s="167" t="s">
        <v>151</v>
      </c>
      <c r="K74" s="181">
        <v>6</v>
      </c>
      <c r="L74" s="353"/>
      <c r="M74" s="622" t="s">
        <v>149</v>
      </c>
      <c r="N74" s="166" t="s">
        <v>150</v>
      </c>
      <c r="O74" s="202">
        <v>15000</v>
      </c>
      <c r="P74" s="177"/>
      <c r="Q74" s="177"/>
      <c r="R74" s="248">
        <f t="shared" si="7"/>
        <v>15000</v>
      </c>
      <c r="S74" s="171">
        <v>0.3</v>
      </c>
      <c r="T74" s="527">
        <v>15000</v>
      </c>
      <c r="U74" s="544">
        <f>T74*30/100</f>
        <v>4500</v>
      </c>
      <c r="V74" s="167" t="s">
        <v>151</v>
      </c>
      <c r="W74" s="181">
        <v>6</v>
      </c>
    </row>
    <row r="75" spans="1:23" ht="31" x14ac:dyDescent="0.35">
      <c r="A75" s="24"/>
      <c r="B75" s="623"/>
      <c r="C75" s="166" t="s">
        <v>97</v>
      </c>
      <c r="D75" s="202">
        <v>6500</v>
      </c>
      <c r="E75" s="177"/>
      <c r="F75" s="177"/>
      <c r="G75" s="248">
        <f t="shared" si="6"/>
        <v>6500</v>
      </c>
      <c r="H75" s="171">
        <v>0.4</v>
      </c>
      <c r="I75" s="177"/>
      <c r="J75" s="167" t="s">
        <v>80</v>
      </c>
      <c r="K75" s="181">
        <v>6</v>
      </c>
      <c r="L75" s="353"/>
      <c r="M75" s="623"/>
      <c r="N75" s="166" t="s">
        <v>97</v>
      </c>
      <c r="O75" s="202">
        <v>6500</v>
      </c>
      <c r="P75" s="177"/>
      <c r="Q75" s="177"/>
      <c r="R75" s="248">
        <f t="shared" si="7"/>
        <v>6500</v>
      </c>
      <c r="S75" s="171">
        <v>0.4</v>
      </c>
      <c r="T75" s="527">
        <v>6500</v>
      </c>
      <c r="U75" s="544">
        <f t="shared" si="8"/>
        <v>2600</v>
      </c>
      <c r="V75" s="167" t="s">
        <v>80</v>
      </c>
      <c r="W75" s="181">
        <v>6</v>
      </c>
    </row>
    <row r="76" spans="1:23" ht="15.5" x14ac:dyDescent="0.35">
      <c r="A76" s="24"/>
      <c r="B76" s="623"/>
      <c r="C76" s="166"/>
      <c r="D76" s="202"/>
      <c r="E76" s="177"/>
      <c r="F76" s="177"/>
      <c r="G76" s="248">
        <f t="shared" si="6"/>
        <v>0</v>
      </c>
      <c r="H76" s="171"/>
      <c r="I76" s="177"/>
      <c r="J76" s="167"/>
      <c r="K76" s="181"/>
      <c r="L76" s="353"/>
      <c r="M76" s="623"/>
      <c r="N76" s="166"/>
      <c r="O76" s="202"/>
      <c r="P76" s="177"/>
      <c r="Q76" s="177"/>
      <c r="R76" s="248">
        <f t="shared" si="7"/>
        <v>0</v>
      </c>
      <c r="S76" s="171"/>
      <c r="T76" s="527"/>
      <c r="U76" s="544">
        <f t="shared" si="8"/>
        <v>0</v>
      </c>
      <c r="V76" s="167"/>
      <c r="W76" s="181"/>
    </row>
    <row r="77" spans="1:23" ht="15.5" x14ac:dyDescent="0.35">
      <c r="A77" s="24"/>
      <c r="B77" s="623"/>
      <c r="C77" s="166"/>
      <c r="D77" s="202"/>
      <c r="E77" s="177"/>
      <c r="F77" s="177"/>
      <c r="G77" s="248">
        <f t="shared" si="6"/>
        <v>0</v>
      </c>
      <c r="H77" s="171"/>
      <c r="I77" s="177"/>
      <c r="J77" s="167"/>
      <c r="K77" s="181"/>
      <c r="L77" s="353"/>
      <c r="M77" s="623"/>
      <c r="N77" s="166"/>
      <c r="O77" s="202"/>
      <c r="P77" s="177"/>
      <c r="Q77" s="177"/>
      <c r="R77" s="248">
        <f t="shared" si="7"/>
        <v>0</v>
      </c>
      <c r="S77" s="171"/>
      <c r="T77" s="527"/>
      <c r="U77" s="544">
        <f t="shared" si="8"/>
        <v>0</v>
      </c>
      <c r="V77" s="167"/>
      <c r="W77" s="181"/>
    </row>
    <row r="78" spans="1:23" ht="15.5" x14ac:dyDescent="0.35">
      <c r="A78" s="24"/>
      <c r="B78" s="624"/>
      <c r="C78" s="166"/>
      <c r="D78" s="202"/>
      <c r="E78" s="177"/>
      <c r="F78" s="177"/>
      <c r="G78" s="248">
        <f t="shared" si="6"/>
        <v>0</v>
      </c>
      <c r="H78" s="171"/>
      <c r="I78" s="177"/>
      <c r="J78" s="167"/>
      <c r="K78" s="181"/>
      <c r="L78" s="353"/>
      <c r="M78" s="624"/>
      <c r="N78" s="166"/>
      <c r="O78" s="202"/>
      <c r="P78" s="177"/>
      <c r="Q78" s="177"/>
      <c r="R78" s="248">
        <f t="shared" si="7"/>
        <v>0</v>
      </c>
      <c r="S78" s="171"/>
      <c r="T78" s="527"/>
      <c r="U78" s="544">
        <f t="shared" si="8"/>
        <v>0</v>
      </c>
      <c r="V78" s="167"/>
      <c r="W78" s="181"/>
    </row>
    <row r="79" spans="1:23" ht="30" customHeight="1" x14ac:dyDescent="0.35">
      <c r="A79" s="24"/>
      <c r="B79" s="622" t="s">
        <v>152</v>
      </c>
      <c r="C79" s="166" t="s">
        <v>153</v>
      </c>
      <c r="D79" s="202">
        <v>20000</v>
      </c>
      <c r="E79" s="177"/>
      <c r="F79" s="177"/>
      <c r="G79" s="248">
        <f t="shared" si="6"/>
        <v>20000</v>
      </c>
      <c r="H79" s="171">
        <v>0.3</v>
      </c>
      <c r="I79" s="177"/>
      <c r="J79" s="167" t="s">
        <v>154</v>
      </c>
      <c r="K79" s="181">
        <v>6</v>
      </c>
      <c r="L79" s="353"/>
      <c r="M79" s="622" t="s">
        <v>152</v>
      </c>
      <c r="N79" s="166" t="s">
        <v>153</v>
      </c>
      <c r="O79" s="202">
        <v>20000</v>
      </c>
      <c r="P79" s="177"/>
      <c r="Q79" s="177"/>
      <c r="R79" s="248">
        <f t="shared" si="7"/>
        <v>20000</v>
      </c>
      <c r="S79" s="171">
        <v>0.3</v>
      </c>
      <c r="T79" s="527">
        <v>20000</v>
      </c>
      <c r="U79" s="544">
        <f>T79*30/100</f>
        <v>6000</v>
      </c>
      <c r="V79" s="167" t="s">
        <v>154</v>
      </c>
      <c r="W79" s="181">
        <v>6</v>
      </c>
    </row>
    <row r="80" spans="1:23" ht="31" x14ac:dyDescent="0.35">
      <c r="A80" s="24"/>
      <c r="B80" s="623"/>
      <c r="C80" s="166" t="s">
        <v>155</v>
      </c>
      <c r="D80" s="202">
        <v>8000</v>
      </c>
      <c r="E80" s="177"/>
      <c r="F80" s="177"/>
      <c r="G80" s="248">
        <f t="shared" si="6"/>
        <v>8000</v>
      </c>
      <c r="H80" s="171">
        <v>0.3</v>
      </c>
      <c r="I80" s="177"/>
      <c r="J80" s="167" t="s">
        <v>156</v>
      </c>
      <c r="K80" s="181">
        <v>6</v>
      </c>
      <c r="L80" s="353"/>
      <c r="M80" s="623"/>
      <c r="N80" s="166" t="s">
        <v>155</v>
      </c>
      <c r="O80" s="202">
        <v>8000</v>
      </c>
      <c r="P80" s="177"/>
      <c r="Q80" s="177"/>
      <c r="R80" s="248">
        <f t="shared" si="7"/>
        <v>8000</v>
      </c>
      <c r="S80" s="171">
        <v>0.3</v>
      </c>
      <c r="T80" s="527">
        <v>8000</v>
      </c>
      <c r="U80" s="544">
        <f>T80*30/100</f>
        <v>2400</v>
      </c>
      <c r="V80" s="167" t="s">
        <v>156</v>
      </c>
      <c r="W80" s="181">
        <v>6</v>
      </c>
    </row>
    <row r="81" spans="1:23" ht="15.5" x14ac:dyDescent="0.35">
      <c r="A81" s="24"/>
      <c r="B81" s="623"/>
      <c r="C81" s="166"/>
      <c r="D81" s="202"/>
      <c r="E81" s="177"/>
      <c r="F81" s="177"/>
      <c r="G81" s="248">
        <f t="shared" si="6"/>
        <v>0</v>
      </c>
      <c r="H81" s="171"/>
      <c r="I81" s="177"/>
      <c r="J81" s="167"/>
      <c r="K81" s="181"/>
      <c r="L81" s="353"/>
      <c r="M81" s="623"/>
      <c r="N81" s="166"/>
      <c r="O81" s="202"/>
      <c r="P81" s="177"/>
      <c r="Q81" s="177"/>
      <c r="R81" s="248">
        <f t="shared" si="7"/>
        <v>0</v>
      </c>
      <c r="S81" s="171"/>
      <c r="T81" s="527"/>
      <c r="U81" s="544">
        <f t="shared" si="8"/>
        <v>0</v>
      </c>
      <c r="V81" s="167"/>
      <c r="W81" s="181"/>
    </row>
    <row r="82" spans="1:23" ht="15.5" x14ac:dyDescent="0.35">
      <c r="A82" s="24"/>
      <c r="B82" s="623"/>
      <c r="C82" s="166"/>
      <c r="D82" s="202"/>
      <c r="E82" s="177"/>
      <c r="F82" s="177"/>
      <c r="G82" s="248">
        <f t="shared" si="6"/>
        <v>0</v>
      </c>
      <c r="H82" s="171"/>
      <c r="I82" s="177"/>
      <c r="J82" s="167"/>
      <c r="K82" s="181"/>
      <c r="L82" s="353"/>
      <c r="M82" s="623"/>
      <c r="N82" s="166"/>
      <c r="O82" s="202"/>
      <c r="P82" s="177"/>
      <c r="Q82" s="177"/>
      <c r="R82" s="248">
        <f t="shared" si="7"/>
        <v>0</v>
      </c>
      <c r="S82" s="171"/>
      <c r="T82" s="527"/>
      <c r="U82" s="544">
        <f t="shared" si="8"/>
        <v>0</v>
      </c>
      <c r="V82" s="167"/>
      <c r="W82" s="181"/>
    </row>
    <row r="83" spans="1:23" ht="15.5" x14ac:dyDescent="0.35">
      <c r="A83" s="24"/>
      <c r="B83" s="624"/>
      <c r="C83" s="166"/>
      <c r="D83" s="202"/>
      <c r="E83" s="177"/>
      <c r="F83" s="177"/>
      <c r="G83" s="248">
        <f t="shared" si="6"/>
        <v>0</v>
      </c>
      <c r="H83" s="171"/>
      <c r="I83" s="177"/>
      <c r="J83" s="167"/>
      <c r="K83" s="181"/>
      <c r="L83" s="353"/>
      <c r="M83" s="624"/>
      <c r="N83" s="166"/>
      <c r="O83" s="202"/>
      <c r="P83" s="177"/>
      <c r="Q83" s="177"/>
      <c r="R83" s="248">
        <f t="shared" si="7"/>
        <v>0</v>
      </c>
      <c r="S83" s="171"/>
      <c r="T83" s="527"/>
      <c r="U83" s="544">
        <f t="shared" si="8"/>
        <v>0</v>
      </c>
      <c r="V83" s="167"/>
      <c r="W83" s="181"/>
    </row>
    <row r="84" spans="1:23" ht="31" x14ac:dyDescent="0.35">
      <c r="A84" s="24"/>
      <c r="B84" s="622" t="s">
        <v>157</v>
      </c>
      <c r="C84" s="166" t="s">
        <v>158</v>
      </c>
      <c r="D84" s="202">
        <v>10000</v>
      </c>
      <c r="E84" s="177"/>
      <c r="F84" s="177"/>
      <c r="G84" s="248">
        <f t="shared" si="6"/>
        <v>10000</v>
      </c>
      <c r="H84" s="171">
        <v>0.3</v>
      </c>
      <c r="I84" s="177"/>
      <c r="J84" s="167" t="s">
        <v>145</v>
      </c>
      <c r="K84" s="181">
        <v>6</v>
      </c>
      <c r="L84" s="353"/>
      <c r="M84" s="622" t="s">
        <v>157</v>
      </c>
      <c r="N84" s="166" t="s">
        <v>158</v>
      </c>
      <c r="O84" s="202">
        <v>10000</v>
      </c>
      <c r="P84" s="177"/>
      <c r="Q84" s="177"/>
      <c r="R84" s="248">
        <f t="shared" si="7"/>
        <v>10000</v>
      </c>
      <c r="S84" s="171">
        <v>0.3</v>
      </c>
      <c r="T84" s="527">
        <v>10000</v>
      </c>
      <c r="U84" s="544">
        <f>T84*30/100</f>
        <v>3000</v>
      </c>
      <c r="V84" s="167" t="s">
        <v>145</v>
      </c>
      <c r="W84" s="181">
        <v>6</v>
      </c>
    </row>
    <row r="85" spans="1:23" s="24" customFormat="1" ht="31" x14ac:dyDescent="0.35">
      <c r="B85" s="623"/>
      <c r="C85" s="166" t="s">
        <v>159</v>
      </c>
      <c r="D85" s="202">
        <v>2000</v>
      </c>
      <c r="E85" s="177"/>
      <c r="F85" s="177"/>
      <c r="G85" s="248">
        <f t="shared" si="6"/>
        <v>2000</v>
      </c>
      <c r="H85" s="171">
        <v>0.3</v>
      </c>
      <c r="I85" s="177"/>
      <c r="J85" s="167" t="s">
        <v>118</v>
      </c>
      <c r="K85" s="181">
        <v>6</v>
      </c>
      <c r="L85" s="353"/>
      <c r="M85" s="623"/>
      <c r="N85" s="166" t="s">
        <v>159</v>
      </c>
      <c r="O85" s="202">
        <v>2000</v>
      </c>
      <c r="P85" s="177"/>
      <c r="Q85" s="177"/>
      <c r="R85" s="248">
        <f t="shared" si="7"/>
        <v>2000</v>
      </c>
      <c r="S85" s="171">
        <v>0.3</v>
      </c>
      <c r="T85" s="527">
        <v>2000</v>
      </c>
      <c r="U85" s="544">
        <f>T85*30/100</f>
        <v>600</v>
      </c>
      <c r="V85" s="167" t="s">
        <v>118</v>
      </c>
      <c r="W85" s="181">
        <v>6</v>
      </c>
    </row>
    <row r="86" spans="1:23" s="24" customFormat="1" ht="15.5" x14ac:dyDescent="0.35">
      <c r="B86" s="623"/>
      <c r="C86" s="166"/>
      <c r="D86" s="202"/>
      <c r="E86" s="177"/>
      <c r="F86" s="177"/>
      <c r="G86" s="248">
        <f t="shared" si="6"/>
        <v>0</v>
      </c>
      <c r="H86" s="171"/>
      <c r="I86" s="177"/>
      <c r="J86" s="167"/>
      <c r="K86" s="181"/>
      <c r="L86" s="353"/>
      <c r="M86" s="623"/>
      <c r="N86" s="166"/>
      <c r="O86" s="202"/>
      <c r="P86" s="177"/>
      <c r="Q86" s="177"/>
      <c r="R86" s="248">
        <f t="shared" si="7"/>
        <v>0</v>
      </c>
      <c r="S86" s="171"/>
      <c r="T86" s="527"/>
      <c r="U86" s="544">
        <f t="shared" si="8"/>
        <v>0</v>
      </c>
      <c r="V86" s="167"/>
      <c r="W86" s="181"/>
    </row>
    <row r="87" spans="1:23" s="24" customFormat="1" ht="15.5" x14ac:dyDescent="0.35">
      <c r="A87" s="23"/>
      <c r="B87" s="623"/>
      <c r="C87" s="245"/>
      <c r="D87" s="202"/>
      <c r="E87" s="177"/>
      <c r="F87" s="177"/>
      <c r="G87" s="248">
        <f t="shared" si="6"/>
        <v>0</v>
      </c>
      <c r="H87" s="250"/>
      <c r="I87" s="251"/>
      <c r="J87" s="170"/>
      <c r="K87" s="181"/>
      <c r="L87" s="353"/>
      <c r="M87" s="623"/>
      <c r="N87" s="245"/>
      <c r="O87" s="202"/>
      <c r="P87" s="177"/>
      <c r="Q87" s="177"/>
      <c r="R87" s="248">
        <f t="shared" si="7"/>
        <v>0</v>
      </c>
      <c r="S87" s="250"/>
      <c r="T87" s="527"/>
      <c r="U87" s="544">
        <f t="shared" si="8"/>
        <v>0</v>
      </c>
      <c r="V87" s="170"/>
      <c r="W87" s="181"/>
    </row>
    <row r="88" spans="1:23" s="24" customFormat="1" ht="15.5" x14ac:dyDescent="0.35">
      <c r="A88" s="23"/>
      <c r="B88" s="623"/>
      <c r="C88" s="245"/>
      <c r="D88" s="202"/>
      <c r="E88" s="177"/>
      <c r="F88" s="177"/>
      <c r="G88" s="248">
        <f t="shared" si="6"/>
        <v>0</v>
      </c>
      <c r="H88" s="250"/>
      <c r="I88" s="251"/>
      <c r="J88" s="170"/>
      <c r="K88" s="181"/>
      <c r="L88" s="353"/>
      <c r="M88" s="623"/>
      <c r="N88" s="245"/>
      <c r="O88" s="202"/>
      <c r="P88" s="177"/>
      <c r="Q88" s="177"/>
      <c r="R88" s="248">
        <f t="shared" si="7"/>
        <v>0</v>
      </c>
      <c r="S88" s="250"/>
      <c r="T88" s="527"/>
      <c r="U88" s="544">
        <f t="shared" si="8"/>
        <v>0</v>
      </c>
      <c r="V88" s="170"/>
      <c r="W88" s="181"/>
    </row>
    <row r="89" spans="1:23" s="24" customFormat="1" ht="31" customHeight="1" x14ac:dyDescent="0.35">
      <c r="A89" s="23"/>
      <c r="B89" s="662" t="s">
        <v>414</v>
      </c>
      <c r="C89" s="232" t="s">
        <v>415</v>
      </c>
      <c r="D89" s="233">
        <v>23000</v>
      </c>
      <c r="E89" s="234"/>
      <c r="F89" s="234"/>
      <c r="G89" s="235">
        <f t="shared" si="6"/>
        <v>23000</v>
      </c>
      <c r="H89" s="236">
        <v>0.5</v>
      </c>
      <c r="I89" s="358"/>
      <c r="J89" s="170"/>
      <c r="K89" s="229">
        <v>4</v>
      </c>
      <c r="L89" s="353"/>
      <c r="M89" s="662" t="s">
        <v>414</v>
      </c>
      <c r="N89" s="232" t="s">
        <v>415</v>
      </c>
      <c r="O89" s="233">
        <v>23000</v>
      </c>
      <c r="P89" s="234"/>
      <c r="Q89" s="234"/>
      <c r="R89" s="235">
        <f t="shared" si="7"/>
        <v>23000</v>
      </c>
      <c r="S89" s="236">
        <v>0.5</v>
      </c>
      <c r="T89" s="358">
        <v>23000</v>
      </c>
      <c r="U89" s="544">
        <f t="shared" si="8"/>
        <v>9200</v>
      </c>
      <c r="V89" s="170"/>
      <c r="W89" s="229">
        <v>4</v>
      </c>
    </row>
    <row r="90" spans="1:23" s="24" customFormat="1" ht="31" x14ac:dyDescent="0.35">
      <c r="A90" s="23"/>
      <c r="B90" s="663"/>
      <c r="C90" s="232" t="s">
        <v>416</v>
      </c>
      <c r="D90" s="233">
        <v>16000</v>
      </c>
      <c r="E90" s="234"/>
      <c r="F90" s="234"/>
      <c r="G90" s="235">
        <f t="shared" si="6"/>
        <v>16000</v>
      </c>
      <c r="H90" s="236">
        <v>0.3</v>
      </c>
      <c r="I90" s="358"/>
      <c r="J90" s="170"/>
      <c r="K90" s="229">
        <v>4</v>
      </c>
      <c r="L90" s="353"/>
      <c r="M90" s="663"/>
      <c r="N90" s="232" t="s">
        <v>416</v>
      </c>
      <c r="O90" s="233">
        <v>16000</v>
      </c>
      <c r="P90" s="234"/>
      <c r="Q90" s="234"/>
      <c r="R90" s="235">
        <f t="shared" si="7"/>
        <v>16000</v>
      </c>
      <c r="S90" s="236">
        <v>0.3</v>
      </c>
      <c r="T90" s="358">
        <v>16000</v>
      </c>
      <c r="U90" s="544">
        <f>T90*30/100</f>
        <v>4800</v>
      </c>
      <c r="V90" s="170"/>
      <c r="W90" s="229">
        <v>4</v>
      </c>
    </row>
    <row r="91" spans="1:23" s="24" customFormat="1" ht="15.5" x14ac:dyDescent="0.35">
      <c r="A91" s="23"/>
      <c r="B91" s="663"/>
      <c r="C91" s="232" t="s">
        <v>417</v>
      </c>
      <c r="D91" s="233">
        <v>11000</v>
      </c>
      <c r="E91" s="234"/>
      <c r="F91" s="234"/>
      <c r="G91" s="235">
        <f t="shared" si="6"/>
        <v>11000</v>
      </c>
      <c r="H91" s="236">
        <v>0.5</v>
      </c>
      <c r="I91" s="358"/>
      <c r="J91" s="170"/>
      <c r="K91" s="229">
        <v>4</v>
      </c>
      <c r="L91" s="353"/>
      <c r="M91" s="663"/>
      <c r="N91" s="232" t="s">
        <v>417</v>
      </c>
      <c r="O91" s="233">
        <v>11000</v>
      </c>
      <c r="P91" s="234"/>
      <c r="Q91" s="234"/>
      <c r="R91" s="235">
        <f t="shared" si="7"/>
        <v>11000</v>
      </c>
      <c r="S91" s="236">
        <v>0.5</v>
      </c>
      <c r="T91" s="358"/>
      <c r="U91" s="544">
        <f t="shared" si="8"/>
        <v>0</v>
      </c>
      <c r="V91" s="170"/>
      <c r="W91" s="229">
        <v>4</v>
      </c>
    </row>
    <row r="92" spans="1:23" s="24" customFormat="1" ht="15.5" x14ac:dyDescent="0.35">
      <c r="A92" s="23"/>
      <c r="B92" s="663"/>
      <c r="C92" s="359"/>
      <c r="D92" s="233"/>
      <c r="E92" s="234"/>
      <c r="F92" s="234"/>
      <c r="G92" s="235">
        <f t="shared" si="6"/>
        <v>0</v>
      </c>
      <c r="H92" s="360"/>
      <c r="I92" s="358"/>
      <c r="J92" s="170"/>
      <c r="K92" s="181"/>
      <c r="L92" s="353"/>
      <c r="M92" s="663"/>
      <c r="N92" s="359"/>
      <c r="O92" s="233"/>
      <c r="P92" s="234"/>
      <c r="Q92" s="234"/>
      <c r="R92" s="235">
        <f t="shared" si="7"/>
        <v>0</v>
      </c>
      <c r="S92" s="360"/>
      <c r="T92" s="358"/>
      <c r="U92" s="544">
        <f t="shared" si="8"/>
        <v>0</v>
      </c>
      <c r="V92" s="170"/>
      <c r="W92" s="181"/>
    </row>
    <row r="93" spans="1:23" s="24" customFormat="1" ht="15.5" x14ac:dyDescent="0.35">
      <c r="A93" s="23"/>
      <c r="B93" s="664"/>
      <c r="C93" s="359"/>
      <c r="D93" s="233"/>
      <c r="E93" s="234"/>
      <c r="F93" s="234"/>
      <c r="G93" s="235"/>
      <c r="H93" s="360"/>
      <c r="I93" s="358"/>
      <c r="J93" s="170"/>
      <c r="K93" s="181"/>
      <c r="L93" s="353"/>
      <c r="M93" s="664"/>
      <c r="N93" s="359"/>
      <c r="O93" s="233"/>
      <c r="P93" s="234"/>
      <c r="Q93" s="234"/>
      <c r="R93" s="235">
        <f t="shared" si="7"/>
        <v>0</v>
      </c>
      <c r="S93" s="360"/>
      <c r="T93" s="358"/>
      <c r="U93" s="544">
        <f t="shared" si="8"/>
        <v>0</v>
      </c>
      <c r="V93" s="170"/>
      <c r="W93" s="181"/>
    </row>
    <row r="94" spans="1:23" s="24" customFormat="1" ht="31" x14ac:dyDescent="0.35">
      <c r="A94" s="23"/>
      <c r="B94" s="350"/>
      <c r="C94" s="245"/>
      <c r="D94" s="202"/>
      <c r="E94" s="177"/>
      <c r="F94" s="177"/>
      <c r="G94" s="248"/>
      <c r="H94" s="250"/>
      <c r="I94" s="251"/>
      <c r="J94" s="170"/>
      <c r="K94" s="181"/>
      <c r="L94" s="353"/>
      <c r="M94" s="657" t="s">
        <v>950</v>
      </c>
      <c r="N94" s="415" t="s">
        <v>418</v>
      </c>
      <c r="O94" s="225">
        <v>1000</v>
      </c>
      <c r="P94" s="226"/>
      <c r="Q94" s="226"/>
      <c r="R94" s="227">
        <f t="shared" si="7"/>
        <v>1000</v>
      </c>
      <c r="S94" s="367">
        <v>0.3</v>
      </c>
      <c r="T94" s="357">
        <v>1000</v>
      </c>
      <c r="U94" s="544">
        <f>T94*30/100</f>
        <v>300</v>
      </c>
      <c r="V94" s="368"/>
      <c r="W94" s="229">
        <v>4</v>
      </c>
    </row>
    <row r="95" spans="1:23" s="24" customFormat="1" ht="15.5" x14ac:dyDescent="0.35">
      <c r="A95" s="23"/>
      <c r="B95" s="350"/>
      <c r="C95" s="245"/>
      <c r="D95" s="202"/>
      <c r="E95" s="177"/>
      <c r="F95" s="177"/>
      <c r="G95" s="248"/>
      <c r="H95" s="250"/>
      <c r="I95" s="251"/>
      <c r="J95" s="170"/>
      <c r="K95" s="181"/>
      <c r="L95" s="353"/>
      <c r="M95" s="655"/>
      <c r="N95" s="416" t="s">
        <v>419</v>
      </c>
      <c r="O95" s="225">
        <v>100000</v>
      </c>
      <c r="P95" s="226"/>
      <c r="Q95" s="226"/>
      <c r="R95" s="227">
        <f t="shared" si="7"/>
        <v>100000</v>
      </c>
      <c r="S95" s="367">
        <v>0.3</v>
      </c>
      <c r="T95" s="357">
        <v>18366</v>
      </c>
      <c r="U95" s="544">
        <f>T95*30/100</f>
        <v>5509.8</v>
      </c>
      <c r="V95" s="368"/>
      <c r="W95" s="229">
        <v>6</v>
      </c>
    </row>
    <row r="96" spans="1:23" s="24" customFormat="1" ht="15.5" x14ac:dyDescent="0.35">
      <c r="A96" s="23"/>
      <c r="B96" s="350"/>
      <c r="C96" s="245"/>
      <c r="D96" s="202"/>
      <c r="E96" s="177"/>
      <c r="F96" s="177"/>
      <c r="G96" s="248"/>
      <c r="H96" s="250"/>
      <c r="I96" s="251"/>
      <c r="J96" s="170"/>
      <c r="K96" s="181"/>
      <c r="L96" s="353"/>
      <c r="M96" s="655"/>
      <c r="N96" s="416" t="s">
        <v>420</v>
      </c>
      <c r="O96" s="225">
        <v>2000</v>
      </c>
      <c r="P96" s="226"/>
      <c r="Q96" s="226"/>
      <c r="R96" s="227">
        <f t="shared" si="7"/>
        <v>2000</v>
      </c>
      <c r="S96" s="367">
        <v>0.3</v>
      </c>
      <c r="T96" s="357"/>
      <c r="U96" s="544">
        <f t="shared" si="8"/>
        <v>0</v>
      </c>
      <c r="V96" s="368"/>
      <c r="W96" s="229">
        <v>7</v>
      </c>
    </row>
    <row r="97" spans="1:23" s="24" customFormat="1" ht="15.5" x14ac:dyDescent="0.35">
      <c r="A97" s="23"/>
      <c r="B97" s="350"/>
      <c r="C97" s="245"/>
      <c r="D97" s="202"/>
      <c r="E97" s="177"/>
      <c r="F97" s="177"/>
      <c r="G97" s="248"/>
      <c r="H97" s="250"/>
      <c r="I97" s="251"/>
      <c r="J97" s="170"/>
      <c r="K97" s="181"/>
      <c r="L97" s="353"/>
      <c r="M97" s="655"/>
      <c r="N97" s="416" t="s">
        <v>421</v>
      </c>
      <c r="O97" s="225">
        <v>15000</v>
      </c>
      <c r="P97" s="226"/>
      <c r="Q97" s="226"/>
      <c r="R97" s="227">
        <f>O97+P97+Q97</f>
        <v>15000</v>
      </c>
      <c r="S97" s="367">
        <v>0.3</v>
      </c>
      <c r="T97" s="357"/>
      <c r="U97" s="544">
        <f t="shared" si="8"/>
        <v>0</v>
      </c>
      <c r="V97" s="368"/>
      <c r="W97" s="229">
        <v>7</v>
      </c>
    </row>
    <row r="98" spans="1:23" s="24" customFormat="1" ht="15.5" x14ac:dyDescent="0.35">
      <c r="A98" s="23"/>
      <c r="B98" s="350"/>
      <c r="C98" s="245"/>
      <c r="D98" s="202"/>
      <c r="E98" s="177"/>
      <c r="F98" s="177"/>
      <c r="G98" s="248"/>
      <c r="H98" s="250"/>
      <c r="I98" s="251"/>
      <c r="J98" s="170"/>
      <c r="K98" s="181"/>
      <c r="L98" s="353"/>
      <c r="M98" s="656"/>
      <c r="N98" s="416" t="s">
        <v>422</v>
      </c>
      <c r="O98" s="225">
        <v>3500</v>
      </c>
      <c r="P98" s="226"/>
      <c r="Q98" s="226"/>
      <c r="R98" s="227">
        <f t="shared" si="7"/>
        <v>3500</v>
      </c>
      <c r="S98" s="367">
        <v>0.5</v>
      </c>
      <c r="T98" s="357"/>
      <c r="U98" s="544">
        <f t="shared" si="8"/>
        <v>0</v>
      </c>
      <c r="V98" s="368"/>
      <c r="W98" s="229">
        <v>4</v>
      </c>
    </row>
    <row r="99" spans="1:23" s="24" customFormat="1" ht="15.5" x14ac:dyDescent="0.35">
      <c r="A99" s="23"/>
      <c r="B99" s="350"/>
      <c r="C99" s="245"/>
      <c r="D99" s="202"/>
      <c r="E99" s="177"/>
      <c r="F99" s="177"/>
      <c r="G99" s="248"/>
      <c r="H99" s="250"/>
      <c r="I99" s="251"/>
      <c r="J99" s="170"/>
      <c r="K99" s="181"/>
      <c r="L99" s="353"/>
      <c r="M99" s="355"/>
      <c r="N99" s="245"/>
      <c r="O99" s="225"/>
      <c r="P99" s="226"/>
      <c r="Q99" s="226"/>
      <c r="R99" s="227">
        <f t="shared" si="7"/>
        <v>0</v>
      </c>
      <c r="S99" s="367"/>
      <c r="T99" s="357"/>
      <c r="U99" s="544">
        <f t="shared" si="8"/>
        <v>0</v>
      </c>
      <c r="V99" s="368"/>
      <c r="W99" s="229"/>
    </row>
    <row r="100" spans="1:23" s="24" customFormat="1" ht="15.5" x14ac:dyDescent="0.35">
      <c r="A100" s="23"/>
      <c r="B100" s="350"/>
      <c r="C100" s="245"/>
      <c r="D100" s="202"/>
      <c r="E100" s="177"/>
      <c r="F100" s="177"/>
      <c r="G100" s="248"/>
      <c r="H100" s="250"/>
      <c r="I100" s="251"/>
      <c r="J100" s="170"/>
      <c r="K100" s="181"/>
      <c r="L100" s="353"/>
      <c r="M100" s="355"/>
      <c r="N100" s="245"/>
      <c r="O100" s="225"/>
      <c r="P100" s="226"/>
      <c r="Q100" s="226"/>
      <c r="R100" s="227">
        <f t="shared" si="7"/>
        <v>0</v>
      </c>
      <c r="S100" s="367"/>
      <c r="T100" s="357"/>
      <c r="U100" s="544">
        <f t="shared" si="8"/>
        <v>0</v>
      </c>
      <c r="V100" s="368"/>
      <c r="W100" s="229"/>
    </row>
    <row r="101" spans="1:23" s="24" customFormat="1" ht="15.5" x14ac:dyDescent="0.35">
      <c r="A101" s="23"/>
      <c r="B101" s="350"/>
      <c r="C101" s="245"/>
      <c r="D101" s="202"/>
      <c r="E101" s="177"/>
      <c r="F101" s="177"/>
      <c r="G101" s="248"/>
      <c r="H101" s="250"/>
      <c r="I101" s="251"/>
      <c r="J101" s="170"/>
      <c r="K101" s="181"/>
      <c r="L101" s="353"/>
      <c r="M101" s="355"/>
      <c r="N101" s="245"/>
      <c r="O101" s="225"/>
      <c r="P101" s="226"/>
      <c r="Q101" s="226"/>
      <c r="R101" s="227">
        <f t="shared" si="7"/>
        <v>0</v>
      </c>
      <c r="S101" s="367"/>
      <c r="T101" s="357"/>
      <c r="U101" s="544">
        <f t="shared" si="8"/>
        <v>0</v>
      </c>
      <c r="V101" s="368"/>
      <c r="W101" s="229"/>
    </row>
    <row r="102" spans="1:23" ht="15.5" x14ac:dyDescent="0.35">
      <c r="B102" s="355"/>
      <c r="C102" s="245"/>
      <c r="D102" s="202"/>
      <c r="E102" s="177"/>
      <c r="F102" s="177"/>
      <c r="G102" s="248">
        <f t="shared" si="6"/>
        <v>0</v>
      </c>
      <c r="H102" s="250"/>
      <c r="I102" s="251"/>
      <c r="J102" s="170"/>
      <c r="K102" s="181"/>
      <c r="L102" s="353"/>
      <c r="M102" s="355"/>
      <c r="N102" s="245"/>
      <c r="O102" s="225"/>
      <c r="P102" s="226"/>
      <c r="Q102" s="226"/>
      <c r="R102" s="227">
        <f t="shared" si="7"/>
        <v>0</v>
      </c>
      <c r="S102" s="367"/>
      <c r="T102" s="357"/>
      <c r="U102" s="544">
        <f t="shared" si="8"/>
        <v>0</v>
      </c>
      <c r="V102" s="368"/>
      <c r="W102" s="229"/>
    </row>
    <row r="103" spans="1:23" ht="15.5" x14ac:dyDescent="0.35">
      <c r="C103" s="73" t="s">
        <v>160</v>
      </c>
      <c r="D103" s="364">
        <f>SUM(D64:D102)</f>
        <v>217430.69</v>
      </c>
      <c r="E103" s="365">
        <f>SUM(E64:E102)</f>
        <v>0</v>
      </c>
      <c r="F103" s="365">
        <f>SUM(F64:F102)</f>
        <v>0</v>
      </c>
      <c r="G103" s="366">
        <f>SUM(G64:G102)</f>
        <v>217430.69</v>
      </c>
      <c r="H103" s="366" t="e">
        <f>(H64*G64)+(H65*G65)+(H66*G66)+(H67*G67)+(H68*G68)+(H69*G69)+(H70*G70)+(H71*G71)+(H72*G72)+(H73*G73)+(H74*G74)+(H75*G75)+(H76*G76)+(H77*G77)+(H78*G78)+(H79*G79)+(H80*G80)+(H81*G81)+(H82*G82)+(H83*G83)+(H84*G84)+(H85*G85)+(H86*G86)+(H87*G87)+(H88*G88)+(H89*G89)+(H90*G90)+(H91*G91)+(H92*G92)+(G93*H93)+(#REF!*#REF!)+(#REF!*#REF!)+(G98*H98)+(G99*H99)+(G100*H100)+(G101*H101)+(H102*G102)</f>
        <v>#REF!</v>
      </c>
      <c r="I103" s="366">
        <f>SUM(I64:I102)</f>
        <v>0</v>
      </c>
      <c r="J103" s="170"/>
      <c r="K103" s="182"/>
      <c r="L103" s="353"/>
      <c r="N103" s="73" t="s">
        <v>160</v>
      </c>
      <c r="O103" s="230">
        <f>SUM(O64:O102)</f>
        <v>338930.69</v>
      </c>
      <c r="P103" s="238">
        <f>SUM(P64:P102)</f>
        <v>0</v>
      </c>
      <c r="Q103" s="238">
        <f>SUM(Q64:Q102)</f>
        <v>0</v>
      </c>
      <c r="R103" s="231">
        <f>SUM(R64:R102)</f>
        <v>338930.69</v>
      </c>
      <c r="S103" s="231">
        <f>(S64*R64)+(S65*R65)+(S66*R66)+(S67*R67)+(S68*R68)+(S69*R69)+(S70*R70)+(S71*R71)+(S72*R72)+(S73*R73)+(S74*R74)+(S75*R75)+(S76*R76)+(S77*R77)+(S78*R78)+(S79*R79)+(S80*R80)+(S81*R81)+(S82*R82)+(S83*R83)+(S84*R84)+(S85*R85)+(S86*R86)+(S87*R87)+(S88*R88)+(S89*R89)+(S90*R90)+(S91*R91)+(S92*R92)+(R93*S93)+(R94*S94)+(R95+S95)+(R96+S96)+(R97*S97)+(R98*S98)+(R99*S99)+(R100*S100)+(R101*S101)+(S102*R102)</f>
        <v>187822.87599999999</v>
      </c>
      <c r="T103" s="231">
        <f>SUM(T64:T102)</f>
        <v>225796.69</v>
      </c>
      <c r="U103" s="547">
        <f>SUM(U64:U102)</f>
        <v>81282.076000000001</v>
      </c>
      <c r="V103" s="170"/>
      <c r="W103" s="182"/>
    </row>
    <row r="104" spans="1:23" ht="36" hidden="1" customHeight="1" x14ac:dyDescent="0.35">
      <c r="B104" s="72" t="s">
        <v>161</v>
      </c>
      <c r="C104" s="630"/>
      <c r="D104" s="630"/>
      <c r="E104" s="630"/>
      <c r="F104" s="630"/>
      <c r="G104" s="630"/>
      <c r="H104" s="630"/>
      <c r="I104" s="631"/>
      <c r="J104" s="630"/>
      <c r="K104" s="183"/>
      <c r="L104" s="353"/>
      <c r="M104" s="72" t="s">
        <v>161</v>
      </c>
      <c r="N104" s="630"/>
      <c r="O104" s="630"/>
      <c r="P104" s="630"/>
      <c r="Q104" s="630"/>
      <c r="R104" s="630"/>
      <c r="S104" s="630"/>
      <c r="T104" s="631"/>
      <c r="U104" s="631"/>
      <c r="V104" s="630"/>
      <c r="W104" s="183"/>
    </row>
    <row r="105" spans="1:23" ht="15.5" hidden="1" x14ac:dyDescent="0.35">
      <c r="B105" s="622" t="s">
        <v>162</v>
      </c>
      <c r="C105" s="166"/>
      <c r="D105" s="202"/>
      <c r="E105" s="177"/>
      <c r="F105" s="177"/>
      <c r="G105" s="248">
        <f>D105+E105+F105</f>
        <v>0</v>
      </c>
      <c r="H105" s="171"/>
      <c r="I105" s="177"/>
      <c r="J105" s="167"/>
      <c r="K105" s="181"/>
      <c r="L105" s="353"/>
      <c r="M105" s="622" t="s">
        <v>162</v>
      </c>
      <c r="N105" s="166"/>
      <c r="O105" s="202"/>
      <c r="P105" s="177"/>
      <c r="Q105" s="177"/>
      <c r="R105" s="248">
        <f>O105+P105+Q105</f>
        <v>0</v>
      </c>
      <c r="S105" s="171"/>
      <c r="T105" s="177"/>
      <c r="U105" s="544"/>
      <c r="V105" s="167"/>
      <c r="W105" s="181"/>
    </row>
    <row r="106" spans="1:23" ht="15.5" hidden="1" x14ac:dyDescent="0.35">
      <c r="B106" s="623"/>
      <c r="C106" s="166"/>
      <c r="D106" s="202"/>
      <c r="E106" s="177"/>
      <c r="F106" s="177"/>
      <c r="G106" s="248">
        <f t="shared" ref="G106:G114" si="9">D106+E106+F106</f>
        <v>0</v>
      </c>
      <c r="H106" s="171"/>
      <c r="I106" s="177"/>
      <c r="J106" s="167"/>
      <c r="K106" s="181"/>
      <c r="L106" s="353"/>
      <c r="M106" s="623"/>
      <c r="N106" s="166"/>
      <c r="O106" s="202"/>
      <c r="P106" s="177"/>
      <c r="Q106" s="177"/>
      <c r="R106" s="248">
        <f t="shared" ref="R106:R114" si="10">O106+P106+Q106</f>
        <v>0</v>
      </c>
      <c r="S106" s="171"/>
      <c r="T106" s="177"/>
      <c r="U106" s="544"/>
      <c r="V106" s="167"/>
      <c r="W106" s="181"/>
    </row>
    <row r="107" spans="1:23" ht="15.5" hidden="1" x14ac:dyDescent="0.35">
      <c r="B107" s="623"/>
      <c r="C107" s="166"/>
      <c r="D107" s="202"/>
      <c r="E107" s="177"/>
      <c r="F107" s="177"/>
      <c r="G107" s="248">
        <f t="shared" si="9"/>
        <v>0</v>
      </c>
      <c r="H107" s="171"/>
      <c r="I107" s="177"/>
      <c r="J107" s="167"/>
      <c r="K107" s="181"/>
      <c r="L107" s="353"/>
      <c r="M107" s="623"/>
      <c r="N107" s="166"/>
      <c r="O107" s="202"/>
      <c r="P107" s="177"/>
      <c r="Q107" s="177"/>
      <c r="R107" s="248">
        <f t="shared" si="10"/>
        <v>0</v>
      </c>
      <c r="S107" s="171"/>
      <c r="T107" s="177"/>
      <c r="U107" s="544"/>
      <c r="V107" s="167"/>
      <c r="W107" s="181"/>
    </row>
    <row r="108" spans="1:23" ht="15.5" hidden="1" x14ac:dyDescent="0.35">
      <c r="B108" s="623"/>
      <c r="C108" s="166"/>
      <c r="D108" s="202"/>
      <c r="E108" s="177"/>
      <c r="F108" s="177"/>
      <c r="G108" s="248">
        <f t="shared" si="9"/>
        <v>0</v>
      </c>
      <c r="H108" s="171"/>
      <c r="I108" s="177"/>
      <c r="J108" s="167"/>
      <c r="K108" s="181"/>
      <c r="L108" s="353"/>
      <c r="M108" s="623"/>
      <c r="N108" s="166"/>
      <c r="O108" s="202"/>
      <c r="P108" s="177"/>
      <c r="Q108" s="177"/>
      <c r="R108" s="248">
        <f t="shared" si="10"/>
        <v>0</v>
      </c>
      <c r="S108" s="171"/>
      <c r="T108" s="177"/>
      <c r="U108" s="544"/>
      <c r="V108" s="167"/>
      <c r="W108" s="181"/>
    </row>
    <row r="109" spans="1:23" ht="15.5" hidden="1" x14ac:dyDescent="0.35">
      <c r="B109" s="624"/>
      <c r="C109" s="166"/>
      <c r="D109" s="202"/>
      <c r="E109" s="177"/>
      <c r="F109" s="177"/>
      <c r="G109" s="248">
        <f t="shared" si="9"/>
        <v>0</v>
      </c>
      <c r="H109" s="171"/>
      <c r="I109" s="177"/>
      <c r="J109" s="167"/>
      <c r="K109" s="181"/>
      <c r="L109" s="353"/>
      <c r="M109" s="624"/>
      <c r="N109" s="166"/>
      <c r="O109" s="202"/>
      <c r="P109" s="177"/>
      <c r="Q109" s="177"/>
      <c r="R109" s="248">
        <f t="shared" si="10"/>
        <v>0</v>
      </c>
      <c r="S109" s="171"/>
      <c r="T109" s="177"/>
      <c r="U109" s="544"/>
      <c r="V109" s="167"/>
      <c r="W109" s="181"/>
    </row>
    <row r="110" spans="1:23" ht="15.5" hidden="1" x14ac:dyDescent="0.35">
      <c r="B110" s="622" t="s">
        <v>163</v>
      </c>
      <c r="C110" s="166"/>
      <c r="D110" s="202"/>
      <c r="E110" s="177"/>
      <c r="F110" s="177"/>
      <c r="G110" s="248">
        <f t="shared" si="9"/>
        <v>0</v>
      </c>
      <c r="H110" s="171"/>
      <c r="I110" s="177"/>
      <c r="J110" s="167"/>
      <c r="K110" s="181"/>
      <c r="L110" s="353"/>
      <c r="M110" s="622" t="s">
        <v>163</v>
      </c>
      <c r="N110" s="166"/>
      <c r="O110" s="202"/>
      <c r="P110" s="177"/>
      <c r="Q110" s="177"/>
      <c r="R110" s="248">
        <f t="shared" si="10"/>
        <v>0</v>
      </c>
      <c r="S110" s="171"/>
      <c r="T110" s="177"/>
      <c r="U110" s="544"/>
      <c r="V110" s="167"/>
      <c r="W110" s="181"/>
    </row>
    <row r="111" spans="1:23" ht="15.5" hidden="1" x14ac:dyDescent="0.35">
      <c r="B111" s="623"/>
      <c r="C111" s="166"/>
      <c r="D111" s="202"/>
      <c r="E111" s="177"/>
      <c r="F111" s="177"/>
      <c r="G111" s="248">
        <f t="shared" si="9"/>
        <v>0</v>
      </c>
      <c r="H111" s="171"/>
      <c r="I111" s="177"/>
      <c r="J111" s="167"/>
      <c r="K111" s="181"/>
      <c r="L111" s="353"/>
      <c r="M111" s="623"/>
      <c r="N111" s="166"/>
      <c r="O111" s="202"/>
      <c r="P111" s="177"/>
      <c r="Q111" s="177"/>
      <c r="R111" s="248">
        <f t="shared" si="10"/>
        <v>0</v>
      </c>
      <c r="S111" s="171"/>
      <c r="T111" s="177"/>
      <c r="U111" s="544"/>
      <c r="V111" s="167"/>
      <c r="W111" s="181"/>
    </row>
    <row r="112" spans="1:23" ht="15.5" hidden="1" x14ac:dyDescent="0.35">
      <c r="B112" s="623"/>
      <c r="C112" s="166"/>
      <c r="D112" s="202"/>
      <c r="E112" s="177"/>
      <c r="F112" s="177"/>
      <c r="G112" s="248">
        <f t="shared" si="9"/>
        <v>0</v>
      </c>
      <c r="H112" s="171"/>
      <c r="I112" s="177"/>
      <c r="J112" s="167"/>
      <c r="K112" s="181"/>
      <c r="L112" s="353"/>
      <c r="M112" s="623"/>
      <c r="N112" s="166"/>
      <c r="O112" s="202"/>
      <c r="P112" s="177"/>
      <c r="Q112" s="177"/>
      <c r="R112" s="248">
        <f t="shared" si="10"/>
        <v>0</v>
      </c>
      <c r="S112" s="171"/>
      <c r="T112" s="177"/>
      <c r="U112" s="544"/>
      <c r="V112" s="167"/>
      <c r="W112" s="181"/>
    </row>
    <row r="113" spans="2:24" ht="15.5" hidden="1" x14ac:dyDescent="0.35">
      <c r="B113" s="623"/>
      <c r="C113" s="166"/>
      <c r="D113" s="202"/>
      <c r="E113" s="177"/>
      <c r="F113" s="177"/>
      <c r="G113" s="248">
        <f t="shared" si="9"/>
        <v>0</v>
      </c>
      <c r="H113" s="171"/>
      <c r="I113" s="177"/>
      <c r="J113" s="167"/>
      <c r="K113" s="181"/>
      <c r="L113" s="353"/>
      <c r="M113" s="623"/>
      <c r="N113" s="166"/>
      <c r="O113" s="202"/>
      <c r="P113" s="177"/>
      <c r="Q113" s="177"/>
      <c r="R113" s="248">
        <f t="shared" si="10"/>
        <v>0</v>
      </c>
      <c r="S113" s="171"/>
      <c r="T113" s="177"/>
      <c r="U113" s="544"/>
      <c r="V113" s="167"/>
      <c r="W113" s="181"/>
    </row>
    <row r="114" spans="2:24" ht="15.5" hidden="1" x14ac:dyDescent="0.35">
      <c r="B114" s="624"/>
      <c r="C114" s="166"/>
      <c r="D114" s="202"/>
      <c r="E114" s="177"/>
      <c r="F114" s="177"/>
      <c r="G114" s="248">
        <f t="shared" si="9"/>
        <v>0</v>
      </c>
      <c r="H114" s="171"/>
      <c r="I114" s="177"/>
      <c r="J114" s="167"/>
      <c r="K114" s="181"/>
      <c r="L114" s="353"/>
      <c r="M114" s="624"/>
      <c r="N114" s="166"/>
      <c r="O114" s="202"/>
      <c r="P114" s="177"/>
      <c r="Q114" s="177"/>
      <c r="R114" s="248">
        <f t="shared" si="10"/>
        <v>0</v>
      </c>
      <c r="S114" s="171"/>
      <c r="T114" s="177"/>
      <c r="U114" s="544"/>
      <c r="V114" s="167"/>
      <c r="W114" s="181"/>
    </row>
    <row r="115" spans="2:24" ht="15.5" hidden="1" x14ac:dyDescent="0.35">
      <c r="C115" s="73" t="s">
        <v>164</v>
      </c>
      <c r="D115" s="201">
        <f>SUM(D105:D114)</f>
        <v>0</v>
      </c>
      <c r="E115" s="10">
        <f>SUM(E105:E114)</f>
        <v>0</v>
      </c>
      <c r="F115" s="10">
        <f>SUM(F105:F114)</f>
        <v>0</v>
      </c>
      <c r="G115" s="10">
        <f>SUM(G105:G114)</f>
        <v>0</v>
      </c>
      <c r="H115" s="10">
        <f>(H105*G105)+(H106*G106)+(H107*G107)+(H108*G108)+(H109*G109)+(H110*G110)+(H111*G111)+(H112*G112)+(H113*G113)+(H114*G114)</f>
        <v>0</v>
      </c>
      <c r="I115" s="10">
        <f>SUM(I105:I114)</f>
        <v>0</v>
      </c>
      <c r="J115" s="170"/>
      <c r="K115" s="182"/>
      <c r="L115" s="353"/>
      <c r="N115" s="73" t="s">
        <v>164</v>
      </c>
      <c r="O115" s="201">
        <f>SUM(O105:O114)</f>
        <v>0</v>
      </c>
      <c r="P115" s="10">
        <f>SUM(P105:P114)</f>
        <v>0</v>
      </c>
      <c r="Q115" s="10">
        <f>SUM(Q105:Q114)</f>
        <v>0</v>
      </c>
      <c r="R115" s="10">
        <f>SUM(R105:R114)</f>
        <v>0</v>
      </c>
      <c r="S115" s="10">
        <f>(S105*R105)+(S106*R106)+(S107*R107)+(S108*R108)+(S109*R109)+(S110*R110)+(S111*R111)+(S112*R112)+(S113*R113)+(S114*R114)</f>
        <v>0</v>
      </c>
      <c r="T115" s="10">
        <f>SUM(T105:T114)</f>
        <v>0</v>
      </c>
      <c r="U115" s="545"/>
      <c r="V115" s="170"/>
      <c r="W115" s="182"/>
    </row>
    <row r="116" spans="2:24" ht="15.5" hidden="1" x14ac:dyDescent="0.35">
      <c r="B116" s="252"/>
      <c r="C116" s="253"/>
      <c r="D116" s="254"/>
      <c r="E116" s="255"/>
      <c r="F116" s="255"/>
      <c r="G116" s="255"/>
      <c r="H116" s="255"/>
      <c r="I116" s="255"/>
      <c r="J116" s="255"/>
      <c r="K116" s="184"/>
      <c r="L116" s="353"/>
      <c r="M116" s="252"/>
      <c r="N116" s="253"/>
      <c r="O116" s="254"/>
      <c r="P116" s="255"/>
      <c r="Q116" s="255"/>
      <c r="R116" s="255"/>
      <c r="S116" s="255"/>
      <c r="T116" s="255"/>
      <c r="U116" s="548"/>
      <c r="V116" s="255"/>
      <c r="W116" s="184"/>
    </row>
    <row r="117" spans="2:24" ht="15.5" x14ac:dyDescent="0.35">
      <c r="B117" s="73" t="s">
        <v>165</v>
      </c>
      <c r="C117" s="634" t="s">
        <v>166</v>
      </c>
      <c r="D117" s="634"/>
      <c r="E117" s="634"/>
      <c r="F117" s="634"/>
      <c r="G117" s="634"/>
      <c r="H117" s="634"/>
      <c r="I117" s="635"/>
      <c r="J117" s="634"/>
      <c r="K117" s="185"/>
      <c r="L117" s="353"/>
      <c r="M117" s="73" t="s">
        <v>165</v>
      </c>
      <c r="N117" s="634" t="s">
        <v>166</v>
      </c>
      <c r="O117" s="634"/>
      <c r="P117" s="634"/>
      <c r="Q117" s="634"/>
      <c r="R117" s="634"/>
      <c r="S117" s="634"/>
      <c r="T117" s="635"/>
      <c r="U117" s="635"/>
      <c r="V117" s="634"/>
      <c r="W117" s="185"/>
    </row>
    <row r="118" spans="2:24" ht="15.5" x14ac:dyDescent="0.35">
      <c r="B118" s="72" t="s">
        <v>17</v>
      </c>
      <c r="C118" s="630" t="s">
        <v>167</v>
      </c>
      <c r="D118" s="630"/>
      <c r="E118" s="630"/>
      <c r="F118" s="630"/>
      <c r="G118" s="630"/>
      <c r="H118" s="630"/>
      <c r="I118" s="631"/>
      <c r="J118" s="630"/>
      <c r="K118" s="183"/>
      <c r="L118" s="353"/>
      <c r="M118" s="72" t="s">
        <v>17</v>
      </c>
      <c r="N118" s="630" t="s">
        <v>167</v>
      </c>
      <c r="O118" s="630"/>
      <c r="P118" s="630"/>
      <c r="Q118" s="630"/>
      <c r="R118" s="630"/>
      <c r="S118" s="630"/>
      <c r="T118" s="631"/>
      <c r="U118" s="631"/>
      <c r="V118" s="630"/>
      <c r="W118" s="183"/>
    </row>
    <row r="119" spans="2:24" ht="46.5" customHeight="1" x14ac:dyDescent="0.35">
      <c r="B119" s="622" t="s">
        <v>168</v>
      </c>
      <c r="C119" s="166" t="s">
        <v>169</v>
      </c>
      <c r="D119" s="202"/>
      <c r="E119" s="177">
        <v>28000</v>
      </c>
      <c r="F119" s="177"/>
      <c r="G119" s="248">
        <f>D119+E119+F119</f>
        <v>28000</v>
      </c>
      <c r="H119" s="171">
        <v>0.4</v>
      </c>
      <c r="I119" s="177"/>
      <c r="J119" s="167" t="s">
        <v>170</v>
      </c>
      <c r="K119" s="181">
        <v>4</v>
      </c>
      <c r="L119" s="353"/>
      <c r="M119" s="622" t="s">
        <v>168</v>
      </c>
      <c r="N119" s="166" t="s">
        <v>169</v>
      </c>
      <c r="O119" s="202"/>
      <c r="P119" s="226">
        <v>79000</v>
      </c>
      <c r="Q119" s="177"/>
      <c r="R119" s="248">
        <f>O119+P119+Q119</f>
        <v>79000</v>
      </c>
      <c r="S119" s="171">
        <v>0.4</v>
      </c>
      <c r="T119" s="537">
        <v>79000</v>
      </c>
      <c r="U119" s="549">
        <f>T119*40/100</f>
        <v>31600</v>
      </c>
      <c r="V119" s="167" t="s">
        <v>170</v>
      </c>
      <c r="W119" s="181">
        <v>4</v>
      </c>
    </row>
    <row r="120" spans="2:24" ht="15.5" x14ac:dyDescent="0.35">
      <c r="B120" s="623"/>
      <c r="C120" s="166" t="s">
        <v>171</v>
      </c>
      <c r="D120" s="202"/>
      <c r="E120" s="177">
        <v>2000</v>
      </c>
      <c r="F120" s="177"/>
      <c r="G120" s="248">
        <f t="shared" ref="G120:G256" si="11">D120+E120+F120</f>
        <v>2000</v>
      </c>
      <c r="H120" s="171">
        <v>0.4</v>
      </c>
      <c r="I120" s="177"/>
      <c r="J120" s="167" t="s">
        <v>172</v>
      </c>
      <c r="K120" s="181">
        <v>4</v>
      </c>
      <c r="L120" s="353"/>
      <c r="M120" s="623"/>
      <c r="N120" s="166" t="s">
        <v>171</v>
      </c>
      <c r="O120" s="202"/>
      <c r="P120" s="234">
        <v>2000</v>
      </c>
      <c r="Q120" s="177"/>
      <c r="R120" s="248">
        <f t="shared" ref="R120:R203" si="12">O120+P120+Q120</f>
        <v>2000</v>
      </c>
      <c r="S120" s="171">
        <v>0.4</v>
      </c>
      <c r="T120" s="528">
        <v>2000</v>
      </c>
      <c r="U120" s="549">
        <f t="shared" ref="U120:U183" si="13">T120*40/100</f>
        <v>800</v>
      </c>
      <c r="V120" s="167" t="s">
        <v>172</v>
      </c>
      <c r="W120" s="181">
        <v>4</v>
      </c>
    </row>
    <row r="121" spans="2:24" ht="152.5" customHeight="1" x14ac:dyDescent="0.35">
      <c r="B121" s="623"/>
      <c r="C121" s="166" t="s">
        <v>173</v>
      </c>
      <c r="D121" s="202"/>
      <c r="E121" s="177">
        <v>5000</v>
      </c>
      <c r="F121" s="177"/>
      <c r="G121" s="248">
        <f t="shared" si="11"/>
        <v>5000</v>
      </c>
      <c r="H121" s="171">
        <v>0.4</v>
      </c>
      <c r="I121" s="177"/>
      <c r="J121" s="167" t="s">
        <v>174</v>
      </c>
      <c r="K121" s="181">
        <v>4</v>
      </c>
      <c r="L121" s="353"/>
      <c r="M121" s="623"/>
      <c r="N121" s="166" t="s">
        <v>173</v>
      </c>
      <c r="O121" s="202"/>
      <c r="P121" s="177">
        <v>100000</v>
      </c>
      <c r="Q121" s="177"/>
      <c r="R121" s="248">
        <f t="shared" si="12"/>
        <v>100000</v>
      </c>
      <c r="S121" s="171">
        <v>0.4</v>
      </c>
      <c r="T121" s="537">
        <v>100000</v>
      </c>
      <c r="U121" s="549">
        <f t="shared" si="13"/>
        <v>40000</v>
      </c>
      <c r="V121" s="167" t="s">
        <v>174</v>
      </c>
      <c r="W121" s="181">
        <v>4</v>
      </c>
      <c r="X121" s="422"/>
    </row>
    <row r="122" spans="2:24" ht="15.5" x14ac:dyDescent="0.35">
      <c r="B122" s="623"/>
      <c r="C122" s="166"/>
      <c r="D122" s="202"/>
      <c r="E122" s="177"/>
      <c r="F122" s="177"/>
      <c r="G122" s="248">
        <f t="shared" si="11"/>
        <v>0</v>
      </c>
      <c r="H122" s="171"/>
      <c r="I122" s="177"/>
      <c r="J122" s="167"/>
      <c r="K122" s="181"/>
      <c r="L122" s="353"/>
      <c r="M122" s="623"/>
      <c r="N122" s="166"/>
      <c r="O122" s="202"/>
      <c r="P122" s="177"/>
      <c r="Q122" s="177"/>
      <c r="R122" s="248">
        <f t="shared" si="12"/>
        <v>0</v>
      </c>
      <c r="S122" s="171"/>
      <c r="T122" s="529"/>
      <c r="U122" s="549">
        <f t="shared" si="13"/>
        <v>0</v>
      </c>
      <c r="V122" s="167"/>
      <c r="W122" s="181"/>
    </row>
    <row r="123" spans="2:24" ht="15.5" x14ac:dyDescent="0.35">
      <c r="B123" s="624"/>
      <c r="C123" s="166"/>
      <c r="D123" s="202"/>
      <c r="E123" s="177"/>
      <c r="F123" s="177"/>
      <c r="G123" s="248">
        <f t="shared" si="11"/>
        <v>0</v>
      </c>
      <c r="H123" s="171"/>
      <c r="I123" s="177"/>
      <c r="J123" s="167"/>
      <c r="K123" s="181"/>
      <c r="L123" s="353"/>
      <c r="M123" s="624"/>
      <c r="N123" s="166"/>
      <c r="O123" s="202"/>
      <c r="P123" s="177"/>
      <c r="Q123" s="177"/>
      <c r="R123" s="248">
        <f t="shared" si="12"/>
        <v>0</v>
      </c>
      <c r="S123" s="171"/>
      <c r="T123" s="529"/>
      <c r="U123" s="549">
        <f t="shared" si="13"/>
        <v>0</v>
      </c>
      <c r="V123" s="167"/>
      <c r="W123" s="181"/>
    </row>
    <row r="124" spans="2:24" ht="15.5" x14ac:dyDescent="0.35">
      <c r="B124" s="622" t="s">
        <v>175</v>
      </c>
      <c r="C124" s="166" t="s">
        <v>176</v>
      </c>
      <c r="D124" s="202"/>
      <c r="E124" s="177">
        <v>20000</v>
      </c>
      <c r="F124" s="177"/>
      <c r="G124" s="248">
        <f t="shared" si="11"/>
        <v>20000</v>
      </c>
      <c r="H124" s="171">
        <v>0.4</v>
      </c>
      <c r="I124" s="177"/>
      <c r="J124" s="167" t="s">
        <v>177</v>
      </c>
      <c r="K124" s="181">
        <v>6</v>
      </c>
      <c r="L124" s="353"/>
      <c r="M124" s="622" t="s">
        <v>175</v>
      </c>
      <c r="N124" s="166" t="s">
        <v>176</v>
      </c>
      <c r="O124" s="202"/>
      <c r="P124" s="177">
        <v>20000</v>
      </c>
      <c r="Q124" s="177"/>
      <c r="R124" s="248">
        <f t="shared" si="12"/>
        <v>20000</v>
      </c>
      <c r="S124" s="171">
        <v>0.4</v>
      </c>
      <c r="T124" s="529">
        <v>20000</v>
      </c>
      <c r="U124" s="549">
        <f t="shared" si="13"/>
        <v>8000</v>
      </c>
      <c r="V124" s="167" t="s">
        <v>177</v>
      </c>
      <c r="W124" s="181">
        <v>6</v>
      </c>
    </row>
    <row r="125" spans="2:24" ht="48" customHeight="1" x14ac:dyDescent="0.35">
      <c r="B125" s="623"/>
      <c r="C125" s="166" t="s">
        <v>178</v>
      </c>
      <c r="D125" s="202"/>
      <c r="E125" s="177">
        <v>30000</v>
      </c>
      <c r="F125" s="177"/>
      <c r="G125" s="248">
        <f t="shared" si="11"/>
        <v>30000</v>
      </c>
      <c r="H125" s="171">
        <v>0.4</v>
      </c>
      <c r="I125" s="177"/>
      <c r="J125" s="167" t="s">
        <v>179</v>
      </c>
      <c r="K125" s="181">
        <v>6</v>
      </c>
      <c r="L125" s="353"/>
      <c r="M125" s="623"/>
      <c r="N125" s="166" t="s">
        <v>178</v>
      </c>
      <c r="O125" s="202"/>
      <c r="P125" s="177">
        <v>30000</v>
      </c>
      <c r="Q125" s="177"/>
      <c r="R125" s="248">
        <f t="shared" si="12"/>
        <v>30000</v>
      </c>
      <c r="S125" s="171">
        <v>0.4</v>
      </c>
      <c r="T125" s="529">
        <v>30000</v>
      </c>
      <c r="U125" s="549">
        <f t="shared" si="13"/>
        <v>12000</v>
      </c>
      <c r="V125" s="167" t="s">
        <v>179</v>
      </c>
      <c r="W125" s="181">
        <v>6</v>
      </c>
      <c r="X125" s="422"/>
    </row>
    <row r="126" spans="2:24" ht="33.65" customHeight="1" x14ac:dyDescent="0.35">
      <c r="B126" s="623"/>
      <c r="C126" s="166" t="s">
        <v>180</v>
      </c>
      <c r="D126" s="202"/>
      <c r="E126" s="177">
        <v>11500</v>
      </c>
      <c r="F126" s="177"/>
      <c r="G126" s="248">
        <f t="shared" si="11"/>
        <v>11500</v>
      </c>
      <c r="H126" s="171">
        <v>0.4</v>
      </c>
      <c r="I126" s="177"/>
      <c r="J126" s="167" t="s">
        <v>181</v>
      </c>
      <c r="K126" s="181">
        <v>6</v>
      </c>
      <c r="L126" s="353"/>
      <c r="M126" s="623"/>
      <c r="N126" s="166" t="s">
        <v>180</v>
      </c>
      <c r="O126" s="202"/>
      <c r="P126" s="177">
        <v>11500</v>
      </c>
      <c r="Q126" s="177"/>
      <c r="R126" s="248">
        <f t="shared" si="12"/>
        <v>11500</v>
      </c>
      <c r="S126" s="171">
        <v>0.4</v>
      </c>
      <c r="T126" s="529">
        <v>11500</v>
      </c>
      <c r="U126" s="549">
        <f t="shared" si="13"/>
        <v>4600</v>
      </c>
      <c r="V126" s="167" t="s">
        <v>181</v>
      </c>
      <c r="W126" s="181">
        <v>6</v>
      </c>
    </row>
    <row r="127" spans="2:24" ht="15.5" x14ac:dyDescent="0.35">
      <c r="B127" s="623"/>
      <c r="C127" s="166"/>
      <c r="D127" s="202"/>
      <c r="E127" s="177"/>
      <c r="F127" s="177"/>
      <c r="G127" s="248">
        <f t="shared" si="11"/>
        <v>0</v>
      </c>
      <c r="H127" s="171"/>
      <c r="I127" s="177"/>
      <c r="J127" s="167"/>
      <c r="K127" s="181"/>
      <c r="L127" s="353"/>
      <c r="M127" s="623"/>
      <c r="N127" s="224"/>
      <c r="O127" s="225"/>
      <c r="P127" s="226"/>
      <c r="Q127" s="226"/>
      <c r="R127" s="227">
        <f t="shared" si="12"/>
        <v>0</v>
      </c>
      <c r="S127" s="171">
        <v>0.4</v>
      </c>
      <c r="T127" s="529"/>
      <c r="U127" s="549">
        <f t="shared" si="13"/>
        <v>0</v>
      </c>
      <c r="V127" s="167"/>
      <c r="W127" s="229">
        <v>4</v>
      </c>
    </row>
    <row r="128" spans="2:24" ht="15.5" x14ac:dyDescent="0.35">
      <c r="B128" s="624"/>
      <c r="C128" s="166"/>
      <c r="D128" s="202"/>
      <c r="E128" s="177"/>
      <c r="F128" s="177"/>
      <c r="G128" s="248">
        <f t="shared" si="11"/>
        <v>0</v>
      </c>
      <c r="H128" s="171"/>
      <c r="I128" s="177"/>
      <c r="J128" s="167"/>
      <c r="K128" s="181"/>
      <c r="L128" s="353"/>
      <c r="M128" s="624"/>
      <c r="N128" s="166"/>
      <c r="O128" s="202"/>
      <c r="P128" s="177"/>
      <c r="Q128" s="177"/>
      <c r="R128" s="248">
        <f t="shared" si="12"/>
        <v>0</v>
      </c>
      <c r="S128" s="171"/>
      <c r="T128" s="529"/>
      <c r="U128" s="549">
        <f t="shared" si="13"/>
        <v>0</v>
      </c>
      <c r="V128" s="167"/>
      <c r="W128" s="181"/>
    </row>
    <row r="129" spans="2:24" ht="46.5" x14ac:dyDescent="0.35">
      <c r="B129" s="622" t="s">
        <v>182</v>
      </c>
      <c r="C129" s="166" t="s">
        <v>183</v>
      </c>
      <c r="D129" s="202"/>
      <c r="E129" s="177">
        <v>20000</v>
      </c>
      <c r="F129" s="177"/>
      <c r="G129" s="248">
        <f t="shared" si="11"/>
        <v>20000</v>
      </c>
      <c r="H129" s="171"/>
      <c r="I129" s="177"/>
      <c r="J129" s="167" t="s">
        <v>184</v>
      </c>
      <c r="K129" s="181">
        <v>2</v>
      </c>
      <c r="L129" s="353"/>
      <c r="M129" s="622" t="s">
        <v>182</v>
      </c>
      <c r="N129" s="166" t="s">
        <v>183</v>
      </c>
      <c r="O129" s="202"/>
      <c r="P129" s="177">
        <v>20000</v>
      </c>
      <c r="Q129" s="177"/>
      <c r="R129" s="248">
        <f t="shared" si="12"/>
        <v>20000</v>
      </c>
      <c r="S129" s="171"/>
      <c r="T129" s="528">
        <v>20000</v>
      </c>
      <c r="U129" s="549">
        <f t="shared" si="13"/>
        <v>8000</v>
      </c>
      <c r="V129" s="167" t="s">
        <v>184</v>
      </c>
      <c r="W129" s="181">
        <v>2</v>
      </c>
    </row>
    <row r="130" spans="2:24" ht="15.5" x14ac:dyDescent="0.35">
      <c r="B130" s="623"/>
      <c r="C130" s="166" t="s">
        <v>185</v>
      </c>
      <c r="D130" s="202"/>
      <c r="E130" s="177">
        <v>30000</v>
      </c>
      <c r="F130" s="177"/>
      <c r="G130" s="248">
        <f t="shared" si="11"/>
        <v>30000</v>
      </c>
      <c r="H130" s="171"/>
      <c r="I130" s="177"/>
      <c r="J130" s="167" t="s">
        <v>186</v>
      </c>
      <c r="K130" s="181">
        <v>2</v>
      </c>
      <c r="L130" s="353"/>
      <c r="M130" s="623"/>
      <c r="N130" s="450" t="s">
        <v>946</v>
      </c>
      <c r="O130" s="202"/>
      <c r="P130" s="449">
        <v>24600</v>
      </c>
      <c r="Q130" s="177"/>
      <c r="R130" s="248">
        <f t="shared" si="12"/>
        <v>24600</v>
      </c>
      <c r="S130" s="171"/>
      <c r="T130" s="529">
        <v>24600</v>
      </c>
      <c r="U130" s="549">
        <f t="shared" si="13"/>
        <v>9840</v>
      </c>
      <c r="V130" s="167" t="s">
        <v>947</v>
      </c>
      <c r="W130" s="181">
        <v>2</v>
      </c>
      <c r="X130" s="422"/>
    </row>
    <row r="131" spans="2:24" ht="15.5" x14ac:dyDescent="0.35">
      <c r="B131" s="623"/>
      <c r="C131" s="166"/>
      <c r="D131" s="202"/>
      <c r="E131" s="177"/>
      <c r="F131" s="177"/>
      <c r="G131" s="248">
        <f t="shared" si="11"/>
        <v>0</v>
      </c>
      <c r="H131" s="171"/>
      <c r="I131" s="177"/>
      <c r="J131" s="167"/>
      <c r="K131" s="181"/>
      <c r="L131" s="353"/>
      <c r="M131" s="623"/>
      <c r="N131" s="450" t="s">
        <v>185</v>
      </c>
      <c r="O131" s="202"/>
      <c r="P131" s="449">
        <v>5400</v>
      </c>
      <c r="Q131" s="177"/>
      <c r="R131" s="248">
        <f t="shared" si="12"/>
        <v>5400</v>
      </c>
      <c r="S131" s="171"/>
      <c r="T131" s="538">
        <v>5400</v>
      </c>
      <c r="U131" s="549">
        <f t="shared" si="13"/>
        <v>2160</v>
      </c>
      <c r="V131" s="167" t="s">
        <v>948</v>
      </c>
      <c r="W131" s="229">
        <v>3</v>
      </c>
    </row>
    <row r="132" spans="2:24" ht="15.5" x14ac:dyDescent="0.35">
      <c r="B132" s="623"/>
      <c r="C132" s="166"/>
      <c r="D132" s="202"/>
      <c r="E132" s="177"/>
      <c r="F132" s="177"/>
      <c r="G132" s="248">
        <f t="shared" si="11"/>
        <v>0</v>
      </c>
      <c r="H132" s="171"/>
      <c r="I132" s="177"/>
      <c r="J132" s="167"/>
      <c r="K132" s="181"/>
      <c r="L132" s="353"/>
      <c r="M132" s="623"/>
      <c r="N132" s="166"/>
      <c r="O132" s="202"/>
      <c r="P132" s="177"/>
      <c r="Q132" s="177"/>
      <c r="R132" s="248">
        <f t="shared" si="12"/>
        <v>0</v>
      </c>
      <c r="S132" s="171"/>
      <c r="T132" s="529"/>
      <c r="U132" s="549">
        <f t="shared" si="13"/>
        <v>0</v>
      </c>
      <c r="V132" s="167"/>
      <c r="W132" s="181"/>
    </row>
    <row r="133" spans="2:24" ht="15.5" x14ac:dyDescent="0.35">
      <c r="B133" s="624"/>
      <c r="C133" s="166"/>
      <c r="D133" s="202"/>
      <c r="E133" s="177"/>
      <c r="F133" s="177"/>
      <c r="G133" s="248">
        <f t="shared" si="11"/>
        <v>0</v>
      </c>
      <c r="H133" s="171"/>
      <c r="I133" s="177"/>
      <c r="J133" s="167"/>
      <c r="K133" s="181"/>
      <c r="L133" s="353"/>
      <c r="M133" s="624"/>
      <c r="N133" s="166"/>
      <c r="O133" s="202"/>
      <c r="P133" s="177"/>
      <c r="Q133" s="177"/>
      <c r="R133" s="248">
        <f t="shared" si="12"/>
        <v>0</v>
      </c>
      <c r="S133" s="171"/>
      <c r="T133" s="529"/>
      <c r="U133" s="549">
        <f t="shared" si="13"/>
        <v>0</v>
      </c>
      <c r="V133" s="167"/>
      <c r="W133" s="181"/>
    </row>
    <row r="134" spans="2:24" ht="65.5" customHeight="1" x14ac:dyDescent="0.35">
      <c r="B134" s="622" t="s">
        <v>187</v>
      </c>
      <c r="C134" s="166" t="s">
        <v>188</v>
      </c>
      <c r="D134" s="202"/>
      <c r="E134" s="177">
        <v>44120</v>
      </c>
      <c r="F134" s="177"/>
      <c r="G134" s="248">
        <f t="shared" si="11"/>
        <v>44120</v>
      </c>
      <c r="H134" s="171">
        <v>0.5</v>
      </c>
      <c r="I134" s="177"/>
      <c r="J134" s="167" t="s">
        <v>186</v>
      </c>
      <c r="K134" s="181">
        <v>2</v>
      </c>
      <c r="L134" s="353"/>
      <c r="M134" s="622" t="s">
        <v>187</v>
      </c>
      <c r="N134" s="166" t="s">
        <v>188</v>
      </c>
      <c r="O134" s="202"/>
      <c r="P134" s="177">
        <v>44120</v>
      </c>
      <c r="Q134" s="177"/>
      <c r="R134" s="248">
        <f t="shared" si="12"/>
        <v>44120</v>
      </c>
      <c r="S134" s="171">
        <v>0.5</v>
      </c>
      <c r="T134" s="529">
        <v>44120</v>
      </c>
      <c r="U134" s="549">
        <f>T134*50/100</f>
        <v>22060</v>
      </c>
      <c r="V134" s="167" t="s">
        <v>186</v>
      </c>
      <c r="W134" s="181">
        <v>2</v>
      </c>
    </row>
    <row r="135" spans="2:24" ht="33" customHeight="1" x14ac:dyDescent="0.35">
      <c r="B135" s="623"/>
      <c r="C135" s="166" t="s">
        <v>189</v>
      </c>
      <c r="D135" s="202"/>
      <c r="E135" s="177">
        <v>10000</v>
      </c>
      <c r="F135" s="177"/>
      <c r="G135" s="248">
        <f t="shared" si="11"/>
        <v>10000</v>
      </c>
      <c r="H135" s="171">
        <v>0.5</v>
      </c>
      <c r="I135" s="177"/>
      <c r="J135" s="167" t="s">
        <v>190</v>
      </c>
      <c r="K135" s="181">
        <v>2</v>
      </c>
      <c r="L135" s="353"/>
      <c r="M135" s="623"/>
      <c r="N135" s="166" t="s">
        <v>189</v>
      </c>
      <c r="O135" s="202"/>
      <c r="P135" s="177">
        <v>10000</v>
      </c>
      <c r="Q135" s="177"/>
      <c r="R135" s="248">
        <f t="shared" si="12"/>
        <v>10000</v>
      </c>
      <c r="S135" s="171">
        <v>0.5</v>
      </c>
      <c r="T135" s="529">
        <v>10000</v>
      </c>
      <c r="U135" s="549">
        <f>T135*50/100</f>
        <v>5000</v>
      </c>
      <c r="V135" s="167" t="s">
        <v>190</v>
      </c>
      <c r="W135" s="181">
        <v>2</v>
      </c>
    </row>
    <row r="136" spans="2:24" ht="15.5" x14ac:dyDescent="0.35">
      <c r="B136" s="623"/>
      <c r="D136" s="202"/>
      <c r="E136" s="177"/>
      <c r="F136" s="177"/>
      <c r="G136" s="248">
        <f t="shared" si="11"/>
        <v>0</v>
      </c>
      <c r="H136" s="171"/>
      <c r="I136" s="177"/>
      <c r="J136" s="167"/>
      <c r="K136" s="181"/>
      <c r="L136" s="353"/>
      <c r="M136" s="623"/>
      <c r="O136" s="202"/>
      <c r="P136" s="177"/>
      <c r="Q136" s="177"/>
      <c r="R136" s="248">
        <f t="shared" si="12"/>
        <v>0</v>
      </c>
      <c r="S136" s="171"/>
      <c r="T136" s="529"/>
      <c r="U136" s="549">
        <f t="shared" si="13"/>
        <v>0</v>
      </c>
      <c r="V136" s="167"/>
      <c r="W136" s="181"/>
    </row>
    <row r="137" spans="2:24" ht="15.5" x14ac:dyDescent="0.35">
      <c r="B137" s="623"/>
      <c r="C137" s="166"/>
      <c r="D137" s="202"/>
      <c r="E137" s="177"/>
      <c r="F137" s="177"/>
      <c r="G137" s="248">
        <f t="shared" si="11"/>
        <v>0</v>
      </c>
      <c r="H137" s="171"/>
      <c r="I137" s="177"/>
      <c r="J137" s="167"/>
      <c r="K137" s="181"/>
      <c r="L137" s="353"/>
      <c r="M137" s="623"/>
      <c r="N137" s="166"/>
      <c r="O137" s="202"/>
      <c r="P137" s="177"/>
      <c r="Q137" s="177"/>
      <c r="R137" s="248">
        <f t="shared" si="12"/>
        <v>0</v>
      </c>
      <c r="S137" s="171"/>
      <c r="T137" s="529"/>
      <c r="U137" s="549">
        <f t="shared" si="13"/>
        <v>0</v>
      </c>
      <c r="V137" s="167"/>
      <c r="W137" s="181"/>
    </row>
    <row r="138" spans="2:24" ht="15.5" x14ac:dyDescent="0.35">
      <c r="B138" s="624"/>
      <c r="C138" s="166"/>
      <c r="D138" s="202"/>
      <c r="E138" s="177"/>
      <c r="F138" s="177"/>
      <c r="G138" s="248">
        <f t="shared" si="11"/>
        <v>0</v>
      </c>
      <c r="H138" s="171"/>
      <c r="I138" s="177"/>
      <c r="J138" s="167"/>
      <c r="K138" s="181"/>
      <c r="L138" s="353"/>
      <c r="M138" s="624"/>
      <c r="N138" s="166"/>
      <c r="O138" s="202"/>
      <c r="P138" s="177"/>
      <c r="Q138" s="177"/>
      <c r="R138" s="248">
        <f t="shared" si="12"/>
        <v>0</v>
      </c>
      <c r="S138" s="171"/>
      <c r="T138" s="529"/>
      <c r="U138" s="549">
        <f t="shared" si="13"/>
        <v>0</v>
      </c>
      <c r="V138" s="167"/>
      <c r="W138" s="181"/>
    </row>
    <row r="139" spans="2:24" ht="31" x14ac:dyDescent="0.35">
      <c r="B139" s="622" t="s">
        <v>191</v>
      </c>
      <c r="C139" s="166" t="s">
        <v>192</v>
      </c>
      <c r="D139" s="202"/>
      <c r="E139" s="176">
        <v>42000</v>
      </c>
      <c r="F139" s="177"/>
      <c r="G139" s="248">
        <f t="shared" si="11"/>
        <v>42000</v>
      </c>
      <c r="H139" s="171">
        <v>0.6</v>
      </c>
      <c r="I139" s="177"/>
      <c r="J139" s="167" t="s">
        <v>193</v>
      </c>
      <c r="K139" s="181">
        <v>2</v>
      </c>
      <c r="L139" s="353"/>
      <c r="M139" s="622" t="s">
        <v>191</v>
      </c>
      <c r="N139" s="166" t="s">
        <v>192</v>
      </c>
      <c r="O139" s="202"/>
      <c r="P139" s="176">
        <v>42000</v>
      </c>
      <c r="Q139" s="177"/>
      <c r="R139" s="248">
        <f t="shared" si="12"/>
        <v>42000</v>
      </c>
      <c r="S139" s="171">
        <v>0.6</v>
      </c>
      <c r="T139" s="529">
        <v>42000</v>
      </c>
      <c r="U139" s="549">
        <f>T139*60/100</f>
        <v>25200</v>
      </c>
      <c r="V139" s="167" t="s">
        <v>193</v>
      </c>
      <c r="W139" s="181">
        <v>2</v>
      </c>
    </row>
    <row r="140" spans="2:24" ht="15.5" x14ac:dyDescent="0.35">
      <c r="B140" s="623"/>
      <c r="C140" s="166" t="s">
        <v>194</v>
      </c>
      <c r="D140" s="202"/>
      <c r="E140" s="177">
        <v>20000</v>
      </c>
      <c r="F140" s="177"/>
      <c r="G140" s="248">
        <f t="shared" si="11"/>
        <v>20000</v>
      </c>
      <c r="H140" s="171">
        <v>0.6</v>
      </c>
      <c r="I140" s="177"/>
      <c r="J140" s="167" t="s">
        <v>193</v>
      </c>
      <c r="K140" s="181">
        <v>2</v>
      </c>
      <c r="L140" s="353"/>
      <c r="M140" s="623"/>
      <c r="N140" s="166" t="s">
        <v>194</v>
      </c>
      <c r="O140" s="202"/>
      <c r="P140" s="177">
        <v>20000</v>
      </c>
      <c r="Q140" s="177"/>
      <c r="R140" s="248">
        <f t="shared" si="12"/>
        <v>20000</v>
      </c>
      <c r="S140" s="171">
        <v>0.6</v>
      </c>
      <c r="T140" s="529">
        <v>20000</v>
      </c>
      <c r="U140" s="549">
        <f>T140*60/100</f>
        <v>12000</v>
      </c>
      <c r="V140" s="167" t="s">
        <v>193</v>
      </c>
      <c r="W140" s="181">
        <v>2</v>
      </c>
    </row>
    <row r="141" spans="2:24" ht="15.5" x14ac:dyDescent="0.35">
      <c r="B141" s="623"/>
      <c r="C141" s="166"/>
      <c r="D141" s="202"/>
      <c r="E141" s="177"/>
      <c r="F141" s="177"/>
      <c r="G141" s="248">
        <f t="shared" si="11"/>
        <v>0</v>
      </c>
      <c r="H141" s="171"/>
      <c r="I141" s="177"/>
      <c r="J141" s="167"/>
      <c r="K141" s="181"/>
      <c r="L141" s="353"/>
      <c r="M141" s="623"/>
      <c r="N141" s="166"/>
      <c r="O141" s="202"/>
      <c r="P141" s="177"/>
      <c r="Q141" s="177"/>
      <c r="R141" s="248">
        <f t="shared" si="12"/>
        <v>0</v>
      </c>
      <c r="S141" s="171"/>
      <c r="T141" s="529"/>
      <c r="U141" s="549">
        <f t="shared" si="13"/>
        <v>0</v>
      </c>
      <c r="V141" s="167"/>
      <c r="W141" s="181"/>
    </row>
    <row r="142" spans="2:24" ht="15.5" x14ac:dyDescent="0.35">
      <c r="B142" s="623"/>
      <c r="C142" s="166"/>
      <c r="D142" s="202"/>
      <c r="E142" s="177"/>
      <c r="F142" s="177"/>
      <c r="G142" s="248">
        <f t="shared" si="11"/>
        <v>0</v>
      </c>
      <c r="H142" s="171"/>
      <c r="I142" s="177"/>
      <c r="J142" s="167"/>
      <c r="K142" s="181"/>
      <c r="L142" s="353"/>
      <c r="M142" s="623"/>
      <c r="N142" s="166"/>
      <c r="O142" s="202"/>
      <c r="P142" s="177"/>
      <c r="Q142" s="177"/>
      <c r="R142" s="248">
        <f t="shared" si="12"/>
        <v>0</v>
      </c>
      <c r="S142" s="171"/>
      <c r="T142" s="529"/>
      <c r="U142" s="549">
        <f t="shared" si="13"/>
        <v>0</v>
      </c>
      <c r="V142" s="167"/>
      <c r="W142" s="181"/>
    </row>
    <row r="143" spans="2:24" ht="15.5" x14ac:dyDescent="0.35">
      <c r="B143" s="624"/>
      <c r="C143" s="166"/>
      <c r="D143" s="202"/>
      <c r="E143" s="177"/>
      <c r="F143" s="177"/>
      <c r="G143" s="248">
        <f t="shared" si="11"/>
        <v>0</v>
      </c>
      <c r="H143" s="171"/>
      <c r="I143" s="177"/>
      <c r="J143" s="167"/>
      <c r="K143" s="181"/>
      <c r="L143" s="353"/>
      <c r="M143" s="624"/>
      <c r="N143" s="166"/>
      <c r="O143" s="202"/>
      <c r="P143" s="177"/>
      <c r="Q143" s="177"/>
      <c r="R143" s="248">
        <f t="shared" si="12"/>
        <v>0</v>
      </c>
      <c r="S143" s="171"/>
      <c r="T143" s="529"/>
      <c r="U143" s="549">
        <f t="shared" si="13"/>
        <v>0</v>
      </c>
      <c r="V143" s="167"/>
      <c r="W143" s="181"/>
    </row>
    <row r="144" spans="2:24" ht="31" x14ac:dyDescent="0.35">
      <c r="B144" s="622" t="s">
        <v>195</v>
      </c>
      <c r="C144" s="166" t="s">
        <v>196</v>
      </c>
      <c r="D144" s="202"/>
      <c r="E144" s="176">
        <v>15000</v>
      </c>
      <c r="F144" s="177"/>
      <c r="G144" s="248">
        <f t="shared" si="11"/>
        <v>15000</v>
      </c>
      <c r="H144" s="171">
        <v>0.5</v>
      </c>
      <c r="I144" s="177"/>
      <c r="J144" s="167" t="s">
        <v>197</v>
      </c>
      <c r="K144" s="181">
        <v>7</v>
      </c>
      <c r="L144" s="353"/>
      <c r="M144" s="622" t="s">
        <v>195</v>
      </c>
      <c r="N144" s="166" t="s">
        <v>196</v>
      </c>
      <c r="O144" s="202"/>
      <c r="P144" s="449">
        <v>9600</v>
      </c>
      <c r="Q144" s="177"/>
      <c r="R144" s="248">
        <f t="shared" si="12"/>
        <v>9600</v>
      </c>
      <c r="S144" s="171">
        <v>0.5</v>
      </c>
      <c r="T144" s="529">
        <v>9600</v>
      </c>
      <c r="U144" s="549">
        <f>T144*50/100</f>
        <v>4800</v>
      </c>
      <c r="V144" s="167" t="s">
        <v>197</v>
      </c>
      <c r="W144" s="181">
        <v>7</v>
      </c>
    </row>
    <row r="145" spans="2:24" ht="15.5" x14ac:dyDescent="0.35">
      <c r="B145" s="623"/>
      <c r="C145" s="166"/>
      <c r="D145" s="202"/>
      <c r="E145" s="176"/>
      <c r="F145" s="177"/>
      <c r="G145" s="248"/>
      <c r="H145" s="171"/>
      <c r="I145" s="177"/>
      <c r="J145" s="167"/>
      <c r="K145" s="181"/>
      <c r="L145" s="353"/>
      <c r="M145" s="623"/>
      <c r="N145" s="450" t="s">
        <v>909</v>
      </c>
      <c r="O145" s="202"/>
      <c r="P145" s="449">
        <v>5400</v>
      </c>
      <c r="Q145" s="177"/>
      <c r="R145" s="248">
        <f t="shared" si="12"/>
        <v>5400</v>
      </c>
      <c r="S145" s="171"/>
      <c r="T145" s="538">
        <v>5400</v>
      </c>
      <c r="U145" s="549">
        <f t="shared" ref="U145:U147" si="14">T145*50/100</f>
        <v>2700</v>
      </c>
      <c r="V145" s="167" t="s">
        <v>909</v>
      </c>
      <c r="W145" s="181">
        <v>2</v>
      </c>
    </row>
    <row r="146" spans="2:24" ht="31" x14ac:dyDescent="0.35">
      <c r="B146" s="623"/>
      <c r="C146" s="166" t="s">
        <v>198</v>
      </c>
      <c r="D146" s="202"/>
      <c r="E146" s="176">
        <v>2000</v>
      </c>
      <c r="F146" s="177"/>
      <c r="G146" s="248">
        <f t="shared" si="11"/>
        <v>2000</v>
      </c>
      <c r="H146" s="171">
        <v>0.5</v>
      </c>
      <c r="I146" s="177"/>
      <c r="J146" s="167" t="s">
        <v>199</v>
      </c>
      <c r="K146" s="181">
        <v>7</v>
      </c>
      <c r="L146" s="353"/>
      <c r="M146" s="623"/>
      <c r="N146" s="166" t="s">
        <v>198</v>
      </c>
      <c r="O146" s="202"/>
      <c r="P146" s="176">
        <v>2000</v>
      </c>
      <c r="Q146" s="177"/>
      <c r="R146" s="248">
        <f t="shared" si="12"/>
        <v>2000</v>
      </c>
      <c r="S146" s="171">
        <v>0.5</v>
      </c>
      <c r="T146" s="538">
        <v>2000</v>
      </c>
      <c r="U146" s="549">
        <f t="shared" si="14"/>
        <v>1000</v>
      </c>
      <c r="V146" s="167" t="s">
        <v>199</v>
      </c>
      <c r="W146" s="181">
        <v>7</v>
      </c>
    </row>
    <row r="147" spans="2:24" ht="15.5" x14ac:dyDescent="0.35">
      <c r="B147" s="623"/>
      <c r="C147" s="166" t="s">
        <v>200</v>
      </c>
      <c r="D147" s="202"/>
      <c r="E147" s="176">
        <v>3000</v>
      </c>
      <c r="F147" s="177"/>
      <c r="G147" s="248">
        <f t="shared" si="11"/>
        <v>3000</v>
      </c>
      <c r="H147" s="171">
        <v>0.5</v>
      </c>
      <c r="I147" s="177"/>
      <c r="J147" s="167" t="s">
        <v>201</v>
      </c>
      <c r="K147" s="181">
        <v>5</v>
      </c>
      <c r="L147" s="353"/>
      <c r="M147" s="623"/>
      <c r="N147" s="166" t="s">
        <v>200</v>
      </c>
      <c r="O147" s="202"/>
      <c r="P147" s="176">
        <v>3000</v>
      </c>
      <c r="Q147" s="177"/>
      <c r="R147" s="248">
        <f t="shared" si="12"/>
        <v>3000</v>
      </c>
      <c r="S147" s="171">
        <v>0.5</v>
      </c>
      <c r="T147" s="538">
        <v>3000</v>
      </c>
      <c r="U147" s="549">
        <f t="shared" si="14"/>
        <v>1500</v>
      </c>
      <c r="V147" s="167" t="s">
        <v>201</v>
      </c>
      <c r="W147" s="181">
        <v>5</v>
      </c>
    </row>
    <row r="148" spans="2:24" ht="15.5" x14ac:dyDescent="0.35">
      <c r="B148" s="623"/>
      <c r="C148" s="166"/>
      <c r="D148" s="202"/>
      <c r="E148" s="177"/>
      <c r="F148" s="177"/>
      <c r="G148" s="248">
        <f t="shared" si="11"/>
        <v>0</v>
      </c>
      <c r="H148" s="171"/>
      <c r="I148" s="177"/>
      <c r="J148" s="167"/>
      <c r="K148" s="181"/>
      <c r="L148" s="353"/>
      <c r="M148" s="623"/>
      <c r="N148" s="166"/>
      <c r="O148" s="202"/>
      <c r="P148" s="177"/>
      <c r="Q148" s="177"/>
      <c r="R148" s="248">
        <f t="shared" si="12"/>
        <v>0</v>
      </c>
      <c r="S148" s="171"/>
      <c r="T148" s="529"/>
      <c r="U148" s="549">
        <f t="shared" si="13"/>
        <v>0</v>
      </c>
      <c r="V148" s="167"/>
      <c r="W148" s="181"/>
    </row>
    <row r="149" spans="2:24" ht="15.5" x14ac:dyDescent="0.35">
      <c r="B149" s="624"/>
      <c r="C149" s="166"/>
      <c r="D149" s="202"/>
      <c r="E149" s="177"/>
      <c r="F149" s="177"/>
      <c r="G149" s="248">
        <f t="shared" si="11"/>
        <v>0</v>
      </c>
      <c r="H149" s="171"/>
      <c r="I149" s="177"/>
      <c r="J149" s="167"/>
      <c r="K149" s="181"/>
      <c r="L149" s="353"/>
      <c r="M149" s="624"/>
      <c r="N149" s="166"/>
      <c r="O149" s="202"/>
      <c r="P149" s="177"/>
      <c r="Q149" s="177"/>
      <c r="R149" s="248">
        <f t="shared" si="12"/>
        <v>0</v>
      </c>
      <c r="S149" s="171"/>
      <c r="T149" s="529"/>
      <c r="U149" s="549">
        <f t="shared" si="13"/>
        <v>0</v>
      </c>
      <c r="V149" s="167"/>
      <c r="W149" s="181"/>
    </row>
    <row r="150" spans="2:24" ht="31" customHeight="1" x14ac:dyDescent="0.35">
      <c r="B150" s="622" t="s">
        <v>202</v>
      </c>
      <c r="C150" s="166" t="s">
        <v>203</v>
      </c>
      <c r="D150" s="202"/>
      <c r="E150" s="176">
        <v>16000</v>
      </c>
      <c r="F150" s="177"/>
      <c r="G150" s="248">
        <f t="shared" si="11"/>
        <v>16000</v>
      </c>
      <c r="H150" s="171">
        <v>0.4</v>
      </c>
      <c r="I150" s="177"/>
      <c r="J150" s="167" t="s">
        <v>204</v>
      </c>
      <c r="K150" s="181">
        <v>7</v>
      </c>
      <c r="L150" s="353"/>
      <c r="M150" s="622" t="s">
        <v>202</v>
      </c>
      <c r="N150" s="166" t="s">
        <v>203</v>
      </c>
      <c r="O150" s="202"/>
      <c r="P150" s="449">
        <v>10000</v>
      </c>
      <c r="Q150" s="177"/>
      <c r="R150" s="248">
        <f t="shared" si="12"/>
        <v>10000</v>
      </c>
      <c r="S150" s="171">
        <v>0.4</v>
      </c>
      <c r="T150" s="538">
        <v>10000</v>
      </c>
      <c r="U150" s="549">
        <f t="shared" si="13"/>
        <v>4000</v>
      </c>
      <c r="V150" s="167" t="s">
        <v>204</v>
      </c>
      <c r="W150" s="181">
        <v>7</v>
      </c>
    </row>
    <row r="151" spans="2:24" ht="15.5" x14ac:dyDescent="0.35">
      <c r="B151" s="623"/>
      <c r="C151" s="166" t="s">
        <v>205</v>
      </c>
      <c r="D151" s="202"/>
      <c r="E151" s="176">
        <v>2000</v>
      </c>
      <c r="F151" s="177"/>
      <c r="G151" s="248">
        <f t="shared" si="11"/>
        <v>2000</v>
      </c>
      <c r="H151" s="171">
        <v>0.4</v>
      </c>
      <c r="I151" s="177"/>
      <c r="J151" s="167" t="s">
        <v>206</v>
      </c>
      <c r="K151" s="181">
        <v>7</v>
      </c>
      <c r="L151" s="353"/>
      <c r="M151" s="623"/>
      <c r="N151" s="166" t="s">
        <v>205</v>
      </c>
      <c r="O151" s="202"/>
      <c r="P151" s="176">
        <v>2000</v>
      </c>
      <c r="Q151" s="177"/>
      <c r="R151" s="248">
        <f t="shared" si="12"/>
        <v>2000</v>
      </c>
      <c r="S151" s="171">
        <v>0.4</v>
      </c>
      <c r="T151" s="538">
        <v>2000</v>
      </c>
      <c r="U151" s="549">
        <f t="shared" si="13"/>
        <v>800</v>
      </c>
      <c r="V151" s="167" t="s">
        <v>206</v>
      </c>
      <c r="W151" s="181">
        <v>7</v>
      </c>
      <c r="X151" s="422"/>
    </row>
    <row r="152" spans="2:24" ht="15.5" x14ac:dyDescent="0.35">
      <c r="B152" s="623"/>
      <c r="C152" s="166" t="s">
        <v>207</v>
      </c>
      <c r="D152" s="202"/>
      <c r="E152" s="176">
        <v>2000</v>
      </c>
      <c r="F152" s="177"/>
      <c r="G152" s="248">
        <f t="shared" si="11"/>
        <v>2000</v>
      </c>
      <c r="H152" s="171">
        <v>0.4</v>
      </c>
      <c r="I152" s="177"/>
      <c r="J152" s="167" t="s">
        <v>208</v>
      </c>
      <c r="K152" s="181">
        <v>5</v>
      </c>
      <c r="L152" s="353"/>
      <c r="M152" s="623"/>
      <c r="N152" s="166" t="s">
        <v>207</v>
      </c>
      <c r="O152" s="202"/>
      <c r="P152" s="176">
        <v>2000</v>
      </c>
      <c r="Q152" s="177"/>
      <c r="R152" s="248">
        <f t="shared" si="12"/>
        <v>2000</v>
      </c>
      <c r="S152" s="171">
        <v>0.4</v>
      </c>
      <c r="T152" s="538">
        <v>2000</v>
      </c>
      <c r="U152" s="549">
        <f t="shared" si="13"/>
        <v>800</v>
      </c>
      <c r="V152" s="167" t="s">
        <v>208</v>
      </c>
      <c r="W152" s="181">
        <v>5</v>
      </c>
    </row>
    <row r="153" spans="2:24" ht="15.5" x14ac:dyDescent="0.35">
      <c r="B153" s="623"/>
      <c r="C153" s="166"/>
      <c r="D153" s="202"/>
      <c r="E153" s="177"/>
      <c r="F153" s="177"/>
      <c r="G153" s="248">
        <f t="shared" si="11"/>
        <v>0</v>
      </c>
      <c r="H153" s="171"/>
      <c r="I153" s="177"/>
      <c r="J153" s="167"/>
      <c r="K153" s="181"/>
      <c r="L153" s="353"/>
      <c r="M153" s="623"/>
      <c r="N153" s="166"/>
      <c r="O153" s="202"/>
      <c r="P153" s="177"/>
      <c r="Q153" s="177"/>
      <c r="R153" s="248">
        <f t="shared" si="12"/>
        <v>0</v>
      </c>
      <c r="S153" s="171"/>
      <c r="T153" s="529"/>
      <c r="U153" s="549">
        <f t="shared" si="13"/>
        <v>0</v>
      </c>
      <c r="V153" s="167"/>
      <c r="W153" s="181"/>
    </row>
    <row r="154" spans="2:24" ht="15.5" x14ac:dyDescent="0.35">
      <c r="B154" s="624"/>
      <c r="C154" s="166"/>
      <c r="D154" s="202"/>
      <c r="E154" s="177"/>
      <c r="F154" s="177"/>
      <c r="G154" s="248">
        <f t="shared" si="11"/>
        <v>0</v>
      </c>
      <c r="H154" s="171"/>
      <c r="I154" s="177"/>
      <c r="J154" s="167"/>
      <c r="K154" s="181"/>
      <c r="L154" s="353"/>
      <c r="M154" s="624"/>
      <c r="N154" s="166"/>
      <c r="O154" s="202"/>
      <c r="P154" s="177"/>
      <c r="Q154" s="177"/>
      <c r="R154" s="248">
        <f t="shared" si="12"/>
        <v>0</v>
      </c>
      <c r="S154" s="171"/>
      <c r="T154" s="529"/>
      <c r="U154" s="549">
        <f t="shared" si="13"/>
        <v>0</v>
      </c>
      <c r="V154" s="167"/>
      <c r="W154" s="181"/>
    </row>
    <row r="155" spans="2:24" ht="15.5" x14ac:dyDescent="0.35">
      <c r="B155" s="622" t="s">
        <v>209</v>
      </c>
      <c r="C155" s="166" t="s">
        <v>210</v>
      </c>
      <c r="D155" s="202"/>
      <c r="E155" s="176">
        <v>2500</v>
      </c>
      <c r="F155" s="177"/>
      <c r="G155" s="248">
        <f t="shared" si="11"/>
        <v>2500</v>
      </c>
      <c r="H155" s="171">
        <v>0.4</v>
      </c>
      <c r="I155" s="177"/>
      <c r="J155" s="167" t="s">
        <v>211</v>
      </c>
      <c r="K155" s="181">
        <v>7</v>
      </c>
      <c r="L155" s="353"/>
      <c r="M155" s="622" t="s">
        <v>209</v>
      </c>
      <c r="N155" s="166" t="s">
        <v>210</v>
      </c>
      <c r="O155" s="202"/>
      <c r="P155" s="176">
        <v>2500</v>
      </c>
      <c r="Q155" s="177"/>
      <c r="R155" s="248">
        <f t="shared" si="12"/>
        <v>2500</v>
      </c>
      <c r="S155" s="171">
        <v>0.4</v>
      </c>
      <c r="T155" s="539">
        <v>2500</v>
      </c>
      <c r="U155" s="549">
        <f t="shared" si="13"/>
        <v>1000</v>
      </c>
      <c r="V155" s="167" t="s">
        <v>211</v>
      </c>
      <c r="W155" s="181">
        <v>7</v>
      </c>
    </row>
    <row r="156" spans="2:24" ht="31" x14ac:dyDescent="0.35">
      <c r="B156" s="623"/>
      <c r="C156" s="166" t="s">
        <v>212</v>
      </c>
      <c r="D156" s="202"/>
      <c r="E156" s="176">
        <v>14000</v>
      </c>
      <c r="F156" s="177"/>
      <c r="G156" s="248">
        <f t="shared" si="11"/>
        <v>14000</v>
      </c>
      <c r="H156" s="171">
        <v>0.4</v>
      </c>
      <c r="J156" s="167" t="s">
        <v>213</v>
      </c>
      <c r="K156" s="181">
        <v>7</v>
      </c>
      <c r="L156" s="353"/>
      <c r="M156" s="623"/>
      <c r="N156" s="166" t="s">
        <v>212</v>
      </c>
      <c r="O156" s="202"/>
      <c r="P156" s="176">
        <v>10000</v>
      </c>
      <c r="Q156" s="177"/>
      <c r="R156" s="248">
        <f t="shared" si="12"/>
        <v>10000</v>
      </c>
      <c r="S156" s="171">
        <v>0.4</v>
      </c>
      <c r="T156" s="539">
        <v>10000</v>
      </c>
      <c r="U156" s="549">
        <f t="shared" si="13"/>
        <v>4000</v>
      </c>
      <c r="V156" s="167" t="s">
        <v>213</v>
      </c>
      <c r="W156" s="181">
        <v>7</v>
      </c>
      <c r="X156" s="422"/>
    </row>
    <row r="157" spans="2:24" ht="15.5" x14ac:dyDescent="0.35">
      <c r="B157" s="623"/>
      <c r="C157" s="166" t="s">
        <v>207</v>
      </c>
      <c r="D157" s="202"/>
      <c r="E157" s="176">
        <v>1000</v>
      </c>
      <c r="F157" s="177"/>
      <c r="G157" s="248">
        <f t="shared" si="11"/>
        <v>1000</v>
      </c>
      <c r="H157" s="171">
        <v>0.4</v>
      </c>
      <c r="I157" s="177"/>
      <c r="J157" s="167" t="s">
        <v>208</v>
      </c>
      <c r="K157" s="181">
        <v>5</v>
      </c>
      <c r="L157" s="353"/>
      <c r="M157" s="623"/>
      <c r="N157" s="166" t="s">
        <v>207</v>
      </c>
      <c r="O157" s="202"/>
      <c r="P157" s="176">
        <v>1000</v>
      </c>
      <c r="Q157" s="177"/>
      <c r="R157" s="248">
        <f t="shared" si="12"/>
        <v>1000</v>
      </c>
      <c r="S157" s="171">
        <v>0.4</v>
      </c>
      <c r="T157" s="538">
        <v>11315</v>
      </c>
      <c r="U157" s="549">
        <f t="shared" si="13"/>
        <v>4526</v>
      </c>
      <c r="V157" s="167" t="s">
        <v>208</v>
      </c>
      <c r="W157" s="181">
        <v>5</v>
      </c>
    </row>
    <row r="158" spans="2:24" ht="15.5" x14ac:dyDescent="0.35">
      <c r="B158" s="623"/>
      <c r="C158" s="166"/>
      <c r="D158" s="202"/>
      <c r="E158" s="177"/>
      <c r="F158" s="177"/>
      <c r="G158" s="248">
        <f t="shared" si="11"/>
        <v>0</v>
      </c>
      <c r="H158" s="171"/>
      <c r="I158" s="177"/>
      <c r="J158" s="167"/>
      <c r="K158" s="181"/>
      <c r="L158" s="353"/>
      <c r="M158" s="623"/>
      <c r="N158" s="166"/>
      <c r="O158" s="202"/>
      <c r="P158" s="177"/>
      <c r="Q158" s="177"/>
      <c r="R158" s="248">
        <f t="shared" si="12"/>
        <v>0</v>
      </c>
      <c r="S158" s="171"/>
      <c r="T158" s="529"/>
      <c r="U158" s="549">
        <f t="shared" si="13"/>
        <v>0</v>
      </c>
      <c r="V158" s="167"/>
      <c r="W158" s="181"/>
    </row>
    <row r="159" spans="2:24" ht="15.5" x14ac:dyDescent="0.35">
      <c r="B159" s="624"/>
      <c r="C159" s="166"/>
      <c r="D159" s="202"/>
      <c r="E159" s="177"/>
      <c r="F159" s="177"/>
      <c r="G159" s="248">
        <f t="shared" si="11"/>
        <v>0</v>
      </c>
      <c r="H159" s="171"/>
      <c r="I159" s="177"/>
      <c r="J159" s="167"/>
      <c r="K159" s="181"/>
      <c r="L159" s="353"/>
      <c r="M159" s="624"/>
      <c r="N159" s="166"/>
      <c r="O159" s="202"/>
      <c r="P159" s="177"/>
      <c r="Q159" s="177"/>
      <c r="R159" s="248">
        <f t="shared" si="12"/>
        <v>0</v>
      </c>
      <c r="S159" s="171"/>
      <c r="T159" s="529"/>
      <c r="U159" s="549">
        <f t="shared" si="13"/>
        <v>0</v>
      </c>
      <c r="V159" s="167"/>
      <c r="W159" s="181"/>
    </row>
    <row r="160" spans="2:24" ht="31" x14ac:dyDescent="0.35">
      <c r="B160" s="622" t="s">
        <v>214</v>
      </c>
      <c r="C160" s="166" t="s">
        <v>215</v>
      </c>
      <c r="D160" s="202"/>
      <c r="E160" s="176">
        <v>14500</v>
      </c>
      <c r="F160" s="177"/>
      <c r="G160" s="248">
        <f t="shared" si="11"/>
        <v>14500</v>
      </c>
      <c r="H160" s="171">
        <v>0.4</v>
      </c>
      <c r="I160" s="177"/>
      <c r="J160" s="167" t="s">
        <v>213</v>
      </c>
      <c r="K160" s="181">
        <v>5</v>
      </c>
      <c r="L160" s="353"/>
      <c r="M160" s="622" t="s">
        <v>214</v>
      </c>
      <c r="N160" s="166" t="s">
        <v>215</v>
      </c>
      <c r="O160" s="202"/>
      <c r="P160" s="176">
        <v>14500</v>
      </c>
      <c r="Q160" s="177"/>
      <c r="R160" s="248">
        <f t="shared" si="12"/>
        <v>14500</v>
      </c>
      <c r="S160" s="171">
        <v>0.4</v>
      </c>
      <c r="T160" s="538">
        <v>14500</v>
      </c>
      <c r="U160" s="549">
        <f t="shared" si="13"/>
        <v>5800</v>
      </c>
      <c r="V160" s="167" t="s">
        <v>213</v>
      </c>
      <c r="W160" s="181">
        <v>5</v>
      </c>
      <c r="X160" s="422"/>
    </row>
    <row r="161" spans="2:24" ht="15.5" x14ac:dyDescent="0.35">
      <c r="B161" s="623"/>
      <c r="C161" s="166" t="s">
        <v>210</v>
      </c>
      <c r="D161" s="202"/>
      <c r="E161" s="176">
        <v>2000</v>
      </c>
      <c r="F161" s="177"/>
      <c r="G161" s="248">
        <f t="shared" si="11"/>
        <v>2000</v>
      </c>
      <c r="H161" s="171">
        <v>0.4</v>
      </c>
      <c r="I161" s="177"/>
      <c r="J161" s="167" t="s">
        <v>211</v>
      </c>
      <c r="K161" s="181">
        <v>7</v>
      </c>
      <c r="L161" s="353"/>
      <c r="M161" s="623"/>
      <c r="N161" s="166" t="s">
        <v>210</v>
      </c>
      <c r="O161" s="202"/>
      <c r="P161" s="176">
        <v>2000</v>
      </c>
      <c r="Q161" s="177"/>
      <c r="R161" s="248">
        <f t="shared" si="12"/>
        <v>2000</v>
      </c>
      <c r="S161" s="171">
        <v>0.4</v>
      </c>
      <c r="T161" s="538">
        <v>2000</v>
      </c>
      <c r="U161" s="549">
        <f t="shared" si="13"/>
        <v>800</v>
      </c>
      <c r="V161" s="167" t="s">
        <v>211</v>
      </c>
      <c r="W161" s="181">
        <v>7</v>
      </c>
    </row>
    <row r="162" spans="2:24" ht="15.5" x14ac:dyDescent="0.35">
      <c r="B162" s="623"/>
      <c r="C162" s="166" t="s">
        <v>207</v>
      </c>
      <c r="D162" s="202"/>
      <c r="E162" s="176">
        <v>1000</v>
      </c>
      <c r="F162" s="177"/>
      <c r="G162" s="248">
        <f t="shared" si="11"/>
        <v>1000</v>
      </c>
      <c r="H162" s="171">
        <v>0.4</v>
      </c>
      <c r="I162" s="177"/>
      <c r="J162" s="167" t="s">
        <v>208</v>
      </c>
      <c r="K162" s="181">
        <v>5</v>
      </c>
      <c r="L162" s="353"/>
      <c r="M162" s="623"/>
      <c r="N162" s="166" t="s">
        <v>207</v>
      </c>
      <c r="O162" s="202"/>
      <c r="P162" s="176">
        <v>1000</v>
      </c>
      <c r="Q162" s="177"/>
      <c r="R162" s="248">
        <f t="shared" si="12"/>
        <v>1000</v>
      </c>
      <c r="S162" s="171">
        <v>0.4</v>
      </c>
      <c r="T162" s="538">
        <v>10196</v>
      </c>
      <c r="U162" s="549">
        <f t="shared" si="13"/>
        <v>4078.4</v>
      </c>
      <c r="V162" s="167" t="s">
        <v>208</v>
      </c>
      <c r="W162" s="181">
        <v>5</v>
      </c>
    </row>
    <row r="163" spans="2:24" ht="15.5" x14ac:dyDescent="0.35">
      <c r="B163" s="623"/>
      <c r="C163" s="166"/>
      <c r="D163" s="202"/>
      <c r="E163" s="177"/>
      <c r="F163" s="177"/>
      <c r="G163" s="248">
        <f t="shared" si="11"/>
        <v>0</v>
      </c>
      <c r="H163" s="171"/>
      <c r="I163" s="177"/>
      <c r="J163" s="167"/>
      <c r="K163" s="181"/>
      <c r="L163" s="353"/>
      <c r="M163" s="623"/>
      <c r="N163" s="166"/>
      <c r="O163" s="202"/>
      <c r="P163" s="177"/>
      <c r="Q163" s="177"/>
      <c r="R163" s="248">
        <f t="shared" si="12"/>
        <v>0</v>
      </c>
      <c r="S163" s="171"/>
      <c r="T163" s="529"/>
      <c r="U163" s="549">
        <f t="shared" si="13"/>
        <v>0</v>
      </c>
      <c r="V163" s="167"/>
      <c r="W163" s="181"/>
    </row>
    <row r="164" spans="2:24" ht="15.5" x14ac:dyDescent="0.35">
      <c r="B164" s="624"/>
      <c r="C164" s="166"/>
      <c r="D164" s="202"/>
      <c r="E164" s="177"/>
      <c r="F164" s="177"/>
      <c r="G164" s="248">
        <f t="shared" si="11"/>
        <v>0</v>
      </c>
      <c r="H164" s="171"/>
      <c r="I164" s="177"/>
      <c r="J164" s="167"/>
      <c r="K164" s="181"/>
      <c r="L164" s="353"/>
      <c r="M164" s="624"/>
      <c r="N164" s="166"/>
      <c r="O164" s="202"/>
      <c r="P164" s="177"/>
      <c r="Q164" s="177"/>
      <c r="R164" s="248">
        <f t="shared" si="12"/>
        <v>0</v>
      </c>
      <c r="S164" s="171"/>
      <c r="T164" s="529"/>
      <c r="U164" s="549">
        <f t="shared" si="13"/>
        <v>0</v>
      </c>
      <c r="V164" s="167"/>
      <c r="W164" s="181"/>
    </row>
    <row r="165" spans="2:24" ht="31.4" customHeight="1" x14ac:dyDescent="0.35">
      <c r="B165" s="622" t="s">
        <v>216</v>
      </c>
      <c r="C165" s="166" t="s">
        <v>217</v>
      </c>
      <c r="D165" s="202"/>
      <c r="E165" s="176">
        <v>77000</v>
      </c>
      <c r="F165" s="177"/>
      <c r="G165" s="248">
        <f t="shared" si="11"/>
        <v>77000</v>
      </c>
      <c r="H165" s="171">
        <v>0.4</v>
      </c>
      <c r="I165" s="177"/>
      <c r="J165" s="167" t="s">
        <v>218</v>
      </c>
      <c r="K165" s="181">
        <v>4</v>
      </c>
      <c r="L165" s="353"/>
      <c r="M165" s="622" t="s">
        <v>216</v>
      </c>
      <c r="N165" s="166" t="s">
        <v>926</v>
      </c>
      <c r="O165" s="202"/>
      <c r="P165" s="445">
        <v>84472</v>
      </c>
      <c r="Q165" s="177"/>
      <c r="R165" s="248">
        <f t="shared" si="12"/>
        <v>84472</v>
      </c>
      <c r="S165" s="171">
        <v>0.4</v>
      </c>
      <c r="T165" s="538">
        <v>87000</v>
      </c>
      <c r="U165" s="549">
        <f t="shared" si="13"/>
        <v>34800</v>
      </c>
      <c r="V165" s="167" t="s">
        <v>218</v>
      </c>
      <c r="W165" s="181">
        <v>4</v>
      </c>
    </row>
    <row r="166" spans="2:24" ht="31" x14ac:dyDescent="0.35">
      <c r="B166" s="623"/>
      <c r="C166" s="166" t="s">
        <v>219</v>
      </c>
      <c r="D166" s="202"/>
      <c r="E166" s="176">
        <v>3000</v>
      </c>
      <c r="F166" s="177"/>
      <c r="G166" s="248">
        <f t="shared" si="11"/>
        <v>3000</v>
      </c>
      <c r="H166" s="171">
        <v>0.4</v>
      </c>
      <c r="I166" s="177"/>
      <c r="J166" s="167" t="s">
        <v>220</v>
      </c>
      <c r="K166" s="181">
        <v>4</v>
      </c>
      <c r="L166" s="353"/>
      <c r="M166" s="623"/>
      <c r="N166" s="166" t="s">
        <v>219</v>
      </c>
      <c r="O166" s="202"/>
      <c r="P166" s="176">
        <v>3000</v>
      </c>
      <c r="Q166" s="177"/>
      <c r="R166" s="248">
        <f t="shared" si="12"/>
        <v>3000</v>
      </c>
      <c r="S166" s="171">
        <v>0.4</v>
      </c>
      <c r="T166" s="529"/>
      <c r="U166" s="549">
        <f t="shared" si="13"/>
        <v>0</v>
      </c>
      <c r="V166" s="167" t="s">
        <v>220</v>
      </c>
      <c r="W166" s="181">
        <v>4</v>
      </c>
    </row>
    <row r="167" spans="2:24" ht="15.5" x14ac:dyDescent="0.35">
      <c r="B167" s="623"/>
      <c r="C167" s="166"/>
      <c r="D167" s="202"/>
      <c r="E167" s="177"/>
      <c r="F167" s="177"/>
      <c r="G167" s="248">
        <f t="shared" si="11"/>
        <v>0</v>
      </c>
      <c r="H167" s="171"/>
      <c r="I167" s="177"/>
      <c r="J167" s="167"/>
      <c r="K167" s="181"/>
      <c r="L167" s="353"/>
      <c r="M167" s="623"/>
      <c r="N167" s="166"/>
      <c r="O167" s="202"/>
      <c r="P167" s="177"/>
      <c r="Q167" s="177"/>
      <c r="R167" s="248">
        <f t="shared" si="12"/>
        <v>0</v>
      </c>
      <c r="S167" s="171"/>
      <c r="T167" s="529"/>
      <c r="U167" s="549">
        <f t="shared" si="13"/>
        <v>0</v>
      </c>
      <c r="V167" s="167"/>
      <c r="W167" s="181"/>
    </row>
    <row r="168" spans="2:24" ht="15.5" x14ac:dyDescent="0.35">
      <c r="B168" s="623"/>
      <c r="C168" s="166"/>
      <c r="D168" s="202"/>
      <c r="E168" s="177"/>
      <c r="F168" s="177"/>
      <c r="G168" s="248">
        <f t="shared" si="11"/>
        <v>0</v>
      </c>
      <c r="H168" s="171"/>
      <c r="I168" s="177"/>
      <c r="J168" s="167"/>
      <c r="K168" s="181"/>
      <c r="L168" s="353"/>
      <c r="M168" s="623"/>
      <c r="N168" s="166"/>
      <c r="O168" s="202"/>
      <c r="P168" s="177"/>
      <c r="Q168" s="177"/>
      <c r="R168" s="248">
        <f t="shared" si="12"/>
        <v>0</v>
      </c>
      <c r="S168" s="171"/>
      <c r="T168" s="529"/>
      <c r="U168" s="549">
        <f t="shared" si="13"/>
        <v>0</v>
      </c>
      <c r="V168" s="167"/>
      <c r="W168" s="181"/>
    </row>
    <row r="169" spans="2:24" ht="15.5" x14ac:dyDescent="0.35">
      <c r="B169" s="624"/>
      <c r="C169" s="166"/>
      <c r="D169" s="202"/>
      <c r="E169" s="177"/>
      <c r="F169" s="177"/>
      <c r="G169" s="248">
        <f t="shared" si="11"/>
        <v>0</v>
      </c>
      <c r="H169" s="171"/>
      <c r="I169" s="177"/>
      <c r="J169" s="167"/>
      <c r="K169" s="181"/>
      <c r="L169" s="353"/>
      <c r="M169" s="624"/>
      <c r="N169" s="166"/>
      <c r="O169" s="202"/>
      <c r="P169" s="177"/>
      <c r="Q169" s="177"/>
      <c r="R169" s="248">
        <f t="shared" si="12"/>
        <v>0</v>
      </c>
      <c r="S169" s="171"/>
      <c r="T169" s="529"/>
      <c r="U169" s="549">
        <f t="shared" si="13"/>
        <v>0</v>
      </c>
      <c r="V169" s="167"/>
      <c r="W169" s="181"/>
    </row>
    <row r="170" spans="2:24" ht="15.5" x14ac:dyDescent="0.35">
      <c r="B170" s="622" t="s">
        <v>221</v>
      </c>
      <c r="C170" s="166" t="s">
        <v>222</v>
      </c>
      <c r="D170" s="202"/>
      <c r="E170" s="176">
        <v>5379</v>
      </c>
      <c r="F170" s="177"/>
      <c r="G170" s="248">
        <f t="shared" si="11"/>
        <v>5379</v>
      </c>
      <c r="H170" s="171">
        <v>0.4</v>
      </c>
      <c r="I170" s="177"/>
      <c r="J170" s="167" t="s">
        <v>220</v>
      </c>
      <c r="K170" s="181">
        <v>6</v>
      </c>
      <c r="L170" s="353"/>
      <c r="M170" s="622" t="s">
        <v>221</v>
      </c>
      <c r="N170" s="166" t="s">
        <v>222</v>
      </c>
      <c r="O170" s="202"/>
      <c r="P170" s="176">
        <v>5379</v>
      </c>
      <c r="Q170" s="177"/>
      <c r="R170" s="248">
        <f t="shared" si="12"/>
        <v>5379</v>
      </c>
      <c r="S170" s="171">
        <v>0.4</v>
      </c>
      <c r="T170" s="529">
        <v>5379</v>
      </c>
      <c r="U170" s="549">
        <f t="shared" si="13"/>
        <v>2151.6</v>
      </c>
      <c r="V170" s="167" t="s">
        <v>220</v>
      </c>
      <c r="W170" s="181">
        <v>6</v>
      </c>
    </row>
    <row r="171" spans="2:24" ht="15.5" x14ac:dyDescent="0.35">
      <c r="B171" s="623"/>
      <c r="C171" s="166"/>
      <c r="D171" s="202"/>
      <c r="E171" s="176"/>
      <c r="F171" s="177"/>
      <c r="G171" s="248">
        <f t="shared" si="11"/>
        <v>0</v>
      </c>
      <c r="H171" s="171"/>
      <c r="I171" s="177"/>
      <c r="J171" s="167"/>
      <c r="K171" s="181"/>
      <c r="L171" s="353"/>
      <c r="M171" s="623"/>
      <c r="N171" s="166"/>
      <c r="O171" s="202"/>
      <c r="P171" s="176"/>
      <c r="Q171" s="177"/>
      <c r="R171" s="248">
        <f t="shared" si="12"/>
        <v>0</v>
      </c>
      <c r="S171" s="171"/>
      <c r="T171" s="529"/>
      <c r="U171" s="549">
        <f t="shared" si="13"/>
        <v>0</v>
      </c>
      <c r="V171" s="167"/>
      <c r="W171" s="181"/>
    </row>
    <row r="172" spans="2:24" ht="15.5" x14ac:dyDescent="0.35">
      <c r="B172" s="623"/>
      <c r="C172" s="166"/>
      <c r="D172" s="202"/>
      <c r="E172" s="176"/>
      <c r="F172" s="177"/>
      <c r="G172" s="248">
        <f t="shared" si="11"/>
        <v>0</v>
      </c>
      <c r="H172" s="171"/>
      <c r="I172" s="177"/>
      <c r="J172" s="167"/>
      <c r="K172" s="181"/>
      <c r="L172" s="353"/>
      <c r="M172" s="623"/>
      <c r="N172" s="166"/>
      <c r="O172" s="202"/>
      <c r="P172" s="176"/>
      <c r="Q172" s="177"/>
      <c r="R172" s="248">
        <f t="shared" si="12"/>
        <v>0</v>
      </c>
      <c r="S172" s="171"/>
      <c r="T172" s="529"/>
      <c r="U172" s="549">
        <f t="shared" si="13"/>
        <v>0</v>
      </c>
      <c r="V172" s="167"/>
      <c r="W172" s="181"/>
    </row>
    <row r="173" spans="2:24" ht="15.5" x14ac:dyDescent="0.35">
      <c r="B173" s="623"/>
      <c r="C173" s="166"/>
      <c r="D173" s="202"/>
      <c r="E173" s="176"/>
      <c r="F173" s="177"/>
      <c r="G173" s="248">
        <f t="shared" si="11"/>
        <v>0</v>
      </c>
      <c r="H173" s="171"/>
      <c r="I173" s="177"/>
      <c r="J173" s="167"/>
      <c r="K173" s="181"/>
      <c r="L173" s="353"/>
      <c r="M173" s="623"/>
      <c r="N173" s="166"/>
      <c r="O173" s="202"/>
      <c r="P173" s="176"/>
      <c r="Q173" s="177"/>
      <c r="R173" s="248">
        <f t="shared" si="12"/>
        <v>0</v>
      </c>
      <c r="S173" s="171"/>
      <c r="T173" s="529"/>
      <c r="U173" s="549">
        <f t="shared" si="13"/>
        <v>0</v>
      </c>
      <c r="V173" s="167"/>
      <c r="W173" s="181"/>
    </row>
    <row r="174" spans="2:24" ht="15.5" x14ac:dyDescent="0.35">
      <c r="B174" s="624"/>
      <c r="C174" s="166"/>
      <c r="D174" s="202"/>
      <c r="E174" s="177"/>
      <c r="F174" s="177"/>
      <c r="G174" s="248">
        <f t="shared" si="11"/>
        <v>0</v>
      </c>
      <c r="H174" s="171"/>
      <c r="I174" s="177"/>
      <c r="J174" s="167"/>
      <c r="K174" s="181"/>
      <c r="L174" s="353"/>
      <c r="M174" s="624"/>
      <c r="N174" s="166"/>
      <c r="O174" s="202"/>
      <c r="P174" s="177"/>
      <c r="Q174" s="177"/>
      <c r="R174" s="248">
        <f t="shared" si="12"/>
        <v>0</v>
      </c>
      <c r="S174" s="171"/>
      <c r="T174" s="529"/>
      <c r="U174" s="549">
        <f t="shared" si="13"/>
        <v>0</v>
      </c>
      <c r="V174" s="167"/>
      <c r="W174" s="181"/>
    </row>
    <row r="175" spans="2:24" ht="31" x14ac:dyDescent="0.35">
      <c r="B175" s="622" t="s">
        <v>223</v>
      </c>
      <c r="C175" s="166" t="s">
        <v>224</v>
      </c>
      <c r="D175" s="202"/>
      <c r="E175" s="176">
        <v>8800</v>
      </c>
      <c r="F175" s="177"/>
      <c r="G175" s="248">
        <f t="shared" si="11"/>
        <v>8800</v>
      </c>
      <c r="H175" s="171">
        <v>0.4</v>
      </c>
      <c r="I175" s="177"/>
      <c r="J175" s="167" t="s">
        <v>225</v>
      </c>
      <c r="K175" s="181">
        <v>7</v>
      </c>
      <c r="L175" s="353"/>
      <c r="M175" s="622" t="s">
        <v>223</v>
      </c>
      <c r="N175" s="166" t="s">
        <v>224</v>
      </c>
      <c r="O175" s="202"/>
      <c r="P175" s="445">
        <v>3491.38</v>
      </c>
      <c r="Q175" s="177"/>
      <c r="R175" s="248">
        <f t="shared" si="12"/>
        <v>3491.38</v>
      </c>
      <c r="S175" s="171">
        <v>0.4</v>
      </c>
      <c r="T175" s="538">
        <v>7630</v>
      </c>
      <c r="U175" s="549">
        <f t="shared" si="13"/>
        <v>3052</v>
      </c>
      <c r="V175" s="167" t="s">
        <v>225</v>
      </c>
      <c r="W175" s="181">
        <v>7</v>
      </c>
    </row>
    <row r="176" spans="2:24" ht="31" x14ac:dyDescent="0.35">
      <c r="B176" s="623"/>
      <c r="C176" s="166" t="s">
        <v>226</v>
      </c>
      <c r="D176" s="202"/>
      <c r="E176" s="176">
        <v>5000</v>
      </c>
      <c r="F176" s="177"/>
      <c r="G176" s="248">
        <f t="shared" si="11"/>
        <v>5000</v>
      </c>
      <c r="H176" s="171">
        <v>0.4</v>
      </c>
      <c r="I176" s="177"/>
      <c r="J176" s="167" t="s">
        <v>227</v>
      </c>
      <c r="K176" s="181">
        <v>7</v>
      </c>
      <c r="L176" s="353"/>
      <c r="M176" s="623"/>
      <c r="N176" s="166" t="s">
        <v>226</v>
      </c>
      <c r="O176" s="202"/>
      <c r="P176" s="176">
        <v>5000</v>
      </c>
      <c r="Q176" s="177"/>
      <c r="R176" s="248">
        <f t="shared" si="12"/>
        <v>5000</v>
      </c>
      <c r="S176" s="171">
        <v>0.4</v>
      </c>
      <c r="T176" s="529">
        <v>5000</v>
      </c>
      <c r="U176" s="549">
        <f t="shared" si="13"/>
        <v>2000</v>
      </c>
      <c r="V176" s="167" t="s">
        <v>227</v>
      </c>
      <c r="W176" s="181">
        <v>7</v>
      </c>
      <c r="X176" s="422"/>
    </row>
    <row r="177" spans="2:24" ht="15.5" x14ac:dyDescent="0.35">
      <c r="B177" s="623"/>
      <c r="C177" s="166" t="s">
        <v>228</v>
      </c>
      <c r="D177" s="202"/>
      <c r="E177" s="176">
        <v>700</v>
      </c>
      <c r="F177" s="177"/>
      <c r="G177" s="248">
        <f t="shared" si="11"/>
        <v>700</v>
      </c>
      <c r="H177" s="171">
        <v>0.4</v>
      </c>
      <c r="I177" s="177"/>
      <c r="J177" s="167" t="s">
        <v>229</v>
      </c>
      <c r="K177" s="181">
        <v>7</v>
      </c>
      <c r="L177" s="353"/>
      <c r="M177" s="623"/>
      <c r="N177" s="166" t="s">
        <v>228</v>
      </c>
      <c r="O177" s="202"/>
      <c r="P177" s="176">
        <v>700</v>
      </c>
      <c r="Q177" s="177"/>
      <c r="R177" s="248">
        <f t="shared" si="12"/>
        <v>700</v>
      </c>
      <c r="S177" s="171">
        <v>0.4</v>
      </c>
      <c r="T177" s="529">
        <v>700</v>
      </c>
      <c r="U177" s="549">
        <f t="shared" si="13"/>
        <v>280</v>
      </c>
      <c r="V177" s="167" t="s">
        <v>229</v>
      </c>
      <c r="W177" s="181">
        <v>7</v>
      </c>
      <c r="X177" s="422"/>
    </row>
    <row r="178" spans="2:24" ht="15.5" x14ac:dyDescent="0.35">
      <c r="B178" s="623"/>
      <c r="C178" s="166" t="s">
        <v>159</v>
      </c>
      <c r="D178" s="202"/>
      <c r="E178" s="176">
        <v>500</v>
      </c>
      <c r="F178" s="177"/>
      <c r="G178" s="248">
        <f t="shared" si="11"/>
        <v>500</v>
      </c>
      <c r="H178" s="171">
        <v>0.4</v>
      </c>
      <c r="I178" s="177"/>
      <c r="J178" s="167" t="s">
        <v>208</v>
      </c>
      <c r="K178" s="181">
        <v>5</v>
      </c>
      <c r="L178" s="353"/>
      <c r="M178" s="623"/>
      <c r="N178" s="166" t="s">
        <v>159</v>
      </c>
      <c r="O178" s="202"/>
      <c r="P178" s="176">
        <v>500</v>
      </c>
      <c r="Q178" s="177"/>
      <c r="R178" s="248">
        <f t="shared" si="12"/>
        <v>500</v>
      </c>
      <c r="S178" s="171">
        <v>0.4</v>
      </c>
      <c r="T178" s="529">
        <v>500</v>
      </c>
      <c r="U178" s="549">
        <f t="shared" si="13"/>
        <v>200</v>
      </c>
      <c r="V178" s="167" t="s">
        <v>208</v>
      </c>
      <c r="W178" s="181">
        <v>5</v>
      </c>
      <c r="X178" s="422"/>
    </row>
    <row r="179" spans="2:24" ht="15.5" x14ac:dyDescent="0.35">
      <c r="B179" s="624"/>
      <c r="C179" s="166"/>
      <c r="D179" s="202"/>
      <c r="E179" s="177"/>
      <c r="F179" s="177"/>
      <c r="G179" s="248">
        <f t="shared" si="11"/>
        <v>0</v>
      </c>
      <c r="H179" s="171"/>
      <c r="I179" s="177"/>
      <c r="J179" s="167"/>
      <c r="K179" s="181"/>
      <c r="L179" s="353"/>
      <c r="M179" s="624"/>
      <c r="N179" s="166"/>
      <c r="O179" s="202"/>
      <c r="P179" s="177"/>
      <c r="Q179" s="177"/>
      <c r="R179" s="248">
        <f t="shared" si="12"/>
        <v>0</v>
      </c>
      <c r="S179" s="171"/>
      <c r="T179" s="529"/>
      <c r="U179" s="549">
        <f t="shared" si="13"/>
        <v>0</v>
      </c>
      <c r="V179" s="167"/>
      <c r="W179" s="181"/>
      <c r="X179" s="422"/>
    </row>
    <row r="180" spans="2:24" ht="15.5" x14ac:dyDescent="0.35">
      <c r="B180" s="622" t="s">
        <v>230</v>
      </c>
      <c r="C180" s="166" t="s">
        <v>231</v>
      </c>
      <c r="D180" s="202"/>
      <c r="E180" s="176">
        <v>20000</v>
      </c>
      <c r="F180" s="177"/>
      <c r="G180" s="248">
        <f t="shared" si="11"/>
        <v>20000</v>
      </c>
      <c r="H180" s="171">
        <v>0.3</v>
      </c>
      <c r="I180" s="177"/>
      <c r="J180" s="167"/>
      <c r="K180" s="181">
        <v>6</v>
      </c>
      <c r="L180" s="353"/>
      <c r="M180" s="622" t="s">
        <v>230</v>
      </c>
      <c r="N180" s="166" t="s">
        <v>231</v>
      </c>
      <c r="O180" s="202"/>
      <c r="P180" s="176">
        <v>20000</v>
      </c>
      <c r="Q180" s="177"/>
      <c r="R180" s="248">
        <f t="shared" si="12"/>
        <v>20000</v>
      </c>
      <c r="S180" s="171">
        <v>0.3</v>
      </c>
      <c r="T180" s="529">
        <v>20000</v>
      </c>
      <c r="U180" s="549">
        <f>T180*30/100</f>
        <v>6000</v>
      </c>
      <c r="V180" s="167"/>
      <c r="W180" s="181">
        <v>6</v>
      </c>
      <c r="X180" s="422"/>
    </row>
    <row r="181" spans="2:24" ht="15.5" x14ac:dyDescent="0.35">
      <c r="B181" s="623"/>
      <c r="C181" s="166"/>
      <c r="D181" s="202"/>
      <c r="E181" s="177"/>
      <c r="F181" s="177"/>
      <c r="G181" s="248">
        <f t="shared" si="11"/>
        <v>0</v>
      </c>
      <c r="H181" s="171"/>
      <c r="I181" s="177"/>
      <c r="J181" s="167"/>
      <c r="K181" s="181"/>
      <c r="L181" s="353"/>
      <c r="M181" s="623"/>
      <c r="N181" s="166"/>
      <c r="O181" s="202"/>
      <c r="P181" s="177"/>
      <c r="Q181" s="177"/>
      <c r="R181" s="248">
        <f t="shared" si="12"/>
        <v>0</v>
      </c>
      <c r="S181" s="171"/>
      <c r="T181" s="529"/>
      <c r="U181" s="549">
        <f t="shared" si="13"/>
        <v>0</v>
      </c>
      <c r="V181" s="167"/>
      <c r="W181" s="181"/>
    </row>
    <row r="182" spans="2:24" ht="15.5" x14ac:dyDescent="0.35">
      <c r="B182" s="623"/>
      <c r="C182" s="166"/>
      <c r="D182" s="202"/>
      <c r="E182" s="177"/>
      <c r="F182" s="177"/>
      <c r="G182" s="248">
        <f t="shared" si="11"/>
        <v>0</v>
      </c>
      <c r="H182" s="171"/>
      <c r="I182" s="177"/>
      <c r="J182" s="167"/>
      <c r="K182" s="181"/>
      <c r="L182" s="353"/>
      <c r="M182" s="623"/>
      <c r="N182" s="166"/>
      <c r="O182" s="202"/>
      <c r="P182" s="177"/>
      <c r="Q182" s="177"/>
      <c r="R182" s="248">
        <f t="shared" si="12"/>
        <v>0</v>
      </c>
      <c r="S182" s="171"/>
      <c r="T182" s="529"/>
      <c r="U182" s="549">
        <f t="shared" si="13"/>
        <v>0</v>
      </c>
      <c r="V182" s="167"/>
      <c r="W182" s="181"/>
    </row>
    <row r="183" spans="2:24" ht="15.5" x14ac:dyDescent="0.35">
      <c r="B183" s="623"/>
      <c r="C183" s="166"/>
      <c r="D183" s="202"/>
      <c r="E183" s="177"/>
      <c r="F183" s="177"/>
      <c r="G183" s="248">
        <f t="shared" si="11"/>
        <v>0</v>
      </c>
      <c r="H183" s="171"/>
      <c r="I183" s="177"/>
      <c r="J183" s="167"/>
      <c r="K183" s="181"/>
      <c r="L183" s="353"/>
      <c r="M183" s="623"/>
      <c r="N183" s="166"/>
      <c r="O183" s="202"/>
      <c r="P183" s="177"/>
      <c r="Q183" s="177"/>
      <c r="R183" s="248">
        <f t="shared" si="12"/>
        <v>0</v>
      </c>
      <c r="S183" s="171"/>
      <c r="T183" s="529"/>
      <c r="U183" s="549">
        <f t="shared" si="13"/>
        <v>0</v>
      </c>
      <c r="V183" s="167"/>
      <c r="W183" s="181"/>
    </row>
    <row r="184" spans="2:24" ht="15.5" x14ac:dyDescent="0.35">
      <c r="B184" s="624"/>
      <c r="C184" s="166"/>
      <c r="D184" s="202"/>
      <c r="E184" s="177"/>
      <c r="F184" s="177"/>
      <c r="G184" s="248">
        <f t="shared" si="11"/>
        <v>0</v>
      </c>
      <c r="H184" s="171"/>
      <c r="I184" s="177"/>
      <c r="J184" s="167"/>
      <c r="K184" s="181"/>
      <c r="L184" s="353"/>
      <c r="M184" s="624"/>
      <c r="N184" s="166"/>
      <c r="O184" s="202"/>
      <c r="P184" s="177"/>
      <c r="Q184" s="177"/>
      <c r="R184" s="248">
        <f t="shared" si="12"/>
        <v>0</v>
      </c>
      <c r="S184" s="171"/>
      <c r="T184" s="529"/>
      <c r="U184" s="549">
        <f t="shared" ref="U184:U239" si="15">T184*40/100</f>
        <v>0</v>
      </c>
      <c r="V184" s="167"/>
      <c r="W184" s="181"/>
    </row>
    <row r="185" spans="2:24" ht="31" customHeight="1" x14ac:dyDescent="0.35">
      <c r="B185" s="622" t="s">
        <v>232</v>
      </c>
      <c r="C185" s="232" t="s">
        <v>233</v>
      </c>
      <c r="D185" s="233"/>
      <c r="E185" s="361">
        <f>70000-70000</f>
        <v>0</v>
      </c>
      <c r="F185" s="234"/>
      <c r="G185" s="235">
        <f t="shared" si="11"/>
        <v>0</v>
      </c>
      <c r="H185" s="236">
        <v>0.6</v>
      </c>
      <c r="I185" s="234"/>
      <c r="J185" s="362" t="s">
        <v>234</v>
      </c>
      <c r="K185" s="181"/>
      <c r="L185" s="353"/>
      <c r="M185" s="622" t="s">
        <v>232</v>
      </c>
      <c r="N185" s="232" t="s">
        <v>233</v>
      </c>
      <c r="O185" s="233"/>
      <c r="P185" s="361">
        <f>70000-70000</f>
        <v>0</v>
      </c>
      <c r="Q185" s="234"/>
      <c r="R185" s="235">
        <f t="shared" si="12"/>
        <v>0</v>
      </c>
      <c r="S185" s="236">
        <v>0.6</v>
      </c>
      <c r="T185" s="529"/>
      <c r="U185" s="549">
        <f>T185*60/100</f>
        <v>0</v>
      </c>
      <c r="V185" s="362" t="s">
        <v>234</v>
      </c>
      <c r="W185" s="181"/>
    </row>
    <row r="186" spans="2:24" ht="31" x14ac:dyDescent="0.35">
      <c r="B186" s="623"/>
      <c r="C186" s="232" t="s">
        <v>423</v>
      </c>
      <c r="D186" s="233"/>
      <c r="E186" s="234">
        <v>30600</v>
      </c>
      <c r="F186" s="234"/>
      <c r="G186" s="235">
        <f t="shared" si="11"/>
        <v>30600</v>
      </c>
      <c r="H186" s="236">
        <v>0.6</v>
      </c>
      <c r="I186" s="234"/>
      <c r="J186" s="237"/>
      <c r="K186" s="181">
        <v>2</v>
      </c>
      <c r="L186" s="353"/>
      <c r="M186" s="623"/>
      <c r="N186" s="232" t="s">
        <v>423</v>
      </c>
      <c r="O186" s="233"/>
      <c r="P186" s="234">
        <v>30600</v>
      </c>
      <c r="Q186" s="234"/>
      <c r="R186" s="235">
        <f t="shared" si="12"/>
        <v>30600</v>
      </c>
      <c r="S186" s="236">
        <v>0.6</v>
      </c>
      <c r="T186" s="538">
        <v>30600</v>
      </c>
      <c r="U186" s="549">
        <f t="shared" ref="U186:U188" si="16">T186*60/100</f>
        <v>18360</v>
      </c>
      <c r="V186" s="237"/>
      <c r="W186" s="181">
        <v>2</v>
      </c>
    </row>
    <row r="187" spans="2:24" ht="15.5" x14ac:dyDescent="0.35">
      <c r="B187" s="623"/>
      <c r="C187" s="232" t="s">
        <v>424</v>
      </c>
      <c r="D187" s="233"/>
      <c r="E187" s="234">
        <v>1374</v>
      </c>
      <c r="F187" s="234"/>
      <c r="G187" s="235">
        <f t="shared" si="11"/>
        <v>1374</v>
      </c>
      <c r="H187" s="236"/>
      <c r="I187" s="234"/>
      <c r="J187" s="237"/>
      <c r="K187" s="181">
        <v>4</v>
      </c>
      <c r="L187" s="353"/>
      <c r="M187" s="623"/>
      <c r="N187" s="232" t="s">
        <v>424</v>
      </c>
      <c r="O187" s="233"/>
      <c r="P187" s="234">
        <v>1374</v>
      </c>
      <c r="Q187" s="234"/>
      <c r="R187" s="235">
        <f t="shared" si="12"/>
        <v>1374</v>
      </c>
      <c r="S187" s="236"/>
      <c r="T187" s="538">
        <v>1374</v>
      </c>
      <c r="U187" s="549">
        <f t="shared" si="16"/>
        <v>824.4</v>
      </c>
      <c r="V187" s="237"/>
      <c r="W187" s="181">
        <v>4</v>
      </c>
    </row>
    <row r="188" spans="2:24" ht="15.5" x14ac:dyDescent="0.35">
      <c r="B188" s="623"/>
      <c r="C188" s="232" t="s">
        <v>425</v>
      </c>
      <c r="D188" s="233"/>
      <c r="E188" s="234">
        <v>38026</v>
      </c>
      <c r="F188" s="234"/>
      <c r="G188" s="235">
        <f t="shared" si="11"/>
        <v>38026</v>
      </c>
      <c r="H188" s="236">
        <v>0.6</v>
      </c>
      <c r="I188" s="234"/>
      <c r="J188" s="237"/>
      <c r="K188" s="181">
        <v>6</v>
      </c>
      <c r="L188" s="353"/>
      <c r="M188" s="623"/>
      <c r="N188" s="232" t="s">
        <v>425</v>
      </c>
      <c r="O188" s="233"/>
      <c r="P188" s="226">
        <v>28026</v>
      </c>
      <c r="Q188" s="234"/>
      <c r="R188" s="235">
        <f t="shared" si="12"/>
        <v>28026</v>
      </c>
      <c r="S188" s="236">
        <v>0.6</v>
      </c>
      <c r="T188" s="538">
        <f>28026+8679.72</f>
        <v>36705.72</v>
      </c>
      <c r="U188" s="549">
        <f t="shared" si="16"/>
        <v>22023.432000000001</v>
      </c>
      <c r="V188" s="237"/>
      <c r="W188" s="181">
        <v>6</v>
      </c>
    </row>
    <row r="189" spans="2:24" ht="15.5" x14ac:dyDescent="0.35">
      <c r="B189" s="624"/>
      <c r="C189" s="232"/>
      <c r="D189" s="233"/>
      <c r="E189" s="234"/>
      <c r="F189" s="234"/>
      <c r="G189" s="235">
        <f t="shared" si="11"/>
        <v>0</v>
      </c>
      <c r="H189" s="236"/>
      <c r="I189" s="234"/>
      <c r="J189" s="237"/>
      <c r="K189" s="181"/>
      <c r="L189" s="353"/>
      <c r="M189" s="624"/>
      <c r="N189" s="232"/>
      <c r="O189" s="233"/>
      <c r="P189" s="234"/>
      <c r="Q189" s="234"/>
      <c r="R189" s="235">
        <f t="shared" si="12"/>
        <v>0</v>
      </c>
      <c r="S189" s="236"/>
      <c r="T189" s="529"/>
      <c r="U189" s="549">
        <f t="shared" si="15"/>
        <v>0</v>
      </c>
      <c r="V189" s="237"/>
      <c r="W189" s="181"/>
    </row>
    <row r="190" spans="2:24" ht="31" x14ac:dyDescent="0.35">
      <c r="B190" s="639" t="s">
        <v>235</v>
      </c>
      <c r="C190" s="166" t="s">
        <v>236</v>
      </c>
      <c r="D190" s="202"/>
      <c r="E190" s="176">
        <v>1000</v>
      </c>
      <c r="F190" s="177"/>
      <c r="G190" s="248">
        <f t="shared" si="11"/>
        <v>1000</v>
      </c>
      <c r="H190" s="171">
        <v>0.35</v>
      </c>
      <c r="I190" s="177"/>
      <c r="J190" s="167" t="s">
        <v>237</v>
      </c>
      <c r="K190" s="181">
        <v>5</v>
      </c>
      <c r="L190" s="353"/>
      <c r="M190" s="639" t="s">
        <v>235</v>
      </c>
      <c r="N190" s="166" t="s">
        <v>236</v>
      </c>
      <c r="O190" s="202"/>
      <c r="P190" s="176">
        <v>1000</v>
      </c>
      <c r="Q190" s="177"/>
      <c r="R190" s="248">
        <f t="shared" si="12"/>
        <v>1000</v>
      </c>
      <c r="S190" s="171">
        <v>0.35</v>
      </c>
      <c r="T190" s="538">
        <v>1000</v>
      </c>
      <c r="U190" s="549">
        <f>T190*35/100</f>
        <v>350</v>
      </c>
      <c r="V190" s="167" t="s">
        <v>237</v>
      </c>
      <c r="W190" s="181">
        <v>5</v>
      </c>
    </row>
    <row r="191" spans="2:24" ht="31" x14ac:dyDescent="0.35">
      <c r="B191" s="639"/>
      <c r="C191" s="166" t="s">
        <v>238</v>
      </c>
      <c r="D191" s="202"/>
      <c r="E191" s="176">
        <v>500</v>
      </c>
      <c r="F191" s="177"/>
      <c r="G191" s="248">
        <f t="shared" si="11"/>
        <v>500</v>
      </c>
      <c r="H191" s="171">
        <v>0.35</v>
      </c>
      <c r="I191" s="177"/>
      <c r="J191" s="167" t="s">
        <v>239</v>
      </c>
      <c r="K191" s="181">
        <v>7</v>
      </c>
      <c r="L191" s="353"/>
      <c r="M191" s="639"/>
      <c r="N191" s="166" t="s">
        <v>238</v>
      </c>
      <c r="O191" s="202"/>
      <c r="P191" s="176">
        <v>500</v>
      </c>
      <c r="Q191" s="177"/>
      <c r="R191" s="248">
        <f t="shared" si="12"/>
        <v>500</v>
      </c>
      <c r="S191" s="171">
        <v>0.35</v>
      </c>
      <c r="T191" s="538">
        <v>500</v>
      </c>
      <c r="U191" s="549">
        <f t="shared" ref="U191:U198" si="17">T191*35/100</f>
        <v>175</v>
      </c>
      <c r="V191" s="167" t="s">
        <v>239</v>
      </c>
      <c r="W191" s="181">
        <v>7</v>
      </c>
    </row>
    <row r="192" spans="2:24" ht="15.5" x14ac:dyDescent="0.35">
      <c r="B192" s="639"/>
      <c r="C192" s="166" t="s">
        <v>240</v>
      </c>
      <c r="D192" s="202"/>
      <c r="E192" s="176">
        <v>1000</v>
      </c>
      <c r="F192" s="177"/>
      <c r="G192" s="248">
        <f t="shared" si="11"/>
        <v>1000</v>
      </c>
      <c r="H192" s="171">
        <v>0.35</v>
      </c>
      <c r="I192" s="177"/>
      <c r="J192" s="167" t="s">
        <v>201</v>
      </c>
      <c r="K192" s="181">
        <v>5</v>
      </c>
      <c r="L192" s="353"/>
      <c r="M192" s="639"/>
      <c r="N192" s="166" t="s">
        <v>240</v>
      </c>
      <c r="O192" s="202"/>
      <c r="P192" s="176">
        <v>1000</v>
      </c>
      <c r="Q192" s="177"/>
      <c r="R192" s="248">
        <f t="shared" si="12"/>
        <v>1000</v>
      </c>
      <c r="S192" s="171">
        <v>0.35</v>
      </c>
      <c r="T192" s="538">
        <v>1000</v>
      </c>
      <c r="U192" s="549">
        <f t="shared" si="17"/>
        <v>350</v>
      </c>
      <c r="V192" s="167" t="s">
        <v>201</v>
      </c>
      <c r="W192" s="181">
        <v>5</v>
      </c>
    </row>
    <row r="193" spans="2:24" ht="15.5" x14ac:dyDescent="0.35">
      <c r="B193" s="639"/>
      <c r="C193" s="166" t="s">
        <v>215</v>
      </c>
      <c r="D193" s="202"/>
      <c r="E193" s="176">
        <v>1500</v>
      </c>
      <c r="F193" s="177"/>
      <c r="G193" s="248">
        <f t="shared" si="11"/>
        <v>1500</v>
      </c>
      <c r="H193" s="171">
        <v>0.35</v>
      </c>
      <c r="I193" s="177"/>
      <c r="J193" s="166" t="s">
        <v>241</v>
      </c>
      <c r="K193" s="181">
        <v>7</v>
      </c>
      <c r="L193" s="353"/>
      <c r="M193" s="639"/>
      <c r="N193" s="166" t="s">
        <v>215</v>
      </c>
      <c r="O193" s="202"/>
      <c r="P193" s="176">
        <v>1500</v>
      </c>
      <c r="Q193" s="177"/>
      <c r="R193" s="248">
        <f t="shared" si="12"/>
        <v>1500</v>
      </c>
      <c r="S193" s="171">
        <v>0.35</v>
      </c>
      <c r="T193" s="538">
        <v>1500</v>
      </c>
      <c r="U193" s="549">
        <f t="shared" si="17"/>
        <v>525</v>
      </c>
      <c r="V193" s="166" t="s">
        <v>241</v>
      </c>
      <c r="W193" s="181">
        <v>7</v>
      </c>
    </row>
    <row r="194" spans="2:24" ht="31" x14ac:dyDescent="0.35">
      <c r="B194" s="639"/>
      <c r="C194" s="166" t="s">
        <v>242</v>
      </c>
      <c r="D194" s="202"/>
      <c r="E194" s="176">
        <v>3000</v>
      </c>
      <c r="F194" s="177"/>
      <c r="G194" s="248">
        <f t="shared" si="11"/>
        <v>3000</v>
      </c>
      <c r="H194" s="171">
        <v>0.35</v>
      </c>
      <c r="I194" s="177"/>
      <c r="J194" s="167" t="s">
        <v>227</v>
      </c>
      <c r="K194" s="181">
        <v>2</v>
      </c>
      <c r="L194" s="353"/>
      <c r="M194" s="639"/>
      <c r="N194" s="166" t="s">
        <v>242</v>
      </c>
      <c r="O194" s="202"/>
      <c r="P194" s="176">
        <v>3000</v>
      </c>
      <c r="Q194" s="177"/>
      <c r="R194" s="248">
        <f t="shared" si="12"/>
        <v>3000</v>
      </c>
      <c r="S194" s="171">
        <v>0.35</v>
      </c>
      <c r="T194" s="538">
        <v>3833.11</v>
      </c>
      <c r="U194" s="549">
        <f t="shared" si="17"/>
        <v>1341.5885000000001</v>
      </c>
      <c r="V194" s="167" t="s">
        <v>227</v>
      </c>
      <c r="W194" s="181">
        <v>2</v>
      </c>
    </row>
    <row r="195" spans="2:24" ht="46.5" x14ac:dyDescent="0.35">
      <c r="B195" s="622" t="s">
        <v>243</v>
      </c>
      <c r="C195" s="166" t="s">
        <v>244</v>
      </c>
      <c r="D195" s="202"/>
      <c r="E195" s="176">
        <v>2000</v>
      </c>
      <c r="F195" s="177"/>
      <c r="G195" s="248">
        <f t="shared" si="11"/>
        <v>2000</v>
      </c>
      <c r="H195" s="171">
        <v>0.35</v>
      </c>
      <c r="I195" s="177"/>
      <c r="J195" s="167" t="s">
        <v>245</v>
      </c>
      <c r="K195" s="181">
        <v>7</v>
      </c>
      <c r="L195" s="353"/>
      <c r="M195" s="622" t="s">
        <v>243</v>
      </c>
      <c r="N195" s="166" t="s">
        <v>244</v>
      </c>
      <c r="O195" s="202"/>
      <c r="P195" s="176">
        <v>2000</v>
      </c>
      <c r="Q195" s="177"/>
      <c r="R195" s="248">
        <f t="shared" si="12"/>
        <v>2000</v>
      </c>
      <c r="S195" s="171">
        <v>0.35</v>
      </c>
      <c r="T195" s="529">
        <v>10000</v>
      </c>
      <c r="U195" s="549">
        <f t="shared" si="17"/>
        <v>3500</v>
      </c>
      <c r="V195" s="167" t="s">
        <v>245</v>
      </c>
      <c r="W195" s="181">
        <v>7</v>
      </c>
    </row>
    <row r="196" spans="2:24" ht="15.5" x14ac:dyDescent="0.35">
      <c r="B196" s="623"/>
      <c r="C196" s="166" t="s">
        <v>207</v>
      </c>
      <c r="D196" s="202"/>
      <c r="E196" s="176">
        <v>1000</v>
      </c>
      <c r="F196" s="177"/>
      <c r="G196" s="248">
        <f t="shared" si="11"/>
        <v>1000</v>
      </c>
      <c r="H196" s="171">
        <v>0.35</v>
      </c>
      <c r="I196" s="177"/>
      <c r="J196" s="167" t="s">
        <v>240</v>
      </c>
      <c r="K196" s="181">
        <v>5</v>
      </c>
      <c r="L196" s="353"/>
      <c r="M196" s="623"/>
      <c r="N196" s="166" t="s">
        <v>207</v>
      </c>
      <c r="O196" s="202"/>
      <c r="P196" s="176">
        <v>1000</v>
      </c>
      <c r="Q196" s="177"/>
      <c r="R196" s="248">
        <f t="shared" si="12"/>
        <v>1000</v>
      </c>
      <c r="S196" s="171">
        <v>0.35</v>
      </c>
      <c r="T196" s="529">
        <v>1000</v>
      </c>
      <c r="U196" s="549">
        <f t="shared" si="17"/>
        <v>350</v>
      </c>
      <c r="V196" s="167" t="s">
        <v>240</v>
      </c>
      <c r="W196" s="181">
        <v>5</v>
      </c>
      <c r="X196" s="422"/>
    </row>
    <row r="197" spans="2:24" ht="15.5" x14ac:dyDescent="0.35">
      <c r="B197" s="623"/>
      <c r="C197" s="166" t="s">
        <v>246</v>
      </c>
      <c r="D197" s="202"/>
      <c r="E197" s="176">
        <v>7000</v>
      </c>
      <c r="F197" s="177"/>
      <c r="G197" s="248">
        <f t="shared" si="11"/>
        <v>7000</v>
      </c>
      <c r="H197" s="171">
        <v>0.35</v>
      </c>
      <c r="I197" s="177"/>
      <c r="J197" s="167" t="s">
        <v>241</v>
      </c>
      <c r="K197" s="181">
        <v>2</v>
      </c>
      <c r="L197" s="353"/>
      <c r="M197" s="623"/>
      <c r="N197" s="166" t="s">
        <v>246</v>
      </c>
      <c r="O197" s="202"/>
      <c r="P197" s="176">
        <v>7000</v>
      </c>
      <c r="Q197" s="177"/>
      <c r="R197" s="248">
        <f t="shared" si="12"/>
        <v>7000</v>
      </c>
      <c r="S197" s="171">
        <v>0.35</v>
      </c>
      <c r="T197" s="529">
        <v>7000</v>
      </c>
      <c r="U197" s="549">
        <f t="shared" si="17"/>
        <v>2450</v>
      </c>
      <c r="V197" s="167" t="s">
        <v>241</v>
      </c>
      <c r="W197" s="181">
        <v>2</v>
      </c>
      <c r="X197" s="422"/>
    </row>
    <row r="198" spans="2:24" ht="31" x14ac:dyDescent="0.35">
      <c r="B198" s="623"/>
      <c r="C198" s="166" t="s">
        <v>247</v>
      </c>
      <c r="D198" s="202"/>
      <c r="E198" s="176">
        <v>40000</v>
      </c>
      <c r="F198" s="177"/>
      <c r="G198" s="248">
        <f t="shared" si="11"/>
        <v>40000</v>
      </c>
      <c r="H198" s="171">
        <v>0.35</v>
      </c>
      <c r="I198" s="177"/>
      <c r="J198" s="167" t="s">
        <v>227</v>
      </c>
      <c r="K198" s="181">
        <v>2</v>
      </c>
      <c r="L198" s="353"/>
      <c r="M198" s="623"/>
      <c r="N198" s="166" t="s">
        <v>247</v>
      </c>
      <c r="O198" s="202"/>
      <c r="P198" s="176">
        <v>40000</v>
      </c>
      <c r="Q198" s="177"/>
      <c r="R198" s="248">
        <f t="shared" si="12"/>
        <v>40000</v>
      </c>
      <c r="S198" s="171">
        <v>0.35</v>
      </c>
      <c r="T198" s="529">
        <v>40000</v>
      </c>
      <c r="U198" s="549">
        <f t="shared" si="17"/>
        <v>14000</v>
      </c>
      <c r="V198" s="167" t="s">
        <v>227</v>
      </c>
      <c r="W198" s="181">
        <v>2</v>
      </c>
    </row>
    <row r="199" spans="2:24" ht="15.5" x14ac:dyDescent="0.35">
      <c r="B199" s="624"/>
      <c r="C199" s="166"/>
      <c r="D199" s="202"/>
      <c r="E199" s="177"/>
      <c r="F199" s="177"/>
      <c r="G199" s="248">
        <f t="shared" si="11"/>
        <v>0</v>
      </c>
      <c r="H199" s="171"/>
      <c r="I199" s="177"/>
      <c r="J199" s="167"/>
      <c r="K199" s="181"/>
      <c r="L199" s="353"/>
      <c r="M199" s="624"/>
      <c r="N199" s="166"/>
      <c r="O199" s="202"/>
      <c r="P199" s="177"/>
      <c r="Q199" s="177"/>
      <c r="R199" s="248">
        <f t="shared" si="12"/>
        <v>0</v>
      </c>
      <c r="S199" s="171"/>
      <c r="T199" s="529"/>
      <c r="U199" s="549">
        <f t="shared" si="15"/>
        <v>0</v>
      </c>
      <c r="V199" s="167"/>
      <c r="W199" s="181"/>
    </row>
    <row r="200" spans="2:24" ht="48.65" customHeight="1" x14ac:dyDescent="0.35">
      <c r="B200" s="622" t="s">
        <v>248</v>
      </c>
      <c r="C200" s="166" t="s">
        <v>249</v>
      </c>
      <c r="D200" s="202"/>
      <c r="E200" s="176">
        <v>27500</v>
      </c>
      <c r="F200" s="177"/>
      <c r="G200" s="248">
        <f t="shared" si="11"/>
        <v>27500</v>
      </c>
      <c r="H200" s="171">
        <v>0.6</v>
      </c>
      <c r="I200" s="177"/>
      <c r="J200" s="167" t="s">
        <v>250</v>
      </c>
      <c r="K200" s="181">
        <v>2</v>
      </c>
      <c r="L200" s="353"/>
      <c r="M200" s="622" t="s">
        <v>248</v>
      </c>
      <c r="N200" s="166" t="s">
        <v>249</v>
      </c>
      <c r="O200" s="202"/>
      <c r="P200" s="176">
        <v>27500</v>
      </c>
      <c r="Q200" s="177"/>
      <c r="R200" s="248">
        <f t="shared" si="12"/>
        <v>27500</v>
      </c>
      <c r="S200" s="171">
        <v>0.6</v>
      </c>
      <c r="T200" s="529">
        <v>27500</v>
      </c>
      <c r="U200" s="549">
        <f>T200*60/100</f>
        <v>16500</v>
      </c>
      <c r="V200" s="167" t="s">
        <v>250</v>
      </c>
      <c r="W200" s="181">
        <v>2</v>
      </c>
    </row>
    <row r="201" spans="2:24" ht="18.649999999999999" customHeight="1" x14ac:dyDescent="0.35">
      <c r="B201" s="623"/>
      <c r="C201" s="166" t="s">
        <v>251</v>
      </c>
      <c r="D201" s="202"/>
      <c r="E201" s="176">
        <v>2500</v>
      </c>
      <c r="F201" s="177"/>
      <c r="G201" s="248">
        <f t="shared" si="11"/>
        <v>2500</v>
      </c>
      <c r="H201" s="171"/>
      <c r="I201" s="177"/>
      <c r="J201" s="167"/>
      <c r="K201" s="181">
        <v>2</v>
      </c>
      <c r="L201" s="353"/>
      <c r="M201" s="623"/>
      <c r="N201" s="166" t="s">
        <v>251</v>
      </c>
      <c r="O201" s="202"/>
      <c r="P201" s="176">
        <v>2500</v>
      </c>
      <c r="Q201" s="177"/>
      <c r="R201" s="248">
        <f t="shared" si="12"/>
        <v>2500</v>
      </c>
      <c r="S201" s="171"/>
      <c r="T201" s="529">
        <v>2500</v>
      </c>
      <c r="U201" s="549"/>
      <c r="V201" s="167"/>
      <c r="W201" s="181">
        <v>2</v>
      </c>
    </row>
    <row r="202" spans="2:24" ht="18.649999999999999" customHeight="1" x14ac:dyDescent="0.35">
      <c r="B202" s="623"/>
      <c r="C202" s="166"/>
      <c r="D202" s="202"/>
      <c r="E202" s="177"/>
      <c r="F202" s="177"/>
      <c r="G202" s="248">
        <f t="shared" si="11"/>
        <v>0</v>
      </c>
      <c r="H202" s="171"/>
      <c r="I202" s="177"/>
      <c r="J202" s="167"/>
      <c r="K202" s="181"/>
      <c r="L202" s="353"/>
      <c r="M202" s="623"/>
      <c r="N202" s="166"/>
      <c r="O202" s="202"/>
      <c r="P202" s="177"/>
      <c r="Q202" s="177"/>
      <c r="R202" s="248">
        <f t="shared" si="12"/>
        <v>0</v>
      </c>
      <c r="S202" s="171"/>
      <c r="T202" s="529"/>
      <c r="U202" s="549">
        <f t="shared" si="15"/>
        <v>0</v>
      </c>
      <c r="V202" s="167"/>
      <c r="W202" s="181"/>
    </row>
    <row r="203" spans="2:24" ht="18.649999999999999" customHeight="1" x14ac:dyDescent="0.35">
      <c r="B203" s="623"/>
      <c r="C203" s="166"/>
      <c r="D203" s="202"/>
      <c r="E203" s="177"/>
      <c r="F203" s="177"/>
      <c r="G203" s="248">
        <f t="shared" si="11"/>
        <v>0</v>
      </c>
      <c r="H203" s="171"/>
      <c r="I203" s="177"/>
      <c r="J203" s="167"/>
      <c r="K203" s="181"/>
      <c r="L203" s="353"/>
      <c r="M203" s="623"/>
      <c r="N203" s="166"/>
      <c r="O203" s="202"/>
      <c r="P203" s="177"/>
      <c r="Q203" s="177"/>
      <c r="R203" s="248">
        <f t="shared" si="12"/>
        <v>0</v>
      </c>
      <c r="S203" s="171"/>
      <c r="T203" s="529"/>
      <c r="U203" s="549">
        <f t="shared" si="15"/>
        <v>0</v>
      </c>
      <c r="V203" s="167"/>
      <c r="W203" s="181"/>
    </row>
    <row r="204" spans="2:24" ht="18.649999999999999" customHeight="1" x14ac:dyDescent="0.35">
      <c r="B204" s="624"/>
      <c r="C204" s="166"/>
      <c r="D204" s="202"/>
      <c r="E204" s="177"/>
      <c r="F204" s="177"/>
      <c r="G204" s="248"/>
      <c r="H204" s="171"/>
      <c r="I204" s="177"/>
      <c r="J204" s="167"/>
      <c r="K204" s="181"/>
      <c r="L204" s="353"/>
      <c r="M204" s="624"/>
      <c r="N204" s="166"/>
      <c r="O204" s="202"/>
      <c r="P204" s="177"/>
      <c r="Q204" s="177"/>
      <c r="R204" s="248"/>
      <c r="S204" s="171"/>
      <c r="T204" s="177"/>
      <c r="U204" s="549">
        <f t="shared" si="15"/>
        <v>0</v>
      </c>
      <c r="V204" s="167"/>
      <c r="W204" s="181"/>
    </row>
    <row r="205" spans="2:24" ht="31" customHeight="1" x14ac:dyDescent="0.35">
      <c r="B205" s="657" t="s">
        <v>426</v>
      </c>
      <c r="C205" s="224" t="s">
        <v>268</v>
      </c>
      <c r="D205" s="225">
        <v>25000</v>
      </c>
      <c r="E205" s="226"/>
      <c r="F205" s="226"/>
      <c r="G205" s="227">
        <f t="shared" ref="G205:G209" si="18">D205+E205+F205</f>
        <v>25000</v>
      </c>
      <c r="H205" s="221">
        <v>1</v>
      </c>
      <c r="I205" s="226"/>
      <c r="J205" s="228" t="s">
        <v>269</v>
      </c>
      <c r="K205" s="229">
        <v>6</v>
      </c>
      <c r="L205" s="353"/>
      <c r="M205" s="662" t="s">
        <v>426</v>
      </c>
      <c r="N205" s="232" t="s">
        <v>268</v>
      </c>
      <c r="O205" s="233">
        <v>25000</v>
      </c>
      <c r="P205" s="234"/>
      <c r="Q205" s="234"/>
      <c r="R205" s="235">
        <f t="shared" ref="R205:R256" si="19">O205+P205+Q205</f>
        <v>25000</v>
      </c>
      <c r="S205" s="236">
        <v>1</v>
      </c>
      <c r="T205" s="234">
        <v>25000</v>
      </c>
      <c r="U205" s="549">
        <f t="shared" si="15"/>
        <v>10000</v>
      </c>
      <c r="V205" s="237" t="s">
        <v>269</v>
      </c>
      <c r="W205" s="181">
        <v>6</v>
      </c>
    </row>
    <row r="206" spans="2:24" ht="15.5" x14ac:dyDescent="0.35">
      <c r="B206" s="655"/>
      <c r="C206" s="166"/>
      <c r="D206" s="202"/>
      <c r="E206" s="177"/>
      <c r="F206" s="177"/>
      <c r="G206" s="248">
        <f t="shared" si="18"/>
        <v>0</v>
      </c>
      <c r="H206" s="171"/>
      <c r="I206" s="177"/>
      <c r="J206" s="167"/>
      <c r="K206" s="181"/>
      <c r="L206" s="353"/>
      <c r="M206" s="663"/>
      <c r="N206" s="232"/>
      <c r="O206" s="233"/>
      <c r="P206" s="234"/>
      <c r="Q206" s="234"/>
      <c r="R206" s="235">
        <f t="shared" si="19"/>
        <v>0</v>
      </c>
      <c r="S206" s="236"/>
      <c r="T206" s="234"/>
      <c r="U206" s="549">
        <f t="shared" si="15"/>
        <v>0</v>
      </c>
      <c r="V206" s="237"/>
      <c r="W206" s="181"/>
    </row>
    <row r="207" spans="2:24" ht="18.649999999999999" customHeight="1" x14ac:dyDescent="0.35">
      <c r="B207" s="655"/>
      <c r="C207" s="166"/>
      <c r="D207" s="202"/>
      <c r="E207" s="177"/>
      <c r="F207" s="177"/>
      <c r="G207" s="248">
        <f t="shared" si="18"/>
        <v>0</v>
      </c>
      <c r="H207" s="171"/>
      <c r="I207" s="177"/>
      <c r="J207" s="167"/>
      <c r="K207" s="181"/>
      <c r="L207" s="353"/>
      <c r="M207" s="663"/>
      <c r="N207" s="232"/>
      <c r="O207" s="233"/>
      <c r="P207" s="234"/>
      <c r="Q207" s="234"/>
      <c r="R207" s="235">
        <f t="shared" si="19"/>
        <v>0</v>
      </c>
      <c r="S207" s="236"/>
      <c r="T207" s="234"/>
      <c r="U207" s="549">
        <f t="shared" si="15"/>
        <v>0</v>
      </c>
      <c r="V207" s="237"/>
      <c r="W207" s="181"/>
    </row>
    <row r="208" spans="2:24" ht="18.649999999999999" customHeight="1" x14ac:dyDescent="0.35">
      <c r="B208" s="655"/>
      <c r="C208" s="166"/>
      <c r="D208" s="202"/>
      <c r="E208" s="177"/>
      <c r="F208" s="177"/>
      <c r="G208" s="248">
        <f t="shared" si="18"/>
        <v>0</v>
      </c>
      <c r="H208" s="171"/>
      <c r="I208" s="177"/>
      <c r="J208" s="167"/>
      <c r="K208" s="181"/>
      <c r="L208" s="353"/>
      <c r="M208" s="663"/>
      <c r="N208" s="232"/>
      <c r="O208" s="233"/>
      <c r="P208" s="234"/>
      <c r="Q208" s="234"/>
      <c r="R208" s="235">
        <f t="shared" si="19"/>
        <v>0</v>
      </c>
      <c r="S208" s="236"/>
      <c r="T208" s="234"/>
      <c r="U208" s="549">
        <f t="shared" si="15"/>
        <v>0</v>
      </c>
      <c r="V208" s="237"/>
      <c r="W208" s="181"/>
    </row>
    <row r="209" spans="2:24" ht="18.649999999999999" customHeight="1" x14ac:dyDescent="0.35">
      <c r="B209" s="656"/>
      <c r="C209" s="166"/>
      <c r="D209" s="202"/>
      <c r="E209" s="177"/>
      <c r="F209" s="177"/>
      <c r="G209" s="248">
        <f t="shared" si="18"/>
        <v>0</v>
      </c>
      <c r="H209" s="171"/>
      <c r="I209" s="177"/>
      <c r="J209" s="167"/>
      <c r="K209" s="181"/>
      <c r="L209" s="353"/>
      <c r="M209" s="664"/>
      <c r="N209" s="232"/>
      <c r="O209" s="233"/>
      <c r="P209" s="234"/>
      <c r="Q209" s="234"/>
      <c r="R209" s="235">
        <f t="shared" si="19"/>
        <v>0</v>
      </c>
      <c r="S209" s="236"/>
      <c r="T209" s="234"/>
      <c r="U209" s="549">
        <f t="shared" si="15"/>
        <v>0</v>
      </c>
      <c r="V209" s="237"/>
      <c r="W209" s="181"/>
    </row>
    <row r="210" spans="2:24" ht="31" x14ac:dyDescent="0.35">
      <c r="B210" s="349"/>
      <c r="C210" s="166"/>
      <c r="D210" s="202"/>
      <c r="E210" s="177"/>
      <c r="F210" s="177"/>
      <c r="G210" s="248"/>
      <c r="H210" s="171"/>
      <c r="I210" s="177"/>
      <c r="J210" s="167"/>
      <c r="K210" s="181"/>
      <c r="L210" s="353"/>
      <c r="M210" s="350" t="s">
        <v>427</v>
      </c>
      <c r="N210" s="224" t="s">
        <v>904</v>
      </c>
      <c r="O210" s="225"/>
      <c r="P210" s="226">
        <v>12000</v>
      </c>
      <c r="Q210" s="226"/>
      <c r="R210" s="227">
        <f t="shared" si="19"/>
        <v>12000</v>
      </c>
      <c r="S210" s="221">
        <v>0.5</v>
      </c>
      <c r="T210" s="449">
        <v>12000</v>
      </c>
      <c r="U210" s="549">
        <f>T210*50/100</f>
        <v>6000</v>
      </c>
      <c r="V210" s="228"/>
      <c r="W210" s="229">
        <v>4</v>
      </c>
    </row>
    <row r="211" spans="2:24" ht="15.5" x14ac:dyDescent="0.35">
      <c r="B211" s="349"/>
      <c r="C211" s="166"/>
      <c r="D211" s="202"/>
      <c r="E211" s="177"/>
      <c r="F211" s="177"/>
      <c r="G211" s="248"/>
      <c r="H211" s="171"/>
      <c r="I211" s="177"/>
      <c r="J211" s="167"/>
      <c r="K211" s="181"/>
      <c r="L211" s="353"/>
      <c r="M211" s="657" t="s">
        <v>945</v>
      </c>
      <c r="N211" s="224" t="s">
        <v>905</v>
      </c>
      <c r="O211" s="225"/>
      <c r="P211" s="226">
        <v>3500</v>
      </c>
      <c r="Q211" s="226"/>
      <c r="R211" s="227">
        <f t="shared" si="19"/>
        <v>3500</v>
      </c>
      <c r="S211" s="221">
        <v>0.5</v>
      </c>
      <c r="T211" s="449">
        <v>3500</v>
      </c>
      <c r="U211" s="549">
        <f t="shared" ref="U211:U217" si="20">T211*50/100</f>
        <v>1750</v>
      </c>
      <c r="V211" s="228"/>
      <c r="W211" s="229">
        <v>7</v>
      </c>
    </row>
    <row r="212" spans="2:24" ht="15.5" x14ac:dyDescent="0.35">
      <c r="B212" s="349"/>
      <c r="C212" s="166"/>
      <c r="D212" s="202"/>
      <c r="E212" s="177"/>
      <c r="F212" s="177"/>
      <c r="G212" s="248"/>
      <c r="H212" s="171"/>
      <c r="I212" s="177"/>
      <c r="J212" s="167"/>
      <c r="K212" s="181"/>
      <c r="L212" s="353"/>
      <c r="M212" s="655"/>
      <c r="N212" s="224" t="s">
        <v>909</v>
      </c>
      <c r="O212" s="225"/>
      <c r="P212" s="226">
        <v>1000</v>
      </c>
      <c r="Q212" s="226"/>
      <c r="R212" s="227">
        <f t="shared" si="19"/>
        <v>1000</v>
      </c>
      <c r="S212" s="221">
        <v>0.5</v>
      </c>
      <c r="T212" s="449">
        <v>1000</v>
      </c>
      <c r="U212" s="549">
        <f t="shared" si="20"/>
        <v>500</v>
      </c>
      <c r="V212" s="228"/>
      <c r="W212" s="229">
        <v>7</v>
      </c>
    </row>
    <row r="213" spans="2:24" ht="15.5" x14ac:dyDescent="0.35">
      <c r="B213" s="349"/>
      <c r="C213" s="166"/>
      <c r="D213" s="202"/>
      <c r="E213" s="177"/>
      <c r="F213" s="177"/>
      <c r="G213" s="248"/>
      <c r="H213" s="171"/>
      <c r="I213" s="177"/>
      <c r="J213" s="167"/>
      <c r="K213" s="181"/>
      <c r="L213" s="353"/>
      <c r="M213" s="655"/>
      <c r="N213" s="224" t="s">
        <v>906</v>
      </c>
      <c r="O213" s="225"/>
      <c r="P213" s="226">
        <v>5800</v>
      </c>
      <c r="Q213" s="226"/>
      <c r="R213" s="227">
        <f t="shared" si="19"/>
        <v>5800</v>
      </c>
      <c r="S213" s="221">
        <v>0.5</v>
      </c>
      <c r="T213" s="449">
        <v>5800</v>
      </c>
      <c r="U213" s="549">
        <f t="shared" si="20"/>
        <v>2900</v>
      </c>
      <c r="V213" s="228"/>
      <c r="W213" s="229">
        <v>5</v>
      </c>
    </row>
    <row r="214" spans="2:24" ht="50.5" customHeight="1" x14ac:dyDescent="0.35">
      <c r="B214" s="349"/>
      <c r="C214" s="166"/>
      <c r="D214" s="202"/>
      <c r="E214" s="177"/>
      <c r="F214" s="177"/>
      <c r="G214" s="248"/>
      <c r="H214" s="171"/>
      <c r="I214" s="177"/>
      <c r="J214" s="167"/>
      <c r="K214" s="181"/>
      <c r="L214" s="353"/>
      <c r="M214" s="657" t="s">
        <v>943</v>
      </c>
      <c r="N214" s="224" t="s">
        <v>905</v>
      </c>
      <c r="O214" s="225"/>
      <c r="P214" s="449">
        <v>2000</v>
      </c>
      <c r="Q214" s="226"/>
      <c r="R214" s="227">
        <f t="shared" si="19"/>
        <v>2000</v>
      </c>
      <c r="S214" s="221">
        <v>0.5</v>
      </c>
      <c r="T214" s="226"/>
      <c r="U214" s="549">
        <f t="shared" si="20"/>
        <v>0</v>
      </c>
      <c r="V214" s="228"/>
      <c r="W214" s="451">
        <v>7</v>
      </c>
    </row>
    <row r="215" spans="2:24" ht="50.5" customHeight="1" x14ac:dyDescent="0.35">
      <c r="B215" s="349"/>
      <c r="C215" s="166"/>
      <c r="D215" s="202"/>
      <c r="E215" s="177"/>
      <c r="F215" s="177"/>
      <c r="G215" s="248"/>
      <c r="H215" s="171"/>
      <c r="I215" s="177"/>
      <c r="J215" s="167"/>
      <c r="K215" s="181"/>
      <c r="L215" s="353"/>
      <c r="M215" s="655"/>
      <c r="N215" s="224" t="s">
        <v>907</v>
      </c>
      <c r="O215" s="225"/>
      <c r="P215" s="226">
        <v>14002</v>
      </c>
      <c r="Q215" s="226"/>
      <c r="R215" s="227">
        <f t="shared" si="19"/>
        <v>14002</v>
      </c>
      <c r="S215" s="221">
        <v>0.5</v>
      </c>
      <c r="T215" s="226"/>
      <c r="U215" s="549">
        <f t="shared" si="20"/>
        <v>0</v>
      </c>
      <c r="V215" s="228"/>
      <c r="W215" s="229">
        <v>2</v>
      </c>
    </row>
    <row r="216" spans="2:24" ht="50.5" customHeight="1" x14ac:dyDescent="0.35">
      <c r="B216" s="349"/>
      <c r="C216" s="166"/>
      <c r="D216" s="202"/>
      <c r="E216" s="177"/>
      <c r="F216" s="177"/>
      <c r="G216" s="248"/>
      <c r="H216" s="171"/>
      <c r="I216" s="177"/>
      <c r="J216" s="167"/>
      <c r="K216" s="181"/>
      <c r="L216" s="353"/>
      <c r="M216" s="655"/>
      <c r="N216" s="224" t="s">
        <v>906</v>
      </c>
      <c r="O216" s="225"/>
      <c r="P216" s="226">
        <v>14000</v>
      </c>
      <c r="Q216" s="226"/>
      <c r="R216" s="227">
        <f t="shared" si="19"/>
        <v>14000</v>
      </c>
      <c r="S216" s="221">
        <v>0.5</v>
      </c>
      <c r="T216" s="226"/>
      <c r="U216" s="549">
        <f t="shared" si="20"/>
        <v>0</v>
      </c>
      <c r="V216" s="228"/>
      <c r="W216" s="229">
        <v>5</v>
      </c>
    </row>
    <row r="217" spans="2:24" ht="15.5" x14ac:dyDescent="0.35">
      <c r="B217" s="349"/>
      <c r="C217" s="166"/>
      <c r="D217" s="202"/>
      <c r="E217" s="177"/>
      <c r="F217" s="177"/>
      <c r="G217" s="248"/>
      <c r="H217" s="171"/>
      <c r="I217" s="177"/>
      <c r="J217" s="167"/>
      <c r="K217" s="181"/>
      <c r="L217" s="353"/>
      <c r="M217" s="656"/>
      <c r="N217" s="224" t="s">
        <v>211</v>
      </c>
      <c r="O217" s="225"/>
      <c r="P217" s="449">
        <v>5000</v>
      </c>
      <c r="Q217" s="226"/>
      <c r="R217" s="227">
        <f t="shared" si="19"/>
        <v>5000</v>
      </c>
      <c r="S217" s="221">
        <v>0.5</v>
      </c>
      <c r="T217" s="226"/>
      <c r="U217" s="549">
        <f t="shared" si="20"/>
        <v>0</v>
      </c>
      <c r="V217" s="228"/>
      <c r="W217" s="229">
        <v>1</v>
      </c>
    </row>
    <row r="218" spans="2:24" ht="15.5" x14ac:dyDescent="0.35">
      <c r="B218" s="349"/>
      <c r="C218" s="166"/>
      <c r="D218" s="202"/>
      <c r="E218" s="177"/>
      <c r="F218" s="177"/>
      <c r="G218" s="248"/>
      <c r="H218" s="171"/>
      <c r="I218" s="177"/>
      <c r="J218" s="167"/>
      <c r="K218" s="181"/>
      <c r="L218" s="353"/>
      <c r="M218" s="657" t="s">
        <v>428</v>
      </c>
      <c r="N218" s="224" t="s">
        <v>908</v>
      </c>
      <c r="O218" s="225"/>
      <c r="P218" s="226">
        <v>1100</v>
      </c>
      <c r="Q218" s="226"/>
      <c r="R218" s="227">
        <f t="shared" si="19"/>
        <v>1100</v>
      </c>
      <c r="S218" s="221"/>
      <c r="T218" s="226"/>
      <c r="U218" s="549">
        <f>T218*80/100</f>
        <v>0</v>
      </c>
      <c r="V218" s="228"/>
      <c r="W218" s="229">
        <v>7</v>
      </c>
    </row>
    <row r="219" spans="2:24" ht="15.5" x14ac:dyDescent="0.35">
      <c r="B219" s="349"/>
      <c r="C219" s="166"/>
      <c r="D219" s="202"/>
      <c r="E219" s="177"/>
      <c r="F219" s="177"/>
      <c r="G219" s="248"/>
      <c r="H219" s="171"/>
      <c r="I219" s="177"/>
      <c r="J219" s="167"/>
      <c r="K219" s="181"/>
      <c r="L219" s="353"/>
      <c r="M219" s="655"/>
      <c r="N219" s="224" t="s">
        <v>910</v>
      </c>
      <c r="O219" s="225"/>
      <c r="P219" s="226">
        <v>500</v>
      </c>
      <c r="Q219" s="226"/>
      <c r="R219" s="227">
        <f t="shared" si="19"/>
        <v>500</v>
      </c>
      <c r="S219" s="221">
        <v>0.8</v>
      </c>
      <c r="T219" s="226"/>
      <c r="U219" s="549">
        <f t="shared" si="15"/>
        <v>0</v>
      </c>
      <c r="V219" s="228"/>
      <c r="W219" s="229">
        <v>2</v>
      </c>
    </row>
    <row r="220" spans="2:24" ht="15.5" x14ac:dyDescent="0.35">
      <c r="B220" s="349"/>
      <c r="C220" s="166"/>
      <c r="D220" s="202"/>
      <c r="E220" s="177"/>
      <c r="F220" s="177"/>
      <c r="G220" s="248"/>
      <c r="H220" s="171"/>
      <c r="I220" s="177"/>
      <c r="J220" s="167"/>
      <c r="K220" s="181"/>
      <c r="L220" s="353"/>
      <c r="M220" s="656"/>
      <c r="N220" s="224" t="s">
        <v>906</v>
      </c>
      <c r="O220" s="225"/>
      <c r="P220" s="226">
        <v>800</v>
      </c>
      <c r="Q220" s="226"/>
      <c r="R220" s="227">
        <f t="shared" si="19"/>
        <v>800</v>
      </c>
      <c r="S220" s="221">
        <v>0.8</v>
      </c>
      <c r="T220" s="226"/>
      <c r="U220" s="549">
        <f t="shared" si="15"/>
        <v>0</v>
      </c>
      <c r="V220" s="228"/>
      <c r="W220" s="229">
        <v>5</v>
      </c>
    </row>
    <row r="221" spans="2:24" ht="34.5" customHeight="1" x14ac:dyDescent="0.35">
      <c r="B221" s="349"/>
      <c r="C221" s="166"/>
      <c r="D221" s="202"/>
      <c r="E221" s="177"/>
      <c r="F221" s="177"/>
      <c r="G221" s="248"/>
      <c r="H221" s="171"/>
      <c r="I221" s="177"/>
      <c r="J221" s="167"/>
      <c r="K221" s="181"/>
      <c r="L221" s="353"/>
      <c r="M221" s="657" t="s">
        <v>942</v>
      </c>
      <c r="N221" s="224" t="s">
        <v>911</v>
      </c>
      <c r="O221" s="225"/>
      <c r="P221" s="449">
        <v>12000</v>
      </c>
      <c r="Q221" s="226"/>
      <c r="R221" s="227">
        <f t="shared" si="19"/>
        <v>12000</v>
      </c>
      <c r="S221" s="221">
        <v>0.8</v>
      </c>
      <c r="T221" s="449">
        <v>12000</v>
      </c>
      <c r="U221" s="549">
        <f t="shared" si="15"/>
        <v>4800</v>
      </c>
      <c r="V221" s="228"/>
      <c r="W221" s="229">
        <v>2</v>
      </c>
    </row>
    <row r="222" spans="2:24" ht="41.5" customHeight="1" x14ac:dyDescent="0.35">
      <c r="B222" s="349"/>
      <c r="C222" s="166"/>
      <c r="D222" s="202"/>
      <c r="E222" s="177"/>
      <c r="F222" s="177"/>
      <c r="G222" s="248"/>
      <c r="H222" s="171"/>
      <c r="I222" s="177"/>
      <c r="J222" s="167"/>
      <c r="K222" s="181"/>
      <c r="L222" s="353"/>
      <c r="M222" s="656"/>
      <c r="N222" s="224" t="s">
        <v>912</v>
      </c>
      <c r="O222" s="225"/>
      <c r="P222" s="226">
        <v>1500</v>
      </c>
      <c r="Q222" s="226"/>
      <c r="R222" s="227">
        <f t="shared" si="19"/>
        <v>1500</v>
      </c>
      <c r="S222" s="221"/>
      <c r="T222" s="226"/>
      <c r="U222" s="549">
        <f t="shared" si="15"/>
        <v>0</v>
      </c>
      <c r="V222" s="228"/>
      <c r="W222" s="451">
        <v>4</v>
      </c>
    </row>
    <row r="223" spans="2:24" s="419" customFormat="1" ht="31" x14ac:dyDescent="0.35">
      <c r="B223" s="350"/>
      <c r="C223" s="224"/>
      <c r="D223" s="225"/>
      <c r="E223" s="226"/>
      <c r="F223" s="226"/>
      <c r="G223" s="227"/>
      <c r="H223" s="221"/>
      <c r="I223" s="226"/>
      <c r="J223" s="228"/>
      <c r="K223" s="229"/>
      <c r="L223" s="420"/>
      <c r="M223" s="657" t="s">
        <v>429</v>
      </c>
      <c r="N223" s="417" t="s">
        <v>430</v>
      </c>
      <c r="O223" s="225">
        <v>2000</v>
      </c>
      <c r="P223" s="226"/>
      <c r="Q223" s="226"/>
      <c r="R223" s="227">
        <f t="shared" si="19"/>
        <v>2000</v>
      </c>
      <c r="S223" s="221">
        <v>0.5</v>
      </c>
      <c r="T223" s="226"/>
      <c r="U223" s="549">
        <f>T223*50/100</f>
        <v>0</v>
      </c>
      <c r="V223" s="228"/>
      <c r="W223" s="229">
        <v>6</v>
      </c>
      <c r="X223" s="422"/>
    </row>
    <row r="224" spans="2:24" s="419" customFormat="1" ht="31" x14ac:dyDescent="0.35">
      <c r="B224" s="350"/>
      <c r="C224" s="224"/>
      <c r="D224" s="225"/>
      <c r="E224" s="226"/>
      <c r="F224" s="226"/>
      <c r="G224" s="227"/>
      <c r="H224" s="221"/>
      <c r="I224" s="226"/>
      <c r="J224" s="228"/>
      <c r="K224" s="229"/>
      <c r="L224" s="420"/>
      <c r="M224" s="655"/>
      <c r="N224" s="418" t="s">
        <v>431</v>
      </c>
      <c r="O224" s="225">
        <v>5000</v>
      </c>
      <c r="P224" s="226"/>
      <c r="Q224" s="226"/>
      <c r="R224" s="227">
        <f t="shared" si="19"/>
        <v>5000</v>
      </c>
      <c r="S224" s="221">
        <v>0.5</v>
      </c>
      <c r="T224" s="226"/>
      <c r="U224" s="549">
        <f t="shared" ref="U224:U225" si="21">T224*50/100</f>
        <v>0</v>
      </c>
      <c r="V224" s="228"/>
      <c r="W224" s="229">
        <v>6</v>
      </c>
      <c r="X224" s="422"/>
    </row>
    <row r="225" spans="2:24" s="419" customFormat="1" ht="31" x14ac:dyDescent="0.35">
      <c r="B225" s="350"/>
      <c r="C225" s="224"/>
      <c r="D225" s="225"/>
      <c r="E225" s="226"/>
      <c r="F225" s="226"/>
      <c r="G225" s="227"/>
      <c r="H225" s="221"/>
      <c r="I225" s="226"/>
      <c r="J225" s="228"/>
      <c r="K225" s="229"/>
      <c r="L225" s="420"/>
      <c r="M225" s="655"/>
      <c r="N225" s="418" t="s">
        <v>432</v>
      </c>
      <c r="O225" s="449">
        <v>52500</v>
      </c>
      <c r="P225" s="226"/>
      <c r="Q225" s="226"/>
      <c r="R225" s="227">
        <f t="shared" si="19"/>
        <v>52500</v>
      </c>
      <c r="S225" s="221">
        <v>0.5</v>
      </c>
      <c r="T225" s="226"/>
      <c r="U225" s="549">
        <f t="shared" si="21"/>
        <v>0</v>
      </c>
      <c r="V225" s="228"/>
      <c r="W225" s="229">
        <v>6</v>
      </c>
      <c r="X225" s="422"/>
    </row>
    <row r="226" spans="2:24" s="419" customFormat="1" ht="15.5" x14ac:dyDescent="0.35">
      <c r="B226" s="350"/>
      <c r="C226" s="224"/>
      <c r="D226" s="225"/>
      <c r="E226" s="226"/>
      <c r="F226" s="226"/>
      <c r="G226" s="227"/>
      <c r="H226" s="221"/>
      <c r="I226" s="226"/>
      <c r="J226" s="228"/>
      <c r="K226" s="229"/>
      <c r="L226" s="420"/>
      <c r="M226" s="655"/>
      <c r="N226" s="418" t="s">
        <v>433</v>
      </c>
      <c r="O226" s="225">
        <v>3000</v>
      </c>
      <c r="P226" s="226"/>
      <c r="Q226" s="226"/>
      <c r="R226" s="227">
        <f t="shared" si="19"/>
        <v>3000</v>
      </c>
      <c r="S226" s="221">
        <v>0.8</v>
      </c>
      <c r="T226" s="226"/>
      <c r="U226" s="549">
        <f>T226*80/100</f>
        <v>0</v>
      </c>
      <c r="V226" s="228"/>
      <c r="W226" s="229">
        <v>4</v>
      </c>
      <c r="X226" s="422"/>
    </row>
    <row r="227" spans="2:24" s="419" customFormat="1" ht="15.5" x14ac:dyDescent="0.35">
      <c r="B227" s="350"/>
      <c r="C227" s="224"/>
      <c r="D227" s="225"/>
      <c r="E227" s="226"/>
      <c r="F227" s="226"/>
      <c r="G227" s="227"/>
      <c r="H227" s="221"/>
      <c r="I227" s="226"/>
      <c r="J227" s="228"/>
      <c r="K227" s="229"/>
      <c r="L227" s="420"/>
      <c r="M227" s="656"/>
      <c r="N227" s="224"/>
      <c r="O227" s="225"/>
      <c r="P227" s="226"/>
      <c r="Q227" s="226"/>
      <c r="R227" s="227">
        <f t="shared" si="19"/>
        <v>0</v>
      </c>
      <c r="S227" s="221"/>
      <c r="T227" s="226"/>
      <c r="U227" s="549">
        <f t="shared" ref="U227:U231" si="22">T227*80/100</f>
        <v>0</v>
      </c>
      <c r="V227" s="228"/>
      <c r="W227" s="229"/>
      <c r="X227" s="422"/>
    </row>
    <row r="228" spans="2:24" s="419" customFormat="1" ht="15.5" x14ac:dyDescent="0.35">
      <c r="B228" s="350"/>
      <c r="C228" s="224"/>
      <c r="D228" s="225"/>
      <c r="E228" s="226"/>
      <c r="F228" s="226"/>
      <c r="G228" s="227"/>
      <c r="H228" s="221"/>
      <c r="I228" s="226"/>
      <c r="J228" s="228"/>
      <c r="K228" s="229"/>
      <c r="L228" s="420"/>
      <c r="M228" s="657" t="s">
        <v>434</v>
      </c>
      <c r="N228" s="417" t="s">
        <v>435</v>
      </c>
      <c r="O228" s="449">
        <v>35000</v>
      </c>
      <c r="P228" s="226"/>
      <c r="Q228" s="226"/>
      <c r="R228" s="227">
        <f t="shared" si="19"/>
        <v>35000</v>
      </c>
      <c r="S228" s="221">
        <v>0.8</v>
      </c>
      <c r="T228" s="226"/>
      <c r="U228" s="549">
        <f t="shared" si="22"/>
        <v>0</v>
      </c>
      <c r="V228" s="228"/>
      <c r="W228" s="229">
        <v>2</v>
      </c>
      <c r="X228" s="422"/>
    </row>
    <row r="229" spans="2:24" s="419" customFormat="1" ht="50.25" customHeight="1" x14ac:dyDescent="0.35">
      <c r="B229" s="350"/>
      <c r="C229" s="224"/>
      <c r="D229" s="225"/>
      <c r="E229" s="226"/>
      <c r="F229" s="226"/>
      <c r="G229" s="227"/>
      <c r="H229" s="221"/>
      <c r="I229" s="226"/>
      <c r="J229" s="228"/>
      <c r="K229" s="229"/>
      <c r="L229" s="420"/>
      <c r="M229" s="656"/>
      <c r="N229" s="418" t="s">
        <v>436</v>
      </c>
      <c r="O229" s="225">
        <v>30000</v>
      </c>
      <c r="P229" s="226"/>
      <c r="Q229" s="226"/>
      <c r="R229" s="227">
        <f t="shared" si="19"/>
        <v>30000</v>
      </c>
      <c r="S229" s="221">
        <v>0.8</v>
      </c>
      <c r="T229" s="226"/>
      <c r="U229" s="549">
        <f t="shared" si="22"/>
        <v>0</v>
      </c>
      <c r="V229" s="228"/>
      <c r="W229" s="229">
        <v>2</v>
      </c>
      <c r="X229" s="422"/>
    </row>
    <row r="230" spans="2:24" s="419" customFormat="1" ht="30.75" customHeight="1" x14ac:dyDescent="0.35">
      <c r="B230" s="350"/>
      <c r="C230" s="224"/>
      <c r="D230" s="225"/>
      <c r="E230" s="226"/>
      <c r="F230" s="226"/>
      <c r="G230" s="227"/>
      <c r="H230" s="221"/>
      <c r="I230" s="226"/>
      <c r="J230" s="228"/>
      <c r="K230" s="229"/>
      <c r="L230" s="420"/>
      <c r="M230" s="657" t="s">
        <v>437</v>
      </c>
      <c r="N230" s="418" t="s">
        <v>438</v>
      </c>
      <c r="O230" s="225">
        <v>3000</v>
      </c>
      <c r="P230" s="226"/>
      <c r="Q230" s="226"/>
      <c r="R230" s="227">
        <f t="shared" si="19"/>
        <v>3000</v>
      </c>
      <c r="S230" s="221">
        <v>0.8</v>
      </c>
      <c r="T230" s="226"/>
      <c r="U230" s="549">
        <f t="shared" si="22"/>
        <v>0</v>
      </c>
      <c r="V230" s="228"/>
      <c r="W230" s="229">
        <v>6</v>
      </c>
      <c r="X230" s="422"/>
    </row>
    <row r="231" spans="2:24" s="419" customFormat="1" ht="31.5" customHeight="1" x14ac:dyDescent="0.35">
      <c r="B231" s="350"/>
      <c r="C231" s="224"/>
      <c r="D231" s="225"/>
      <c r="E231" s="226"/>
      <c r="F231" s="226"/>
      <c r="G231" s="227"/>
      <c r="H231" s="221"/>
      <c r="I231" s="226"/>
      <c r="J231" s="228"/>
      <c r="K231" s="229"/>
      <c r="L231" s="420"/>
      <c r="M231" s="655"/>
      <c r="N231" s="418" t="s">
        <v>439</v>
      </c>
      <c r="O231" s="225">
        <v>50000</v>
      </c>
      <c r="P231" s="226"/>
      <c r="Q231" s="226"/>
      <c r="R231" s="227">
        <f t="shared" si="19"/>
        <v>50000</v>
      </c>
      <c r="S231" s="221">
        <v>0.8</v>
      </c>
      <c r="T231" s="226"/>
      <c r="U231" s="549">
        <f t="shared" si="22"/>
        <v>0</v>
      </c>
      <c r="V231" s="228"/>
      <c r="W231" s="229">
        <v>2</v>
      </c>
      <c r="X231" s="422"/>
    </row>
    <row r="232" spans="2:24" s="419" customFormat="1" ht="46.5" customHeight="1" x14ac:dyDescent="0.35">
      <c r="B232" s="350"/>
      <c r="C232" s="224"/>
      <c r="D232" s="225"/>
      <c r="E232" s="226"/>
      <c r="F232" s="226"/>
      <c r="G232" s="227"/>
      <c r="H232" s="221"/>
      <c r="I232" s="226"/>
      <c r="J232" s="228"/>
      <c r="K232" s="229"/>
      <c r="L232" s="420"/>
      <c r="M232" s="655"/>
      <c r="N232" s="418" t="s">
        <v>440</v>
      </c>
      <c r="O232" s="225">
        <v>5000</v>
      </c>
      <c r="P232" s="226"/>
      <c r="Q232" s="226"/>
      <c r="R232" s="227">
        <f t="shared" si="19"/>
        <v>5000</v>
      </c>
      <c r="S232" s="221">
        <v>0.5</v>
      </c>
      <c r="T232" s="226"/>
      <c r="U232" s="549">
        <f>T232*50/100</f>
        <v>0</v>
      </c>
      <c r="V232" s="228"/>
      <c r="W232" s="229">
        <v>6</v>
      </c>
      <c r="X232" s="422"/>
    </row>
    <row r="233" spans="2:24" s="419" customFormat="1" ht="15.5" x14ac:dyDescent="0.35">
      <c r="B233" s="350"/>
      <c r="C233" s="224"/>
      <c r="D233" s="225"/>
      <c r="E233" s="226"/>
      <c r="F233" s="226"/>
      <c r="G233" s="227"/>
      <c r="H233" s="221"/>
      <c r="I233" s="226"/>
      <c r="J233" s="228"/>
      <c r="K233" s="229"/>
      <c r="L233" s="420"/>
      <c r="M233" s="656"/>
      <c r="N233" s="418" t="s">
        <v>441</v>
      </c>
      <c r="O233" s="225"/>
      <c r="P233" s="226"/>
      <c r="Q233" s="226"/>
      <c r="R233" s="227">
        <f t="shared" si="19"/>
        <v>0</v>
      </c>
      <c r="S233" s="221"/>
      <c r="T233" s="226"/>
      <c r="U233" s="549">
        <f t="shared" ref="U233:U234" si="23">T233*50/100</f>
        <v>0</v>
      </c>
      <c r="V233" s="228"/>
      <c r="W233" s="229"/>
      <c r="X233" s="422"/>
    </row>
    <row r="234" spans="2:24" s="419" customFormat="1" ht="15.5" x14ac:dyDescent="0.35">
      <c r="B234" s="350"/>
      <c r="C234" s="224"/>
      <c r="D234" s="225"/>
      <c r="E234" s="226"/>
      <c r="F234" s="226"/>
      <c r="G234" s="227"/>
      <c r="H234" s="221"/>
      <c r="I234" s="226"/>
      <c r="J234" s="228"/>
      <c r="K234" s="229"/>
      <c r="L234" s="420"/>
      <c r="M234" s="657" t="s">
        <v>939</v>
      </c>
      <c r="N234" s="418" t="s">
        <v>442</v>
      </c>
      <c r="O234" s="225">
        <v>5000</v>
      </c>
      <c r="P234" s="226"/>
      <c r="Q234" s="226"/>
      <c r="R234" s="227">
        <f t="shared" si="19"/>
        <v>5000</v>
      </c>
      <c r="S234" s="221">
        <v>0.5</v>
      </c>
      <c r="T234" s="226"/>
      <c r="U234" s="549">
        <f t="shared" si="23"/>
        <v>0</v>
      </c>
      <c r="V234" s="228"/>
      <c r="W234" s="229">
        <v>6</v>
      </c>
      <c r="X234" s="422"/>
    </row>
    <row r="235" spans="2:24" s="419" customFormat="1" ht="38.25" customHeight="1" x14ac:dyDescent="0.35">
      <c r="B235" s="350"/>
      <c r="C235" s="224"/>
      <c r="D235" s="225"/>
      <c r="E235" s="226"/>
      <c r="F235" s="226"/>
      <c r="G235" s="227"/>
      <c r="H235" s="221"/>
      <c r="I235" s="226"/>
      <c r="J235" s="228"/>
      <c r="K235" s="229"/>
      <c r="L235" s="420"/>
      <c r="M235" s="656"/>
      <c r="N235" s="224" t="s">
        <v>927</v>
      </c>
      <c r="O235" s="225">
        <v>15000</v>
      </c>
      <c r="P235" s="226"/>
      <c r="Q235" s="226"/>
      <c r="R235" s="227">
        <f t="shared" si="19"/>
        <v>15000</v>
      </c>
      <c r="S235" s="221">
        <v>0.8</v>
      </c>
      <c r="T235" s="226"/>
      <c r="U235" s="549">
        <f>T235*80/100</f>
        <v>0</v>
      </c>
      <c r="V235" s="228"/>
      <c r="W235" s="229">
        <v>7</v>
      </c>
      <c r="X235" s="422"/>
    </row>
    <row r="236" spans="2:24" s="419" customFormat="1" ht="15.5" x14ac:dyDescent="0.35">
      <c r="B236" s="350"/>
      <c r="C236" s="224"/>
      <c r="D236" s="225"/>
      <c r="E236" s="226"/>
      <c r="F236" s="226"/>
      <c r="G236" s="227"/>
      <c r="H236" s="221"/>
      <c r="I236" s="226"/>
      <c r="J236" s="228"/>
      <c r="K236" s="229"/>
      <c r="L236" s="420"/>
      <c r="M236" s="657" t="s">
        <v>443</v>
      </c>
      <c r="N236" s="224" t="s">
        <v>444</v>
      </c>
      <c r="O236" s="225">
        <v>7000</v>
      </c>
      <c r="P236" s="226"/>
      <c r="Q236" s="226"/>
      <c r="R236" s="227">
        <f t="shared" si="19"/>
        <v>7000</v>
      </c>
      <c r="S236" s="221">
        <v>0.5</v>
      </c>
      <c r="T236" s="226"/>
      <c r="U236" s="549">
        <f>T236*50/100</f>
        <v>0</v>
      </c>
      <c r="V236" s="228"/>
      <c r="W236" s="229">
        <v>6</v>
      </c>
      <c r="X236" s="422"/>
    </row>
    <row r="237" spans="2:24" s="419" customFormat="1" ht="15.5" x14ac:dyDescent="0.35">
      <c r="B237" s="350"/>
      <c r="C237" s="224"/>
      <c r="D237" s="225"/>
      <c r="E237" s="226"/>
      <c r="F237" s="226"/>
      <c r="G237" s="227"/>
      <c r="H237" s="221"/>
      <c r="I237" s="226"/>
      <c r="J237" s="228"/>
      <c r="K237" s="229"/>
      <c r="L237" s="420"/>
      <c r="M237" s="655"/>
      <c r="N237" s="224" t="s">
        <v>445</v>
      </c>
      <c r="O237" s="225">
        <v>45000</v>
      </c>
      <c r="P237" s="226"/>
      <c r="Q237" s="226"/>
      <c r="R237" s="227">
        <f t="shared" si="19"/>
        <v>45000</v>
      </c>
      <c r="S237" s="221">
        <v>0.5</v>
      </c>
      <c r="T237" s="226"/>
      <c r="U237" s="549">
        <f>T237*50/100</f>
        <v>0</v>
      </c>
      <c r="V237" s="228"/>
      <c r="W237" s="229">
        <v>6</v>
      </c>
      <c r="X237" s="422"/>
    </row>
    <row r="238" spans="2:24" s="419" customFormat="1" ht="15.5" x14ac:dyDescent="0.35">
      <c r="B238" s="350"/>
      <c r="C238" s="224"/>
      <c r="D238" s="225"/>
      <c r="E238" s="226"/>
      <c r="F238" s="226"/>
      <c r="G238" s="227"/>
      <c r="H238" s="221"/>
      <c r="I238" s="226"/>
      <c r="J238" s="228"/>
      <c r="K238" s="229"/>
      <c r="L238" s="420"/>
      <c r="M238" s="655"/>
      <c r="N238" s="224" t="s">
        <v>446</v>
      </c>
      <c r="O238" s="225">
        <v>2000</v>
      </c>
      <c r="P238" s="226"/>
      <c r="Q238" s="226"/>
      <c r="R238" s="227">
        <f t="shared" si="19"/>
        <v>2000</v>
      </c>
      <c r="S238" s="221">
        <v>0.3</v>
      </c>
      <c r="T238" s="226"/>
      <c r="U238" s="549">
        <f>T238*30/100</f>
        <v>0</v>
      </c>
      <c r="V238" s="228"/>
      <c r="W238" s="229">
        <v>2</v>
      </c>
      <c r="X238" s="422"/>
    </row>
    <row r="239" spans="2:24" s="419" customFormat="1" ht="34.5" customHeight="1" x14ac:dyDescent="0.35">
      <c r="B239" s="350"/>
      <c r="C239" s="224"/>
      <c r="D239" s="225"/>
      <c r="E239" s="226"/>
      <c r="F239" s="226"/>
      <c r="G239" s="227"/>
      <c r="H239" s="221"/>
      <c r="I239" s="226"/>
      <c r="J239" s="228"/>
      <c r="K239" s="229"/>
      <c r="L239" s="420"/>
      <c r="M239" s="656"/>
      <c r="N239" s="224"/>
      <c r="O239" s="225"/>
      <c r="P239" s="226"/>
      <c r="Q239" s="226"/>
      <c r="R239" s="227">
        <f t="shared" si="19"/>
        <v>0</v>
      </c>
      <c r="S239" s="221"/>
      <c r="T239" s="226"/>
      <c r="U239" s="549">
        <f t="shared" si="15"/>
        <v>0</v>
      </c>
      <c r="V239" s="228"/>
      <c r="W239" s="229"/>
      <c r="X239" s="422"/>
    </row>
    <row r="240" spans="2:24" s="419" customFormat="1" ht="15.65" customHeight="1" x14ac:dyDescent="0.35">
      <c r="B240" s="350"/>
      <c r="C240" s="224"/>
      <c r="D240" s="225"/>
      <c r="E240" s="226"/>
      <c r="F240" s="226"/>
      <c r="G240" s="227"/>
      <c r="H240" s="221"/>
      <c r="I240" s="226"/>
      <c r="J240" s="228"/>
      <c r="K240" s="229"/>
      <c r="L240" s="420"/>
      <c r="M240" s="657" t="s">
        <v>941</v>
      </c>
      <c r="N240" s="224" t="s">
        <v>913</v>
      </c>
      <c r="O240" s="225"/>
      <c r="P240" s="449">
        <v>23950</v>
      </c>
      <c r="Q240" s="226"/>
      <c r="R240" s="227">
        <f t="shared" si="19"/>
        <v>23950</v>
      </c>
      <c r="S240" s="221">
        <v>0.8</v>
      </c>
      <c r="T240" s="226"/>
      <c r="U240" s="549">
        <f>T240*80/100</f>
        <v>0</v>
      </c>
      <c r="V240" s="228"/>
      <c r="W240" s="229">
        <v>2</v>
      </c>
      <c r="X240" s="422"/>
    </row>
    <row r="241" spans="2:24" s="419" customFormat="1" ht="15.5" x14ac:dyDescent="0.35">
      <c r="B241" s="350"/>
      <c r="C241" s="224"/>
      <c r="D241" s="225"/>
      <c r="E241" s="226"/>
      <c r="F241" s="226"/>
      <c r="G241" s="227"/>
      <c r="H241" s="221"/>
      <c r="I241" s="226"/>
      <c r="J241" s="228"/>
      <c r="K241" s="229"/>
      <c r="L241" s="420"/>
      <c r="M241" s="655"/>
      <c r="N241" s="224" t="s">
        <v>914</v>
      </c>
      <c r="O241" s="225"/>
      <c r="P241" s="449">
        <v>2330</v>
      </c>
      <c r="Q241" s="226"/>
      <c r="R241" s="227">
        <f t="shared" si="19"/>
        <v>2330</v>
      </c>
      <c r="S241" s="221">
        <v>0.8</v>
      </c>
      <c r="T241" s="226"/>
      <c r="U241" s="549">
        <f t="shared" ref="U241:U247" si="24">T241*80/100</f>
        <v>0</v>
      </c>
      <c r="V241" s="228"/>
      <c r="W241" s="229">
        <v>4</v>
      </c>
      <c r="X241" s="422"/>
    </row>
    <row r="242" spans="2:24" s="419" customFormat="1" ht="62" x14ac:dyDescent="0.35">
      <c r="B242" s="350"/>
      <c r="C242" s="224"/>
      <c r="D242" s="225"/>
      <c r="E242" s="226"/>
      <c r="F242" s="226"/>
      <c r="G242" s="227"/>
      <c r="H242" s="221"/>
      <c r="I242" s="226"/>
      <c r="J242" s="228"/>
      <c r="K242" s="229"/>
      <c r="L242" s="420"/>
      <c r="M242" s="351" t="s">
        <v>928</v>
      </c>
      <c r="N242" s="224" t="s">
        <v>444</v>
      </c>
      <c r="O242" s="225"/>
      <c r="P242" s="449">
        <v>24256</v>
      </c>
      <c r="Q242" s="226"/>
      <c r="R242" s="227">
        <f t="shared" si="19"/>
        <v>24256</v>
      </c>
      <c r="S242" s="221">
        <v>0.8</v>
      </c>
      <c r="T242" s="226"/>
      <c r="U242" s="549">
        <f t="shared" si="24"/>
        <v>0</v>
      </c>
      <c r="V242" s="228"/>
      <c r="W242" s="443">
        <v>4</v>
      </c>
      <c r="X242" s="422"/>
    </row>
    <row r="243" spans="2:24" s="419" customFormat="1" ht="15.65" customHeight="1" x14ac:dyDescent="0.35">
      <c r="B243" s="350"/>
      <c r="C243" s="224"/>
      <c r="D243" s="225"/>
      <c r="E243" s="226"/>
      <c r="F243" s="226"/>
      <c r="G243" s="227"/>
      <c r="H243" s="221"/>
      <c r="I243" s="226"/>
      <c r="J243" s="228"/>
      <c r="K243" s="229"/>
      <c r="L243" s="420"/>
      <c r="M243" s="657" t="s">
        <v>929</v>
      </c>
      <c r="N243" s="224" t="s">
        <v>444</v>
      </c>
      <c r="O243" s="225"/>
      <c r="P243" s="449">
        <v>55000</v>
      </c>
      <c r="Q243" s="226"/>
      <c r="R243" s="227">
        <f t="shared" si="19"/>
        <v>55000</v>
      </c>
      <c r="S243" s="221">
        <v>0.8</v>
      </c>
      <c r="T243" s="226"/>
      <c r="U243" s="549">
        <f t="shared" si="24"/>
        <v>0</v>
      </c>
      <c r="V243" s="228"/>
      <c r="W243" s="443">
        <v>4</v>
      </c>
      <c r="X243" s="422"/>
    </row>
    <row r="244" spans="2:24" s="419" customFormat="1" ht="15.5" x14ac:dyDescent="0.35">
      <c r="B244" s="350"/>
      <c r="C244" s="224"/>
      <c r="D244" s="225"/>
      <c r="E244" s="226"/>
      <c r="F244" s="226"/>
      <c r="G244" s="227"/>
      <c r="H244" s="221"/>
      <c r="I244" s="226"/>
      <c r="J244" s="228"/>
      <c r="K244" s="229"/>
      <c r="L244" s="420"/>
      <c r="M244" s="655"/>
      <c r="N244" s="224" t="s">
        <v>915</v>
      </c>
      <c r="O244" s="225"/>
      <c r="P244" s="226">
        <v>3000</v>
      </c>
      <c r="Q244" s="226"/>
      <c r="R244" s="227">
        <f t="shared" si="19"/>
        <v>3000</v>
      </c>
      <c r="S244" s="221">
        <v>0.8</v>
      </c>
      <c r="T244" s="226"/>
      <c r="U244" s="549">
        <f t="shared" si="24"/>
        <v>0</v>
      </c>
      <c r="V244" s="228"/>
      <c r="W244" s="229">
        <v>2</v>
      </c>
      <c r="X244" s="422"/>
    </row>
    <row r="245" spans="2:24" s="419" customFormat="1" ht="15.65" customHeight="1" x14ac:dyDescent="0.35">
      <c r="B245" s="350"/>
      <c r="C245" s="224"/>
      <c r="D245" s="225"/>
      <c r="E245" s="226"/>
      <c r="F245" s="226"/>
      <c r="G245" s="227"/>
      <c r="H245" s="221"/>
      <c r="I245" s="226"/>
      <c r="J245" s="228"/>
      <c r="K245" s="229"/>
      <c r="L245" s="420"/>
      <c r="M245" s="657" t="s">
        <v>944</v>
      </c>
      <c r="N245" s="224" t="s">
        <v>444</v>
      </c>
      <c r="O245" s="225"/>
      <c r="P245" s="449">
        <v>55000</v>
      </c>
      <c r="Q245" s="226"/>
      <c r="R245" s="227">
        <f t="shared" si="19"/>
        <v>55000</v>
      </c>
      <c r="S245" s="221">
        <v>0.8</v>
      </c>
      <c r="T245" s="226"/>
      <c r="U245" s="549">
        <f t="shared" si="24"/>
        <v>0</v>
      </c>
      <c r="V245" s="228"/>
      <c r="W245" s="229">
        <v>4</v>
      </c>
      <c r="X245" s="422"/>
    </row>
    <row r="246" spans="2:24" s="419" customFormat="1" ht="15.5" x14ac:dyDescent="0.35">
      <c r="B246" s="350"/>
      <c r="C246" s="224"/>
      <c r="D246" s="225"/>
      <c r="E246" s="226"/>
      <c r="F246" s="226"/>
      <c r="G246" s="227"/>
      <c r="H246" s="221"/>
      <c r="I246" s="226"/>
      <c r="J246" s="228"/>
      <c r="K246" s="229"/>
      <c r="L246" s="420"/>
      <c r="M246" s="655"/>
      <c r="N246" s="224" t="s">
        <v>915</v>
      </c>
      <c r="O246" s="225"/>
      <c r="P246" s="226">
        <v>2963</v>
      </c>
      <c r="Q246" s="226"/>
      <c r="R246" s="227">
        <f t="shared" si="19"/>
        <v>2963</v>
      </c>
      <c r="S246" s="221">
        <v>0.8</v>
      </c>
      <c r="T246" s="226"/>
      <c r="U246" s="549">
        <f t="shared" si="24"/>
        <v>0</v>
      </c>
      <c r="V246" s="228"/>
      <c r="W246" s="229">
        <v>2</v>
      </c>
      <c r="X246" s="422"/>
    </row>
    <row r="247" spans="2:24" s="419" customFormat="1" ht="15.5" x14ac:dyDescent="0.35">
      <c r="B247" s="350"/>
      <c r="C247" s="224"/>
      <c r="D247" s="225"/>
      <c r="E247" s="226"/>
      <c r="F247" s="226"/>
      <c r="G247" s="227"/>
      <c r="H247" s="221"/>
      <c r="I247" s="226"/>
      <c r="J247" s="228"/>
      <c r="K247" s="229"/>
      <c r="L247" s="420"/>
      <c r="M247" s="656"/>
      <c r="N247" s="224" t="s">
        <v>918</v>
      </c>
      <c r="O247" s="225"/>
      <c r="P247" s="226">
        <v>2500</v>
      </c>
      <c r="Q247" s="226"/>
      <c r="R247" s="227">
        <f t="shared" si="19"/>
        <v>2500</v>
      </c>
      <c r="S247" s="221">
        <v>0.8</v>
      </c>
      <c r="T247" s="226"/>
      <c r="U247" s="549">
        <f t="shared" si="24"/>
        <v>0</v>
      </c>
      <c r="V247" s="228"/>
      <c r="W247" s="229">
        <v>7</v>
      </c>
      <c r="X247" s="422"/>
    </row>
    <row r="248" spans="2:24" s="419" customFormat="1" ht="15.5" x14ac:dyDescent="0.35">
      <c r="B248" s="350"/>
      <c r="C248" s="224"/>
      <c r="D248" s="225"/>
      <c r="E248" s="226"/>
      <c r="F248" s="226"/>
      <c r="G248" s="227"/>
      <c r="H248" s="221"/>
      <c r="I248" s="226"/>
      <c r="J248" s="228"/>
      <c r="K248" s="229"/>
      <c r="L248" s="420"/>
      <c r="M248" s="657" t="s">
        <v>930</v>
      </c>
      <c r="N248" s="418" t="s">
        <v>442</v>
      </c>
      <c r="O248" s="225">
        <v>5000</v>
      </c>
      <c r="P248" s="226"/>
      <c r="Q248" s="226"/>
      <c r="R248" s="227">
        <f t="shared" si="19"/>
        <v>5000</v>
      </c>
      <c r="S248" s="221">
        <v>0.5</v>
      </c>
      <c r="T248" s="226"/>
      <c r="U248" s="549">
        <f>T248*50/100</f>
        <v>0</v>
      </c>
      <c r="V248" s="228"/>
      <c r="W248" s="229">
        <v>4</v>
      </c>
      <c r="X248" s="422"/>
    </row>
    <row r="249" spans="2:24" s="419" customFormat="1" ht="62" x14ac:dyDescent="0.35">
      <c r="B249" s="350"/>
      <c r="C249" s="224"/>
      <c r="D249" s="225"/>
      <c r="E249" s="226"/>
      <c r="F249" s="226"/>
      <c r="G249" s="227"/>
      <c r="H249" s="221"/>
      <c r="I249" s="226"/>
      <c r="J249" s="228"/>
      <c r="K249" s="229"/>
      <c r="L249" s="420"/>
      <c r="M249" s="656"/>
      <c r="N249" s="224" t="s">
        <v>931</v>
      </c>
      <c r="O249" s="225">
        <v>20000</v>
      </c>
      <c r="P249" s="226"/>
      <c r="Q249" s="226"/>
      <c r="R249" s="227">
        <f t="shared" si="19"/>
        <v>20000</v>
      </c>
      <c r="S249" s="221">
        <v>0.8</v>
      </c>
      <c r="T249" s="226"/>
      <c r="U249" s="549">
        <f>T249*80/100</f>
        <v>0</v>
      </c>
      <c r="V249" s="228"/>
      <c r="W249" s="229">
        <v>7</v>
      </c>
      <c r="X249" s="422"/>
    </row>
    <row r="250" spans="2:24" s="419" customFormat="1" ht="18.649999999999999" customHeight="1" x14ac:dyDescent="0.35">
      <c r="B250" s="350"/>
      <c r="C250" s="224"/>
      <c r="D250" s="225"/>
      <c r="E250" s="226"/>
      <c r="F250" s="226"/>
      <c r="G250" s="227"/>
      <c r="H250" s="221"/>
      <c r="I250" s="226"/>
      <c r="J250" s="228"/>
      <c r="K250" s="229"/>
      <c r="L250" s="420"/>
      <c r="M250" s="350"/>
      <c r="N250" s="224"/>
      <c r="O250" s="225"/>
      <c r="P250" s="226"/>
      <c r="Q250" s="226"/>
      <c r="R250" s="227">
        <f t="shared" si="19"/>
        <v>0</v>
      </c>
      <c r="S250" s="221"/>
      <c r="T250" s="226"/>
      <c r="U250" s="549">
        <f t="shared" ref="U250:U256" si="25">T250*40/100</f>
        <v>0</v>
      </c>
      <c r="V250" s="228"/>
      <c r="W250" s="229"/>
      <c r="X250" s="422"/>
    </row>
    <row r="251" spans="2:24" s="419" customFormat="1" ht="15.5" x14ac:dyDescent="0.35">
      <c r="B251" s="355"/>
      <c r="C251" s="224"/>
      <c r="D251" s="225"/>
      <c r="E251" s="226"/>
      <c r="F251" s="226"/>
      <c r="G251" s="227">
        <f t="shared" si="11"/>
        <v>0</v>
      </c>
      <c r="H251" s="221"/>
      <c r="I251" s="226"/>
      <c r="J251" s="228"/>
      <c r="K251" s="229"/>
      <c r="L251" s="420"/>
      <c r="M251" s="355"/>
      <c r="N251" s="224"/>
      <c r="O251" s="225"/>
      <c r="P251" s="226"/>
      <c r="Q251" s="226"/>
      <c r="R251" s="227">
        <f t="shared" si="19"/>
        <v>0</v>
      </c>
      <c r="S251" s="221"/>
      <c r="T251" s="226"/>
      <c r="U251" s="549">
        <f t="shared" si="25"/>
        <v>0</v>
      </c>
      <c r="V251" s="228"/>
      <c r="W251" s="229"/>
      <c r="X251" s="422"/>
    </row>
    <row r="252" spans="2:24" s="419" customFormat="1" ht="15.5" x14ac:dyDescent="0.35">
      <c r="B252" s="657"/>
      <c r="C252" s="224"/>
      <c r="D252" s="225"/>
      <c r="E252" s="226"/>
      <c r="F252" s="226"/>
      <c r="G252" s="227">
        <f t="shared" si="11"/>
        <v>0</v>
      </c>
      <c r="H252" s="221"/>
      <c r="I252" s="226"/>
      <c r="J252" s="228"/>
      <c r="K252" s="229"/>
      <c r="L252" s="420"/>
      <c r="M252" s="657"/>
      <c r="N252" s="224"/>
      <c r="O252" s="225"/>
      <c r="P252" s="226"/>
      <c r="Q252" s="226"/>
      <c r="R252" s="227">
        <f t="shared" si="19"/>
        <v>0</v>
      </c>
      <c r="S252" s="221"/>
      <c r="T252" s="226"/>
      <c r="U252" s="549">
        <f t="shared" si="25"/>
        <v>0</v>
      </c>
      <c r="V252" s="228"/>
      <c r="W252" s="229"/>
      <c r="X252" s="422"/>
    </row>
    <row r="253" spans="2:24" s="419" customFormat="1" ht="15.5" x14ac:dyDescent="0.35">
      <c r="B253" s="655"/>
      <c r="C253" s="224"/>
      <c r="D253" s="225"/>
      <c r="E253" s="226"/>
      <c r="F253" s="226"/>
      <c r="G253" s="227">
        <f t="shared" si="11"/>
        <v>0</v>
      </c>
      <c r="H253" s="221"/>
      <c r="I253" s="226"/>
      <c r="J253" s="228"/>
      <c r="K253" s="229"/>
      <c r="L253" s="420"/>
      <c r="M253" s="655"/>
      <c r="N253" s="224"/>
      <c r="O253" s="225"/>
      <c r="P253" s="226"/>
      <c r="Q253" s="226"/>
      <c r="R253" s="227">
        <f t="shared" si="19"/>
        <v>0</v>
      </c>
      <c r="S253" s="221"/>
      <c r="T253" s="226"/>
      <c r="U253" s="549">
        <f t="shared" si="25"/>
        <v>0</v>
      </c>
      <c r="V253" s="228"/>
      <c r="W253" s="229"/>
      <c r="X253" s="422"/>
    </row>
    <row r="254" spans="2:24" s="419" customFormat="1" ht="15.5" x14ac:dyDescent="0.35">
      <c r="B254" s="655"/>
      <c r="C254" s="224"/>
      <c r="D254" s="225"/>
      <c r="E254" s="226"/>
      <c r="F254" s="226"/>
      <c r="G254" s="227">
        <f t="shared" si="11"/>
        <v>0</v>
      </c>
      <c r="H254" s="221"/>
      <c r="I254" s="226"/>
      <c r="J254" s="228"/>
      <c r="K254" s="229"/>
      <c r="L254" s="420"/>
      <c r="M254" s="655"/>
      <c r="N254" s="224"/>
      <c r="O254" s="225"/>
      <c r="P254" s="226"/>
      <c r="Q254" s="226"/>
      <c r="R254" s="227">
        <f t="shared" si="19"/>
        <v>0</v>
      </c>
      <c r="S254" s="221"/>
      <c r="T254" s="226"/>
      <c r="U254" s="549">
        <f t="shared" si="25"/>
        <v>0</v>
      </c>
      <c r="V254" s="228"/>
      <c r="W254" s="229"/>
      <c r="X254" s="422"/>
    </row>
    <row r="255" spans="2:24" s="419" customFormat="1" ht="15.5" x14ac:dyDescent="0.35">
      <c r="B255" s="655"/>
      <c r="C255" s="224"/>
      <c r="D255" s="225"/>
      <c r="E255" s="226"/>
      <c r="F255" s="226"/>
      <c r="G255" s="227">
        <f t="shared" si="11"/>
        <v>0</v>
      </c>
      <c r="H255" s="221"/>
      <c r="I255" s="226"/>
      <c r="J255" s="228"/>
      <c r="K255" s="229"/>
      <c r="L255" s="420"/>
      <c r="M255" s="655"/>
      <c r="N255" s="224"/>
      <c r="O255" s="225"/>
      <c r="P255" s="226"/>
      <c r="Q255" s="226"/>
      <c r="R255" s="227">
        <f t="shared" si="19"/>
        <v>0</v>
      </c>
      <c r="S255" s="221"/>
      <c r="T255" s="226"/>
      <c r="U255" s="549">
        <f t="shared" si="25"/>
        <v>0</v>
      </c>
      <c r="V255" s="228"/>
      <c r="W255" s="229"/>
      <c r="X255" s="422"/>
    </row>
    <row r="256" spans="2:24" s="419" customFormat="1" ht="15.5" x14ac:dyDescent="0.35">
      <c r="B256" s="656"/>
      <c r="C256" s="224"/>
      <c r="D256" s="225"/>
      <c r="E256" s="226"/>
      <c r="F256" s="226"/>
      <c r="G256" s="227">
        <f t="shared" si="11"/>
        <v>0</v>
      </c>
      <c r="H256" s="221"/>
      <c r="I256" s="226"/>
      <c r="J256" s="228"/>
      <c r="K256" s="229"/>
      <c r="L256" s="420"/>
      <c r="M256" s="656"/>
      <c r="N256" s="224"/>
      <c r="O256" s="225"/>
      <c r="P256" s="226"/>
      <c r="Q256" s="226"/>
      <c r="R256" s="227">
        <f t="shared" si="19"/>
        <v>0</v>
      </c>
      <c r="S256" s="221"/>
      <c r="T256" s="226"/>
      <c r="U256" s="549">
        <f t="shared" si="25"/>
        <v>0</v>
      </c>
      <c r="V256" s="228"/>
      <c r="W256" s="229"/>
      <c r="X256" s="422"/>
    </row>
    <row r="257" spans="1:24" s="422" customFormat="1" ht="15.5" x14ac:dyDescent="0.35">
      <c r="A257" s="419"/>
      <c r="B257" s="419"/>
      <c r="C257" s="239" t="s">
        <v>253</v>
      </c>
      <c r="D257" s="240">
        <f>SUM(D119:D256)</f>
        <v>25000</v>
      </c>
      <c r="E257" s="231">
        <f>SUM(E119:E256)</f>
        <v>614999</v>
      </c>
      <c r="F257" s="231">
        <f>SUM(F119:F256)</f>
        <v>0</v>
      </c>
      <c r="G257" s="231">
        <f>SUM(G119:G256)</f>
        <v>639999</v>
      </c>
      <c r="H257" s="241">
        <f>(H119*G119)+(H120*G120)+(H121*G121)+(H122*G122)+(H123*G123)+(H124*G124)+(H125*G125)+(H126*G126)+(H127*G127)+(H128*G128)+(H129*G129)+(H130*G130)+(H131*G131)+(H132*G132)+(H133*G133)+(H134*G134)+(H135*G135)+(H136*G136)+(H137*G137)+(H138*G138)+(H139*G139)+(H140*G140)+(H141*G141)+(H142*G142)+(H143*G143)+(H144*G144)+(H146*G146)+(H147*G147)+(H148*G148)+(H149*G149)+(H150*G150)+(H151*G151)+(H152*G152)+(H153*G153)+(H154*G154)+(H155*G155)+(H156*G156)+(H157*G157)+(H158*G158)+(H159*G159)+(H160*G160)+(H161*G161)+(H162*G162)+(H163*G163)+(H164*G164)+(H165*G165)+(H166*G166)+(H167*G167)+(H168*G168)+(H169*G169)+(H170*G170)+(H171*G171)+(H172*G172)+(H173*G173)+(H174*G174)+(H175*G175)+(H176*G176)+(H177*G177)+(H178*G178)+(H179*G179)+(H180*G180)+(H181*G181)+(H182*G182)+(H183*G183)+(H184*G184)+(H185*G185)+(H186*G186)+(H187*G187)+(H188*G188)+(H189*G189)+(H190*G190)+(H191*G191)+(H192*G192)+(H193*G193)+(H194*G194)+(H195*G195)+(H196*G196)+(H197*G197)+(H198*G198)+(H199*G199)+(H200*G200)+(H201*G201)+(H202*G202)+(H203*G203)+(G204*H204)++(G205*H205)+(G206*H206)+(G207*H207)+(G208*H208)+(G209*H209)+(G210*H210)+(G217*H217)+(G220*H220)+(G222*H222)+(G227*H227)+(G229*H229)+(G233*H233)+(G235*H235)+(G239*H239)+(G241*H241)+(G242*H242)+(G244*H244)+(G246*H246)+(G248*H248)+(G249*H249)+(G250*H250)+(H251*G251)+(H252*G252)+(H253*G253)+(H254*G254)+(H255*G255)+(H256*G256)</f>
        <v>283637.2</v>
      </c>
      <c r="I257" s="231">
        <f>SUM(I119:I256)</f>
        <v>0</v>
      </c>
      <c r="J257" s="368"/>
      <c r="K257" s="421"/>
      <c r="L257" s="420"/>
      <c r="M257" s="419"/>
      <c r="N257" s="239" t="s">
        <v>253</v>
      </c>
      <c r="O257" s="240">
        <f>SUM(O119:O256)</f>
        <v>309500</v>
      </c>
      <c r="P257" s="231">
        <f>SUM(P119:P256)</f>
        <v>985363.38</v>
      </c>
      <c r="Q257" s="231">
        <f>SUM(Q119:Q256)</f>
        <v>0</v>
      </c>
      <c r="R257" s="231">
        <f>SUM(R119:R256)</f>
        <v>1294863.3799999999</v>
      </c>
      <c r="S257" s="241">
        <f>(S119*R119)+(S120*R120)+(S121*R121)+(S122*R122)+(S123*R123)+(S124*R124)+(S125*R125)+(S126*R126)+(S127*R127)+(S128*R128)+(S129*R129)+(S130*R130)+(S131*R131)+(S132*R132)+(S133*R133)+(S134*R134)+(S135*R135)+(S136*R136)+(S137*R137)+(S138*R138)+(S139*R139)+(S140*R140)+(S141*R141)+(S142*R142)+(S143*R143)+(S144*R144)+(S146*R146)+(S147*R147)+(S148*R148)+(S149*R149)+(S150*R150)+(S151*R151)+(S152*R152)+(S153*R153)+(S154*R154)+(S155*R155)+(S156*R156)+(S157*R157)+(S158*R158)+(S159*R159)+(S160*R160)+(S161*R161)+(S162*R162)+(S163*R163)+(S164*R164)+(S165*R165)+(S166*R166)+(S167*R167)+(S168*R168)+(S169*R169)+(S170*R170)+(S171*R171)+(S172*R172)+(S173*R173)+(S174*R174)+(S175*R175)+(S176*R176)+(S177*R177)+(S178*R178)+(S179*R179)+(S180*R180)+(S181*R181)+(S182*R182)+(S183*R183)+(S184*R184)+(S185*R185)+(S186*R186)+(S187*R187)+(S188*R188)+(S189*R189)+(S190*R190)+(S191*R191)+(S192*R192)+(S193*R193)+(S194*R194)+(S195*R195)+(S196*R196)+(S197*R197)+(S198*R198)+(S199*R199)+(S200*R200)+(S201*R201)+(S202*R202)+(S203*R203)+(R204*S204)+(R205*S205)+(R206*S206)+(R207*S207)+(R208*S208)+(R209*S209)+(R210*S210)+(R211*S211)+(R212+S212)+(R213+S213)+(R214+S214)+(R215+S215)+(R216+S216)+(R217*S217)+(R218+S218)+(R219+S219)+(R220*S220)+(R221+S221)+(R222+S222)+(R223+S223)+(R224+S224)+(R225+S225)+(R226+S226)+(R227+S227)+(R228+S228)+(R229*S229)+(R230+S230)+(R231+S231)+(R232+S232)+(R233*S233)+(R234*S234)+(R235*S235)+(R236+S236)+(R237+S237)+(R238+S238)+(R239*S239)+(R240+S240)+(R241*S241)+(R242*S242)+(R243+S243)+(R244*S244)+(R245+S245)+(R246*S246)+(R247+S247)+(R248*S248)+(R249*S249)</f>
        <v>821997.55200000026</v>
      </c>
      <c r="T257" s="231">
        <f>SUM(T119:T256)</f>
        <v>843152.83</v>
      </c>
      <c r="U257" s="547">
        <f>SUM(U119:U256)</f>
        <v>372247.42050000007</v>
      </c>
      <c r="V257" s="368"/>
      <c r="W257" s="421"/>
    </row>
    <row r="258" spans="1:24" s="419" customFormat="1" ht="15.5" x14ac:dyDescent="0.35">
      <c r="B258" s="423" t="s">
        <v>254</v>
      </c>
      <c r="C258" s="665" t="s">
        <v>255</v>
      </c>
      <c r="D258" s="665"/>
      <c r="E258" s="665"/>
      <c r="F258" s="665"/>
      <c r="G258" s="665"/>
      <c r="H258" s="665"/>
      <c r="I258" s="666"/>
      <c r="J258" s="665"/>
      <c r="K258" s="424"/>
      <c r="L258" s="420"/>
      <c r="M258" s="423" t="s">
        <v>254</v>
      </c>
      <c r="N258" s="665" t="s">
        <v>255</v>
      </c>
      <c r="O258" s="665"/>
      <c r="P258" s="665"/>
      <c r="Q258" s="665"/>
      <c r="R258" s="665"/>
      <c r="S258" s="665"/>
      <c r="T258" s="666"/>
      <c r="U258" s="666"/>
      <c r="V258" s="665"/>
      <c r="W258" s="424"/>
      <c r="X258" s="422"/>
    </row>
    <row r="259" spans="1:24" s="24" customFormat="1" ht="31" customHeight="1" x14ac:dyDescent="0.35">
      <c r="B259" s="622" t="s">
        <v>256</v>
      </c>
      <c r="C259" s="245" t="s">
        <v>257</v>
      </c>
      <c r="D259" s="251">
        <v>12000</v>
      </c>
      <c r="E259" s="251"/>
      <c r="F259" s="251"/>
      <c r="G259" s="347">
        <f>D259+E259+F259</f>
        <v>12000</v>
      </c>
      <c r="H259" s="250">
        <v>0.3</v>
      </c>
      <c r="I259" s="251"/>
      <c r="J259" s="170" t="s">
        <v>213</v>
      </c>
      <c r="K259" s="345">
        <v>7</v>
      </c>
      <c r="L259" s="353"/>
      <c r="M259" s="622" t="s">
        <v>256</v>
      </c>
      <c r="N259" s="245" t="s">
        <v>257</v>
      </c>
      <c r="O259" s="202">
        <v>12000</v>
      </c>
      <c r="P259" s="251"/>
      <c r="Q259" s="251"/>
      <c r="R259" s="248">
        <f>O259+P259+Q259</f>
        <v>12000</v>
      </c>
      <c r="S259" s="250">
        <v>0.3</v>
      </c>
      <c r="T259" s="527">
        <v>12000</v>
      </c>
      <c r="U259" s="544">
        <f>T259*30/100</f>
        <v>3600</v>
      </c>
      <c r="V259" s="170" t="s">
        <v>213</v>
      </c>
      <c r="W259" s="345">
        <v>7</v>
      </c>
    </row>
    <row r="260" spans="1:24" s="24" customFormat="1" ht="15.5" x14ac:dyDescent="0.35">
      <c r="B260" s="623"/>
      <c r="C260" s="245" t="s">
        <v>207</v>
      </c>
      <c r="D260" s="251">
        <v>1500</v>
      </c>
      <c r="E260" s="251"/>
      <c r="F260" s="251"/>
      <c r="G260" s="347">
        <f t="shared" ref="G260:G312" si="26">D260+E260+F260</f>
        <v>1500</v>
      </c>
      <c r="H260" s="250">
        <v>0.3</v>
      </c>
      <c r="I260" s="251"/>
      <c r="J260" s="170" t="s">
        <v>201</v>
      </c>
      <c r="K260" s="345">
        <v>5</v>
      </c>
      <c r="L260" s="353"/>
      <c r="M260" s="623"/>
      <c r="N260" s="245" t="s">
        <v>207</v>
      </c>
      <c r="O260" s="202">
        <v>1500</v>
      </c>
      <c r="P260" s="251"/>
      <c r="Q260" s="251"/>
      <c r="R260" s="248">
        <f t="shared" ref="R260:R312" si="27">O260+P260+Q260</f>
        <v>1500</v>
      </c>
      <c r="S260" s="250">
        <v>0.3</v>
      </c>
      <c r="T260" s="527">
        <v>1500</v>
      </c>
      <c r="U260" s="544">
        <f t="shared" ref="U260:U285" si="28">T260*30/100</f>
        <v>450</v>
      </c>
      <c r="V260" s="170" t="s">
        <v>201</v>
      </c>
      <c r="W260" s="345">
        <v>5</v>
      </c>
    </row>
    <row r="261" spans="1:24" s="24" customFormat="1" ht="31" x14ac:dyDescent="0.35">
      <c r="B261" s="623"/>
      <c r="C261" s="245" t="s">
        <v>258</v>
      </c>
      <c r="D261" s="251">
        <v>2000</v>
      </c>
      <c r="E261" s="251"/>
      <c r="F261" s="251"/>
      <c r="G261" s="347">
        <f t="shared" si="26"/>
        <v>2000</v>
      </c>
      <c r="H261" s="250">
        <v>0.3</v>
      </c>
      <c r="I261" s="251"/>
      <c r="J261" s="170" t="s">
        <v>259</v>
      </c>
      <c r="K261" s="345">
        <v>5</v>
      </c>
      <c r="L261" s="353"/>
      <c r="M261" s="623"/>
      <c r="N261" s="245" t="s">
        <v>258</v>
      </c>
      <c r="O261" s="202">
        <v>2000</v>
      </c>
      <c r="P261" s="251"/>
      <c r="Q261" s="251"/>
      <c r="R261" s="248">
        <f t="shared" si="27"/>
        <v>2000</v>
      </c>
      <c r="S261" s="250">
        <v>0.3</v>
      </c>
      <c r="T261" s="527">
        <v>2000</v>
      </c>
      <c r="U261" s="544">
        <f t="shared" si="28"/>
        <v>600</v>
      </c>
      <c r="V261" s="170" t="s">
        <v>259</v>
      </c>
      <c r="W261" s="345">
        <v>5</v>
      </c>
    </row>
    <row r="262" spans="1:24" s="24" customFormat="1" ht="31" x14ac:dyDescent="0.35">
      <c r="B262" s="623"/>
      <c r="C262" s="245" t="s">
        <v>260</v>
      </c>
      <c r="D262" s="251">
        <v>2000</v>
      </c>
      <c r="E262" s="251"/>
      <c r="F262" s="251"/>
      <c r="G262" s="347">
        <f t="shared" si="26"/>
        <v>2000</v>
      </c>
      <c r="H262" s="250">
        <v>0.3</v>
      </c>
      <c r="I262" s="251"/>
      <c r="J262" s="170" t="s">
        <v>261</v>
      </c>
      <c r="K262" s="345">
        <v>4</v>
      </c>
      <c r="L262" s="353"/>
      <c r="M262" s="623"/>
      <c r="N262" s="245" t="s">
        <v>260</v>
      </c>
      <c r="O262" s="202">
        <v>2000</v>
      </c>
      <c r="P262" s="251"/>
      <c r="Q262" s="251"/>
      <c r="R262" s="248">
        <f t="shared" si="27"/>
        <v>2000</v>
      </c>
      <c r="S262" s="250">
        <v>0.3</v>
      </c>
      <c r="T262" s="527">
        <v>2000</v>
      </c>
      <c r="U262" s="544">
        <f t="shared" si="28"/>
        <v>600</v>
      </c>
      <c r="V262" s="170" t="s">
        <v>261</v>
      </c>
      <c r="W262" s="345">
        <v>4</v>
      </c>
    </row>
    <row r="263" spans="1:24" ht="15.5" x14ac:dyDescent="0.35">
      <c r="B263" s="624"/>
      <c r="C263" s="166"/>
      <c r="D263" s="202"/>
      <c r="E263" s="177"/>
      <c r="F263" s="177"/>
      <c r="G263" s="248">
        <f t="shared" si="26"/>
        <v>0</v>
      </c>
      <c r="H263" s="171"/>
      <c r="I263" s="177"/>
      <c r="J263" s="167"/>
      <c r="K263" s="181"/>
      <c r="L263" s="353"/>
      <c r="M263" s="624"/>
      <c r="N263" s="166"/>
      <c r="O263" s="202"/>
      <c r="P263" s="177"/>
      <c r="Q263" s="177"/>
      <c r="R263" s="248">
        <f t="shared" si="27"/>
        <v>0</v>
      </c>
      <c r="S263" s="171"/>
      <c r="T263" s="527"/>
      <c r="U263" s="544">
        <f t="shared" si="28"/>
        <v>0</v>
      </c>
      <c r="V263" s="167"/>
      <c r="W263" s="181"/>
    </row>
    <row r="264" spans="1:24" ht="31" x14ac:dyDescent="0.35">
      <c r="B264" s="622" t="s">
        <v>262</v>
      </c>
      <c r="C264" s="166" t="s">
        <v>257</v>
      </c>
      <c r="D264" s="225">
        <v>11000</v>
      </c>
      <c r="E264" s="177"/>
      <c r="F264" s="177"/>
      <c r="G264" s="227">
        <f t="shared" si="26"/>
        <v>11000</v>
      </c>
      <c r="H264" s="171">
        <v>0.3</v>
      </c>
      <c r="I264" s="177"/>
      <c r="J264" s="167" t="s">
        <v>213</v>
      </c>
      <c r="K264" s="181">
        <v>7</v>
      </c>
      <c r="L264" s="353"/>
      <c r="M264" s="622" t="s">
        <v>262</v>
      </c>
      <c r="N264" s="166" t="s">
        <v>257</v>
      </c>
      <c r="O264" s="202">
        <v>11000</v>
      </c>
      <c r="P264" s="177"/>
      <c r="Q264" s="177"/>
      <c r="R264" s="248">
        <f t="shared" si="27"/>
        <v>11000</v>
      </c>
      <c r="S264" s="171">
        <v>0.3</v>
      </c>
      <c r="T264" s="527">
        <v>11000</v>
      </c>
      <c r="U264" s="544">
        <f t="shared" si="28"/>
        <v>3300</v>
      </c>
      <c r="V264" s="167" t="s">
        <v>213</v>
      </c>
      <c r="W264" s="181">
        <v>7</v>
      </c>
    </row>
    <row r="265" spans="1:24" ht="15.5" x14ac:dyDescent="0.35">
      <c r="B265" s="623"/>
      <c r="C265" s="166" t="s">
        <v>207</v>
      </c>
      <c r="D265" s="202">
        <v>1500</v>
      </c>
      <c r="E265" s="177"/>
      <c r="F265" s="177"/>
      <c r="G265" s="248">
        <f t="shared" si="26"/>
        <v>1500</v>
      </c>
      <c r="H265" s="171">
        <v>0.3</v>
      </c>
      <c r="I265" s="177"/>
      <c r="J265" s="167" t="s">
        <v>201</v>
      </c>
      <c r="K265" s="181">
        <v>5</v>
      </c>
      <c r="L265" s="353"/>
      <c r="M265" s="623"/>
      <c r="N265" s="166" t="s">
        <v>207</v>
      </c>
      <c r="O265" s="202">
        <v>1500</v>
      </c>
      <c r="P265" s="177"/>
      <c r="Q265" s="177"/>
      <c r="R265" s="248">
        <f t="shared" si="27"/>
        <v>1500</v>
      </c>
      <c r="S265" s="171">
        <v>0.3</v>
      </c>
      <c r="T265" s="527">
        <v>1500</v>
      </c>
      <c r="U265" s="544">
        <f t="shared" si="28"/>
        <v>450</v>
      </c>
      <c r="V265" s="167" t="s">
        <v>201</v>
      </c>
      <c r="W265" s="181">
        <v>5</v>
      </c>
    </row>
    <row r="266" spans="1:24" ht="31" x14ac:dyDescent="0.35">
      <c r="B266" s="623"/>
      <c r="C266" s="166" t="s">
        <v>258</v>
      </c>
      <c r="D266" s="202">
        <v>2000</v>
      </c>
      <c r="E266" s="177"/>
      <c r="F266" s="177"/>
      <c r="G266" s="248">
        <f t="shared" si="26"/>
        <v>2000</v>
      </c>
      <c r="H266" s="171">
        <v>0.3</v>
      </c>
      <c r="I266" s="177"/>
      <c r="J266" s="167" t="s">
        <v>259</v>
      </c>
      <c r="K266" s="181">
        <v>5</v>
      </c>
      <c r="L266" s="353"/>
      <c r="M266" s="623"/>
      <c r="N266" s="166" t="s">
        <v>258</v>
      </c>
      <c r="O266" s="202">
        <v>2000</v>
      </c>
      <c r="P266" s="177"/>
      <c r="Q266" s="177"/>
      <c r="R266" s="248">
        <f t="shared" si="27"/>
        <v>2000</v>
      </c>
      <c r="S266" s="171">
        <v>0.3</v>
      </c>
      <c r="T266" s="527">
        <v>2000</v>
      </c>
      <c r="U266" s="544">
        <f t="shared" si="28"/>
        <v>600</v>
      </c>
      <c r="V266" s="167" t="s">
        <v>259</v>
      </c>
      <c r="W266" s="181">
        <v>5</v>
      </c>
    </row>
    <row r="267" spans="1:24" ht="31" x14ac:dyDescent="0.35">
      <c r="B267" s="623"/>
      <c r="C267" s="166" t="s">
        <v>260</v>
      </c>
      <c r="D267" s="202">
        <v>2000</v>
      </c>
      <c r="E267" s="177"/>
      <c r="F267" s="177"/>
      <c r="G267" s="248">
        <f t="shared" si="26"/>
        <v>2000</v>
      </c>
      <c r="H267" s="171">
        <v>0.3</v>
      </c>
      <c r="I267" s="177"/>
      <c r="J267" s="167" t="s">
        <v>263</v>
      </c>
      <c r="K267" s="181">
        <v>4</v>
      </c>
      <c r="L267" s="353"/>
      <c r="M267" s="623"/>
      <c r="N267" s="166" t="s">
        <v>260</v>
      </c>
      <c r="O267" s="202">
        <v>2000</v>
      </c>
      <c r="P267" s="177"/>
      <c r="Q267" s="177"/>
      <c r="R267" s="248">
        <f t="shared" si="27"/>
        <v>2000</v>
      </c>
      <c r="S267" s="171">
        <v>0.3</v>
      </c>
      <c r="T267" s="527">
        <v>2000</v>
      </c>
      <c r="U267" s="544">
        <f t="shared" si="28"/>
        <v>600</v>
      </c>
      <c r="V267" s="167" t="s">
        <v>263</v>
      </c>
      <c r="W267" s="181">
        <v>4</v>
      </c>
    </row>
    <row r="268" spans="1:24" ht="26.15" customHeight="1" x14ac:dyDescent="0.35">
      <c r="B268" s="624"/>
      <c r="C268" s="166"/>
      <c r="D268" s="202"/>
      <c r="E268" s="177"/>
      <c r="F268" s="177"/>
      <c r="G268" s="248">
        <f t="shared" si="26"/>
        <v>0</v>
      </c>
      <c r="H268" s="171"/>
      <c r="I268" s="177"/>
      <c r="J268" s="167"/>
      <c r="K268" s="181"/>
      <c r="L268" s="353"/>
      <c r="M268" s="624"/>
      <c r="N268" s="166"/>
      <c r="O268" s="202"/>
      <c r="P268" s="177"/>
      <c r="Q268" s="177"/>
      <c r="R268" s="248">
        <f t="shared" si="27"/>
        <v>0</v>
      </c>
      <c r="S268" s="171"/>
      <c r="T268" s="527"/>
      <c r="U268" s="544">
        <f t="shared" si="28"/>
        <v>0</v>
      </c>
      <c r="V268" s="167"/>
      <c r="W268" s="181"/>
    </row>
    <row r="269" spans="1:24" ht="31" x14ac:dyDescent="0.35">
      <c r="B269" s="622" t="s">
        <v>264</v>
      </c>
      <c r="C269" s="166" t="s">
        <v>260</v>
      </c>
      <c r="D269" s="202">
        <v>3000</v>
      </c>
      <c r="E269" s="177"/>
      <c r="F269" s="177"/>
      <c r="G269" s="248">
        <f t="shared" si="26"/>
        <v>3000</v>
      </c>
      <c r="H269" s="171">
        <v>0.3</v>
      </c>
      <c r="I269" s="177"/>
      <c r="J269" s="167" t="s">
        <v>265</v>
      </c>
      <c r="K269" s="181">
        <v>4</v>
      </c>
      <c r="L269" s="353"/>
      <c r="M269" s="622" t="s">
        <v>264</v>
      </c>
      <c r="N269" s="166" t="s">
        <v>260</v>
      </c>
      <c r="O269" s="202">
        <v>3000</v>
      </c>
      <c r="P269" s="177"/>
      <c r="Q269" s="177"/>
      <c r="R269" s="248">
        <f t="shared" si="27"/>
        <v>3000</v>
      </c>
      <c r="S269" s="171">
        <v>0.3</v>
      </c>
      <c r="T269" s="527">
        <v>3000</v>
      </c>
      <c r="U269" s="544">
        <f t="shared" si="28"/>
        <v>900</v>
      </c>
      <c r="V269" s="167" t="s">
        <v>265</v>
      </c>
      <c r="W269" s="181">
        <v>4</v>
      </c>
    </row>
    <row r="270" spans="1:24" ht="15.5" x14ac:dyDescent="0.35">
      <c r="B270" s="623"/>
      <c r="C270" s="166" t="s">
        <v>207</v>
      </c>
      <c r="D270" s="202">
        <f>2500-500+500</f>
        <v>2500</v>
      </c>
      <c r="E270" s="177"/>
      <c r="F270" s="177"/>
      <c r="G270" s="248">
        <f t="shared" si="26"/>
        <v>2500</v>
      </c>
      <c r="H270" s="171">
        <v>0.3</v>
      </c>
      <c r="I270" s="177"/>
      <c r="J270" s="167" t="s">
        <v>201</v>
      </c>
      <c r="K270" s="181">
        <v>5</v>
      </c>
      <c r="L270" s="353"/>
      <c r="M270" s="623"/>
      <c r="N270" s="166" t="s">
        <v>207</v>
      </c>
      <c r="O270" s="202">
        <f>2500-500+500</f>
        <v>2500</v>
      </c>
      <c r="P270" s="177"/>
      <c r="Q270" s="177"/>
      <c r="R270" s="248">
        <f t="shared" si="27"/>
        <v>2500</v>
      </c>
      <c r="S270" s="171">
        <v>0.3</v>
      </c>
      <c r="T270" s="527">
        <v>2500</v>
      </c>
      <c r="U270" s="544">
        <f t="shared" si="28"/>
        <v>750</v>
      </c>
      <c r="V270" s="167" t="s">
        <v>201</v>
      </c>
      <c r="W270" s="181">
        <v>5</v>
      </c>
    </row>
    <row r="271" spans="1:24" ht="31" x14ac:dyDescent="0.35">
      <c r="B271" s="623"/>
      <c r="C271" s="166" t="s">
        <v>266</v>
      </c>
      <c r="D271" s="202">
        <v>12000</v>
      </c>
      <c r="E271" s="177"/>
      <c r="F271" s="177"/>
      <c r="G271" s="248">
        <f t="shared" si="26"/>
        <v>12000</v>
      </c>
      <c r="H271" s="171">
        <v>0.3</v>
      </c>
      <c r="I271" s="177"/>
      <c r="J271" s="167" t="s">
        <v>213</v>
      </c>
      <c r="K271" s="181">
        <v>7</v>
      </c>
      <c r="L271" s="353"/>
      <c r="M271" s="623"/>
      <c r="N271" s="166" t="s">
        <v>266</v>
      </c>
      <c r="O271" s="202">
        <v>12000</v>
      </c>
      <c r="P271" s="177"/>
      <c r="Q271" s="177"/>
      <c r="R271" s="248">
        <f t="shared" si="27"/>
        <v>12000</v>
      </c>
      <c r="S271" s="171">
        <v>0.3</v>
      </c>
      <c r="T271" s="527">
        <v>12000</v>
      </c>
      <c r="U271" s="544">
        <f t="shared" si="28"/>
        <v>3600</v>
      </c>
      <c r="V271" s="167" t="s">
        <v>213</v>
      </c>
      <c r="W271" s="181">
        <v>7</v>
      </c>
    </row>
    <row r="272" spans="1:24" ht="15.5" x14ac:dyDescent="0.35">
      <c r="B272" s="623"/>
      <c r="C272" s="166"/>
      <c r="D272" s="202"/>
      <c r="E272" s="177"/>
      <c r="F272" s="177"/>
      <c r="G272" s="248">
        <f t="shared" si="26"/>
        <v>0</v>
      </c>
      <c r="H272" s="171"/>
      <c r="I272" s="177"/>
      <c r="J272" s="167"/>
      <c r="K272" s="181"/>
      <c r="L272" s="353"/>
      <c r="M272" s="623"/>
      <c r="N272" s="166"/>
      <c r="O272" s="202"/>
      <c r="P272" s="177"/>
      <c r="Q272" s="177"/>
      <c r="R272" s="248">
        <f t="shared" si="27"/>
        <v>0</v>
      </c>
      <c r="S272" s="171"/>
      <c r="T272" s="527"/>
      <c r="U272" s="544">
        <f t="shared" si="28"/>
        <v>0</v>
      </c>
      <c r="V272" s="167"/>
      <c r="W272" s="181"/>
    </row>
    <row r="273" spans="2:24" ht="15.65" customHeight="1" x14ac:dyDescent="0.35">
      <c r="B273" s="624"/>
      <c r="C273" s="166"/>
      <c r="D273" s="202"/>
      <c r="E273" s="177"/>
      <c r="F273" s="177"/>
      <c r="G273" s="248">
        <f t="shared" si="26"/>
        <v>0</v>
      </c>
      <c r="H273" s="171"/>
      <c r="I273" s="177"/>
      <c r="J273" s="167"/>
      <c r="K273" s="181"/>
      <c r="L273" s="353"/>
      <c r="M273" s="624"/>
      <c r="N273" s="166"/>
      <c r="O273" s="202"/>
      <c r="P273" s="177"/>
      <c r="Q273" s="177"/>
      <c r="R273" s="248">
        <f t="shared" si="27"/>
        <v>0</v>
      </c>
      <c r="S273" s="171"/>
      <c r="T273" s="527"/>
      <c r="U273" s="544">
        <f t="shared" si="28"/>
        <v>0</v>
      </c>
      <c r="V273" s="167"/>
      <c r="W273" s="181"/>
    </row>
    <row r="274" spans="2:24" ht="31.4" customHeight="1" x14ac:dyDescent="0.35">
      <c r="B274" s="662" t="s">
        <v>267</v>
      </c>
      <c r="C274" s="232" t="s">
        <v>268</v>
      </c>
      <c r="D274" s="233">
        <v>10000</v>
      </c>
      <c r="E274" s="234"/>
      <c r="F274" s="234"/>
      <c r="G274" s="235">
        <f t="shared" si="26"/>
        <v>10000</v>
      </c>
      <c r="H274" s="236">
        <v>0.3</v>
      </c>
      <c r="I274" s="234"/>
      <c r="J274" s="237" t="s">
        <v>269</v>
      </c>
      <c r="K274" s="181">
        <v>2</v>
      </c>
      <c r="L274" s="353"/>
      <c r="M274" s="662" t="s">
        <v>267</v>
      </c>
      <c r="N274" s="232" t="s">
        <v>268</v>
      </c>
      <c r="O274" s="233">
        <v>10000</v>
      </c>
      <c r="P274" s="234"/>
      <c r="Q274" s="234"/>
      <c r="R274" s="235">
        <f t="shared" si="27"/>
        <v>10000</v>
      </c>
      <c r="S274" s="236">
        <v>0.3</v>
      </c>
      <c r="T274" s="527">
        <v>10000</v>
      </c>
      <c r="U274" s="544">
        <f t="shared" si="28"/>
        <v>3000</v>
      </c>
      <c r="V274" s="237" t="s">
        <v>269</v>
      </c>
      <c r="W274" s="181">
        <v>2</v>
      </c>
    </row>
    <row r="275" spans="2:24" ht="15.5" x14ac:dyDescent="0.35">
      <c r="B275" s="663"/>
      <c r="C275" s="166"/>
      <c r="D275" s="202"/>
      <c r="E275" s="177"/>
      <c r="F275" s="177"/>
      <c r="G275" s="248">
        <f t="shared" si="26"/>
        <v>0</v>
      </c>
      <c r="H275" s="171"/>
      <c r="I275" s="177"/>
      <c r="J275" s="167"/>
      <c r="K275" s="181"/>
      <c r="L275" s="353"/>
      <c r="M275" s="663"/>
      <c r="N275" s="166"/>
      <c r="O275" s="202"/>
      <c r="P275" s="177"/>
      <c r="Q275" s="177"/>
      <c r="R275" s="248">
        <f t="shared" si="27"/>
        <v>0</v>
      </c>
      <c r="S275" s="171"/>
      <c r="T275" s="527"/>
      <c r="U275" s="544">
        <f t="shared" si="28"/>
        <v>0</v>
      </c>
      <c r="V275" s="167"/>
      <c r="W275" s="181"/>
    </row>
    <row r="276" spans="2:24" ht="23.15" customHeight="1" x14ac:dyDescent="0.35">
      <c r="B276" s="663"/>
      <c r="C276" s="166"/>
      <c r="D276" s="202"/>
      <c r="E276" s="177"/>
      <c r="F276" s="177"/>
      <c r="G276" s="248">
        <f t="shared" si="26"/>
        <v>0</v>
      </c>
      <c r="H276" s="171"/>
      <c r="I276" s="177"/>
      <c r="J276" s="167"/>
      <c r="K276" s="181"/>
      <c r="L276" s="353"/>
      <c r="M276" s="663"/>
      <c r="N276" s="166"/>
      <c r="O276" s="202"/>
      <c r="P276" s="177"/>
      <c r="Q276" s="177"/>
      <c r="R276" s="248">
        <f t="shared" si="27"/>
        <v>0</v>
      </c>
      <c r="S276" s="171"/>
      <c r="T276" s="527"/>
      <c r="U276" s="544">
        <f t="shared" si="28"/>
        <v>0</v>
      </c>
      <c r="V276" s="167"/>
      <c r="W276" s="181"/>
    </row>
    <row r="277" spans="2:24" ht="23.15" customHeight="1" x14ac:dyDescent="0.35">
      <c r="B277" s="663"/>
      <c r="C277" s="166"/>
      <c r="D277" s="202"/>
      <c r="E277" s="177"/>
      <c r="F277" s="177"/>
      <c r="G277" s="248">
        <f t="shared" si="26"/>
        <v>0</v>
      </c>
      <c r="H277" s="171"/>
      <c r="I277" s="177"/>
      <c r="J277" s="167"/>
      <c r="K277" s="181"/>
      <c r="L277" s="353"/>
      <c r="M277" s="663"/>
      <c r="N277" s="166"/>
      <c r="O277" s="202"/>
      <c r="P277" s="177"/>
      <c r="Q277" s="177"/>
      <c r="R277" s="248">
        <f t="shared" si="27"/>
        <v>0</v>
      </c>
      <c r="S277" s="171"/>
      <c r="T277" s="527"/>
      <c r="U277" s="544">
        <f t="shared" si="28"/>
        <v>0</v>
      </c>
      <c r="V277" s="167"/>
      <c r="W277" s="181"/>
    </row>
    <row r="278" spans="2:24" ht="23.15" customHeight="1" x14ac:dyDescent="0.35">
      <c r="B278" s="664"/>
      <c r="C278" s="166"/>
      <c r="D278" s="202"/>
      <c r="E278" s="177"/>
      <c r="F278" s="177"/>
      <c r="G278" s="248">
        <f t="shared" si="26"/>
        <v>0</v>
      </c>
      <c r="H278" s="171"/>
      <c r="I278" s="177"/>
      <c r="J278" s="167"/>
      <c r="K278" s="181"/>
      <c r="L278" s="353"/>
      <c r="M278" s="664"/>
      <c r="N278" s="166"/>
      <c r="O278" s="202"/>
      <c r="P278" s="177"/>
      <c r="Q278" s="177"/>
      <c r="R278" s="248">
        <f t="shared" si="27"/>
        <v>0</v>
      </c>
      <c r="S278" s="171"/>
      <c r="T278" s="527"/>
      <c r="U278" s="544">
        <f t="shared" si="28"/>
        <v>0</v>
      </c>
      <c r="V278" s="167"/>
      <c r="W278" s="181"/>
    </row>
    <row r="279" spans="2:24" ht="31" x14ac:dyDescent="0.35">
      <c r="B279" s="622" t="s">
        <v>270</v>
      </c>
      <c r="C279" s="166" t="s">
        <v>271</v>
      </c>
      <c r="D279" s="202">
        <v>19116.769999999997</v>
      </c>
      <c r="E279" s="177"/>
      <c r="F279" s="177"/>
      <c r="G279" s="248">
        <f t="shared" si="26"/>
        <v>19116.769999999997</v>
      </c>
      <c r="H279" s="171">
        <v>0.3</v>
      </c>
      <c r="I279" s="177"/>
      <c r="J279" s="167" t="s">
        <v>272</v>
      </c>
      <c r="K279" s="181">
        <v>6</v>
      </c>
      <c r="L279" s="353"/>
      <c r="M279" s="622" t="s">
        <v>270</v>
      </c>
      <c r="N279" s="166" t="s">
        <v>271</v>
      </c>
      <c r="O279" s="202"/>
      <c r="P279" s="251">
        <v>19116.769999999997</v>
      </c>
      <c r="Q279" s="177"/>
      <c r="R279" s="248">
        <f t="shared" si="27"/>
        <v>19116.769999999997</v>
      </c>
      <c r="S279" s="171">
        <v>0.3</v>
      </c>
      <c r="T279" s="530">
        <v>19116.77</v>
      </c>
      <c r="U279" s="544">
        <f t="shared" si="28"/>
        <v>5735.0309999999999</v>
      </c>
      <c r="V279" s="167" t="s">
        <v>272</v>
      </c>
      <c r="W279" s="181">
        <v>6</v>
      </c>
      <c r="X279" s="422"/>
    </row>
    <row r="280" spans="2:24" ht="35.5" customHeight="1" x14ac:dyDescent="0.35">
      <c r="B280" s="623"/>
      <c r="C280" s="166" t="s">
        <v>273</v>
      </c>
      <c r="D280" s="202">
        <v>5000</v>
      </c>
      <c r="E280" s="177"/>
      <c r="F280" s="177"/>
      <c r="G280" s="248">
        <f t="shared" si="26"/>
        <v>5000</v>
      </c>
      <c r="H280" s="171">
        <v>0.3</v>
      </c>
      <c r="I280" s="177"/>
      <c r="J280" s="167" t="s">
        <v>272</v>
      </c>
      <c r="K280" s="181">
        <v>6</v>
      </c>
      <c r="L280" s="353"/>
      <c r="M280" s="623"/>
      <c r="N280" s="166" t="s">
        <v>273</v>
      </c>
      <c r="O280" s="202"/>
      <c r="P280" s="251">
        <v>5000</v>
      </c>
      <c r="Q280" s="177"/>
      <c r="R280" s="248">
        <f t="shared" si="27"/>
        <v>5000</v>
      </c>
      <c r="S280" s="171">
        <v>0.3</v>
      </c>
      <c r="T280" s="530">
        <v>5000</v>
      </c>
      <c r="U280" s="544">
        <f t="shared" si="28"/>
        <v>1500</v>
      </c>
      <c r="V280" s="167" t="s">
        <v>272</v>
      </c>
      <c r="W280" s="181">
        <v>6</v>
      </c>
      <c r="X280" s="422"/>
    </row>
    <row r="281" spans="2:24" ht="46.5" x14ac:dyDescent="0.35">
      <c r="B281" s="623"/>
      <c r="C281" s="166" t="s">
        <v>249</v>
      </c>
      <c r="D281" s="202">
        <v>20000</v>
      </c>
      <c r="E281" s="177"/>
      <c r="F281" s="177"/>
      <c r="G281" s="248">
        <f t="shared" si="26"/>
        <v>20000</v>
      </c>
      <c r="H281" s="171">
        <v>0.3</v>
      </c>
      <c r="I281" s="177"/>
      <c r="J281" s="167" t="s">
        <v>272</v>
      </c>
      <c r="K281" s="181">
        <v>6</v>
      </c>
      <c r="L281" s="353"/>
      <c r="M281" s="623"/>
      <c r="N281" s="166" t="s">
        <v>249</v>
      </c>
      <c r="O281" s="202"/>
      <c r="P281" s="251">
        <v>20000</v>
      </c>
      <c r="Q281" s="177"/>
      <c r="R281" s="248">
        <f t="shared" si="27"/>
        <v>20000</v>
      </c>
      <c r="S281" s="171">
        <v>0.3</v>
      </c>
      <c r="T281" s="530">
        <v>20000</v>
      </c>
      <c r="U281" s="544">
        <f t="shared" si="28"/>
        <v>6000</v>
      </c>
      <c r="V281" s="167" t="s">
        <v>272</v>
      </c>
      <c r="W281" s="181">
        <v>6</v>
      </c>
      <c r="X281" s="422"/>
    </row>
    <row r="282" spans="2:24" ht="15.5" x14ac:dyDescent="0.35">
      <c r="B282" s="623"/>
      <c r="C282" s="166"/>
      <c r="D282" s="202"/>
      <c r="E282" s="177"/>
      <c r="F282" s="177"/>
      <c r="G282" s="248">
        <f t="shared" si="26"/>
        <v>0</v>
      </c>
      <c r="H282" s="171"/>
      <c r="I282" s="177"/>
      <c r="J282" s="167"/>
      <c r="K282" s="181"/>
      <c r="L282" s="353"/>
      <c r="M282" s="623"/>
      <c r="N282" s="166"/>
      <c r="O282" s="202"/>
      <c r="P282" s="177"/>
      <c r="Q282" s="177"/>
      <c r="R282" s="248">
        <f t="shared" si="27"/>
        <v>0</v>
      </c>
      <c r="S282" s="171"/>
      <c r="T282" s="527"/>
      <c r="U282" s="544">
        <f t="shared" si="28"/>
        <v>0</v>
      </c>
      <c r="V282" s="167"/>
      <c r="W282" s="181"/>
    </row>
    <row r="283" spans="2:24" ht="15.5" x14ac:dyDescent="0.35">
      <c r="B283" s="624"/>
      <c r="C283" s="166"/>
      <c r="D283" s="202"/>
      <c r="E283" s="177"/>
      <c r="F283" s="177"/>
      <c r="G283" s="248">
        <f t="shared" si="26"/>
        <v>0</v>
      </c>
      <c r="H283" s="171"/>
      <c r="I283" s="177"/>
      <c r="J283" s="167"/>
      <c r="K283" s="181"/>
      <c r="L283" s="353"/>
      <c r="M283" s="624"/>
      <c r="N283" s="166"/>
      <c r="O283" s="202"/>
      <c r="P283" s="177"/>
      <c r="Q283" s="177"/>
      <c r="R283" s="248">
        <f t="shared" si="27"/>
        <v>0</v>
      </c>
      <c r="S283" s="171"/>
      <c r="T283" s="527"/>
      <c r="U283" s="544">
        <f t="shared" si="28"/>
        <v>0</v>
      </c>
      <c r="V283" s="167"/>
      <c r="W283" s="181"/>
    </row>
    <row r="284" spans="2:24" ht="77.5" customHeight="1" x14ac:dyDescent="0.35">
      <c r="B284" s="351" t="s">
        <v>447</v>
      </c>
      <c r="C284" s="224"/>
      <c r="D284" s="225"/>
      <c r="E284" s="226"/>
      <c r="F284" s="226"/>
      <c r="G284" s="227">
        <f t="shared" si="26"/>
        <v>0</v>
      </c>
      <c r="H284" s="221"/>
      <c r="I284" s="226"/>
      <c r="J284" s="228"/>
      <c r="K284" s="229"/>
      <c r="L284" s="353"/>
      <c r="M284" s="659" t="s">
        <v>448</v>
      </c>
      <c r="N284" s="224" t="s">
        <v>936</v>
      </c>
      <c r="O284" s="225"/>
      <c r="P284" s="226">
        <v>1000</v>
      </c>
      <c r="Q284" s="226"/>
      <c r="R284" s="227">
        <f t="shared" si="27"/>
        <v>1000</v>
      </c>
      <c r="S284" s="221">
        <v>0.3</v>
      </c>
      <c r="T284" s="449">
        <v>1000</v>
      </c>
      <c r="U284" s="544">
        <f t="shared" si="28"/>
        <v>300</v>
      </c>
      <c r="V284" s="228" t="s">
        <v>269</v>
      </c>
      <c r="W284" s="229">
        <v>6</v>
      </c>
    </row>
    <row r="285" spans="2:24" ht="15.5" x14ac:dyDescent="0.35">
      <c r="B285" s="351"/>
      <c r="C285" s="224"/>
      <c r="D285" s="225"/>
      <c r="E285" s="226"/>
      <c r="F285" s="226"/>
      <c r="G285" s="227"/>
      <c r="H285" s="221"/>
      <c r="I285" s="226"/>
      <c r="J285" s="228"/>
      <c r="K285" s="229"/>
      <c r="L285" s="353"/>
      <c r="M285" s="660"/>
      <c r="N285" s="224" t="s">
        <v>937</v>
      </c>
      <c r="O285" s="225"/>
      <c r="P285" s="226">
        <v>3000</v>
      </c>
      <c r="Q285" s="226"/>
      <c r="R285" s="227">
        <f t="shared" si="27"/>
        <v>3000</v>
      </c>
      <c r="S285" s="221">
        <v>0.3</v>
      </c>
      <c r="T285" s="449">
        <v>3000</v>
      </c>
      <c r="U285" s="544">
        <f t="shared" si="28"/>
        <v>900</v>
      </c>
      <c r="V285" s="228"/>
      <c r="W285" s="229">
        <v>6</v>
      </c>
    </row>
    <row r="286" spans="2:24" ht="15.5" x14ac:dyDescent="0.35">
      <c r="B286" s="351"/>
      <c r="C286" s="224"/>
      <c r="D286" s="225"/>
      <c r="E286" s="226"/>
      <c r="F286" s="226"/>
      <c r="G286" s="227"/>
      <c r="H286" s="221"/>
      <c r="I286" s="226"/>
      <c r="J286" s="228"/>
      <c r="K286" s="229"/>
      <c r="L286" s="353"/>
      <c r="M286" s="661"/>
      <c r="N286" s="224" t="s">
        <v>938</v>
      </c>
      <c r="O286" s="225"/>
      <c r="P286" s="226">
        <v>6000</v>
      </c>
      <c r="Q286" s="226"/>
      <c r="R286" s="227">
        <f t="shared" si="27"/>
        <v>6000</v>
      </c>
      <c r="S286" s="221">
        <v>0.5</v>
      </c>
      <c r="T286" s="449">
        <v>6000</v>
      </c>
      <c r="U286" s="544">
        <f>T286*50/100</f>
        <v>3000</v>
      </c>
      <c r="V286" s="228"/>
      <c r="W286" s="229">
        <v>6</v>
      </c>
    </row>
    <row r="287" spans="2:24" ht="15.5" x14ac:dyDescent="0.35">
      <c r="B287" s="355"/>
      <c r="C287" s="166"/>
      <c r="D287" s="202"/>
      <c r="E287" s="177"/>
      <c r="F287" s="177"/>
      <c r="G287" s="248">
        <f t="shared" si="26"/>
        <v>0</v>
      </c>
      <c r="H287" s="171"/>
      <c r="I287" s="177"/>
      <c r="J287" s="167"/>
      <c r="K287" s="181"/>
      <c r="L287" s="353"/>
      <c r="M287" s="657" t="s">
        <v>449</v>
      </c>
      <c r="N287" s="418" t="s">
        <v>442</v>
      </c>
      <c r="O287" s="225">
        <v>5000</v>
      </c>
      <c r="P287" s="177"/>
      <c r="Q287" s="177"/>
      <c r="R287" s="227">
        <f t="shared" si="27"/>
        <v>5000</v>
      </c>
      <c r="S287" s="171">
        <v>0.5</v>
      </c>
      <c r="T287" s="177"/>
      <c r="U287" s="544">
        <f t="shared" ref="U287:U288" si="29">T287*50/100</f>
        <v>0</v>
      </c>
      <c r="V287" s="167"/>
      <c r="W287" s="181">
        <v>4</v>
      </c>
    </row>
    <row r="288" spans="2:24" ht="15.5" x14ac:dyDescent="0.35">
      <c r="B288" s="355"/>
      <c r="C288" s="166"/>
      <c r="D288" s="202"/>
      <c r="E288" s="177"/>
      <c r="F288" s="177"/>
      <c r="G288" s="248"/>
      <c r="H288" s="171"/>
      <c r="I288" s="177"/>
      <c r="J288" s="167"/>
      <c r="K288" s="181"/>
      <c r="L288" s="353"/>
      <c r="M288" s="656"/>
      <c r="N288" s="224" t="s">
        <v>932</v>
      </c>
      <c r="O288" s="225">
        <v>13000</v>
      </c>
      <c r="P288" s="177"/>
      <c r="Q288" s="177"/>
      <c r="R288" s="227">
        <f t="shared" si="27"/>
        <v>13000</v>
      </c>
      <c r="S288" s="171">
        <v>0.5</v>
      </c>
      <c r="T288" s="177"/>
      <c r="U288" s="544">
        <f t="shared" si="29"/>
        <v>0</v>
      </c>
      <c r="V288" s="167"/>
      <c r="W288" s="181">
        <v>7</v>
      </c>
    </row>
    <row r="289" spans="2:23" ht="15.65" customHeight="1" x14ac:dyDescent="0.35">
      <c r="B289" s="355"/>
      <c r="C289" s="166"/>
      <c r="D289" s="202"/>
      <c r="E289" s="177"/>
      <c r="F289" s="177"/>
      <c r="G289" s="248"/>
      <c r="H289" s="171"/>
      <c r="I289" s="177"/>
      <c r="J289" s="167"/>
      <c r="K289" s="181"/>
      <c r="L289" s="353"/>
      <c r="M289" s="657" t="s">
        <v>450</v>
      </c>
      <c r="N289" s="418" t="s">
        <v>933</v>
      </c>
      <c r="O289" s="225">
        <v>6000</v>
      </c>
      <c r="P289" s="177"/>
      <c r="Q289" s="177"/>
      <c r="R289" s="227">
        <f t="shared" si="27"/>
        <v>6000</v>
      </c>
      <c r="S289" s="171">
        <v>0.75</v>
      </c>
      <c r="T289" s="177"/>
      <c r="U289" s="544">
        <f>T289*75/100</f>
        <v>0</v>
      </c>
      <c r="V289" s="167"/>
      <c r="W289" s="181">
        <v>7</v>
      </c>
    </row>
    <row r="290" spans="2:23" ht="47.5" hidden="1" customHeight="1" x14ac:dyDescent="0.35">
      <c r="B290" s="355"/>
      <c r="C290" s="166"/>
      <c r="D290" s="202"/>
      <c r="E290" s="177"/>
      <c r="F290" s="177"/>
      <c r="G290" s="248"/>
      <c r="H290" s="171"/>
      <c r="I290" s="177"/>
      <c r="J290" s="167"/>
      <c r="K290" s="181"/>
      <c r="L290" s="353"/>
      <c r="M290" s="656"/>
      <c r="N290" s="224"/>
      <c r="O290" s="225"/>
      <c r="P290" s="177"/>
      <c r="Q290" s="177"/>
      <c r="R290" s="227">
        <f t="shared" si="27"/>
        <v>0</v>
      </c>
      <c r="S290" s="171"/>
      <c r="T290" s="177"/>
      <c r="U290" s="544"/>
      <c r="V290" s="167"/>
      <c r="W290" s="181"/>
    </row>
    <row r="291" spans="2:23" ht="15.5" hidden="1" x14ac:dyDescent="0.35">
      <c r="B291" s="355"/>
      <c r="C291" s="166"/>
      <c r="D291" s="202"/>
      <c r="E291" s="177"/>
      <c r="F291" s="177"/>
      <c r="G291" s="248"/>
      <c r="H291" s="171"/>
      <c r="I291" s="177"/>
      <c r="J291" s="167"/>
      <c r="K291" s="181"/>
      <c r="L291" s="353"/>
      <c r="M291" s="355"/>
      <c r="N291" s="166"/>
      <c r="O291" s="202"/>
      <c r="P291" s="177"/>
      <c r="Q291" s="177"/>
      <c r="R291" s="227">
        <f t="shared" si="27"/>
        <v>0</v>
      </c>
      <c r="S291" s="171"/>
      <c r="T291" s="177"/>
      <c r="U291" s="544"/>
      <c r="V291" s="167"/>
      <c r="W291" s="181"/>
    </row>
    <row r="292" spans="2:23" ht="15.5" hidden="1" x14ac:dyDescent="0.35">
      <c r="B292" s="355"/>
      <c r="C292" s="166"/>
      <c r="D292" s="202"/>
      <c r="E292" s="177"/>
      <c r="F292" s="177"/>
      <c r="G292" s="248"/>
      <c r="H292" s="171"/>
      <c r="I292" s="177"/>
      <c r="J292" s="167"/>
      <c r="K292" s="181"/>
      <c r="L292" s="353"/>
      <c r="M292" s="355"/>
      <c r="N292" s="166"/>
      <c r="O292" s="202"/>
      <c r="P292" s="177"/>
      <c r="Q292" s="177"/>
      <c r="R292" s="227">
        <f t="shared" si="27"/>
        <v>0</v>
      </c>
      <c r="S292" s="171"/>
      <c r="T292" s="177"/>
      <c r="U292" s="544"/>
      <c r="V292" s="167"/>
      <c r="W292" s="181"/>
    </row>
    <row r="293" spans="2:23" ht="15.5" hidden="1" x14ac:dyDescent="0.35">
      <c r="B293" s="355"/>
      <c r="C293" s="166"/>
      <c r="D293" s="202"/>
      <c r="E293" s="177"/>
      <c r="F293" s="177"/>
      <c r="G293" s="248"/>
      <c r="H293" s="171"/>
      <c r="I293" s="177"/>
      <c r="J293" s="167"/>
      <c r="K293" s="181"/>
      <c r="L293" s="353"/>
      <c r="M293" s="355"/>
      <c r="N293" s="166"/>
      <c r="O293" s="202"/>
      <c r="P293" s="177"/>
      <c r="Q293" s="177"/>
      <c r="R293" s="227">
        <f t="shared" si="27"/>
        <v>0</v>
      </c>
      <c r="S293" s="171"/>
      <c r="T293" s="177"/>
      <c r="U293" s="544"/>
      <c r="V293" s="167"/>
      <c r="W293" s="181"/>
    </row>
    <row r="294" spans="2:23" ht="15.5" hidden="1" x14ac:dyDescent="0.35">
      <c r="B294" s="355"/>
      <c r="C294" s="166"/>
      <c r="D294" s="202"/>
      <c r="E294" s="177"/>
      <c r="F294" s="177"/>
      <c r="G294" s="248"/>
      <c r="H294" s="171"/>
      <c r="I294" s="177"/>
      <c r="J294" s="167"/>
      <c r="K294" s="181"/>
      <c r="L294" s="353"/>
      <c r="M294" s="355"/>
      <c r="N294" s="166"/>
      <c r="O294" s="202"/>
      <c r="P294" s="177"/>
      <c r="Q294" s="177"/>
      <c r="R294" s="227">
        <f t="shared" si="27"/>
        <v>0</v>
      </c>
      <c r="S294" s="171"/>
      <c r="T294" s="177"/>
      <c r="U294" s="544"/>
      <c r="V294" s="167"/>
      <c r="W294" s="181"/>
    </row>
    <row r="295" spans="2:23" ht="20.149999999999999" hidden="1" customHeight="1" x14ac:dyDescent="0.35">
      <c r="B295" s="355"/>
      <c r="C295" s="166"/>
      <c r="D295" s="202"/>
      <c r="E295" s="177"/>
      <c r="F295" s="177"/>
      <c r="G295" s="248">
        <f t="shared" si="26"/>
        <v>0</v>
      </c>
      <c r="H295" s="171"/>
      <c r="I295" s="177"/>
      <c r="J295" s="167"/>
      <c r="K295" s="181"/>
      <c r="L295" s="353"/>
      <c r="M295" s="355"/>
      <c r="N295" s="166"/>
      <c r="O295" s="202"/>
      <c r="P295" s="177"/>
      <c r="Q295" s="177"/>
      <c r="R295" s="227">
        <f t="shared" si="27"/>
        <v>0</v>
      </c>
      <c r="S295" s="171"/>
      <c r="T295" s="177"/>
      <c r="U295" s="544"/>
      <c r="V295" s="167"/>
      <c r="W295" s="181"/>
    </row>
    <row r="296" spans="2:23" ht="20.149999999999999" hidden="1" customHeight="1" x14ac:dyDescent="0.35">
      <c r="B296" s="355"/>
      <c r="C296" s="166"/>
      <c r="D296" s="202"/>
      <c r="E296" s="177"/>
      <c r="F296" s="177"/>
      <c r="G296" s="248">
        <f t="shared" si="26"/>
        <v>0</v>
      </c>
      <c r="H296" s="171"/>
      <c r="I296" s="177"/>
      <c r="J296" s="167"/>
      <c r="K296" s="181"/>
      <c r="L296" s="353"/>
      <c r="M296" s="355"/>
      <c r="N296" s="166"/>
      <c r="O296" s="202"/>
      <c r="P296" s="177"/>
      <c r="Q296" s="177"/>
      <c r="R296" s="227">
        <f t="shared" si="27"/>
        <v>0</v>
      </c>
      <c r="S296" s="171"/>
      <c r="T296" s="177"/>
      <c r="U296" s="544"/>
      <c r="V296" s="167"/>
      <c r="W296" s="181"/>
    </row>
    <row r="297" spans="2:23" ht="20.149999999999999" hidden="1" customHeight="1" x14ac:dyDescent="0.35">
      <c r="B297" s="355"/>
      <c r="C297" s="166"/>
      <c r="D297" s="202"/>
      <c r="E297" s="177"/>
      <c r="F297" s="177"/>
      <c r="G297" s="248">
        <f t="shared" si="26"/>
        <v>0</v>
      </c>
      <c r="H297" s="171"/>
      <c r="I297" s="177"/>
      <c r="J297" s="167"/>
      <c r="K297" s="467"/>
      <c r="L297" s="353"/>
      <c r="M297" s="355"/>
      <c r="N297" s="166"/>
      <c r="O297" s="202"/>
      <c r="P297" s="177"/>
      <c r="Q297" s="177"/>
      <c r="R297" s="227">
        <f t="shared" si="27"/>
        <v>0</v>
      </c>
      <c r="S297" s="171"/>
      <c r="T297" s="177"/>
      <c r="U297" s="544"/>
      <c r="V297" s="167"/>
      <c r="W297" s="181"/>
    </row>
    <row r="298" spans="2:23" ht="34.4" hidden="1" customHeight="1" x14ac:dyDescent="0.35">
      <c r="B298" s="622"/>
      <c r="C298" s="166"/>
      <c r="D298" s="202"/>
      <c r="E298" s="177"/>
      <c r="F298" s="177"/>
      <c r="G298" s="248">
        <f t="shared" si="26"/>
        <v>0</v>
      </c>
      <c r="H298" s="171"/>
      <c r="I298" s="177"/>
      <c r="J298" s="167"/>
      <c r="K298" s="181"/>
      <c r="L298" s="353"/>
      <c r="M298" s="639"/>
      <c r="N298" s="166"/>
      <c r="O298" s="202"/>
      <c r="P298" s="177"/>
      <c r="Q298" s="177"/>
      <c r="R298" s="227">
        <f t="shared" si="27"/>
        <v>0</v>
      </c>
      <c r="S298" s="171"/>
      <c r="T298" s="177"/>
      <c r="U298" s="544"/>
      <c r="V298" s="167"/>
      <c r="W298" s="181"/>
    </row>
    <row r="299" spans="2:23" ht="22.4" hidden="1" customHeight="1" x14ac:dyDescent="0.35">
      <c r="B299" s="623"/>
      <c r="C299" s="166"/>
      <c r="D299" s="202"/>
      <c r="E299" s="177"/>
      <c r="F299" s="177"/>
      <c r="G299" s="248">
        <f t="shared" si="26"/>
        <v>0</v>
      </c>
      <c r="H299" s="171"/>
      <c r="I299" s="177"/>
      <c r="J299" s="167"/>
      <c r="K299" s="181"/>
      <c r="L299" s="353"/>
      <c r="M299" s="639"/>
      <c r="N299" s="166"/>
      <c r="O299" s="202"/>
      <c r="P299" s="177"/>
      <c r="Q299" s="177"/>
      <c r="R299" s="227">
        <f t="shared" si="27"/>
        <v>0</v>
      </c>
      <c r="S299" s="171"/>
      <c r="T299" s="177"/>
      <c r="U299" s="544"/>
      <c r="V299" s="167"/>
      <c r="W299" s="181"/>
    </row>
    <row r="300" spans="2:23" ht="22.4" hidden="1" customHeight="1" x14ac:dyDescent="0.35">
      <c r="B300" s="623"/>
      <c r="C300" s="166"/>
      <c r="D300" s="202"/>
      <c r="E300" s="177"/>
      <c r="F300" s="177"/>
      <c r="G300" s="248">
        <f t="shared" si="26"/>
        <v>0</v>
      </c>
      <c r="H300" s="171"/>
      <c r="I300" s="177"/>
      <c r="J300" s="167"/>
      <c r="K300" s="181"/>
      <c r="L300" s="353"/>
      <c r="M300" s="639"/>
      <c r="N300" s="166"/>
      <c r="O300" s="202"/>
      <c r="P300" s="177"/>
      <c r="Q300" s="177"/>
      <c r="R300" s="227">
        <f t="shared" si="27"/>
        <v>0</v>
      </c>
      <c r="S300" s="171"/>
      <c r="T300" s="177"/>
      <c r="U300" s="544"/>
      <c r="V300" s="167"/>
      <c r="W300" s="181"/>
    </row>
    <row r="301" spans="2:23" ht="22.4" hidden="1" customHeight="1" x14ac:dyDescent="0.35">
      <c r="B301" s="623"/>
      <c r="C301" s="166"/>
      <c r="D301" s="202"/>
      <c r="E301" s="177"/>
      <c r="F301" s="177"/>
      <c r="G301" s="248">
        <f t="shared" si="26"/>
        <v>0</v>
      </c>
      <c r="H301" s="171"/>
      <c r="I301" s="177"/>
      <c r="J301" s="167"/>
      <c r="K301" s="181"/>
      <c r="L301" s="353"/>
      <c r="M301" s="639"/>
      <c r="N301" s="166"/>
      <c r="O301" s="202"/>
      <c r="P301" s="177"/>
      <c r="Q301" s="177"/>
      <c r="R301" s="227">
        <f t="shared" si="27"/>
        <v>0</v>
      </c>
      <c r="S301" s="171"/>
      <c r="T301" s="177"/>
      <c r="U301" s="544"/>
      <c r="V301" s="167"/>
      <c r="W301" s="181"/>
    </row>
    <row r="302" spans="2:23" ht="22.4" hidden="1" customHeight="1" x14ac:dyDescent="0.35">
      <c r="B302" s="624"/>
      <c r="C302" s="166"/>
      <c r="D302" s="202"/>
      <c r="E302" s="177"/>
      <c r="F302" s="177"/>
      <c r="G302" s="248">
        <f t="shared" si="26"/>
        <v>0</v>
      </c>
      <c r="H302" s="171"/>
      <c r="I302" s="177"/>
      <c r="J302" s="167"/>
      <c r="K302" s="181"/>
      <c r="L302" s="353"/>
      <c r="M302" s="639"/>
      <c r="N302" s="166"/>
      <c r="O302" s="202"/>
      <c r="P302" s="177"/>
      <c r="Q302" s="177"/>
      <c r="R302" s="227">
        <f t="shared" si="27"/>
        <v>0</v>
      </c>
      <c r="S302" s="171"/>
      <c r="T302" s="177"/>
      <c r="U302" s="544"/>
      <c r="V302" s="167"/>
      <c r="W302" s="181"/>
    </row>
    <row r="303" spans="2:23" ht="15.5" hidden="1" x14ac:dyDescent="0.35">
      <c r="B303" s="622"/>
      <c r="C303" s="166"/>
      <c r="D303" s="202"/>
      <c r="E303" s="177"/>
      <c r="F303" s="177"/>
      <c r="G303" s="248">
        <f t="shared" si="26"/>
        <v>0</v>
      </c>
      <c r="H303" s="171"/>
      <c r="I303" s="177"/>
      <c r="J303" s="167"/>
      <c r="K303" s="181"/>
      <c r="L303" s="353"/>
      <c r="M303" s="639"/>
      <c r="N303" s="166"/>
      <c r="O303" s="202"/>
      <c r="P303" s="177"/>
      <c r="Q303" s="177"/>
      <c r="R303" s="227">
        <f t="shared" si="27"/>
        <v>0</v>
      </c>
      <c r="S303" s="171"/>
      <c r="T303" s="177"/>
      <c r="U303" s="544"/>
      <c r="V303" s="167"/>
      <c r="W303" s="181"/>
    </row>
    <row r="304" spans="2:23" ht="15.5" hidden="1" x14ac:dyDescent="0.35">
      <c r="B304" s="623"/>
      <c r="C304" s="166"/>
      <c r="D304" s="202"/>
      <c r="E304" s="177"/>
      <c r="F304" s="177"/>
      <c r="G304" s="248">
        <f t="shared" si="26"/>
        <v>0</v>
      </c>
      <c r="H304" s="171"/>
      <c r="I304" s="177"/>
      <c r="J304" s="167"/>
      <c r="K304" s="181"/>
      <c r="L304" s="353"/>
      <c r="M304" s="639"/>
      <c r="N304" s="166"/>
      <c r="O304" s="202"/>
      <c r="P304" s="177"/>
      <c r="Q304" s="177"/>
      <c r="R304" s="227">
        <f t="shared" si="27"/>
        <v>0</v>
      </c>
      <c r="S304" s="171"/>
      <c r="T304" s="177"/>
      <c r="U304" s="544"/>
      <c r="V304" s="167"/>
      <c r="W304" s="181"/>
    </row>
    <row r="305" spans="2:23" ht="19.399999999999999" hidden="1" customHeight="1" x14ac:dyDescent="0.35">
      <c r="B305" s="623"/>
      <c r="C305" s="166"/>
      <c r="D305" s="202"/>
      <c r="E305" s="177"/>
      <c r="F305" s="177"/>
      <c r="G305" s="248">
        <f t="shared" si="26"/>
        <v>0</v>
      </c>
      <c r="H305" s="171"/>
      <c r="I305" s="177"/>
      <c r="J305" s="167"/>
      <c r="K305" s="181"/>
      <c r="L305" s="353"/>
      <c r="M305" s="639"/>
      <c r="N305" s="166"/>
      <c r="O305" s="202"/>
      <c r="P305" s="177"/>
      <c r="Q305" s="177"/>
      <c r="R305" s="227">
        <f t="shared" si="27"/>
        <v>0</v>
      </c>
      <c r="S305" s="171"/>
      <c r="T305" s="177"/>
      <c r="U305" s="544"/>
      <c r="V305" s="167"/>
      <c r="W305" s="181"/>
    </row>
    <row r="306" spans="2:23" ht="19.399999999999999" hidden="1" customHeight="1" x14ac:dyDescent="0.35">
      <c r="B306" s="623"/>
      <c r="C306" s="166"/>
      <c r="D306" s="202"/>
      <c r="E306" s="177"/>
      <c r="F306" s="177"/>
      <c r="G306" s="248">
        <f t="shared" si="26"/>
        <v>0</v>
      </c>
      <c r="H306" s="171"/>
      <c r="I306" s="177"/>
      <c r="J306" s="167"/>
      <c r="K306" s="181"/>
      <c r="L306" s="353"/>
      <c r="M306" s="639"/>
      <c r="N306" s="166"/>
      <c r="O306" s="202"/>
      <c r="P306" s="177"/>
      <c r="Q306" s="177"/>
      <c r="R306" s="227">
        <f t="shared" si="27"/>
        <v>0</v>
      </c>
      <c r="S306" s="171"/>
      <c r="T306" s="177"/>
      <c r="U306" s="544"/>
      <c r="V306" s="167"/>
      <c r="W306" s="181"/>
    </row>
    <row r="307" spans="2:23" ht="19.399999999999999" hidden="1" customHeight="1" x14ac:dyDescent="0.35">
      <c r="B307" s="624"/>
      <c r="C307" s="166"/>
      <c r="D307" s="202"/>
      <c r="E307" s="177"/>
      <c r="F307" s="177"/>
      <c r="G307" s="248">
        <f t="shared" si="26"/>
        <v>0</v>
      </c>
      <c r="H307" s="171"/>
      <c r="I307" s="177"/>
      <c r="J307" s="167"/>
      <c r="K307" s="181"/>
      <c r="L307" s="353"/>
      <c r="M307" s="639"/>
      <c r="N307" s="166"/>
      <c r="O307" s="202"/>
      <c r="P307" s="177"/>
      <c r="Q307" s="177"/>
      <c r="R307" s="227">
        <f t="shared" si="27"/>
        <v>0</v>
      </c>
      <c r="S307" s="171"/>
      <c r="T307" s="177"/>
      <c r="U307" s="544"/>
      <c r="V307" s="167"/>
      <c r="W307" s="181"/>
    </row>
    <row r="308" spans="2:23" ht="15.5" hidden="1" x14ac:dyDescent="0.35">
      <c r="B308" s="622"/>
      <c r="C308" s="166"/>
      <c r="D308" s="202"/>
      <c r="E308" s="177"/>
      <c r="F308" s="177"/>
      <c r="G308" s="248">
        <f t="shared" si="26"/>
        <v>0</v>
      </c>
      <c r="H308" s="171"/>
      <c r="I308" s="177"/>
      <c r="J308" s="167"/>
      <c r="K308" s="181"/>
      <c r="L308" s="353"/>
      <c r="M308" s="639"/>
      <c r="N308" s="166"/>
      <c r="O308" s="202"/>
      <c r="P308" s="177"/>
      <c r="Q308" s="177"/>
      <c r="R308" s="227">
        <f t="shared" si="27"/>
        <v>0</v>
      </c>
      <c r="S308" s="171"/>
      <c r="T308" s="177"/>
      <c r="U308" s="544"/>
      <c r="V308" s="167"/>
      <c r="W308" s="181"/>
    </row>
    <row r="309" spans="2:23" ht="15.5" hidden="1" x14ac:dyDescent="0.35">
      <c r="B309" s="623"/>
      <c r="C309" s="166"/>
      <c r="D309" s="202"/>
      <c r="E309" s="177"/>
      <c r="F309" s="177"/>
      <c r="G309" s="248">
        <f t="shared" si="26"/>
        <v>0</v>
      </c>
      <c r="H309" s="171"/>
      <c r="I309" s="177"/>
      <c r="J309" s="167"/>
      <c r="K309" s="181"/>
      <c r="L309" s="353"/>
      <c r="M309" s="639"/>
      <c r="N309" s="166"/>
      <c r="O309" s="202"/>
      <c r="P309" s="177"/>
      <c r="Q309" s="177"/>
      <c r="R309" s="227">
        <f t="shared" si="27"/>
        <v>0</v>
      </c>
      <c r="S309" s="171"/>
      <c r="T309" s="177"/>
      <c r="U309" s="544"/>
      <c r="V309" s="167"/>
      <c r="W309" s="181"/>
    </row>
    <row r="310" spans="2:23" ht="15.5" hidden="1" x14ac:dyDescent="0.35">
      <c r="B310" s="623"/>
      <c r="C310" s="166"/>
      <c r="D310" s="202"/>
      <c r="E310" s="177"/>
      <c r="F310" s="177"/>
      <c r="G310" s="248">
        <f t="shared" si="26"/>
        <v>0</v>
      </c>
      <c r="H310" s="171"/>
      <c r="I310" s="177"/>
      <c r="J310" s="167"/>
      <c r="K310" s="181"/>
      <c r="L310" s="353"/>
      <c r="M310" s="639"/>
      <c r="N310" s="166"/>
      <c r="O310" s="202"/>
      <c r="P310" s="177"/>
      <c r="Q310" s="177"/>
      <c r="R310" s="227">
        <f t="shared" si="27"/>
        <v>0</v>
      </c>
      <c r="S310" s="171"/>
      <c r="T310" s="177"/>
      <c r="U310" s="544"/>
      <c r="V310" s="167"/>
      <c r="W310" s="181"/>
    </row>
    <row r="311" spans="2:23" ht="15.5" hidden="1" x14ac:dyDescent="0.35">
      <c r="B311" s="623"/>
      <c r="C311" s="166"/>
      <c r="D311" s="202"/>
      <c r="E311" s="177"/>
      <c r="F311" s="177"/>
      <c r="G311" s="248">
        <f t="shared" si="26"/>
        <v>0</v>
      </c>
      <c r="H311" s="171"/>
      <c r="I311" s="177"/>
      <c r="J311" s="167"/>
      <c r="K311" s="181"/>
      <c r="L311" s="353"/>
      <c r="M311" s="639"/>
      <c r="N311" s="166"/>
      <c r="O311" s="202"/>
      <c r="P311" s="177"/>
      <c r="Q311" s="177"/>
      <c r="R311" s="227">
        <f t="shared" si="27"/>
        <v>0</v>
      </c>
      <c r="S311" s="171"/>
      <c r="T311" s="177"/>
      <c r="U311" s="544"/>
      <c r="V311" s="167"/>
      <c r="W311" s="181"/>
    </row>
    <row r="312" spans="2:23" ht="15.5" hidden="1" x14ac:dyDescent="0.35">
      <c r="B312" s="624"/>
      <c r="C312" s="166"/>
      <c r="D312" s="202"/>
      <c r="E312" s="177"/>
      <c r="F312" s="177"/>
      <c r="G312" s="248">
        <f t="shared" si="26"/>
        <v>0</v>
      </c>
      <c r="H312" s="171"/>
      <c r="I312" s="177"/>
      <c r="J312" s="167"/>
      <c r="K312" s="181"/>
      <c r="L312" s="353"/>
      <c r="M312" s="639"/>
      <c r="N312" s="166"/>
      <c r="O312" s="202"/>
      <c r="P312" s="177"/>
      <c r="Q312" s="177"/>
      <c r="R312" s="227">
        <f t="shared" si="27"/>
        <v>0</v>
      </c>
      <c r="S312" s="171"/>
      <c r="T312" s="177"/>
      <c r="U312" s="544"/>
      <c r="V312" s="167"/>
      <c r="W312" s="181"/>
    </row>
    <row r="313" spans="2:23" ht="15.5" x14ac:dyDescent="0.35">
      <c r="C313" s="73" t="s">
        <v>275</v>
      </c>
      <c r="D313" s="364">
        <f>SUM(D259:D312)</f>
        <v>105616.76999999999</v>
      </c>
      <c r="E313" s="365">
        <f>SUM(E259:E312)</f>
        <v>0</v>
      </c>
      <c r="F313" s="365">
        <f>SUM(F259:F312)</f>
        <v>0</v>
      </c>
      <c r="G313" s="366">
        <f>SUM(G259:G312)</f>
        <v>105616.76999999999</v>
      </c>
      <c r="H313" s="366">
        <f>(H259*G259)+(H260*G260)+(H261*G261)+(H262*G262)+(H263*G263)+(H264*G264)+(H265*G265)+(H266*G266)+(H267*G267)+(H268*G268)+(H269*G269)+(H270*G270)+(H271*G271)+(H272*G272)+(H273*G273)+(H274*G274)+(H275*G275)+(H276*G276)+(H277*G277)+(H278*G278)+(H279*G279)+(H280*G280)+(H281*G281)+(H282*G282)+(H283*G283)+(H284*G284)+(H287*G287)+(H295*G295)+(H296*G296)+(H297*G297)+(H298*G298)+(H299*G299)+(H300*G300)+(H301*G301)+(H302*G302)+(H303*G303)+(H304*G304)+(H305*G305)+(H306*G306)+(H307*G307)+(H308*G308)+(H309*G309)+(H310*G310)+(H311*G311)+(H312*G312)</f>
        <v>31685.030999999999</v>
      </c>
      <c r="I313" s="366">
        <f>SUM(I259:I312)</f>
        <v>0</v>
      </c>
      <c r="J313" s="170"/>
      <c r="K313" s="182"/>
      <c r="L313" s="353"/>
      <c r="M313" s="363"/>
      <c r="N313" s="73" t="s">
        <v>275</v>
      </c>
      <c r="O313" s="230">
        <f>SUM(O259:O312)</f>
        <v>85500</v>
      </c>
      <c r="P313" s="230">
        <f>SUM(P259:P312)</f>
        <v>54116.77</v>
      </c>
      <c r="Q313" s="238">
        <f>SUM(Q259:Q312)</f>
        <v>0</v>
      </c>
      <c r="R313" s="231">
        <f>SUM(R259:R312)</f>
        <v>139616.76999999999</v>
      </c>
      <c r="S313" s="231">
        <f>(S259*R259)+(S260*R260)+(S261*R261)+(S262*R262)+(S263*R263)+(S264*R264)+(S265*R265)+(S266*R266)+(S267*R267)+(S268*R268)+(S269*R269)+(S270*R270)+(S271*R271)+(S272*R272)+(S273*R273)+(S274*R274)+(S275*R275)+(S276*R276)+(S277*R277)+(S278*R278)+(S279*R279)+(S280*R280)+(S281*R281)+(S282*R282)+(S283*R283)+(S284*R284)+(S287*R287)+(R289*S289)+(R290*S290)+(R291*S291)+(R292*S292)+(R293*S293)+(R294*S294)+(S295*R295)+(S296*R296)+(S297*R297)+(S298*R298)+(S299*R299)+(S300*R300)+(S301*R301)+(S302*R302)+(S303*R303)+(S304*R304)+(S305*R305)+(S306*R306)+(S307*R307)+(S308*R308)+(S309*R309)+(S310*R310)+(S311*R311)+(S312*R312)+(R285*S285)+(R286*S286)+(R288*S288)</f>
        <v>49385.031000000003</v>
      </c>
      <c r="T313" s="231">
        <f>SUM(T259:T312)</f>
        <v>115616.77</v>
      </c>
      <c r="U313" s="547">
        <f>SUM(U259:U312)</f>
        <v>35885.031000000003</v>
      </c>
      <c r="V313" s="170"/>
      <c r="W313" s="182"/>
    </row>
    <row r="314" spans="2:23" ht="27.65" hidden="1" customHeight="1" x14ac:dyDescent="0.35">
      <c r="B314" s="72" t="s">
        <v>276</v>
      </c>
      <c r="C314" s="630"/>
      <c r="D314" s="630"/>
      <c r="E314" s="630"/>
      <c r="F314" s="630"/>
      <c r="G314" s="630"/>
      <c r="H314" s="630"/>
      <c r="I314" s="631"/>
      <c r="J314" s="630"/>
      <c r="K314" s="183"/>
      <c r="L314" s="353"/>
      <c r="M314" s="72" t="s">
        <v>276</v>
      </c>
      <c r="N314" s="630"/>
      <c r="O314" s="630"/>
      <c r="P314" s="630"/>
      <c r="Q314" s="630"/>
      <c r="R314" s="630"/>
      <c r="S314" s="630"/>
      <c r="T314" s="631"/>
      <c r="U314" s="631"/>
      <c r="V314" s="630"/>
      <c r="W314" s="183"/>
    </row>
    <row r="315" spans="2:23" ht="15.5" hidden="1" x14ac:dyDescent="0.35">
      <c r="B315" s="622" t="s">
        <v>277</v>
      </c>
      <c r="C315" s="166"/>
      <c r="D315" s="202"/>
      <c r="E315" s="177"/>
      <c r="F315" s="177"/>
      <c r="G315" s="248">
        <f>D315+E315+F315</f>
        <v>0</v>
      </c>
      <c r="H315" s="171"/>
      <c r="I315" s="177"/>
      <c r="J315" s="167"/>
      <c r="K315" s="181"/>
      <c r="L315" s="353"/>
      <c r="M315" s="622" t="s">
        <v>277</v>
      </c>
      <c r="N315" s="166"/>
      <c r="O315" s="202"/>
      <c r="P315" s="177"/>
      <c r="Q315" s="177"/>
      <c r="R315" s="248">
        <f>O315+P315+Q315</f>
        <v>0</v>
      </c>
      <c r="S315" s="171"/>
      <c r="T315" s="177"/>
      <c r="U315" s="544"/>
      <c r="V315" s="167"/>
      <c r="W315" s="181"/>
    </row>
    <row r="316" spans="2:23" ht="15.5" hidden="1" x14ac:dyDescent="0.35">
      <c r="B316" s="623"/>
      <c r="C316" s="166"/>
      <c r="D316" s="202"/>
      <c r="E316" s="177"/>
      <c r="F316" s="177"/>
      <c r="G316" s="248">
        <f t="shared" ref="G316:G324" si="30">D316+E316+F316</f>
        <v>0</v>
      </c>
      <c r="H316" s="171"/>
      <c r="I316" s="177"/>
      <c r="J316" s="167"/>
      <c r="K316" s="181"/>
      <c r="L316" s="353"/>
      <c r="M316" s="623"/>
      <c r="N316" s="166"/>
      <c r="O316" s="202"/>
      <c r="P316" s="177"/>
      <c r="Q316" s="177"/>
      <c r="R316" s="248">
        <f t="shared" ref="R316:R324" si="31">O316+P316+Q316</f>
        <v>0</v>
      </c>
      <c r="S316" s="171"/>
      <c r="T316" s="177"/>
      <c r="U316" s="544"/>
      <c r="V316" s="167"/>
      <c r="W316" s="181"/>
    </row>
    <row r="317" spans="2:23" ht="15.5" hidden="1" x14ac:dyDescent="0.35">
      <c r="B317" s="623"/>
      <c r="C317" s="166"/>
      <c r="D317" s="202"/>
      <c r="E317" s="177"/>
      <c r="F317" s="177"/>
      <c r="G317" s="248">
        <f t="shared" si="30"/>
        <v>0</v>
      </c>
      <c r="H317" s="171"/>
      <c r="I317" s="177"/>
      <c r="J317" s="167"/>
      <c r="K317" s="181"/>
      <c r="L317" s="353"/>
      <c r="M317" s="623"/>
      <c r="N317" s="166"/>
      <c r="O317" s="202"/>
      <c r="P317" s="177"/>
      <c r="Q317" s="177"/>
      <c r="R317" s="248">
        <f t="shared" si="31"/>
        <v>0</v>
      </c>
      <c r="S317" s="171"/>
      <c r="T317" s="177"/>
      <c r="U317" s="544"/>
      <c r="V317" s="167"/>
      <c r="W317" s="181"/>
    </row>
    <row r="318" spans="2:23" ht="15.5" hidden="1" x14ac:dyDescent="0.35">
      <c r="B318" s="623"/>
      <c r="C318" s="166"/>
      <c r="D318" s="202"/>
      <c r="E318" s="177"/>
      <c r="F318" s="177"/>
      <c r="G318" s="248">
        <f t="shared" si="30"/>
        <v>0</v>
      </c>
      <c r="H318" s="171"/>
      <c r="I318" s="177"/>
      <c r="J318" s="167"/>
      <c r="K318" s="181"/>
      <c r="L318" s="353"/>
      <c r="M318" s="623"/>
      <c r="N318" s="166"/>
      <c r="O318" s="202"/>
      <c r="P318" s="177"/>
      <c r="Q318" s="177"/>
      <c r="R318" s="248">
        <f t="shared" si="31"/>
        <v>0</v>
      </c>
      <c r="S318" s="171"/>
      <c r="T318" s="177"/>
      <c r="U318" s="544"/>
      <c r="V318" s="167"/>
      <c r="W318" s="181"/>
    </row>
    <row r="319" spans="2:23" ht="15.5" hidden="1" x14ac:dyDescent="0.35">
      <c r="B319" s="624"/>
      <c r="C319" s="166"/>
      <c r="D319" s="202"/>
      <c r="E319" s="177"/>
      <c r="F319" s="177"/>
      <c r="G319" s="248">
        <f t="shared" si="30"/>
        <v>0</v>
      </c>
      <c r="H319" s="171"/>
      <c r="I319" s="177"/>
      <c r="J319" s="167"/>
      <c r="K319" s="181"/>
      <c r="L319" s="353"/>
      <c r="M319" s="624"/>
      <c r="N319" s="166"/>
      <c r="O319" s="202"/>
      <c r="P319" s="177"/>
      <c r="Q319" s="177"/>
      <c r="R319" s="248">
        <f t="shared" si="31"/>
        <v>0</v>
      </c>
      <c r="S319" s="171"/>
      <c r="T319" s="177"/>
      <c r="U319" s="544"/>
      <c r="V319" s="167"/>
      <c r="W319" s="181"/>
    </row>
    <row r="320" spans="2:23" ht="15.5" hidden="1" x14ac:dyDescent="0.35">
      <c r="B320" s="622" t="s">
        <v>278</v>
      </c>
      <c r="C320" s="166"/>
      <c r="D320" s="202"/>
      <c r="E320" s="177"/>
      <c r="F320" s="177"/>
      <c r="G320" s="248">
        <f t="shared" si="30"/>
        <v>0</v>
      </c>
      <c r="H320" s="171"/>
      <c r="I320" s="177"/>
      <c r="J320" s="167"/>
      <c r="K320" s="181"/>
      <c r="L320" s="353"/>
      <c r="M320" s="622" t="s">
        <v>278</v>
      </c>
      <c r="N320" s="166"/>
      <c r="O320" s="202"/>
      <c r="P320" s="177"/>
      <c r="Q320" s="177"/>
      <c r="R320" s="248">
        <f t="shared" si="31"/>
        <v>0</v>
      </c>
      <c r="S320" s="171"/>
      <c r="T320" s="177"/>
      <c r="U320" s="544"/>
      <c r="V320" s="167"/>
      <c r="W320" s="181"/>
    </row>
    <row r="321" spans="2:23" ht="15.5" hidden="1" x14ac:dyDescent="0.35">
      <c r="B321" s="623"/>
      <c r="C321" s="166"/>
      <c r="D321" s="202"/>
      <c r="E321" s="177"/>
      <c r="F321" s="177"/>
      <c r="G321" s="248">
        <f t="shared" si="30"/>
        <v>0</v>
      </c>
      <c r="H321" s="171"/>
      <c r="I321" s="177"/>
      <c r="J321" s="167"/>
      <c r="K321" s="181"/>
      <c r="L321" s="353"/>
      <c r="M321" s="623"/>
      <c r="N321" s="166"/>
      <c r="O321" s="202"/>
      <c r="P321" s="177"/>
      <c r="Q321" s="177"/>
      <c r="R321" s="248">
        <f t="shared" si="31"/>
        <v>0</v>
      </c>
      <c r="S321" s="171"/>
      <c r="T321" s="177"/>
      <c r="U321" s="544"/>
      <c r="V321" s="167"/>
      <c r="W321" s="181"/>
    </row>
    <row r="322" spans="2:23" ht="15.5" hidden="1" x14ac:dyDescent="0.35">
      <c r="B322" s="623"/>
      <c r="C322" s="166"/>
      <c r="D322" s="202"/>
      <c r="E322" s="177"/>
      <c r="F322" s="177"/>
      <c r="G322" s="248">
        <f t="shared" si="30"/>
        <v>0</v>
      </c>
      <c r="H322" s="171"/>
      <c r="I322" s="177"/>
      <c r="J322" s="167"/>
      <c r="K322" s="181"/>
      <c r="L322" s="353"/>
      <c r="M322" s="623"/>
      <c r="N322" s="166"/>
      <c r="O322" s="202"/>
      <c r="P322" s="177"/>
      <c r="Q322" s="177"/>
      <c r="R322" s="248">
        <f t="shared" si="31"/>
        <v>0</v>
      </c>
      <c r="S322" s="171"/>
      <c r="T322" s="177"/>
      <c r="U322" s="544"/>
      <c r="V322" s="167"/>
      <c r="W322" s="181"/>
    </row>
    <row r="323" spans="2:23" ht="15.5" hidden="1" x14ac:dyDescent="0.35">
      <c r="B323" s="623"/>
      <c r="C323" s="166"/>
      <c r="D323" s="202"/>
      <c r="E323" s="177"/>
      <c r="F323" s="177"/>
      <c r="G323" s="248">
        <f t="shared" si="30"/>
        <v>0</v>
      </c>
      <c r="H323" s="171"/>
      <c r="I323" s="177"/>
      <c r="J323" s="167"/>
      <c r="K323" s="181"/>
      <c r="L323" s="353"/>
      <c r="M323" s="623"/>
      <c r="N323" s="166"/>
      <c r="O323" s="202"/>
      <c r="P323" s="177"/>
      <c r="Q323" s="177"/>
      <c r="R323" s="248">
        <f t="shared" si="31"/>
        <v>0</v>
      </c>
      <c r="S323" s="171"/>
      <c r="T323" s="177"/>
      <c r="U323" s="544"/>
      <c r="V323" s="167"/>
      <c r="W323" s="181"/>
    </row>
    <row r="324" spans="2:23" ht="15.5" hidden="1" x14ac:dyDescent="0.35">
      <c r="B324" s="624"/>
      <c r="C324" s="166"/>
      <c r="D324" s="202"/>
      <c r="E324" s="177"/>
      <c r="F324" s="177"/>
      <c r="G324" s="248">
        <f t="shared" si="30"/>
        <v>0</v>
      </c>
      <c r="H324" s="171"/>
      <c r="I324" s="177"/>
      <c r="J324" s="167"/>
      <c r="K324" s="181"/>
      <c r="L324" s="353"/>
      <c r="M324" s="624"/>
      <c r="N324" s="166"/>
      <c r="O324" s="202"/>
      <c r="P324" s="177"/>
      <c r="Q324" s="177"/>
      <c r="R324" s="248">
        <f t="shared" si="31"/>
        <v>0</v>
      </c>
      <c r="S324" s="171"/>
      <c r="T324" s="177"/>
      <c r="U324" s="544"/>
      <c r="V324" s="167"/>
      <c r="W324" s="181"/>
    </row>
    <row r="325" spans="2:23" ht="15.5" hidden="1" x14ac:dyDescent="0.35">
      <c r="C325" s="73" t="s">
        <v>279</v>
      </c>
      <c r="D325" s="203">
        <f>SUM(D315:D324)</f>
        <v>0</v>
      </c>
      <c r="E325" s="12">
        <f>SUM(E315:E324)</f>
        <v>0</v>
      </c>
      <c r="F325" s="12">
        <f>SUM(F315:F324)</f>
        <v>0</v>
      </c>
      <c r="G325" s="10">
        <f>SUM(G315:G324)</f>
        <v>0</v>
      </c>
      <c r="H325" s="10">
        <f>(H315*G315)+(H316*G316)+(H317*G317)+(H318*G318)+(H319*G319)+(H320*G320)+(H321*G321)+(H322*G322)+(H323*G323)+(H324*G324)</f>
        <v>0</v>
      </c>
      <c r="I325" s="10">
        <f>SUM(I315:I324)</f>
        <v>0</v>
      </c>
      <c r="J325" s="170"/>
      <c r="K325" s="182"/>
      <c r="L325" s="353"/>
      <c r="N325" s="73" t="s">
        <v>279</v>
      </c>
      <c r="O325" s="203">
        <f>SUM(O315:O324)</f>
        <v>0</v>
      </c>
      <c r="P325" s="12">
        <f>SUM(P315:P324)</f>
        <v>0</v>
      </c>
      <c r="Q325" s="12">
        <f>SUM(Q315:Q324)</f>
        <v>0</v>
      </c>
      <c r="R325" s="10">
        <f>SUM(R315:R324)</f>
        <v>0</v>
      </c>
      <c r="S325" s="10">
        <f>(S315*R315)+(S316*R316)+(S317*R317)+(S318*R318)+(S319*R319)+(S320*R320)+(S321*R321)+(S322*R322)+(S323*R323)+(S324*R324)</f>
        <v>0</v>
      </c>
      <c r="T325" s="10">
        <f>SUM(T315:T324)</f>
        <v>0</v>
      </c>
      <c r="U325" s="545"/>
      <c r="V325" s="170"/>
      <c r="W325" s="182"/>
    </row>
    <row r="326" spans="2:23" ht="15.5" hidden="1" x14ac:dyDescent="0.35">
      <c r="C326" s="636"/>
      <c r="D326" s="637"/>
      <c r="E326" s="637"/>
      <c r="F326" s="637"/>
      <c r="G326" s="637"/>
      <c r="H326" s="637"/>
      <c r="I326" s="637"/>
      <c r="J326" s="638"/>
      <c r="K326" s="182"/>
      <c r="L326" s="353"/>
      <c r="N326" s="636"/>
      <c r="O326" s="637"/>
      <c r="P326" s="637"/>
      <c r="Q326" s="637"/>
      <c r="R326" s="637"/>
      <c r="S326" s="637"/>
      <c r="T326" s="637"/>
      <c r="U326" s="637"/>
      <c r="V326" s="638"/>
      <c r="W326" s="182"/>
    </row>
    <row r="327" spans="2:23" ht="15.5" x14ac:dyDescent="0.35">
      <c r="B327" s="73" t="s">
        <v>280</v>
      </c>
      <c r="C327" s="634" t="s">
        <v>281</v>
      </c>
      <c r="D327" s="634"/>
      <c r="E327" s="634"/>
      <c r="F327" s="634"/>
      <c r="G327" s="634"/>
      <c r="H327" s="634"/>
      <c r="I327" s="635"/>
      <c r="J327" s="634"/>
      <c r="K327" s="185"/>
      <c r="L327" s="353"/>
      <c r="M327" s="73" t="s">
        <v>280</v>
      </c>
      <c r="N327" s="634" t="s">
        <v>281</v>
      </c>
      <c r="O327" s="634"/>
      <c r="P327" s="634"/>
      <c r="Q327" s="634"/>
      <c r="R327" s="634"/>
      <c r="S327" s="634"/>
      <c r="T327" s="635"/>
      <c r="U327" s="635"/>
      <c r="V327" s="634"/>
      <c r="W327" s="185"/>
    </row>
    <row r="328" spans="2:23" ht="30" customHeight="1" x14ac:dyDescent="0.35">
      <c r="B328" s="72" t="s">
        <v>282</v>
      </c>
      <c r="C328" s="630" t="s">
        <v>283</v>
      </c>
      <c r="D328" s="630"/>
      <c r="E328" s="630"/>
      <c r="F328" s="630"/>
      <c r="G328" s="630"/>
      <c r="H328" s="630"/>
      <c r="I328" s="631"/>
      <c r="J328" s="630"/>
      <c r="K328" s="183"/>
      <c r="L328" s="353"/>
      <c r="M328" s="72" t="s">
        <v>282</v>
      </c>
      <c r="N328" s="630" t="s">
        <v>283</v>
      </c>
      <c r="O328" s="630"/>
      <c r="P328" s="630"/>
      <c r="Q328" s="630"/>
      <c r="R328" s="630"/>
      <c r="S328" s="630"/>
      <c r="T328" s="631"/>
      <c r="U328" s="631"/>
      <c r="V328" s="630"/>
      <c r="W328" s="183"/>
    </row>
    <row r="329" spans="2:23" ht="46.5" x14ac:dyDescent="0.35">
      <c r="B329" s="622" t="s">
        <v>284</v>
      </c>
      <c r="C329" s="169" t="s">
        <v>285</v>
      </c>
      <c r="D329" s="202">
        <v>15000</v>
      </c>
      <c r="E329" s="177"/>
      <c r="F329" s="177"/>
      <c r="G329" s="248">
        <f>D329+E329+F329</f>
        <v>15000</v>
      </c>
      <c r="H329" s="171">
        <v>0.3</v>
      </c>
      <c r="I329" s="177"/>
      <c r="J329" s="167" t="s">
        <v>286</v>
      </c>
      <c r="K329" s="181">
        <v>4</v>
      </c>
      <c r="L329" s="353"/>
      <c r="M329" s="622" t="s">
        <v>284</v>
      </c>
      <c r="N329" s="169" t="s">
        <v>285</v>
      </c>
      <c r="O329" s="202">
        <v>15000</v>
      </c>
      <c r="P329" s="177"/>
      <c r="Q329" s="177"/>
      <c r="R329" s="248">
        <f>O329+P329+Q329</f>
        <v>15000</v>
      </c>
      <c r="S329" s="171">
        <v>0.3</v>
      </c>
      <c r="T329" s="527">
        <v>15000</v>
      </c>
      <c r="U329" s="544">
        <f>T329*30/100</f>
        <v>4500</v>
      </c>
      <c r="V329" s="167" t="s">
        <v>286</v>
      </c>
      <c r="W329" s="181">
        <v>4</v>
      </c>
    </row>
    <row r="330" spans="2:23" ht="18.649999999999999" customHeight="1" x14ac:dyDescent="0.35">
      <c r="B330" s="623"/>
      <c r="C330" s="177"/>
      <c r="D330" s="202"/>
      <c r="E330" s="177"/>
      <c r="F330" s="177"/>
      <c r="G330" s="248">
        <f t="shared" ref="G330:G353" si="32">D330+E330+F330</f>
        <v>0</v>
      </c>
      <c r="H330" s="171"/>
      <c r="I330" s="177"/>
      <c r="J330" s="167"/>
      <c r="K330" s="181"/>
      <c r="L330" s="353"/>
      <c r="M330" s="623"/>
      <c r="N330" s="177"/>
      <c r="O330" s="202"/>
      <c r="P330" s="177"/>
      <c r="Q330" s="177"/>
      <c r="R330" s="248">
        <f t="shared" ref="R330:R357" si="33">O330+P330+Q330</f>
        <v>0</v>
      </c>
      <c r="S330" s="171"/>
      <c r="T330" s="527"/>
      <c r="U330" s="544">
        <f t="shared" ref="U330:U357" si="34">T330*30/100</f>
        <v>0</v>
      </c>
      <c r="V330" s="167"/>
      <c r="W330" s="181"/>
    </row>
    <row r="331" spans="2:23" ht="18.649999999999999" customHeight="1" x14ac:dyDescent="0.35">
      <c r="B331" s="623"/>
      <c r="C331" s="177"/>
      <c r="D331" s="202"/>
      <c r="E331" s="177"/>
      <c r="F331" s="177"/>
      <c r="G331" s="248">
        <f t="shared" si="32"/>
        <v>0</v>
      </c>
      <c r="H331" s="171"/>
      <c r="I331" s="177"/>
      <c r="J331" s="167"/>
      <c r="K331" s="181"/>
      <c r="L331" s="353"/>
      <c r="M331" s="623"/>
      <c r="N331" s="177"/>
      <c r="O331" s="202"/>
      <c r="P331" s="177"/>
      <c r="Q331" s="177"/>
      <c r="R331" s="248">
        <f t="shared" si="33"/>
        <v>0</v>
      </c>
      <c r="S331" s="171"/>
      <c r="T331" s="527"/>
      <c r="U331" s="544">
        <f t="shared" si="34"/>
        <v>0</v>
      </c>
      <c r="V331" s="167"/>
      <c r="W331" s="181"/>
    </row>
    <row r="332" spans="2:23" ht="18.649999999999999" customHeight="1" x14ac:dyDescent="0.35">
      <c r="B332" s="623"/>
      <c r="C332" s="177"/>
      <c r="D332" s="202"/>
      <c r="E332" s="177"/>
      <c r="F332" s="177"/>
      <c r="G332" s="248">
        <f t="shared" si="32"/>
        <v>0</v>
      </c>
      <c r="H332" s="171"/>
      <c r="I332" s="177"/>
      <c r="J332" s="167"/>
      <c r="K332" s="181"/>
      <c r="L332" s="353"/>
      <c r="M332" s="623"/>
      <c r="N332" s="177"/>
      <c r="O332" s="202"/>
      <c r="P332" s="177"/>
      <c r="Q332" s="177"/>
      <c r="R332" s="248">
        <f t="shared" si="33"/>
        <v>0</v>
      </c>
      <c r="S332" s="171"/>
      <c r="T332" s="527"/>
      <c r="U332" s="544">
        <f t="shared" si="34"/>
        <v>0</v>
      </c>
      <c r="V332" s="167"/>
      <c r="W332" s="181"/>
    </row>
    <row r="333" spans="2:23" ht="18.649999999999999" customHeight="1" x14ac:dyDescent="0.35">
      <c r="B333" s="624"/>
      <c r="C333" s="177"/>
      <c r="D333" s="202"/>
      <c r="E333" s="177"/>
      <c r="F333" s="177"/>
      <c r="G333" s="248">
        <f t="shared" si="32"/>
        <v>0</v>
      </c>
      <c r="H333" s="171"/>
      <c r="I333" s="177"/>
      <c r="J333" s="167"/>
      <c r="K333" s="181"/>
      <c r="L333" s="353"/>
      <c r="M333" s="624"/>
      <c r="N333" s="177"/>
      <c r="O333" s="202"/>
      <c r="P333" s="177"/>
      <c r="Q333" s="177"/>
      <c r="R333" s="248">
        <f t="shared" si="33"/>
        <v>0</v>
      </c>
      <c r="S333" s="171"/>
      <c r="T333" s="527"/>
      <c r="U333" s="544">
        <f t="shared" si="34"/>
        <v>0</v>
      </c>
      <c r="V333" s="167"/>
      <c r="W333" s="181"/>
    </row>
    <row r="334" spans="2:23" ht="46.5" x14ac:dyDescent="0.35">
      <c r="B334" s="622" t="s">
        <v>287</v>
      </c>
      <c r="C334" s="169" t="s">
        <v>288</v>
      </c>
      <c r="D334" s="202">
        <v>15000</v>
      </c>
      <c r="E334" s="177"/>
      <c r="F334" s="177"/>
      <c r="G334" s="248">
        <f t="shared" si="32"/>
        <v>15000</v>
      </c>
      <c r="H334" s="171">
        <v>0.3</v>
      </c>
      <c r="I334" s="177"/>
      <c r="J334" s="167" t="s">
        <v>286</v>
      </c>
      <c r="K334" s="181">
        <v>4</v>
      </c>
      <c r="L334" s="353"/>
      <c r="M334" s="622" t="s">
        <v>287</v>
      </c>
      <c r="N334" s="169" t="s">
        <v>288</v>
      </c>
      <c r="O334" s="202">
        <v>15000</v>
      </c>
      <c r="P334" s="177"/>
      <c r="Q334" s="177"/>
      <c r="R334" s="248">
        <f t="shared" si="33"/>
        <v>15000</v>
      </c>
      <c r="S334" s="171">
        <v>0.3</v>
      </c>
      <c r="T334" s="527">
        <v>15000</v>
      </c>
      <c r="U334" s="544">
        <f t="shared" si="34"/>
        <v>4500</v>
      </c>
      <c r="V334" s="167" t="s">
        <v>286</v>
      </c>
      <c r="W334" s="181">
        <v>4</v>
      </c>
    </row>
    <row r="335" spans="2:23" ht="23.15" customHeight="1" x14ac:dyDescent="0.35">
      <c r="B335" s="623"/>
      <c r="C335" s="177"/>
      <c r="D335" s="202"/>
      <c r="E335" s="177"/>
      <c r="F335" s="177"/>
      <c r="G335" s="248">
        <f t="shared" si="32"/>
        <v>0</v>
      </c>
      <c r="H335" s="171"/>
      <c r="I335" s="177"/>
      <c r="J335" s="167"/>
      <c r="K335" s="181"/>
      <c r="L335" s="353"/>
      <c r="M335" s="623"/>
      <c r="N335" s="177"/>
      <c r="O335" s="202"/>
      <c r="P335" s="177"/>
      <c r="Q335" s="177"/>
      <c r="R335" s="248">
        <f t="shared" si="33"/>
        <v>0</v>
      </c>
      <c r="S335" s="171"/>
      <c r="T335" s="527"/>
      <c r="U335" s="544">
        <f t="shared" si="34"/>
        <v>0</v>
      </c>
      <c r="V335" s="167"/>
      <c r="W335" s="181"/>
    </row>
    <row r="336" spans="2:23" ht="23.15" customHeight="1" x14ac:dyDescent="0.35">
      <c r="B336" s="623"/>
      <c r="C336" s="177"/>
      <c r="D336" s="202"/>
      <c r="E336" s="177"/>
      <c r="F336" s="177"/>
      <c r="G336" s="248">
        <f t="shared" si="32"/>
        <v>0</v>
      </c>
      <c r="H336" s="171"/>
      <c r="I336" s="177"/>
      <c r="J336" s="167"/>
      <c r="K336" s="181"/>
      <c r="L336" s="353"/>
      <c r="M336" s="623"/>
      <c r="N336" s="177"/>
      <c r="O336" s="202"/>
      <c r="P336" s="177"/>
      <c r="Q336" s="177"/>
      <c r="R336" s="248">
        <f t="shared" si="33"/>
        <v>0</v>
      </c>
      <c r="S336" s="171"/>
      <c r="T336" s="527"/>
      <c r="U336" s="544">
        <f t="shared" si="34"/>
        <v>0</v>
      </c>
      <c r="V336" s="167"/>
      <c r="W336" s="181"/>
    </row>
    <row r="337" spans="2:23" ht="23.15" customHeight="1" x14ac:dyDescent="0.35">
      <c r="B337" s="623"/>
      <c r="C337" s="177"/>
      <c r="D337" s="202"/>
      <c r="E337" s="177"/>
      <c r="F337" s="177"/>
      <c r="G337" s="248">
        <f t="shared" si="32"/>
        <v>0</v>
      </c>
      <c r="H337" s="171"/>
      <c r="I337" s="177"/>
      <c r="J337" s="167"/>
      <c r="K337" s="181"/>
      <c r="L337" s="353"/>
      <c r="M337" s="623"/>
      <c r="N337" s="177"/>
      <c r="O337" s="202"/>
      <c r="P337" s="177"/>
      <c r="Q337" s="177"/>
      <c r="R337" s="248">
        <f t="shared" si="33"/>
        <v>0</v>
      </c>
      <c r="S337" s="171"/>
      <c r="T337" s="527"/>
      <c r="U337" s="544">
        <f t="shared" si="34"/>
        <v>0</v>
      </c>
      <c r="V337" s="167"/>
      <c r="W337" s="181"/>
    </row>
    <row r="338" spans="2:23" ht="23.15" customHeight="1" x14ac:dyDescent="0.35">
      <c r="B338" s="624"/>
      <c r="C338" s="177"/>
      <c r="D338" s="202"/>
      <c r="E338" s="177"/>
      <c r="F338" s="177"/>
      <c r="G338" s="248">
        <f t="shared" si="32"/>
        <v>0</v>
      </c>
      <c r="H338" s="171"/>
      <c r="I338" s="177"/>
      <c r="J338" s="167"/>
      <c r="K338" s="181"/>
      <c r="L338" s="353"/>
      <c r="M338" s="624"/>
      <c r="N338" s="177"/>
      <c r="O338" s="202"/>
      <c r="P338" s="177"/>
      <c r="Q338" s="177"/>
      <c r="R338" s="248">
        <f t="shared" si="33"/>
        <v>0</v>
      </c>
      <c r="S338" s="171"/>
      <c r="T338" s="527"/>
      <c r="U338" s="544">
        <f t="shared" si="34"/>
        <v>0</v>
      </c>
      <c r="V338" s="167"/>
      <c r="W338" s="181"/>
    </row>
    <row r="339" spans="2:23" ht="31" x14ac:dyDescent="0.35">
      <c r="B339" s="622" t="s">
        <v>289</v>
      </c>
      <c r="C339" s="169" t="s">
        <v>290</v>
      </c>
      <c r="D339" s="202">
        <v>10000</v>
      </c>
      <c r="E339" s="177"/>
      <c r="F339" s="177"/>
      <c r="G339" s="248">
        <f t="shared" si="32"/>
        <v>10000</v>
      </c>
      <c r="H339" s="171">
        <v>0.3</v>
      </c>
      <c r="I339" s="177"/>
      <c r="J339" s="167" t="s">
        <v>291</v>
      </c>
      <c r="K339" s="181">
        <v>4</v>
      </c>
      <c r="L339" s="353"/>
      <c r="M339" s="622" t="s">
        <v>289</v>
      </c>
      <c r="N339" s="169" t="s">
        <v>290</v>
      </c>
      <c r="O339" s="202">
        <v>10000</v>
      </c>
      <c r="P339" s="177"/>
      <c r="Q339" s="177"/>
      <c r="R339" s="248">
        <f t="shared" si="33"/>
        <v>10000</v>
      </c>
      <c r="S339" s="171">
        <v>0.3</v>
      </c>
      <c r="T339" s="527">
        <v>10000</v>
      </c>
      <c r="U339" s="544">
        <f t="shared" si="34"/>
        <v>3000</v>
      </c>
      <c r="V339" s="167" t="s">
        <v>291</v>
      </c>
      <c r="W339" s="181">
        <v>4</v>
      </c>
    </row>
    <row r="340" spans="2:23" ht="15.5" x14ac:dyDescent="0.35">
      <c r="B340" s="623"/>
      <c r="C340" s="177"/>
      <c r="D340" s="202"/>
      <c r="E340" s="177"/>
      <c r="F340" s="177"/>
      <c r="G340" s="248">
        <f t="shared" si="32"/>
        <v>0</v>
      </c>
      <c r="H340" s="171"/>
      <c r="I340" s="177"/>
      <c r="J340" s="167"/>
      <c r="K340" s="181"/>
      <c r="L340" s="353"/>
      <c r="M340" s="623"/>
      <c r="N340" s="177"/>
      <c r="O340" s="202"/>
      <c r="P340" s="177"/>
      <c r="Q340" s="177"/>
      <c r="R340" s="248">
        <f t="shared" si="33"/>
        <v>0</v>
      </c>
      <c r="S340" s="171"/>
      <c r="T340" s="527"/>
      <c r="U340" s="544">
        <f t="shared" si="34"/>
        <v>0</v>
      </c>
      <c r="V340" s="167"/>
      <c r="W340" s="181"/>
    </row>
    <row r="341" spans="2:23" ht="15.5" x14ac:dyDescent="0.35">
      <c r="B341" s="623"/>
      <c r="C341" s="177"/>
      <c r="D341" s="202"/>
      <c r="E341" s="177"/>
      <c r="F341" s="177"/>
      <c r="G341" s="248">
        <f t="shared" si="32"/>
        <v>0</v>
      </c>
      <c r="H341" s="171"/>
      <c r="I341" s="177"/>
      <c r="J341" s="167"/>
      <c r="K341" s="181"/>
      <c r="L341" s="353"/>
      <c r="M341" s="623"/>
      <c r="N341" s="177"/>
      <c r="O341" s="202"/>
      <c r="P341" s="177"/>
      <c r="Q341" s="177"/>
      <c r="R341" s="248">
        <f t="shared" si="33"/>
        <v>0</v>
      </c>
      <c r="S341" s="171"/>
      <c r="T341" s="527"/>
      <c r="U341" s="544">
        <f t="shared" si="34"/>
        <v>0</v>
      </c>
      <c r="V341" s="167"/>
      <c r="W341" s="181"/>
    </row>
    <row r="342" spans="2:23" ht="15.5" x14ac:dyDescent="0.35">
      <c r="B342" s="623"/>
      <c r="C342" s="177"/>
      <c r="D342" s="202"/>
      <c r="E342" s="177"/>
      <c r="F342" s="177"/>
      <c r="G342" s="248">
        <f t="shared" si="32"/>
        <v>0</v>
      </c>
      <c r="H342" s="171"/>
      <c r="I342" s="177"/>
      <c r="J342" s="167"/>
      <c r="K342" s="181"/>
      <c r="L342" s="353"/>
      <c r="M342" s="623"/>
      <c r="N342" s="177"/>
      <c r="O342" s="202"/>
      <c r="P342" s="177"/>
      <c r="Q342" s="177"/>
      <c r="R342" s="248">
        <f t="shared" si="33"/>
        <v>0</v>
      </c>
      <c r="S342" s="171"/>
      <c r="T342" s="527"/>
      <c r="U342" s="544">
        <f t="shared" si="34"/>
        <v>0</v>
      </c>
      <c r="V342" s="167"/>
      <c r="W342" s="181"/>
    </row>
    <row r="343" spans="2:23" ht="15.5" x14ac:dyDescent="0.35">
      <c r="B343" s="624"/>
      <c r="C343" s="177"/>
      <c r="D343" s="202"/>
      <c r="E343" s="177"/>
      <c r="F343" s="177"/>
      <c r="G343" s="248">
        <f t="shared" si="32"/>
        <v>0</v>
      </c>
      <c r="H343" s="171"/>
      <c r="I343" s="177"/>
      <c r="J343" s="167"/>
      <c r="K343" s="181"/>
      <c r="L343" s="353"/>
      <c r="M343" s="624"/>
      <c r="N343" s="177"/>
      <c r="O343" s="202"/>
      <c r="P343" s="177"/>
      <c r="Q343" s="177"/>
      <c r="R343" s="248">
        <f t="shared" si="33"/>
        <v>0</v>
      </c>
      <c r="S343" s="171"/>
      <c r="T343" s="527"/>
      <c r="U343" s="544">
        <f t="shared" si="34"/>
        <v>0</v>
      </c>
      <c r="V343" s="167"/>
      <c r="W343" s="181"/>
    </row>
    <row r="344" spans="2:23" ht="31" x14ac:dyDescent="0.35">
      <c r="B344" s="622" t="s">
        <v>292</v>
      </c>
      <c r="C344" s="169" t="s">
        <v>293</v>
      </c>
      <c r="D344" s="202">
        <v>10000</v>
      </c>
      <c r="E344" s="177"/>
      <c r="F344" s="177"/>
      <c r="G344" s="248">
        <f t="shared" si="32"/>
        <v>10000</v>
      </c>
      <c r="H344" s="171">
        <v>0.3</v>
      </c>
      <c r="I344" s="177"/>
      <c r="J344" s="167" t="s">
        <v>294</v>
      </c>
      <c r="K344" s="181">
        <v>6</v>
      </c>
      <c r="L344" s="353"/>
      <c r="M344" s="622" t="s">
        <v>292</v>
      </c>
      <c r="N344" s="169" t="s">
        <v>293</v>
      </c>
      <c r="O344" s="202">
        <v>10000</v>
      </c>
      <c r="P344" s="177"/>
      <c r="Q344" s="177"/>
      <c r="R344" s="248">
        <f t="shared" si="33"/>
        <v>10000</v>
      </c>
      <c r="S344" s="171">
        <v>0.3</v>
      </c>
      <c r="T344" s="527">
        <v>10000</v>
      </c>
      <c r="U344" s="544">
        <f t="shared" si="34"/>
        <v>3000</v>
      </c>
      <c r="V344" s="167" t="s">
        <v>294</v>
      </c>
      <c r="W344" s="181">
        <v>6</v>
      </c>
    </row>
    <row r="345" spans="2:23" ht="31" x14ac:dyDescent="0.35">
      <c r="B345" s="623"/>
      <c r="C345" s="169" t="s">
        <v>295</v>
      </c>
      <c r="D345" s="202">
        <v>5000</v>
      </c>
      <c r="E345" s="177"/>
      <c r="F345" s="177"/>
      <c r="G345" s="248">
        <f t="shared" si="32"/>
        <v>5000</v>
      </c>
      <c r="H345" s="171">
        <v>0.3</v>
      </c>
      <c r="I345" s="177"/>
      <c r="J345" s="167" t="s">
        <v>296</v>
      </c>
      <c r="K345" s="181">
        <v>6</v>
      </c>
      <c r="L345" s="353"/>
      <c r="M345" s="623"/>
      <c r="N345" s="169" t="s">
        <v>295</v>
      </c>
      <c r="O345" s="202">
        <v>5000</v>
      </c>
      <c r="P345" s="177"/>
      <c r="Q345" s="177"/>
      <c r="R345" s="248">
        <f t="shared" si="33"/>
        <v>5000</v>
      </c>
      <c r="S345" s="171">
        <v>0.3</v>
      </c>
      <c r="T345" s="527">
        <v>5000</v>
      </c>
      <c r="U345" s="544">
        <f t="shared" si="34"/>
        <v>1500</v>
      </c>
      <c r="V345" s="167" t="s">
        <v>296</v>
      </c>
      <c r="W345" s="181">
        <v>6</v>
      </c>
    </row>
    <row r="346" spans="2:23" ht="24.65" customHeight="1" x14ac:dyDescent="0.35">
      <c r="B346" s="623"/>
      <c r="C346" s="177"/>
      <c r="D346" s="202"/>
      <c r="E346" s="177"/>
      <c r="F346" s="177"/>
      <c r="G346" s="248">
        <f t="shared" si="32"/>
        <v>0</v>
      </c>
      <c r="H346" s="171"/>
      <c r="I346" s="177"/>
      <c r="J346" s="167"/>
      <c r="K346" s="181"/>
      <c r="L346" s="353"/>
      <c r="M346" s="623"/>
      <c r="N346" s="177"/>
      <c r="O346" s="202"/>
      <c r="P346" s="177"/>
      <c r="Q346" s="177"/>
      <c r="R346" s="248">
        <f t="shared" si="33"/>
        <v>0</v>
      </c>
      <c r="S346" s="171"/>
      <c r="T346" s="527"/>
      <c r="U346" s="544">
        <f t="shared" si="34"/>
        <v>0</v>
      </c>
      <c r="V346" s="167"/>
      <c r="W346" s="181"/>
    </row>
    <row r="347" spans="2:23" ht="24.65" customHeight="1" x14ac:dyDescent="0.35">
      <c r="B347" s="623"/>
      <c r="C347" s="177"/>
      <c r="D347" s="202"/>
      <c r="E347" s="177"/>
      <c r="F347" s="177"/>
      <c r="G347" s="248">
        <f t="shared" si="32"/>
        <v>0</v>
      </c>
      <c r="H347" s="171"/>
      <c r="I347" s="177"/>
      <c r="J347" s="167"/>
      <c r="K347" s="181"/>
      <c r="L347" s="353"/>
      <c r="M347" s="623"/>
      <c r="N347" s="177"/>
      <c r="O347" s="202"/>
      <c r="P347" s="177"/>
      <c r="Q347" s="177"/>
      <c r="R347" s="248">
        <f t="shared" si="33"/>
        <v>0</v>
      </c>
      <c r="S347" s="171"/>
      <c r="T347" s="527"/>
      <c r="U347" s="544">
        <f t="shared" si="34"/>
        <v>0</v>
      </c>
      <c r="V347" s="167"/>
      <c r="W347" s="181"/>
    </row>
    <row r="348" spans="2:23" ht="24.65" customHeight="1" x14ac:dyDescent="0.35">
      <c r="B348" s="624"/>
      <c r="C348" s="177"/>
      <c r="D348" s="202"/>
      <c r="E348" s="177"/>
      <c r="F348" s="177"/>
      <c r="G348" s="248">
        <f t="shared" si="32"/>
        <v>0</v>
      </c>
      <c r="H348" s="171"/>
      <c r="I348" s="177"/>
      <c r="J348" s="167"/>
      <c r="K348" s="181"/>
      <c r="L348" s="353"/>
      <c r="M348" s="624"/>
      <c r="N348" s="177"/>
      <c r="O348" s="202"/>
      <c r="P348" s="177"/>
      <c r="Q348" s="177"/>
      <c r="R348" s="248">
        <f t="shared" si="33"/>
        <v>0</v>
      </c>
      <c r="S348" s="171"/>
      <c r="T348" s="527"/>
      <c r="U348" s="544">
        <f t="shared" si="34"/>
        <v>0</v>
      </c>
      <c r="V348" s="167"/>
      <c r="W348" s="181"/>
    </row>
    <row r="349" spans="2:23" ht="31" customHeight="1" x14ac:dyDescent="0.35">
      <c r="B349" s="622" t="s">
        <v>297</v>
      </c>
      <c r="C349" s="166" t="s">
        <v>257</v>
      </c>
      <c r="D349" s="202">
        <v>10000</v>
      </c>
      <c r="E349" s="177"/>
      <c r="F349" s="177"/>
      <c r="G349" s="248">
        <f t="shared" si="32"/>
        <v>10000</v>
      </c>
      <c r="H349" s="171">
        <v>0.3</v>
      </c>
      <c r="I349" s="177"/>
      <c r="J349" s="167" t="s">
        <v>298</v>
      </c>
      <c r="K349" s="181">
        <v>7</v>
      </c>
      <c r="L349" s="353"/>
      <c r="M349" s="622" t="s">
        <v>297</v>
      </c>
      <c r="N349" s="166" t="s">
        <v>257</v>
      </c>
      <c r="O349" s="202">
        <v>10000</v>
      </c>
      <c r="P349" s="177"/>
      <c r="Q349" s="177"/>
      <c r="R349" s="248">
        <f t="shared" si="33"/>
        <v>10000</v>
      </c>
      <c r="S349" s="171">
        <v>0.3</v>
      </c>
      <c r="T349" s="527">
        <v>10000</v>
      </c>
      <c r="U349" s="544">
        <f t="shared" si="34"/>
        <v>3000</v>
      </c>
      <c r="V349" s="167" t="s">
        <v>298</v>
      </c>
      <c r="W349" s="181">
        <v>7</v>
      </c>
    </row>
    <row r="350" spans="2:23" ht="15.5" x14ac:dyDescent="0.35">
      <c r="B350" s="623"/>
      <c r="C350" s="166" t="s">
        <v>207</v>
      </c>
      <c r="D350" s="202">
        <v>5000</v>
      </c>
      <c r="E350" s="177"/>
      <c r="F350" s="177"/>
      <c r="G350" s="248">
        <f t="shared" si="32"/>
        <v>5000</v>
      </c>
      <c r="H350" s="171">
        <v>0.3</v>
      </c>
      <c r="I350" s="177"/>
      <c r="J350" s="167" t="s">
        <v>201</v>
      </c>
      <c r="K350" s="181">
        <v>5</v>
      </c>
      <c r="L350" s="353"/>
      <c r="M350" s="623"/>
      <c r="N350" s="166" t="s">
        <v>207</v>
      </c>
      <c r="O350" s="202">
        <v>5000</v>
      </c>
      <c r="P350" s="177"/>
      <c r="Q350" s="177"/>
      <c r="R350" s="248">
        <f t="shared" si="33"/>
        <v>5000</v>
      </c>
      <c r="S350" s="171">
        <v>0.3</v>
      </c>
      <c r="T350" s="527">
        <v>5000</v>
      </c>
      <c r="U350" s="544">
        <f t="shared" si="34"/>
        <v>1500</v>
      </c>
      <c r="V350" s="167" t="s">
        <v>201</v>
      </c>
      <c r="W350" s="181">
        <v>5</v>
      </c>
    </row>
    <row r="351" spans="2:23" ht="31" x14ac:dyDescent="0.35">
      <c r="B351" s="623"/>
      <c r="C351" s="166" t="s">
        <v>258</v>
      </c>
      <c r="D351" s="202">
        <v>2000</v>
      </c>
      <c r="E351" s="177"/>
      <c r="F351" s="177"/>
      <c r="G351" s="248">
        <f t="shared" si="32"/>
        <v>2000</v>
      </c>
      <c r="H351" s="171">
        <v>0.3</v>
      </c>
      <c r="I351" s="177"/>
      <c r="J351" s="167" t="s">
        <v>299</v>
      </c>
      <c r="K351" s="181">
        <v>5</v>
      </c>
      <c r="L351" s="353"/>
      <c r="M351" s="623"/>
      <c r="N351" s="166" t="s">
        <v>258</v>
      </c>
      <c r="O351" s="202">
        <v>2000</v>
      </c>
      <c r="P351" s="177"/>
      <c r="Q351" s="177"/>
      <c r="R351" s="248">
        <f t="shared" si="33"/>
        <v>2000</v>
      </c>
      <c r="S351" s="171">
        <v>0.3</v>
      </c>
      <c r="T351" s="527">
        <v>2000</v>
      </c>
      <c r="U351" s="544">
        <f t="shared" si="34"/>
        <v>600</v>
      </c>
      <c r="V351" s="167" t="s">
        <v>299</v>
      </c>
      <c r="W351" s="181">
        <v>5</v>
      </c>
    </row>
    <row r="352" spans="2:23" ht="31" x14ac:dyDescent="0.35">
      <c r="B352" s="623"/>
      <c r="C352" s="166" t="s">
        <v>260</v>
      </c>
      <c r="D352" s="202">
        <v>5000</v>
      </c>
      <c r="E352" s="251"/>
      <c r="F352" s="251"/>
      <c r="G352" s="248">
        <f t="shared" si="32"/>
        <v>5000</v>
      </c>
      <c r="H352" s="250">
        <v>0.3</v>
      </c>
      <c r="I352" s="251"/>
      <c r="J352" s="170" t="s">
        <v>300</v>
      </c>
      <c r="K352" s="181">
        <v>4</v>
      </c>
      <c r="L352" s="353"/>
      <c r="M352" s="623"/>
      <c r="N352" s="166" t="s">
        <v>260</v>
      </c>
      <c r="O352" s="202">
        <v>5000</v>
      </c>
      <c r="P352" s="251"/>
      <c r="Q352" s="251"/>
      <c r="R352" s="248">
        <f t="shared" si="33"/>
        <v>5000</v>
      </c>
      <c r="S352" s="250">
        <v>0.3</v>
      </c>
      <c r="T352" s="527">
        <v>5000</v>
      </c>
      <c r="U352" s="544">
        <f t="shared" si="34"/>
        <v>1500</v>
      </c>
      <c r="V352" s="170" t="s">
        <v>300</v>
      </c>
      <c r="W352" s="181">
        <v>4</v>
      </c>
    </row>
    <row r="353" spans="2:24" ht="86.5" customHeight="1" x14ac:dyDescent="0.35">
      <c r="B353" s="624"/>
      <c r="C353" s="245"/>
      <c r="D353" s="202"/>
      <c r="E353" s="251"/>
      <c r="F353" s="251"/>
      <c r="G353" s="248">
        <f t="shared" si="32"/>
        <v>0</v>
      </c>
      <c r="H353" s="250"/>
      <c r="I353" s="251"/>
      <c r="J353" s="170"/>
      <c r="K353" s="181"/>
      <c r="L353" s="353"/>
      <c r="M353" s="624"/>
      <c r="N353" s="245"/>
      <c r="O353" s="202"/>
      <c r="P353" s="251"/>
      <c r="Q353" s="251"/>
      <c r="R353" s="248">
        <f t="shared" si="33"/>
        <v>0</v>
      </c>
      <c r="S353" s="250"/>
      <c r="T353" s="527"/>
      <c r="U353" s="544">
        <f t="shared" si="34"/>
        <v>0</v>
      </c>
      <c r="V353" s="438"/>
      <c r="W353" s="181"/>
    </row>
    <row r="354" spans="2:24" ht="31" x14ac:dyDescent="0.35">
      <c r="B354" s="394"/>
      <c r="C354" s="245"/>
      <c r="D354" s="202"/>
      <c r="E354" s="251"/>
      <c r="F354" s="251"/>
      <c r="G354" s="248"/>
      <c r="H354" s="250"/>
      <c r="I354" s="251"/>
      <c r="J354" s="170"/>
      <c r="K354" s="184"/>
      <c r="L354" s="353"/>
      <c r="M354" s="658" t="s">
        <v>451</v>
      </c>
      <c r="N354" s="224" t="s">
        <v>452</v>
      </c>
      <c r="O354" s="225">
        <v>5000</v>
      </c>
      <c r="P354" s="357"/>
      <c r="Q354" s="357"/>
      <c r="R354" s="227">
        <f t="shared" si="33"/>
        <v>5000</v>
      </c>
      <c r="S354" s="367">
        <v>0.5</v>
      </c>
      <c r="T354" s="437"/>
      <c r="U354" s="544">
        <f>T354*50/100</f>
        <v>0</v>
      </c>
      <c r="V354" s="435" t="s">
        <v>453</v>
      </c>
      <c r="W354" s="181">
        <v>4</v>
      </c>
    </row>
    <row r="355" spans="2:24" ht="29" x14ac:dyDescent="0.35">
      <c r="B355" s="394"/>
      <c r="C355" s="245"/>
      <c r="D355" s="202"/>
      <c r="E355" s="251"/>
      <c r="F355" s="251"/>
      <c r="G355" s="248"/>
      <c r="H355" s="250"/>
      <c r="I355" s="251"/>
      <c r="J355" s="170"/>
      <c r="K355" s="184"/>
      <c r="L355" s="353"/>
      <c r="M355" s="658"/>
      <c r="N355" s="224" t="s">
        <v>454</v>
      </c>
      <c r="O355" s="225">
        <v>12000</v>
      </c>
      <c r="P355" s="357"/>
      <c r="Q355" s="357"/>
      <c r="R355" s="227">
        <f t="shared" si="33"/>
        <v>12000</v>
      </c>
      <c r="S355" s="367">
        <v>0.3</v>
      </c>
      <c r="T355" s="437"/>
      <c r="U355" s="544">
        <f t="shared" si="34"/>
        <v>0</v>
      </c>
      <c r="V355" s="436" t="s">
        <v>298</v>
      </c>
      <c r="W355" s="181">
        <v>7</v>
      </c>
    </row>
    <row r="356" spans="2:24" ht="15.5" x14ac:dyDescent="0.35">
      <c r="B356" s="394"/>
      <c r="C356" s="245"/>
      <c r="D356" s="202"/>
      <c r="E356" s="251"/>
      <c r="F356" s="251"/>
      <c r="G356" s="248"/>
      <c r="H356" s="250"/>
      <c r="I356" s="251"/>
      <c r="J356" s="170"/>
      <c r="K356" s="184"/>
      <c r="L356" s="353"/>
      <c r="M356" s="658"/>
      <c r="N356" s="224" t="s">
        <v>207</v>
      </c>
      <c r="O356" s="225">
        <v>7000</v>
      </c>
      <c r="P356" s="357"/>
      <c r="Q356" s="357"/>
      <c r="R356" s="227">
        <f t="shared" si="33"/>
        <v>7000</v>
      </c>
      <c r="S356" s="367">
        <v>0.3</v>
      </c>
      <c r="T356" s="437"/>
      <c r="U356" s="544">
        <f t="shared" si="34"/>
        <v>0</v>
      </c>
      <c r="V356" s="435" t="s">
        <v>455</v>
      </c>
      <c r="W356" s="181">
        <v>5</v>
      </c>
    </row>
    <row r="357" spans="2:24" ht="33" customHeight="1" x14ac:dyDescent="0.35">
      <c r="B357" s="394"/>
      <c r="C357" s="245"/>
      <c r="D357" s="202"/>
      <c r="E357" s="251"/>
      <c r="F357" s="251"/>
      <c r="G357" s="248"/>
      <c r="H357" s="250"/>
      <c r="I357" s="251"/>
      <c r="J357" s="170"/>
      <c r="K357" s="184"/>
      <c r="L357" s="353"/>
      <c r="M357" s="658"/>
      <c r="N357" s="224" t="s">
        <v>456</v>
      </c>
      <c r="O357" s="225">
        <v>0</v>
      </c>
      <c r="P357" s="357"/>
      <c r="Q357" s="357"/>
      <c r="R357" s="227">
        <f t="shared" si="33"/>
        <v>0</v>
      </c>
      <c r="S357" s="367"/>
      <c r="T357" s="437"/>
      <c r="U357" s="544">
        <f t="shared" si="34"/>
        <v>0</v>
      </c>
      <c r="V357" s="435" t="s">
        <v>457</v>
      </c>
      <c r="W357" s="181">
        <v>7</v>
      </c>
    </row>
    <row r="358" spans="2:24" ht="15.5" x14ac:dyDescent="0.35">
      <c r="C358" s="73" t="s">
        <v>301</v>
      </c>
      <c r="D358" s="201">
        <f>SUM(D329:D357)</f>
        <v>77000</v>
      </c>
      <c r="E358" s="10">
        <f>SUM(E329:E357)</f>
        <v>0</v>
      </c>
      <c r="F358" s="10">
        <f>SUM(F329:F357)</f>
        <v>0</v>
      </c>
      <c r="G358" s="10">
        <f>SUM(G329:G357)</f>
        <v>77000</v>
      </c>
      <c r="H358" s="10" t="e">
        <f>(G329*H329)+(G330*H330)+(G331*H331)+(G332*H332)+(G333*H333)+(G334*H334)+(G335*H335)+(G336*H336)+(G337*H337)+(G338*H338)+(G339*H339)+(G340*H340)+(G341*H341)+(G342*H342)+(G343*H343)+(G344*H344)+(G345*H345)+(G346*H346)+(G347*H347)+(G348*H348)+(G349*H349)+(G350*H350)+(G351*H351)+(G352*H352)+(G353*H353)+(G354*H354)+(G355*H355)+(G356*H356)+(G357*H357)+(#REF!*#REF!)+(#REF!*#REF!)+(#REF!*#REF!)+(#REF!*#REF!)</f>
        <v>#REF!</v>
      </c>
      <c r="I358" s="10">
        <f>SUM(I329:I357)</f>
        <v>0</v>
      </c>
      <c r="J358" s="170"/>
      <c r="K358" s="182"/>
      <c r="L358" s="353"/>
      <c r="M358" s="419"/>
      <c r="N358" s="372" t="s">
        <v>301</v>
      </c>
      <c r="O358" s="240">
        <f>SUM(O329:O357)</f>
        <v>101000</v>
      </c>
      <c r="P358" s="231">
        <f>SUM(P329:P357)</f>
        <v>0</v>
      </c>
      <c r="Q358" s="231">
        <f>SUM(Q329:Q357)</f>
        <v>0</v>
      </c>
      <c r="R358" s="231">
        <f>SUM(R329:R357)</f>
        <v>101000</v>
      </c>
      <c r="S358" s="231">
        <f>(R329*S329)+(R330*S330)+(R331*S331)+(R332*S332)+(R333*S333)+(R334*S334)+(R335*S335)+(R336*S336)+(R337*S337)+(R338*S338)+(R339*S339)+(R340*S340)+(R341*S341)+(R342*S342)+(R343*S343)+(R344*S344)+(R345*S345)+(R346*S346)+(R347*S347)+(R348*S348)+(R349*S349)+(R350*S350)+(R351*S351)+(R352*S352)+(R353*S353)+(R354*S354)+(R355*S355)+(R356*S356)+(R357*S357)</f>
        <v>31300</v>
      </c>
      <c r="T358" s="231">
        <f>SUM(T329:T357)</f>
        <v>77000</v>
      </c>
      <c r="U358" s="550">
        <f>SUM(U329:U357)</f>
        <v>23100</v>
      </c>
      <c r="V358" s="439"/>
      <c r="W358" s="421"/>
    </row>
    <row r="359" spans="2:24" ht="32.5" customHeight="1" x14ac:dyDescent="0.35">
      <c r="B359" s="72" t="s">
        <v>302</v>
      </c>
      <c r="C359" s="630" t="s">
        <v>303</v>
      </c>
      <c r="D359" s="630"/>
      <c r="E359" s="630"/>
      <c r="F359" s="630"/>
      <c r="G359" s="630"/>
      <c r="H359" s="630"/>
      <c r="I359" s="631"/>
      <c r="J359" s="630"/>
      <c r="K359" s="183"/>
      <c r="L359" s="353"/>
      <c r="M359" s="72" t="s">
        <v>302</v>
      </c>
      <c r="N359" s="630" t="s">
        <v>303</v>
      </c>
      <c r="O359" s="630"/>
      <c r="P359" s="630"/>
      <c r="Q359" s="630"/>
      <c r="R359" s="630"/>
      <c r="S359" s="630"/>
      <c r="T359" s="631"/>
      <c r="U359" s="631"/>
      <c r="V359" s="630"/>
      <c r="W359" s="183"/>
    </row>
    <row r="360" spans="2:24" ht="81" customHeight="1" x14ac:dyDescent="0.35">
      <c r="B360" s="622" t="s">
        <v>304</v>
      </c>
      <c r="C360" s="166" t="s">
        <v>305</v>
      </c>
      <c r="D360" s="202"/>
      <c r="E360" s="177">
        <v>5000</v>
      </c>
      <c r="F360" s="177"/>
      <c r="G360" s="248">
        <f>D360+E360+F360</f>
        <v>5000</v>
      </c>
      <c r="H360" s="171">
        <v>0.3</v>
      </c>
      <c r="I360" s="177"/>
      <c r="J360" s="167" t="s">
        <v>306</v>
      </c>
      <c r="K360" s="181">
        <v>7</v>
      </c>
      <c r="L360" s="353"/>
      <c r="M360" s="622" t="s">
        <v>304</v>
      </c>
      <c r="N360" s="166" t="s">
        <v>305</v>
      </c>
      <c r="O360" s="202"/>
      <c r="P360" s="177">
        <v>5000</v>
      </c>
      <c r="Q360" s="177"/>
      <c r="R360" s="248">
        <f>O360+P360+Q360</f>
        <v>5000</v>
      </c>
      <c r="S360" s="171">
        <v>0.3</v>
      </c>
      <c r="T360" s="527">
        <v>17107</v>
      </c>
      <c r="U360" s="544">
        <f>T360*30/100</f>
        <v>5132.1000000000004</v>
      </c>
      <c r="V360" s="167" t="s">
        <v>306</v>
      </c>
      <c r="W360" s="181">
        <v>7</v>
      </c>
    </row>
    <row r="361" spans="2:24" ht="37.4" customHeight="1" x14ac:dyDescent="0.35">
      <c r="B361" s="623"/>
      <c r="C361" s="166" t="s">
        <v>307</v>
      </c>
      <c r="D361" s="202"/>
      <c r="E361" s="177">
        <v>20000</v>
      </c>
      <c r="F361" s="177"/>
      <c r="G361" s="248">
        <f t="shared" ref="G361:G375" si="35">D361+E361+F361</f>
        <v>20000</v>
      </c>
      <c r="H361" s="171">
        <v>0.3</v>
      </c>
      <c r="I361" s="177"/>
      <c r="J361" s="167" t="s">
        <v>308</v>
      </c>
      <c r="K361" s="181">
        <v>7</v>
      </c>
      <c r="L361" s="353"/>
      <c r="M361" s="623"/>
      <c r="N361" s="166" t="s">
        <v>307</v>
      </c>
      <c r="O361" s="202"/>
      <c r="P361" s="177">
        <v>20000</v>
      </c>
      <c r="Q361" s="177"/>
      <c r="R361" s="248">
        <f t="shared" ref="R361:R368" si="36">O361+P361+Q361</f>
        <v>20000</v>
      </c>
      <c r="S361" s="171">
        <v>0.3</v>
      </c>
      <c r="T361" s="527">
        <v>20000</v>
      </c>
      <c r="U361" s="544">
        <f t="shared" ref="U361:U369" si="37">T361*30/100</f>
        <v>6000</v>
      </c>
      <c r="V361" s="167" t="s">
        <v>308</v>
      </c>
      <c r="W361" s="181">
        <v>7</v>
      </c>
      <c r="X361" s="422"/>
    </row>
    <row r="362" spans="2:24" ht="15.5" x14ac:dyDescent="0.35">
      <c r="B362" s="623"/>
      <c r="C362" s="166"/>
      <c r="D362" s="202"/>
      <c r="E362" s="177"/>
      <c r="F362" s="177"/>
      <c r="G362" s="248">
        <f t="shared" si="35"/>
        <v>0</v>
      </c>
      <c r="H362" s="171"/>
      <c r="I362" s="177"/>
      <c r="J362" s="167"/>
      <c r="K362" s="181"/>
      <c r="L362" s="353"/>
      <c r="M362" s="623"/>
      <c r="N362" s="166"/>
      <c r="O362" s="202"/>
      <c r="P362" s="177"/>
      <c r="Q362" s="177"/>
      <c r="R362" s="248">
        <f t="shared" si="36"/>
        <v>0</v>
      </c>
      <c r="S362" s="171"/>
      <c r="T362" s="527"/>
      <c r="U362" s="544">
        <f t="shared" si="37"/>
        <v>0</v>
      </c>
      <c r="V362" s="167"/>
      <c r="W362" s="181"/>
    </row>
    <row r="363" spans="2:24" ht="15.5" x14ac:dyDescent="0.35">
      <c r="B363" s="623"/>
      <c r="C363" s="166"/>
      <c r="D363" s="202"/>
      <c r="E363" s="177"/>
      <c r="F363" s="177"/>
      <c r="G363" s="248">
        <f t="shared" si="35"/>
        <v>0</v>
      </c>
      <c r="H363" s="171"/>
      <c r="I363" s="177"/>
      <c r="J363" s="167"/>
      <c r="K363" s="181"/>
      <c r="L363" s="353"/>
      <c r="M363" s="623"/>
      <c r="N363" s="166"/>
      <c r="O363" s="202"/>
      <c r="P363" s="177"/>
      <c r="Q363" s="177"/>
      <c r="R363" s="248">
        <f t="shared" si="36"/>
        <v>0</v>
      </c>
      <c r="S363" s="171"/>
      <c r="T363" s="527"/>
      <c r="U363" s="544">
        <f t="shared" si="37"/>
        <v>0</v>
      </c>
      <c r="V363" s="167"/>
      <c r="W363" s="181"/>
    </row>
    <row r="364" spans="2:24" ht="15.5" x14ac:dyDescent="0.35">
      <c r="B364" s="624"/>
      <c r="C364" s="166"/>
      <c r="D364" s="202"/>
      <c r="E364" s="177"/>
      <c r="F364" s="177"/>
      <c r="G364" s="248">
        <f t="shared" si="35"/>
        <v>0</v>
      </c>
      <c r="H364" s="171"/>
      <c r="I364" s="177"/>
      <c r="J364" s="167"/>
      <c r="K364" s="181"/>
      <c r="L364" s="353"/>
      <c r="M364" s="624"/>
      <c r="N364" s="166"/>
      <c r="O364" s="202"/>
      <c r="P364" s="177"/>
      <c r="Q364" s="177"/>
      <c r="R364" s="248">
        <f t="shared" si="36"/>
        <v>0</v>
      </c>
      <c r="S364" s="171"/>
      <c r="T364" s="527"/>
      <c r="U364" s="544">
        <f t="shared" si="37"/>
        <v>0</v>
      </c>
      <c r="V364" s="167"/>
      <c r="W364" s="181"/>
    </row>
    <row r="365" spans="2:24" ht="15.5" x14ac:dyDescent="0.35">
      <c r="B365" s="622" t="s">
        <v>309</v>
      </c>
      <c r="C365" s="166" t="s">
        <v>257</v>
      </c>
      <c r="D365" s="202"/>
      <c r="E365" s="177">
        <v>10000</v>
      </c>
      <c r="F365" s="177"/>
      <c r="G365" s="248">
        <f t="shared" si="35"/>
        <v>10000</v>
      </c>
      <c r="H365" s="171">
        <v>0.3</v>
      </c>
      <c r="I365" s="177"/>
      <c r="J365" s="167" t="s">
        <v>310</v>
      </c>
      <c r="K365" s="181">
        <v>7</v>
      </c>
      <c r="L365" s="353"/>
      <c r="M365" s="622" t="s">
        <v>309</v>
      </c>
      <c r="N365" s="166" t="s">
        <v>257</v>
      </c>
      <c r="O365" s="202"/>
      <c r="P365" s="177">
        <v>10000</v>
      </c>
      <c r="Q365" s="177"/>
      <c r="R365" s="248">
        <f t="shared" si="36"/>
        <v>10000</v>
      </c>
      <c r="S365" s="171">
        <v>0.3</v>
      </c>
      <c r="T365" s="527">
        <v>12442</v>
      </c>
      <c r="U365" s="544">
        <f t="shared" si="37"/>
        <v>3732.6</v>
      </c>
      <c r="V365" s="167" t="s">
        <v>310</v>
      </c>
      <c r="W365" s="181">
        <v>7</v>
      </c>
    </row>
    <row r="366" spans="2:24" ht="15.5" x14ac:dyDescent="0.35">
      <c r="B366" s="623"/>
      <c r="C366" s="166"/>
      <c r="D366" s="202"/>
      <c r="E366" s="177"/>
      <c r="F366" s="177"/>
      <c r="G366" s="248">
        <f t="shared" si="35"/>
        <v>0</v>
      </c>
      <c r="H366" s="171"/>
      <c r="I366" s="177"/>
      <c r="J366" s="167"/>
      <c r="K366" s="181"/>
      <c r="L366" s="353"/>
      <c r="M366" s="623"/>
      <c r="N366" s="166"/>
      <c r="O366" s="202"/>
      <c r="P366" s="177"/>
      <c r="Q366" s="177"/>
      <c r="R366" s="248">
        <f t="shared" si="36"/>
        <v>0</v>
      </c>
      <c r="S366" s="171"/>
      <c r="T366" s="527"/>
      <c r="U366" s="544">
        <f t="shared" si="37"/>
        <v>0</v>
      </c>
      <c r="V366" s="167"/>
      <c r="W366" s="181"/>
    </row>
    <row r="367" spans="2:24" ht="15.5" x14ac:dyDescent="0.35">
      <c r="B367" s="623"/>
      <c r="C367" s="166"/>
      <c r="D367" s="202"/>
      <c r="E367" s="177"/>
      <c r="F367" s="177"/>
      <c r="G367" s="248">
        <f t="shared" si="35"/>
        <v>0</v>
      </c>
      <c r="H367" s="171"/>
      <c r="I367" s="177"/>
      <c r="J367" s="167"/>
      <c r="K367" s="181"/>
      <c r="L367" s="353"/>
      <c r="M367" s="623"/>
      <c r="N367" s="166"/>
      <c r="O367" s="202"/>
      <c r="P367" s="177"/>
      <c r="Q367" s="177"/>
      <c r="R367" s="248">
        <f t="shared" si="36"/>
        <v>0</v>
      </c>
      <c r="S367" s="171"/>
      <c r="T367" s="527"/>
      <c r="U367" s="544">
        <f t="shared" si="37"/>
        <v>0</v>
      </c>
      <c r="V367" s="167"/>
      <c r="W367" s="181"/>
    </row>
    <row r="368" spans="2:24" ht="15.5" x14ac:dyDescent="0.35">
      <c r="B368" s="623"/>
      <c r="C368" s="166"/>
      <c r="D368" s="202"/>
      <c r="E368" s="251"/>
      <c r="F368" s="251"/>
      <c r="G368" s="248">
        <f t="shared" si="35"/>
        <v>0</v>
      </c>
      <c r="H368" s="171"/>
      <c r="I368" s="177"/>
      <c r="J368" s="170"/>
      <c r="K368" s="181"/>
      <c r="L368" s="353"/>
      <c r="M368" s="623"/>
      <c r="N368" s="166"/>
      <c r="O368" s="202"/>
      <c r="P368" s="251"/>
      <c r="Q368" s="251"/>
      <c r="R368" s="248">
        <f t="shared" si="36"/>
        <v>0</v>
      </c>
      <c r="S368" s="171"/>
      <c r="T368" s="527"/>
      <c r="U368" s="544">
        <f t="shared" si="37"/>
        <v>0</v>
      </c>
      <c r="V368" s="170"/>
      <c r="W368" s="181"/>
    </row>
    <row r="369" spans="2:23" ht="15.5" x14ac:dyDescent="0.35">
      <c r="B369" s="624"/>
      <c r="C369" s="166"/>
      <c r="D369" s="202"/>
      <c r="G369" s="248"/>
      <c r="H369" s="171"/>
      <c r="I369" s="177"/>
      <c r="J369" s="167"/>
      <c r="K369" s="181"/>
      <c r="L369" s="353"/>
      <c r="M369" s="624"/>
      <c r="N369" s="166"/>
      <c r="O369" s="202"/>
      <c r="R369" s="248"/>
      <c r="S369" s="171"/>
      <c r="T369" s="527"/>
      <c r="U369" s="544">
        <f t="shared" si="37"/>
        <v>0</v>
      </c>
      <c r="V369" s="167"/>
      <c r="W369" s="181"/>
    </row>
    <row r="370" spans="2:23" ht="15.65" customHeight="1" x14ac:dyDescent="0.35">
      <c r="B370" s="622" t="s">
        <v>311</v>
      </c>
      <c r="C370" s="166" t="s">
        <v>312</v>
      </c>
      <c r="D370" s="202"/>
      <c r="E370" s="177">
        <v>36891.800000000003</v>
      </c>
      <c r="F370" s="177"/>
      <c r="G370" s="248">
        <f>D370+E370+F370</f>
        <v>36891.800000000003</v>
      </c>
      <c r="H370" s="171">
        <v>0.4</v>
      </c>
      <c r="I370" s="177"/>
      <c r="J370" s="167" t="s">
        <v>107</v>
      </c>
      <c r="K370" s="181">
        <v>7</v>
      </c>
      <c r="L370" s="353"/>
      <c r="M370" s="657" t="s">
        <v>311</v>
      </c>
      <c r="N370" s="166" t="s">
        <v>312</v>
      </c>
      <c r="O370" s="202"/>
      <c r="P370" s="449">
        <f>25891.8-13791.8-1500</f>
        <v>10600</v>
      </c>
      <c r="Q370" s="177"/>
      <c r="R370" s="227">
        <f>O370+P370+Q370</f>
        <v>10600</v>
      </c>
      <c r="S370" s="171">
        <v>0.4</v>
      </c>
      <c r="T370" s="449">
        <v>11000</v>
      </c>
      <c r="U370" s="544">
        <f>T370*40/100</f>
        <v>4400</v>
      </c>
      <c r="V370" s="167" t="s">
        <v>107</v>
      </c>
      <c r="W370" s="229">
        <v>6</v>
      </c>
    </row>
    <row r="371" spans="2:23" ht="31" x14ac:dyDescent="0.35">
      <c r="B371" s="623"/>
      <c r="C371" s="166" t="s">
        <v>313</v>
      </c>
      <c r="D371" s="202"/>
      <c r="E371" s="177">
        <v>2000</v>
      </c>
      <c r="F371" s="177"/>
      <c r="G371" s="248">
        <f>D371+E371+F371</f>
        <v>2000</v>
      </c>
      <c r="H371" s="171">
        <v>0.4</v>
      </c>
      <c r="I371" s="177"/>
      <c r="J371" s="167" t="s">
        <v>314</v>
      </c>
      <c r="K371" s="181">
        <v>7</v>
      </c>
      <c r="L371" s="353"/>
      <c r="M371" s="655"/>
      <c r="N371" s="166" t="s">
        <v>313</v>
      </c>
      <c r="O371" s="202"/>
      <c r="P371" s="226">
        <v>5636</v>
      </c>
      <c r="Q371" s="177"/>
      <c r="R371" s="227">
        <f>O371+P371+Q371</f>
        <v>5636</v>
      </c>
      <c r="S371" s="171">
        <v>0.4</v>
      </c>
      <c r="T371" s="449">
        <v>5600</v>
      </c>
      <c r="U371" s="544">
        <f t="shared" ref="U371:U373" si="38">T371*40/100</f>
        <v>2240</v>
      </c>
      <c r="V371" s="167" t="s">
        <v>920</v>
      </c>
      <c r="W371" s="229">
        <v>2</v>
      </c>
    </row>
    <row r="372" spans="2:23" ht="15.5" x14ac:dyDescent="0.35">
      <c r="B372" s="348"/>
      <c r="C372" s="166"/>
      <c r="D372" s="202"/>
      <c r="E372" s="177"/>
      <c r="F372" s="177"/>
      <c r="G372" s="248"/>
      <c r="H372" s="171"/>
      <c r="I372" s="177"/>
      <c r="J372" s="167"/>
      <c r="K372" s="181"/>
      <c r="L372" s="353"/>
      <c r="M372" s="452"/>
      <c r="N372" s="224" t="s">
        <v>919</v>
      </c>
      <c r="O372" s="202"/>
      <c r="P372" s="449">
        <v>9342.09</v>
      </c>
      <c r="Q372" s="177"/>
      <c r="R372" s="227">
        <f t="shared" ref="R372:R375" si="39">O372+P372+Q372</f>
        <v>9342.09</v>
      </c>
      <c r="S372" s="171">
        <v>0.4</v>
      </c>
      <c r="T372" s="449">
        <v>9400</v>
      </c>
      <c r="U372" s="544">
        <f t="shared" si="38"/>
        <v>3760</v>
      </c>
      <c r="V372" s="167" t="s">
        <v>310</v>
      </c>
      <c r="W372" s="229">
        <v>7</v>
      </c>
    </row>
    <row r="373" spans="2:23" ht="31" x14ac:dyDescent="0.35">
      <c r="B373" s="348"/>
      <c r="C373" s="166"/>
      <c r="D373" s="202"/>
      <c r="E373" s="177"/>
      <c r="F373" s="177"/>
      <c r="G373" s="248"/>
      <c r="H373" s="171"/>
      <c r="I373" s="177"/>
      <c r="J373" s="167"/>
      <c r="K373" s="181"/>
      <c r="L373" s="353"/>
      <c r="M373" s="452"/>
      <c r="N373" s="224" t="s">
        <v>921</v>
      </c>
      <c r="O373" s="202"/>
      <c r="P373" s="226">
        <v>14000</v>
      </c>
      <c r="Q373" s="177"/>
      <c r="R373" s="227">
        <f t="shared" si="39"/>
        <v>14000</v>
      </c>
      <c r="S373" s="171">
        <v>0.4</v>
      </c>
      <c r="T373" s="527"/>
      <c r="U373" s="544">
        <f t="shared" si="38"/>
        <v>0</v>
      </c>
      <c r="V373" s="167" t="s">
        <v>922</v>
      </c>
      <c r="W373" s="229">
        <v>5</v>
      </c>
    </row>
    <row r="374" spans="2:23" ht="62.15" customHeight="1" x14ac:dyDescent="0.35">
      <c r="B374" s="395"/>
      <c r="C374" s="166"/>
      <c r="D374" s="202"/>
      <c r="E374" s="177"/>
      <c r="F374" s="177"/>
      <c r="G374" s="248">
        <f t="shared" ref="G374:G387" si="40">D374+E374+F374</f>
        <v>0</v>
      </c>
      <c r="H374" s="171"/>
      <c r="I374" s="177"/>
      <c r="J374" s="167"/>
      <c r="K374" s="181"/>
      <c r="L374" s="353"/>
      <c r="M374" s="657" t="s">
        <v>935</v>
      </c>
      <c r="N374" s="224" t="s">
        <v>934</v>
      </c>
      <c r="O374" s="225">
        <v>5000</v>
      </c>
      <c r="P374" s="226"/>
      <c r="Q374" s="226"/>
      <c r="R374" s="227">
        <f t="shared" si="39"/>
        <v>5000</v>
      </c>
      <c r="S374" s="221">
        <v>0.5</v>
      </c>
      <c r="T374" s="527"/>
      <c r="U374" s="544">
        <f>T374*50/100</f>
        <v>0</v>
      </c>
      <c r="V374" s="228"/>
      <c r="W374" s="229">
        <v>7</v>
      </c>
    </row>
    <row r="375" spans="2:23" ht="15.5" hidden="1" x14ac:dyDescent="0.35">
      <c r="B375" s="395"/>
      <c r="C375" s="166"/>
      <c r="D375" s="202"/>
      <c r="E375" s="177"/>
      <c r="F375" s="177"/>
      <c r="G375" s="248">
        <f t="shared" si="35"/>
        <v>0</v>
      </c>
      <c r="H375" s="171"/>
      <c r="I375" s="177"/>
      <c r="J375" s="167"/>
      <c r="K375" s="181"/>
      <c r="L375" s="353"/>
      <c r="M375" s="655"/>
      <c r="N375" s="224"/>
      <c r="O375" s="225"/>
      <c r="P375" s="226"/>
      <c r="Q375" s="226"/>
      <c r="R375" s="227">
        <f t="shared" si="39"/>
        <v>0</v>
      </c>
      <c r="S375" s="221"/>
      <c r="T375" s="226"/>
      <c r="U375" s="546"/>
      <c r="V375" s="228"/>
      <c r="W375" s="229"/>
    </row>
    <row r="376" spans="2:23" ht="15.5" hidden="1" x14ac:dyDescent="0.35">
      <c r="B376" s="395"/>
      <c r="C376" s="166"/>
      <c r="D376" s="202"/>
      <c r="E376" s="177"/>
      <c r="F376" s="177"/>
      <c r="G376" s="248"/>
      <c r="H376" s="171"/>
      <c r="I376" s="177"/>
      <c r="J376" s="167"/>
      <c r="K376" s="181"/>
      <c r="L376" s="353"/>
      <c r="M376" s="356"/>
      <c r="N376" s="166"/>
      <c r="O376" s="202"/>
      <c r="P376" s="177"/>
      <c r="Q376" s="177"/>
      <c r="R376" s="248"/>
      <c r="S376" s="171"/>
      <c r="T376" s="177"/>
      <c r="U376" s="544"/>
      <c r="V376" s="167"/>
      <c r="W376" s="181"/>
    </row>
    <row r="377" spans="2:23" ht="15.5" hidden="1" x14ac:dyDescent="0.35">
      <c r="B377" s="396"/>
      <c r="C377" s="166"/>
      <c r="D377" s="202"/>
      <c r="E377" s="177"/>
      <c r="F377" s="177"/>
      <c r="G377" s="248">
        <f>D377+E377+F377</f>
        <v>0</v>
      </c>
      <c r="H377" s="171"/>
      <c r="I377" s="177"/>
      <c r="J377" s="167"/>
      <c r="K377" s="181"/>
      <c r="L377" s="353"/>
      <c r="M377" s="356"/>
      <c r="N377" s="166"/>
      <c r="O377" s="202"/>
      <c r="P377" s="177"/>
      <c r="Q377" s="177"/>
      <c r="R377" s="248">
        <f>O377+P377+Q377</f>
        <v>0</v>
      </c>
      <c r="S377" s="171"/>
      <c r="T377" s="177"/>
      <c r="U377" s="544"/>
      <c r="V377" s="167"/>
      <c r="W377" s="181"/>
    </row>
    <row r="378" spans="2:23" ht="15.5" hidden="1" x14ac:dyDescent="0.35">
      <c r="B378" s="622" t="s">
        <v>315</v>
      </c>
      <c r="C378" s="166"/>
      <c r="D378" s="202"/>
      <c r="E378" s="177"/>
      <c r="F378" s="177"/>
      <c r="G378" s="248">
        <f t="shared" si="40"/>
        <v>0</v>
      </c>
      <c r="H378" s="171"/>
      <c r="I378" s="177"/>
      <c r="J378" s="167"/>
      <c r="K378" s="181"/>
      <c r="L378" s="353"/>
      <c r="M378" s="622" t="s">
        <v>315</v>
      </c>
      <c r="N378" s="166"/>
      <c r="O378" s="202"/>
      <c r="P378" s="177"/>
      <c r="Q378" s="177"/>
      <c r="R378" s="248">
        <f t="shared" ref="R378:R387" si="41">O378+P378+Q378</f>
        <v>0</v>
      </c>
      <c r="S378" s="171"/>
      <c r="T378" s="177"/>
      <c r="U378" s="544"/>
      <c r="V378" s="167"/>
      <c r="W378" s="181"/>
    </row>
    <row r="379" spans="2:23" ht="15.5" hidden="1" x14ac:dyDescent="0.35">
      <c r="B379" s="623"/>
      <c r="C379" s="166"/>
      <c r="D379" s="202"/>
      <c r="E379" s="177"/>
      <c r="F379" s="177"/>
      <c r="G379" s="248">
        <f t="shared" si="40"/>
        <v>0</v>
      </c>
      <c r="H379" s="171"/>
      <c r="I379" s="177"/>
      <c r="J379" s="167"/>
      <c r="K379" s="181"/>
      <c r="L379" s="353"/>
      <c r="M379" s="623"/>
      <c r="N379" s="166"/>
      <c r="O379" s="202"/>
      <c r="P379" s="177"/>
      <c r="Q379" s="177"/>
      <c r="R379" s="248">
        <f t="shared" si="41"/>
        <v>0</v>
      </c>
      <c r="S379" s="171"/>
      <c r="T379" s="177"/>
      <c r="U379" s="544"/>
      <c r="V379" s="167"/>
      <c r="W379" s="181"/>
    </row>
    <row r="380" spans="2:23" ht="15.5" hidden="1" x14ac:dyDescent="0.35">
      <c r="B380" s="623"/>
      <c r="C380" s="166"/>
      <c r="D380" s="202"/>
      <c r="E380" s="177"/>
      <c r="F380" s="177"/>
      <c r="G380" s="248">
        <f t="shared" si="40"/>
        <v>0</v>
      </c>
      <c r="H380" s="171"/>
      <c r="I380" s="177"/>
      <c r="J380" s="167"/>
      <c r="K380" s="181"/>
      <c r="L380" s="353"/>
      <c r="M380" s="623"/>
      <c r="N380" s="166"/>
      <c r="O380" s="202"/>
      <c r="P380" s="177"/>
      <c r="Q380" s="177"/>
      <c r="R380" s="248">
        <f t="shared" si="41"/>
        <v>0</v>
      </c>
      <c r="S380" s="171"/>
      <c r="T380" s="177"/>
      <c r="U380" s="544"/>
      <c r="V380" s="167"/>
      <c r="W380" s="181"/>
    </row>
    <row r="381" spans="2:23" ht="15.5" hidden="1" x14ac:dyDescent="0.35">
      <c r="B381" s="623"/>
      <c r="C381" s="166"/>
      <c r="D381" s="202"/>
      <c r="E381" s="177"/>
      <c r="F381" s="177"/>
      <c r="G381" s="248">
        <f t="shared" si="40"/>
        <v>0</v>
      </c>
      <c r="H381" s="171"/>
      <c r="I381" s="177"/>
      <c r="J381" s="167"/>
      <c r="K381" s="181"/>
      <c r="L381" s="353"/>
      <c r="M381" s="623"/>
      <c r="N381" s="166"/>
      <c r="O381" s="202"/>
      <c r="P381" s="177"/>
      <c r="Q381" s="177"/>
      <c r="R381" s="248">
        <f t="shared" si="41"/>
        <v>0</v>
      </c>
      <c r="S381" s="171"/>
      <c r="T381" s="177"/>
      <c r="U381" s="544"/>
      <c r="V381" s="167"/>
      <c r="W381" s="181"/>
    </row>
    <row r="382" spans="2:23" ht="15.5" hidden="1" x14ac:dyDescent="0.35">
      <c r="B382" s="624"/>
      <c r="C382" s="166"/>
      <c r="D382" s="202"/>
      <c r="E382" s="177"/>
      <c r="F382" s="177"/>
      <c r="G382" s="248">
        <f t="shared" si="40"/>
        <v>0</v>
      </c>
      <c r="H382" s="171"/>
      <c r="I382" s="177"/>
      <c r="J382" s="167"/>
      <c r="K382" s="181"/>
      <c r="L382" s="353"/>
      <c r="M382" s="624"/>
      <c r="N382" s="166"/>
      <c r="O382" s="202"/>
      <c r="P382" s="177"/>
      <c r="Q382" s="177"/>
      <c r="R382" s="248">
        <f t="shared" si="41"/>
        <v>0</v>
      </c>
      <c r="S382" s="171"/>
      <c r="T382" s="177"/>
      <c r="U382" s="544"/>
      <c r="V382" s="167"/>
      <c r="W382" s="181"/>
    </row>
    <row r="383" spans="2:23" ht="15.5" hidden="1" x14ac:dyDescent="0.35">
      <c r="B383" s="622" t="s">
        <v>316</v>
      </c>
      <c r="C383" s="166"/>
      <c r="D383" s="202"/>
      <c r="E383" s="177"/>
      <c r="F383" s="177"/>
      <c r="G383" s="248">
        <f t="shared" si="40"/>
        <v>0</v>
      </c>
      <c r="H383" s="171"/>
      <c r="I383" s="177"/>
      <c r="J383" s="167"/>
      <c r="K383" s="181"/>
      <c r="L383" s="353"/>
      <c r="M383" s="622" t="s">
        <v>316</v>
      </c>
      <c r="N383" s="166"/>
      <c r="O383" s="202"/>
      <c r="P383" s="177"/>
      <c r="Q383" s="177"/>
      <c r="R383" s="248">
        <f t="shared" si="41"/>
        <v>0</v>
      </c>
      <c r="S383" s="171"/>
      <c r="T383" s="177"/>
      <c r="U383" s="544"/>
      <c r="V383" s="167"/>
      <c r="W383" s="181"/>
    </row>
    <row r="384" spans="2:23" ht="15.5" hidden="1" x14ac:dyDescent="0.35">
      <c r="B384" s="623"/>
      <c r="C384" s="166"/>
      <c r="D384" s="202"/>
      <c r="E384" s="177"/>
      <c r="F384" s="177"/>
      <c r="G384" s="248">
        <f t="shared" si="40"/>
        <v>0</v>
      </c>
      <c r="H384" s="171"/>
      <c r="I384" s="177"/>
      <c r="J384" s="167"/>
      <c r="K384" s="181"/>
      <c r="L384" s="353"/>
      <c r="M384" s="623"/>
      <c r="N384" s="166"/>
      <c r="O384" s="202"/>
      <c r="P384" s="177"/>
      <c r="Q384" s="177"/>
      <c r="R384" s="248">
        <f t="shared" si="41"/>
        <v>0</v>
      </c>
      <c r="S384" s="171"/>
      <c r="T384" s="177"/>
      <c r="U384" s="544"/>
      <c r="V384" s="167"/>
      <c r="W384" s="181"/>
    </row>
    <row r="385" spans="2:23" ht="15.5" hidden="1" x14ac:dyDescent="0.35">
      <c r="B385" s="623"/>
      <c r="C385" s="166"/>
      <c r="D385" s="202"/>
      <c r="E385" s="177"/>
      <c r="F385" s="177"/>
      <c r="G385" s="248">
        <f t="shared" si="40"/>
        <v>0</v>
      </c>
      <c r="H385" s="171"/>
      <c r="I385" s="177"/>
      <c r="J385" s="167"/>
      <c r="K385" s="181"/>
      <c r="L385" s="353"/>
      <c r="M385" s="623"/>
      <c r="N385" s="166"/>
      <c r="O385" s="202"/>
      <c r="P385" s="177"/>
      <c r="Q385" s="177"/>
      <c r="R385" s="248">
        <f t="shared" si="41"/>
        <v>0</v>
      </c>
      <c r="S385" s="171"/>
      <c r="T385" s="177"/>
      <c r="U385" s="544"/>
      <c r="V385" s="167"/>
      <c r="W385" s="181"/>
    </row>
    <row r="386" spans="2:23" ht="15.5" hidden="1" x14ac:dyDescent="0.35">
      <c r="B386" s="623"/>
      <c r="C386" s="245"/>
      <c r="D386" s="202"/>
      <c r="E386" s="251"/>
      <c r="F386" s="251"/>
      <c r="G386" s="248">
        <f t="shared" si="40"/>
        <v>0</v>
      </c>
      <c r="H386" s="250"/>
      <c r="I386" s="251"/>
      <c r="J386" s="170"/>
      <c r="K386" s="181"/>
      <c r="L386" s="353"/>
      <c r="M386" s="623"/>
      <c r="N386" s="245"/>
      <c r="O386" s="202"/>
      <c r="P386" s="251"/>
      <c r="Q386" s="251"/>
      <c r="R386" s="248">
        <f t="shared" si="41"/>
        <v>0</v>
      </c>
      <c r="S386" s="250"/>
      <c r="T386" s="251"/>
      <c r="U386" s="544"/>
      <c r="V386" s="170"/>
      <c r="W386" s="181"/>
    </row>
    <row r="387" spans="2:23" ht="15.5" hidden="1" x14ac:dyDescent="0.35">
      <c r="B387" s="624"/>
      <c r="C387" s="245"/>
      <c r="D387" s="202"/>
      <c r="E387" s="251"/>
      <c r="F387" s="251"/>
      <c r="G387" s="248">
        <f t="shared" si="40"/>
        <v>0</v>
      </c>
      <c r="H387" s="250"/>
      <c r="I387" s="251"/>
      <c r="J387" s="170"/>
      <c r="K387" s="181"/>
      <c r="L387" s="353"/>
      <c r="M387" s="624"/>
      <c r="N387" s="245"/>
      <c r="O387" s="202"/>
      <c r="P387" s="251"/>
      <c r="Q387" s="251"/>
      <c r="R387" s="248">
        <f t="shared" si="41"/>
        <v>0</v>
      </c>
      <c r="S387" s="250"/>
      <c r="T387" s="251"/>
      <c r="U387" s="544"/>
      <c r="V387" s="170"/>
      <c r="W387" s="181"/>
    </row>
    <row r="388" spans="2:23" ht="15.5" x14ac:dyDescent="0.35">
      <c r="C388" s="73" t="s">
        <v>317</v>
      </c>
      <c r="D388" s="203">
        <f>SUM(D360:D387)</f>
        <v>0</v>
      </c>
      <c r="E388" s="12">
        <f>SUM(E360:E387)</f>
        <v>73891.8</v>
      </c>
      <c r="F388" s="12">
        <f>SUM(F360:F387)</f>
        <v>0</v>
      </c>
      <c r="G388" s="10">
        <f>SUM(G360:G387)</f>
        <v>73891.8</v>
      </c>
      <c r="H388" s="10">
        <f>(H360*G360)+(H361*G361)+(H362*G362)+(H363*G363)+(H364*G364)+(H365*G365)+(H366*G366)+(H367*G367)+(H368*G368)+(H369*G369)+(H370*G370)+(H371*G371)+(G372*H372)+(H374*G374)+(H375*G375)+(H377*G377)+(H378*G378)+(H379*G379)+(H380*G380)+(H381*G381)+(H382*G382)+(H383*G383)+(H384*G384)+(H385*G385)+(H386*G386)+(H387*G387)</f>
        <v>26056.720000000001</v>
      </c>
      <c r="I388" s="10">
        <f>SUM(I360:I387)</f>
        <v>0</v>
      </c>
      <c r="J388" s="170"/>
      <c r="K388" s="182"/>
      <c r="L388" s="353"/>
      <c r="N388" s="73" t="s">
        <v>317</v>
      </c>
      <c r="O388" s="203">
        <f>SUM(O360:O387)</f>
        <v>5000</v>
      </c>
      <c r="P388" s="12">
        <f>SUM(P360:P387)</f>
        <v>74578.09</v>
      </c>
      <c r="Q388" s="12">
        <f>SUM(Q360:Q387)</f>
        <v>0</v>
      </c>
      <c r="R388" s="10">
        <f>SUM(R360:R387)</f>
        <v>79578.09</v>
      </c>
      <c r="S388" s="10">
        <f>(S360*R360)+(S361*R361)+(S362*R362)+(S363*R363)+(S364*R364)+(S365*R365)+(S366*R366)+(S367*R367)+(S368*R368)+(S369*R369)+(S370*R370)+(S371*R371)+(R372*S372)+(R373*S373)+(S374*R374)+(S375*R375)+(S377*R377)+(S378*R378)+(S379*R379)+(S380*R380)+(S381*R381)+(S382*R382)+(S383*R383)+(S384*R384)+(S385*R385)+(S386*R386)+(S387*R387)</f>
        <v>28831.236000000001</v>
      </c>
      <c r="T388" s="10">
        <f>SUM(T360:T387)</f>
        <v>75549</v>
      </c>
      <c r="U388" s="545">
        <f>SUM(U360:U387)</f>
        <v>25264.7</v>
      </c>
      <c r="V388" s="170"/>
      <c r="W388" s="182"/>
    </row>
    <row r="389" spans="2:23" ht="15.5" hidden="1" x14ac:dyDescent="0.35">
      <c r="B389" s="73" t="s">
        <v>318</v>
      </c>
      <c r="C389" s="630"/>
      <c r="D389" s="630"/>
      <c r="E389" s="630"/>
      <c r="F389" s="630"/>
      <c r="G389" s="630"/>
      <c r="H389" s="630"/>
      <c r="I389" s="631"/>
      <c r="J389" s="630"/>
      <c r="K389" s="183"/>
      <c r="L389" s="353"/>
      <c r="M389" s="73" t="s">
        <v>318</v>
      </c>
      <c r="N389" s="630"/>
      <c r="O389" s="630"/>
      <c r="P389" s="630"/>
      <c r="Q389" s="630"/>
      <c r="R389" s="630"/>
      <c r="S389" s="630"/>
      <c r="T389" s="631"/>
      <c r="U389" s="631"/>
      <c r="V389" s="630"/>
      <c r="W389" s="183"/>
    </row>
    <row r="390" spans="2:23" ht="15.5" hidden="1" x14ac:dyDescent="0.35">
      <c r="B390" s="622" t="s">
        <v>319</v>
      </c>
      <c r="C390" s="166"/>
      <c r="D390" s="202"/>
      <c r="E390" s="177"/>
      <c r="F390" s="177"/>
      <c r="G390" s="248">
        <f>D390+E390+F390</f>
        <v>0</v>
      </c>
      <c r="H390" s="171"/>
      <c r="I390" s="177"/>
      <c r="J390" s="167"/>
      <c r="K390" s="181"/>
      <c r="L390" s="353"/>
      <c r="M390" s="622" t="s">
        <v>319</v>
      </c>
      <c r="N390" s="166"/>
      <c r="O390" s="202"/>
      <c r="P390" s="177"/>
      <c r="Q390" s="177"/>
      <c r="R390" s="248">
        <f>O390+P390+Q390</f>
        <v>0</v>
      </c>
      <c r="S390" s="171"/>
      <c r="T390" s="177"/>
      <c r="U390" s="544"/>
      <c r="V390" s="167"/>
      <c r="W390" s="181"/>
    </row>
    <row r="391" spans="2:23" ht="15.5" hidden="1" x14ac:dyDescent="0.35">
      <c r="B391" s="623"/>
      <c r="C391" s="166"/>
      <c r="D391" s="202"/>
      <c r="E391" s="177"/>
      <c r="F391" s="177"/>
      <c r="G391" s="248">
        <f t="shared" ref="G391:G399" si="42">D391+E391+F391</f>
        <v>0</v>
      </c>
      <c r="H391" s="171"/>
      <c r="I391" s="177"/>
      <c r="J391" s="167"/>
      <c r="K391" s="181"/>
      <c r="L391" s="353"/>
      <c r="M391" s="623"/>
      <c r="N391" s="166"/>
      <c r="O391" s="202"/>
      <c r="P391" s="177"/>
      <c r="Q391" s="177"/>
      <c r="R391" s="248">
        <f t="shared" ref="R391:R399" si="43">O391+P391+Q391</f>
        <v>0</v>
      </c>
      <c r="S391" s="171"/>
      <c r="T391" s="177"/>
      <c r="U391" s="544"/>
      <c r="V391" s="167"/>
      <c r="W391" s="181"/>
    </row>
    <row r="392" spans="2:23" ht="15.5" hidden="1" x14ac:dyDescent="0.35">
      <c r="B392" s="623"/>
      <c r="C392" s="166"/>
      <c r="D392" s="202"/>
      <c r="E392" s="177"/>
      <c r="F392" s="177"/>
      <c r="G392" s="248">
        <f t="shared" si="42"/>
        <v>0</v>
      </c>
      <c r="H392" s="171"/>
      <c r="I392" s="177"/>
      <c r="J392" s="167"/>
      <c r="K392" s="181"/>
      <c r="L392" s="353"/>
      <c r="M392" s="623"/>
      <c r="N392" s="166"/>
      <c r="O392" s="202"/>
      <c r="P392" s="177"/>
      <c r="Q392" s="177"/>
      <c r="R392" s="248">
        <f t="shared" si="43"/>
        <v>0</v>
      </c>
      <c r="S392" s="171"/>
      <c r="T392" s="177"/>
      <c r="U392" s="544"/>
      <c r="V392" s="167"/>
      <c r="W392" s="181"/>
    </row>
    <row r="393" spans="2:23" ht="15.5" hidden="1" x14ac:dyDescent="0.35">
      <c r="B393" s="623"/>
      <c r="C393" s="166"/>
      <c r="D393" s="202"/>
      <c r="E393" s="177"/>
      <c r="F393" s="177"/>
      <c r="G393" s="248">
        <f t="shared" si="42"/>
        <v>0</v>
      </c>
      <c r="H393" s="171"/>
      <c r="I393" s="177"/>
      <c r="J393" s="167"/>
      <c r="K393" s="181"/>
      <c r="L393" s="353"/>
      <c r="M393" s="623"/>
      <c r="N393" s="166"/>
      <c r="O393" s="202"/>
      <c r="P393" s="177"/>
      <c r="Q393" s="177"/>
      <c r="R393" s="248">
        <f t="shared" si="43"/>
        <v>0</v>
      </c>
      <c r="S393" s="171"/>
      <c r="T393" s="177"/>
      <c r="U393" s="544"/>
      <c r="V393" s="167"/>
      <c r="W393" s="181"/>
    </row>
    <row r="394" spans="2:23" ht="15.5" hidden="1" x14ac:dyDescent="0.35">
      <c r="B394" s="624"/>
      <c r="C394" s="166"/>
      <c r="D394" s="202"/>
      <c r="E394" s="177"/>
      <c r="F394" s="177"/>
      <c r="G394" s="248">
        <f t="shared" si="42"/>
        <v>0</v>
      </c>
      <c r="H394" s="171"/>
      <c r="I394" s="177"/>
      <c r="J394" s="167"/>
      <c r="K394" s="181"/>
      <c r="L394" s="353"/>
      <c r="M394" s="624"/>
      <c r="N394" s="166"/>
      <c r="O394" s="202"/>
      <c r="P394" s="177"/>
      <c r="Q394" s="177"/>
      <c r="R394" s="248">
        <f t="shared" si="43"/>
        <v>0</v>
      </c>
      <c r="S394" s="171"/>
      <c r="T394" s="177"/>
      <c r="U394" s="544"/>
      <c r="V394" s="167"/>
      <c r="W394" s="181"/>
    </row>
    <row r="395" spans="2:23" ht="15.5" hidden="1" x14ac:dyDescent="0.35">
      <c r="B395" s="622" t="s">
        <v>320</v>
      </c>
      <c r="C395" s="166"/>
      <c r="D395" s="202"/>
      <c r="E395" s="177"/>
      <c r="F395" s="177"/>
      <c r="G395" s="248">
        <f t="shared" si="42"/>
        <v>0</v>
      </c>
      <c r="H395" s="171"/>
      <c r="I395" s="177"/>
      <c r="J395" s="167"/>
      <c r="K395" s="181"/>
      <c r="L395" s="353"/>
      <c r="M395" s="622" t="s">
        <v>320</v>
      </c>
      <c r="N395" s="166"/>
      <c r="O395" s="202"/>
      <c r="P395" s="177"/>
      <c r="Q395" s="177"/>
      <c r="R395" s="248">
        <f t="shared" si="43"/>
        <v>0</v>
      </c>
      <c r="S395" s="171"/>
      <c r="T395" s="177"/>
      <c r="U395" s="544"/>
      <c r="V395" s="167"/>
      <c r="W395" s="181"/>
    </row>
    <row r="396" spans="2:23" ht="15.5" hidden="1" x14ac:dyDescent="0.35">
      <c r="B396" s="623"/>
      <c r="C396" s="166"/>
      <c r="D396" s="202"/>
      <c r="E396" s="177"/>
      <c r="F396" s="177"/>
      <c r="G396" s="248">
        <f t="shared" si="42"/>
        <v>0</v>
      </c>
      <c r="H396" s="171"/>
      <c r="I396" s="177"/>
      <c r="J396" s="167"/>
      <c r="K396" s="181"/>
      <c r="L396" s="353"/>
      <c r="M396" s="623"/>
      <c r="N396" s="166"/>
      <c r="O396" s="202"/>
      <c r="P396" s="177"/>
      <c r="Q396" s="177"/>
      <c r="R396" s="248">
        <f t="shared" si="43"/>
        <v>0</v>
      </c>
      <c r="S396" s="171"/>
      <c r="T396" s="177"/>
      <c r="U396" s="544"/>
      <c r="V396" s="167"/>
      <c r="W396" s="181"/>
    </row>
    <row r="397" spans="2:23" ht="15.5" hidden="1" x14ac:dyDescent="0.35">
      <c r="B397" s="623"/>
      <c r="C397" s="166"/>
      <c r="D397" s="202"/>
      <c r="E397" s="177"/>
      <c r="F397" s="177"/>
      <c r="G397" s="248">
        <f t="shared" si="42"/>
        <v>0</v>
      </c>
      <c r="H397" s="171"/>
      <c r="I397" s="177"/>
      <c r="J397" s="167"/>
      <c r="K397" s="181"/>
      <c r="L397" s="353"/>
      <c r="M397" s="623"/>
      <c r="N397" s="166"/>
      <c r="O397" s="202"/>
      <c r="P397" s="177"/>
      <c r="Q397" s="177"/>
      <c r="R397" s="248">
        <f t="shared" si="43"/>
        <v>0</v>
      </c>
      <c r="S397" s="171"/>
      <c r="T397" s="177"/>
      <c r="U397" s="544"/>
      <c r="V397" s="167"/>
      <c r="W397" s="181"/>
    </row>
    <row r="398" spans="2:23" ht="15.5" hidden="1" x14ac:dyDescent="0.35">
      <c r="B398" s="623"/>
      <c r="C398" s="166"/>
      <c r="D398" s="202"/>
      <c r="E398" s="177"/>
      <c r="F398" s="177"/>
      <c r="G398" s="248">
        <f t="shared" si="42"/>
        <v>0</v>
      </c>
      <c r="H398" s="171"/>
      <c r="I398" s="177"/>
      <c r="J398" s="167"/>
      <c r="K398" s="181"/>
      <c r="L398" s="353"/>
      <c r="M398" s="623"/>
      <c r="N398" s="166"/>
      <c r="O398" s="202"/>
      <c r="P398" s="177"/>
      <c r="Q398" s="177"/>
      <c r="R398" s="248">
        <f t="shared" si="43"/>
        <v>0</v>
      </c>
      <c r="S398" s="171"/>
      <c r="T398" s="177"/>
      <c r="U398" s="544"/>
      <c r="V398" s="167"/>
      <c r="W398" s="181"/>
    </row>
    <row r="399" spans="2:23" ht="15.5" hidden="1" x14ac:dyDescent="0.35">
      <c r="B399" s="624"/>
      <c r="C399" s="166"/>
      <c r="D399" s="202"/>
      <c r="E399" s="177"/>
      <c r="F399" s="177"/>
      <c r="G399" s="248">
        <f t="shared" si="42"/>
        <v>0</v>
      </c>
      <c r="H399" s="171"/>
      <c r="I399" s="177"/>
      <c r="J399" s="167"/>
      <c r="K399" s="181"/>
      <c r="L399" s="353"/>
      <c r="M399" s="624"/>
      <c r="N399" s="166"/>
      <c r="O399" s="202"/>
      <c r="P399" s="177"/>
      <c r="Q399" s="177"/>
      <c r="R399" s="248">
        <f t="shared" si="43"/>
        <v>0</v>
      </c>
      <c r="S399" s="171"/>
      <c r="T399" s="177"/>
      <c r="U399" s="544"/>
      <c r="V399" s="167"/>
      <c r="W399" s="181"/>
    </row>
    <row r="400" spans="2:23" ht="15.5" hidden="1" x14ac:dyDescent="0.35">
      <c r="C400" s="73" t="s">
        <v>321</v>
      </c>
      <c r="D400" s="201">
        <f>SUM(D390:D399)</f>
        <v>0</v>
      </c>
      <c r="E400" s="10">
        <f>SUM(E390:E399)</f>
        <v>0</v>
      </c>
      <c r="F400" s="10">
        <f>SUM(F390:F399)</f>
        <v>0</v>
      </c>
      <c r="G400" s="10">
        <f>SUM(G390:G399)</f>
        <v>0</v>
      </c>
      <c r="H400" s="10">
        <f>(H390*G390)+(H391*G391)+(H392*G392)+(H393*G393)+(H394*G394)+(H395*G395)+(H396*G396)+(H397*G397)+(H398*G398)+(H399*G399)</f>
        <v>0</v>
      </c>
      <c r="I400" s="10">
        <f>SUM(I390:I399)</f>
        <v>0</v>
      </c>
      <c r="J400" s="170"/>
      <c r="K400" s="182"/>
      <c r="L400" s="353"/>
      <c r="N400" s="73" t="s">
        <v>321</v>
      </c>
      <c r="O400" s="201">
        <f>SUM(O390:O399)</f>
        <v>0</v>
      </c>
      <c r="P400" s="10">
        <f>SUM(P390:P399)</f>
        <v>0</v>
      </c>
      <c r="Q400" s="10">
        <f>SUM(Q390:Q399)</f>
        <v>0</v>
      </c>
      <c r="R400" s="10">
        <f>SUM(R390:R399)</f>
        <v>0</v>
      </c>
      <c r="S400" s="10">
        <f>(S390*R390)+(S391*R391)+(S392*R392)+(S393*R393)+(S394*R394)+(S395*R395)+(S396*R396)+(S397*R397)+(S398*R398)+(S399*R399)</f>
        <v>0</v>
      </c>
      <c r="T400" s="10">
        <f>SUM(T390:T399)</f>
        <v>0</v>
      </c>
      <c r="U400" s="545"/>
      <c r="V400" s="170"/>
      <c r="W400" s="182"/>
    </row>
    <row r="401" spans="2:23" ht="15.75" hidden="1" customHeight="1" x14ac:dyDescent="0.35">
      <c r="B401" s="4"/>
      <c r="C401" s="252"/>
      <c r="D401" s="258"/>
      <c r="E401" s="259"/>
      <c r="F401" s="259"/>
      <c r="G401" s="259"/>
      <c r="H401" s="259"/>
      <c r="I401" s="259"/>
      <c r="J401" s="260"/>
      <c r="K401" s="186"/>
      <c r="L401" s="353"/>
      <c r="M401" s="4"/>
      <c r="N401" s="252"/>
      <c r="O401" s="258"/>
      <c r="P401" s="259"/>
      <c r="Q401" s="259"/>
      <c r="R401" s="259"/>
      <c r="S401" s="259"/>
      <c r="T401" s="259"/>
      <c r="U401" s="551"/>
      <c r="V401" s="260"/>
      <c r="W401" s="186"/>
    </row>
    <row r="402" spans="2:23" ht="15.5" x14ac:dyDescent="0.35">
      <c r="B402" s="73" t="s">
        <v>322</v>
      </c>
      <c r="C402" s="634" t="s">
        <v>323</v>
      </c>
      <c r="D402" s="634"/>
      <c r="E402" s="634"/>
      <c r="F402" s="634"/>
      <c r="G402" s="634"/>
      <c r="H402" s="634"/>
      <c r="I402" s="635"/>
      <c r="J402" s="634"/>
      <c r="K402" s="185"/>
      <c r="L402" s="353"/>
      <c r="M402" s="73" t="s">
        <v>322</v>
      </c>
      <c r="N402" s="634" t="s">
        <v>323</v>
      </c>
      <c r="O402" s="634"/>
      <c r="P402" s="634"/>
      <c r="Q402" s="634"/>
      <c r="R402" s="634"/>
      <c r="S402" s="634"/>
      <c r="T402" s="635"/>
      <c r="U402" s="635"/>
      <c r="V402" s="634"/>
      <c r="W402" s="185"/>
    </row>
    <row r="403" spans="2:23" ht="29.5" customHeight="1" x14ac:dyDescent="0.35">
      <c r="B403" s="72" t="s">
        <v>24</v>
      </c>
      <c r="C403" s="630" t="s">
        <v>324</v>
      </c>
      <c r="D403" s="630"/>
      <c r="E403" s="630"/>
      <c r="F403" s="630"/>
      <c r="G403" s="630"/>
      <c r="H403" s="630"/>
      <c r="I403" s="631"/>
      <c r="J403" s="630"/>
      <c r="K403" s="183"/>
      <c r="L403" s="353"/>
      <c r="M403" s="72" t="s">
        <v>24</v>
      </c>
      <c r="N403" s="630" t="s">
        <v>324</v>
      </c>
      <c r="O403" s="630"/>
      <c r="P403" s="630"/>
      <c r="Q403" s="630"/>
      <c r="R403" s="630"/>
      <c r="S403" s="630"/>
      <c r="T403" s="631"/>
      <c r="U403" s="631"/>
      <c r="V403" s="630"/>
      <c r="W403" s="183"/>
    </row>
    <row r="404" spans="2:23" ht="33" customHeight="1" x14ac:dyDescent="0.35">
      <c r="B404" s="622" t="s">
        <v>325</v>
      </c>
      <c r="C404" s="166" t="s">
        <v>326</v>
      </c>
      <c r="D404" s="202">
        <v>9000</v>
      </c>
      <c r="E404" s="177"/>
      <c r="F404" s="177"/>
      <c r="G404" s="248">
        <f>D404+E404+F404</f>
        <v>9000</v>
      </c>
      <c r="H404" s="171">
        <v>0.4</v>
      </c>
      <c r="I404" s="177"/>
      <c r="J404" s="167" t="s">
        <v>327</v>
      </c>
      <c r="K404" s="181">
        <v>4</v>
      </c>
      <c r="L404" s="353"/>
      <c r="M404" s="622" t="s">
        <v>325</v>
      </c>
      <c r="N404" s="166" t="s">
        <v>326</v>
      </c>
      <c r="O404" s="202">
        <v>9000</v>
      </c>
      <c r="P404" s="177"/>
      <c r="Q404" s="177"/>
      <c r="R404" s="248">
        <f>O404+P404+Q404</f>
        <v>9000</v>
      </c>
      <c r="S404" s="171">
        <v>0.4</v>
      </c>
      <c r="T404" s="527">
        <v>9000</v>
      </c>
      <c r="U404" s="544"/>
      <c r="V404" s="167" t="s">
        <v>327</v>
      </c>
      <c r="W404" s="181">
        <v>4</v>
      </c>
    </row>
    <row r="405" spans="2:23" ht="15.5" x14ac:dyDescent="0.35">
      <c r="B405" s="623"/>
      <c r="C405" s="166"/>
      <c r="D405" s="202"/>
      <c r="E405" s="177"/>
      <c r="F405" s="177"/>
      <c r="G405" s="248">
        <f t="shared" ref="G405:G428" si="44">D405+E405+F405</f>
        <v>0</v>
      </c>
      <c r="H405" s="171"/>
      <c r="I405" s="177"/>
      <c r="J405" s="167"/>
      <c r="K405" s="181"/>
      <c r="L405" s="353"/>
      <c r="M405" s="623"/>
      <c r="N405" s="166"/>
      <c r="O405" s="202"/>
      <c r="P405" s="177"/>
      <c r="Q405" s="177"/>
      <c r="R405" s="248">
        <f t="shared" ref="R405:R428" si="45">O405+P405+Q405</f>
        <v>0</v>
      </c>
      <c r="S405" s="171"/>
      <c r="T405" s="527"/>
      <c r="U405" s="544"/>
      <c r="V405" s="167"/>
      <c r="W405" s="181"/>
    </row>
    <row r="406" spans="2:23" ht="15.5" x14ac:dyDescent="0.35">
      <c r="B406" s="623"/>
      <c r="C406" s="166"/>
      <c r="D406" s="202"/>
      <c r="E406" s="177"/>
      <c r="F406" s="177"/>
      <c r="G406" s="248">
        <f t="shared" si="44"/>
        <v>0</v>
      </c>
      <c r="H406" s="171"/>
      <c r="I406" s="177"/>
      <c r="J406" s="167"/>
      <c r="K406" s="181"/>
      <c r="L406" s="353"/>
      <c r="M406" s="623"/>
      <c r="N406" s="166"/>
      <c r="O406" s="202"/>
      <c r="P406" s="177"/>
      <c r="Q406" s="177"/>
      <c r="R406" s="248">
        <f t="shared" si="45"/>
        <v>0</v>
      </c>
      <c r="S406" s="171"/>
      <c r="T406" s="527"/>
      <c r="U406" s="544"/>
      <c r="V406" s="167"/>
      <c r="W406" s="181"/>
    </row>
    <row r="407" spans="2:23" ht="15.5" x14ac:dyDescent="0.35">
      <c r="B407" s="623"/>
      <c r="C407" s="166"/>
      <c r="D407" s="202"/>
      <c r="E407" s="177"/>
      <c r="F407" s="177"/>
      <c r="G407" s="248">
        <f t="shared" si="44"/>
        <v>0</v>
      </c>
      <c r="H407" s="171"/>
      <c r="I407" s="177"/>
      <c r="J407" s="167"/>
      <c r="K407" s="181"/>
      <c r="L407" s="353"/>
      <c r="M407" s="623"/>
      <c r="N407" s="166"/>
      <c r="O407" s="202"/>
      <c r="P407" s="177"/>
      <c r="Q407" s="177"/>
      <c r="R407" s="248">
        <f t="shared" si="45"/>
        <v>0</v>
      </c>
      <c r="S407" s="171"/>
      <c r="T407" s="527"/>
      <c r="U407" s="544"/>
      <c r="V407" s="167"/>
      <c r="W407" s="181"/>
    </row>
    <row r="408" spans="2:23" ht="15.5" x14ac:dyDescent="0.35">
      <c r="B408" s="624"/>
      <c r="C408" s="166"/>
      <c r="D408" s="202"/>
      <c r="E408" s="177"/>
      <c r="F408" s="177"/>
      <c r="G408" s="248">
        <f t="shared" si="44"/>
        <v>0</v>
      </c>
      <c r="H408" s="171"/>
      <c r="I408" s="177"/>
      <c r="J408" s="167"/>
      <c r="K408" s="181"/>
      <c r="L408" s="353"/>
      <c r="M408" s="624"/>
      <c r="N408" s="166"/>
      <c r="O408" s="202"/>
      <c r="P408" s="177"/>
      <c r="Q408" s="177"/>
      <c r="R408" s="248">
        <f t="shared" si="45"/>
        <v>0</v>
      </c>
      <c r="S408" s="171"/>
      <c r="T408" s="527"/>
      <c r="U408" s="544"/>
      <c r="V408" s="167"/>
      <c r="W408" s="181"/>
    </row>
    <row r="409" spans="2:23" ht="31" x14ac:dyDescent="0.35">
      <c r="B409" s="622" t="s">
        <v>328</v>
      </c>
      <c r="C409" s="166" t="s">
        <v>329</v>
      </c>
      <c r="D409" s="202">
        <v>498.93</v>
      </c>
      <c r="E409" s="177"/>
      <c r="F409" s="177"/>
      <c r="G409" s="248">
        <f t="shared" si="44"/>
        <v>498.93</v>
      </c>
      <c r="H409" s="171"/>
      <c r="I409" s="177"/>
      <c r="J409" s="167" t="s">
        <v>330</v>
      </c>
      <c r="K409" s="181">
        <v>4</v>
      </c>
      <c r="L409" s="353"/>
      <c r="M409" s="622" t="s">
        <v>328</v>
      </c>
      <c r="N409" s="166" t="s">
        <v>329</v>
      </c>
      <c r="O409" s="202">
        <v>498.93</v>
      </c>
      <c r="P409" s="177"/>
      <c r="Q409" s="177"/>
      <c r="R409" s="248">
        <f t="shared" si="45"/>
        <v>498.93</v>
      </c>
      <c r="S409" s="171"/>
      <c r="T409" s="527">
        <v>498.93</v>
      </c>
      <c r="U409" s="544"/>
      <c r="V409" s="167" t="s">
        <v>330</v>
      </c>
      <c r="W409" s="181">
        <v>4</v>
      </c>
    </row>
    <row r="410" spans="2:23" ht="33" customHeight="1" x14ac:dyDescent="0.35">
      <c r="B410" s="623"/>
      <c r="C410" s="166" t="s">
        <v>331</v>
      </c>
      <c r="D410" s="202">
        <v>4445</v>
      </c>
      <c r="E410" s="177"/>
      <c r="F410" s="177"/>
      <c r="G410" s="248">
        <f t="shared" si="44"/>
        <v>4445</v>
      </c>
      <c r="H410" s="171">
        <v>0.3</v>
      </c>
      <c r="I410" s="177"/>
      <c r="J410" s="167" t="s">
        <v>330</v>
      </c>
      <c r="K410" s="181">
        <v>4</v>
      </c>
      <c r="L410" s="353"/>
      <c r="M410" s="623"/>
      <c r="N410" s="166" t="s">
        <v>331</v>
      </c>
      <c r="O410" s="202">
        <v>4445</v>
      </c>
      <c r="P410" s="177"/>
      <c r="Q410" s="177"/>
      <c r="R410" s="248">
        <f t="shared" si="45"/>
        <v>4445</v>
      </c>
      <c r="S410" s="171">
        <v>0.3</v>
      </c>
      <c r="T410" s="527">
        <v>4445</v>
      </c>
      <c r="U410" s="544"/>
      <c r="V410" s="167" t="s">
        <v>330</v>
      </c>
      <c r="W410" s="181">
        <v>4</v>
      </c>
    </row>
    <row r="411" spans="2:23" ht="31" x14ac:dyDescent="0.35">
      <c r="B411" s="623"/>
      <c r="C411" s="166" t="s">
        <v>332</v>
      </c>
      <c r="D411" s="202">
        <v>2500</v>
      </c>
      <c r="E411" s="177"/>
      <c r="F411" s="177"/>
      <c r="G411" s="248">
        <f t="shared" si="44"/>
        <v>2500</v>
      </c>
      <c r="H411" s="171">
        <v>0.3</v>
      </c>
      <c r="I411" s="177"/>
      <c r="J411" s="167" t="s">
        <v>333</v>
      </c>
      <c r="K411" s="181">
        <v>7</v>
      </c>
      <c r="L411" s="353"/>
      <c r="M411" s="623"/>
      <c r="N411" s="166" t="s">
        <v>332</v>
      </c>
      <c r="O411" s="202">
        <v>2500</v>
      </c>
      <c r="P411" s="177"/>
      <c r="Q411" s="177"/>
      <c r="R411" s="248">
        <f t="shared" si="45"/>
        <v>2500</v>
      </c>
      <c r="S411" s="171">
        <v>0.3</v>
      </c>
      <c r="T411" s="527">
        <v>2500</v>
      </c>
      <c r="U411" s="544"/>
      <c r="V411" s="167" t="s">
        <v>333</v>
      </c>
      <c r="W411" s="181">
        <v>7</v>
      </c>
    </row>
    <row r="412" spans="2:23" ht="15.5" x14ac:dyDescent="0.35">
      <c r="B412" s="623"/>
      <c r="C412" s="166"/>
      <c r="D412" s="202"/>
      <c r="E412" s="177"/>
      <c r="F412" s="177"/>
      <c r="G412" s="248">
        <f t="shared" si="44"/>
        <v>0</v>
      </c>
      <c r="H412" s="171"/>
      <c r="I412" s="177"/>
      <c r="J412" s="167"/>
      <c r="K412" s="181"/>
      <c r="L412" s="353"/>
      <c r="M412" s="623"/>
      <c r="N412" s="166"/>
      <c r="O412" s="202"/>
      <c r="P412" s="177"/>
      <c r="Q412" s="177"/>
      <c r="R412" s="248">
        <f t="shared" si="45"/>
        <v>0</v>
      </c>
      <c r="S412" s="171"/>
      <c r="T412" s="527"/>
      <c r="U412" s="544"/>
      <c r="V412" s="167"/>
      <c r="W412" s="181"/>
    </row>
    <row r="413" spans="2:23" ht="15.5" x14ac:dyDescent="0.35">
      <c r="B413" s="624"/>
      <c r="C413" s="166"/>
      <c r="D413" s="202"/>
      <c r="E413" s="177"/>
      <c r="F413" s="177"/>
      <c r="G413" s="248">
        <f t="shared" si="44"/>
        <v>0</v>
      </c>
      <c r="H413" s="171"/>
      <c r="I413" s="177"/>
      <c r="J413" s="167"/>
      <c r="K413" s="181"/>
      <c r="L413" s="353"/>
      <c r="M413" s="624"/>
      <c r="N413" s="166"/>
      <c r="O413" s="202"/>
      <c r="P413" s="177"/>
      <c r="Q413" s="177"/>
      <c r="R413" s="248">
        <f t="shared" si="45"/>
        <v>0</v>
      </c>
      <c r="S413" s="171"/>
      <c r="T413" s="527"/>
      <c r="U413" s="544"/>
      <c r="V413" s="167"/>
      <c r="W413" s="181"/>
    </row>
    <row r="414" spans="2:23" ht="31" x14ac:dyDescent="0.35">
      <c r="B414" s="622" t="s">
        <v>334</v>
      </c>
      <c r="C414" s="166" t="s">
        <v>335</v>
      </c>
      <c r="D414" s="202">
        <v>10212.978999999999</v>
      </c>
      <c r="E414" s="177"/>
      <c r="F414" s="177"/>
      <c r="G414" s="248">
        <f t="shared" si="44"/>
        <v>10212.978999999999</v>
      </c>
      <c r="H414" s="171">
        <v>0.3</v>
      </c>
      <c r="I414" s="177"/>
      <c r="J414" s="167" t="s">
        <v>336</v>
      </c>
      <c r="K414" s="181">
        <v>6</v>
      </c>
      <c r="L414" s="353"/>
      <c r="M414" s="622" t="s">
        <v>334</v>
      </c>
      <c r="N414" s="166" t="s">
        <v>335</v>
      </c>
      <c r="O414" s="202">
        <v>10212.978999999999</v>
      </c>
      <c r="P414" s="177"/>
      <c r="Q414" s="177"/>
      <c r="R414" s="248">
        <f t="shared" si="45"/>
        <v>10212.978999999999</v>
      </c>
      <c r="S414" s="171">
        <v>0.3</v>
      </c>
      <c r="T414" s="527">
        <v>10212.98</v>
      </c>
      <c r="U414" s="544"/>
      <c r="V414" s="167" t="s">
        <v>336</v>
      </c>
      <c r="W414" s="181">
        <v>6</v>
      </c>
    </row>
    <row r="415" spans="2:23" ht="15.5" hidden="1" x14ac:dyDescent="0.35">
      <c r="B415" s="623"/>
      <c r="C415" s="166"/>
      <c r="D415" s="202"/>
      <c r="E415" s="177"/>
      <c r="F415" s="177"/>
      <c r="G415" s="248">
        <f t="shared" si="44"/>
        <v>0</v>
      </c>
      <c r="H415" s="171"/>
      <c r="I415" s="177"/>
      <c r="J415" s="167"/>
      <c r="K415" s="181"/>
      <c r="L415" s="353"/>
      <c r="M415" s="623"/>
      <c r="N415" s="166"/>
      <c r="O415" s="202"/>
      <c r="P415" s="177"/>
      <c r="Q415" s="177"/>
      <c r="R415" s="248">
        <f t="shared" si="45"/>
        <v>0</v>
      </c>
      <c r="S415" s="171"/>
      <c r="T415" s="527"/>
      <c r="U415" s="544"/>
      <c r="V415" s="167"/>
      <c r="W415" s="181"/>
    </row>
    <row r="416" spans="2:23" ht="15.5" hidden="1" x14ac:dyDescent="0.35">
      <c r="B416" s="623"/>
      <c r="C416" s="166"/>
      <c r="D416" s="202"/>
      <c r="E416" s="177"/>
      <c r="F416" s="177"/>
      <c r="G416" s="248">
        <f t="shared" si="44"/>
        <v>0</v>
      </c>
      <c r="H416" s="171"/>
      <c r="I416" s="177"/>
      <c r="J416" s="167"/>
      <c r="K416" s="181"/>
      <c r="L416" s="353"/>
      <c r="M416" s="623"/>
      <c r="N416" s="166"/>
      <c r="O416" s="202"/>
      <c r="P416" s="177"/>
      <c r="Q416" s="177"/>
      <c r="R416" s="248">
        <f t="shared" si="45"/>
        <v>0</v>
      </c>
      <c r="S416" s="171"/>
      <c r="T416" s="527"/>
      <c r="U416" s="544"/>
      <c r="V416" s="167"/>
      <c r="W416" s="181"/>
    </row>
    <row r="417" spans="2:23" ht="15.5" hidden="1" x14ac:dyDescent="0.35">
      <c r="B417" s="623"/>
      <c r="C417" s="166"/>
      <c r="D417" s="202"/>
      <c r="E417" s="177"/>
      <c r="F417" s="177"/>
      <c r="G417" s="248">
        <f t="shared" si="44"/>
        <v>0</v>
      </c>
      <c r="H417" s="171"/>
      <c r="I417" s="177"/>
      <c r="J417" s="167"/>
      <c r="K417" s="181"/>
      <c r="L417" s="353"/>
      <c r="M417" s="623"/>
      <c r="N417" s="166"/>
      <c r="O417" s="202"/>
      <c r="P417" s="177"/>
      <c r="Q417" s="177"/>
      <c r="R417" s="248">
        <f t="shared" si="45"/>
        <v>0</v>
      </c>
      <c r="S417" s="171"/>
      <c r="T417" s="527"/>
      <c r="U417" s="544"/>
      <c r="V417" s="167"/>
      <c r="W417" s="181"/>
    </row>
    <row r="418" spans="2:23" ht="15.5" hidden="1" x14ac:dyDescent="0.35">
      <c r="B418" s="624"/>
      <c r="C418" s="166"/>
      <c r="D418" s="202"/>
      <c r="E418" s="177"/>
      <c r="F418" s="177"/>
      <c r="G418" s="248">
        <f t="shared" si="44"/>
        <v>0</v>
      </c>
      <c r="H418" s="171"/>
      <c r="I418" s="177"/>
      <c r="J418" s="167"/>
      <c r="K418" s="181"/>
      <c r="L418" s="353"/>
      <c r="M418" s="624"/>
      <c r="N418" s="166"/>
      <c r="O418" s="202"/>
      <c r="P418" s="177"/>
      <c r="Q418" s="177"/>
      <c r="R418" s="248">
        <f t="shared" si="45"/>
        <v>0</v>
      </c>
      <c r="S418" s="171"/>
      <c r="T418" s="527"/>
      <c r="U418" s="544"/>
      <c r="V418" s="167"/>
      <c r="W418" s="181"/>
    </row>
    <row r="419" spans="2:23" ht="15.5" hidden="1" x14ac:dyDescent="0.35">
      <c r="B419" s="622" t="s">
        <v>337</v>
      </c>
      <c r="C419" s="166"/>
      <c r="D419" s="202"/>
      <c r="E419" s="177"/>
      <c r="F419" s="177"/>
      <c r="G419" s="248">
        <f t="shared" si="44"/>
        <v>0</v>
      </c>
      <c r="H419" s="171"/>
      <c r="I419" s="177"/>
      <c r="J419" s="167"/>
      <c r="K419" s="181"/>
      <c r="L419" s="353"/>
      <c r="M419" s="622" t="s">
        <v>337</v>
      </c>
      <c r="N419" s="166"/>
      <c r="O419" s="202"/>
      <c r="P419" s="177"/>
      <c r="Q419" s="177"/>
      <c r="R419" s="248">
        <f t="shared" si="45"/>
        <v>0</v>
      </c>
      <c r="S419" s="171"/>
      <c r="T419" s="177"/>
      <c r="U419" s="544"/>
      <c r="V419" s="167"/>
      <c r="W419" s="181"/>
    </row>
    <row r="420" spans="2:23" ht="15.5" hidden="1" x14ac:dyDescent="0.35">
      <c r="B420" s="623"/>
      <c r="C420" s="166"/>
      <c r="D420" s="202"/>
      <c r="E420" s="177"/>
      <c r="F420" s="177"/>
      <c r="G420" s="248">
        <f t="shared" si="44"/>
        <v>0</v>
      </c>
      <c r="H420" s="171"/>
      <c r="I420" s="177"/>
      <c r="J420" s="167"/>
      <c r="K420" s="181"/>
      <c r="L420" s="353"/>
      <c r="M420" s="623"/>
      <c r="N420" s="166"/>
      <c r="O420" s="202"/>
      <c r="P420" s="177"/>
      <c r="Q420" s="177"/>
      <c r="R420" s="248">
        <f t="shared" si="45"/>
        <v>0</v>
      </c>
      <c r="S420" s="171"/>
      <c r="T420" s="177"/>
      <c r="U420" s="544"/>
      <c r="V420" s="167"/>
      <c r="W420" s="181"/>
    </row>
    <row r="421" spans="2:23" ht="15.5" hidden="1" x14ac:dyDescent="0.35">
      <c r="B421" s="623"/>
      <c r="C421" s="166"/>
      <c r="D421" s="202"/>
      <c r="E421" s="177"/>
      <c r="F421" s="177"/>
      <c r="G421" s="248">
        <f t="shared" si="44"/>
        <v>0</v>
      </c>
      <c r="H421" s="171"/>
      <c r="I421" s="177"/>
      <c r="J421" s="167"/>
      <c r="K421" s="181"/>
      <c r="L421" s="353"/>
      <c r="M421" s="623"/>
      <c r="N421" s="166"/>
      <c r="O421" s="202"/>
      <c r="P421" s="177"/>
      <c r="Q421" s="177"/>
      <c r="R421" s="248">
        <f t="shared" si="45"/>
        <v>0</v>
      </c>
      <c r="S421" s="171"/>
      <c r="T421" s="177"/>
      <c r="U421" s="544"/>
      <c r="V421" s="167"/>
      <c r="W421" s="181"/>
    </row>
    <row r="422" spans="2:23" ht="15.5" hidden="1" x14ac:dyDescent="0.35">
      <c r="B422" s="623"/>
      <c r="C422" s="166"/>
      <c r="D422" s="202"/>
      <c r="E422" s="177"/>
      <c r="F422" s="177"/>
      <c r="G422" s="248">
        <f t="shared" si="44"/>
        <v>0</v>
      </c>
      <c r="H422" s="171"/>
      <c r="I422" s="177"/>
      <c r="J422" s="167"/>
      <c r="K422" s="181"/>
      <c r="L422" s="353"/>
      <c r="M422" s="623"/>
      <c r="N422" s="166"/>
      <c r="O422" s="202"/>
      <c r="P422" s="177"/>
      <c r="Q422" s="177"/>
      <c r="R422" s="248">
        <f t="shared" si="45"/>
        <v>0</v>
      </c>
      <c r="S422" s="171"/>
      <c r="T422" s="177"/>
      <c r="U422" s="544"/>
      <c r="V422" s="167"/>
      <c r="W422" s="181"/>
    </row>
    <row r="423" spans="2:23" ht="15.5" hidden="1" x14ac:dyDescent="0.35">
      <c r="B423" s="624"/>
      <c r="C423" s="166"/>
      <c r="D423" s="202"/>
      <c r="E423" s="177"/>
      <c r="F423" s="177"/>
      <c r="G423" s="248">
        <f t="shared" si="44"/>
        <v>0</v>
      </c>
      <c r="H423" s="171"/>
      <c r="I423" s="177"/>
      <c r="J423" s="167"/>
      <c r="K423" s="181"/>
      <c r="L423" s="353"/>
      <c r="M423" s="624"/>
      <c r="N423" s="166"/>
      <c r="O423" s="202"/>
      <c r="P423" s="177"/>
      <c r="Q423" s="177"/>
      <c r="R423" s="248">
        <f t="shared" si="45"/>
        <v>0</v>
      </c>
      <c r="S423" s="171"/>
      <c r="T423" s="177"/>
      <c r="U423" s="544"/>
      <c r="V423" s="167"/>
      <c r="W423" s="181"/>
    </row>
    <row r="424" spans="2:23" ht="15.5" hidden="1" x14ac:dyDescent="0.35">
      <c r="B424" s="622" t="s">
        <v>338</v>
      </c>
      <c r="C424" s="166"/>
      <c r="D424" s="202"/>
      <c r="E424" s="177"/>
      <c r="F424" s="177"/>
      <c r="G424" s="248">
        <f t="shared" si="44"/>
        <v>0</v>
      </c>
      <c r="H424" s="171"/>
      <c r="I424" s="177"/>
      <c r="J424" s="167"/>
      <c r="K424" s="181"/>
      <c r="L424" s="353"/>
      <c r="M424" s="622" t="s">
        <v>338</v>
      </c>
      <c r="N424" s="166"/>
      <c r="O424" s="202"/>
      <c r="P424" s="177"/>
      <c r="Q424" s="177"/>
      <c r="R424" s="248">
        <f t="shared" si="45"/>
        <v>0</v>
      </c>
      <c r="S424" s="171"/>
      <c r="T424" s="177"/>
      <c r="U424" s="544"/>
      <c r="V424" s="167"/>
      <c r="W424" s="181"/>
    </row>
    <row r="425" spans="2:23" ht="15.5" hidden="1" x14ac:dyDescent="0.35">
      <c r="B425" s="623"/>
      <c r="C425" s="166"/>
      <c r="D425" s="202"/>
      <c r="E425" s="177"/>
      <c r="F425" s="177"/>
      <c r="G425" s="248">
        <f t="shared" si="44"/>
        <v>0</v>
      </c>
      <c r="H425" s="171"/>
      <c r="I425" s="177"/>
      <c r="J425" s="167"/>
      <c r="K425" s="181"/>
      <c r="L425" s="353"/>
      <c r="M425" s="623"/>
      <c r="N425" s="166"/>
      <c r="O425" s="202"/>
      <c r="P425" s="177"/>
      <c r="Q425" s="177"/>
      <c r="R425" s="248">
        <f t="shared" si="45"/>
        <v>0</v>
      </c>
      <c r="S425" s="171"/>
      <c r="T425" s="177"/>
      <c r="U425" s="544"/>
      <c r="V425" s="167"/>
      <c r="W425" s="181"/>
    </row>
    <row r="426" spans="2:23" ht="15.5" hidden="1" x14ac:dyDescent="0.35">
      <c r="B426" s="623"/>
      <c r="C426" s="166"/>
      <c r="D426" s="202"/>
      <c r="E426" s="177"/>
      <c r="F426" s="177"/>
      <c r="G426" s="248">
        <f t="shared" si="44"/>
        <v>0</v>
      </c>
      <c r="H426" s="171"/>
      <c r="I426" s="177"/>
      <c r="J426" s="167"/>
      <c r="K426" s="181"/>
      <c r="L426" s="353"/>
      <c r="M426" s="623"/>
      <c r="N426" s="166"/>
      <c r="O426" s="202"/>
      <c r="P426" s="177"/>
      <c r="Q426" s="177"/>
      <c r="R426" s="248">
        <f t="shared" si="45"/>
        <v>0</v>
      </c>
      <c r="S426" s="171"/>
      <c r="T426" s="177"/>
      <c r="U426" s="544"/>
      <c r="V426" s="167"/>
      <c r="W426" s="181"/>
    </row>
    <row r="427" spans="2:23" ht="15.5" hidden="1" x14ac:dyDescent="0.35">
      <c r="B427" s="623"/>
      <c r="C427" s="245"/>
      <c r="D427" s="202"/>
      <c r="E427" s="251"/>
      <c r="F427" s="251"/>
      <c r="G427" s="248">
        <f t="shared" si="44"/>
        <v>0</v>
      </c>
      <c r="H427" s="250"/>
      <c r="I427" s="251"/>
      <c r="J427" s="170"/>
      <c r="K427" s="181"/>
      <c r="L427" s="353"/>
      <c r="M427" s="623"/>
      <c r="N427" s="245"/>
      <c r="O427" s="202"/>
      <c r="P427" s="251"/>
      <c r="Q427" s="251"/>
      <c r="R427" s="248">
        <f t="shared" si="45"/>
        <v>0</v>
      </c>
      <c r="S427" s="250"/>
      <c r="T427" s="251"/>
      <c r="U427" s="544"/>
      <c r="V427" s="170"/>
      <c r="W427" s="181"/>
    </row>
    <row r="428" spans="2:23" ht="15.5" hidden="1" x14ac:dyDescent="0.35">
      <c r="B428" s="624"/>
      <c r="C428" s="245"/>
      <c r="D428" s="202"/>
      <c r="E428" s="251"/>
      <c r="F428" s="251"/>
      <c r="G428" s="248">
        <f t="shared" si="44"/>
        <v>0</v>
      </c>
      <c r="H428" s="250"/>
      <c r="I428" s="251"/>
      <c r="J428" s="170"/>
      <c r="K428" s="181"/>
      <c r="L428" s="353"/>
      <c r="M428" s="624"/>
      <c r="N428" s="245"/>
      <c r="O428" s="202"/>
      <c r="P428" s="251"/>
      <c r="Q428" s="251"/>
      <c r="R428" s="248">
        <f t="shared" si="45"/>
        <v>0</v>
      </c>
      <c r="S428" s="250"/>
      <c r="T428" s="251"/>
      <c r="U428" s="544"/>
      <c r="V428" s="170"/>
      <c r="W428" s="181"/>
    </row>
    <row r="429" spans="2:23" ht="15.5" x14ac:dyDescent="0.35">
      <c r="C429" s="73" t="s">
        <v>339</v>
      </c>
      <c r="D429" s="201">
        <f>SUM(D404:D428)</f>
        <v>26656.909</v>
      </c>
      <c r="E429" s="10">
        <f t="shared" ref="E429:F429" si="46">SUM(E404:E428)</f>
        <v>0</v>
      </c>
      <c r="F429" s="10">
        <f t="shared" si="46"/>
        <v>0</v>
      </c>
      <c r="G429" s="10">
        <f>SUM(G404:G428)</f>
        <v>26656.909</v>
      </c>
      <c r="H429" s="10">
        <f>(H404*G404)+(H405*G405)+(H406*G406)+(H407*G407)+(H408*G408)+(H409*G409)+(H410*G410)+(H411*G411)+(H412*G412)+(H413*G413)+(H414*G414)+(H415*G415)+(H416*G416)+(H417*G417)+(H418*G418)+(H419*G419)+(H420*G420)+(H421*G421)+(H422*G422)+(H423*G423)+(H424*G424)+(H425*G425)+(H426*G426)+(H427*G427)+(H428*G428)</f>
        <v>8747.3937000000005</v>
      </c>
      <c r="I429" s="10">
        <f>SUM(I404:I428)</f>
        <v>0</v>
      </c>
      <c r="J429" s="170"/>
      <c r="K429" s="182"/>
      <c r="L429" s="353"/>
      <c r="N429" s="73" t="s">
        <v>339</v>
      </c>
      <c r="O429" s="201">
        <f>SUM(O404:O428)</f>
        <v>26656.909</v>
      </c>
      <c r="P429" s="10">
        <f t="shared" ref="P429:Q429" si="47">SUM(P404:P428)</f>
        <v>0</v>
      </c>
      <c r="Q429" s="10">
        <f t="shared" si="47"/>
        <v>0</v>
      </c>
      <c r="R429" s="10">
        <f>SUM(R404:R428)</f>
        <v>26656.909</v>
      </c>
      <c r="S429" s="10">
        <f>(S404*R404)+(S405*R405)+(S406*R406)+(S407*R407)+(S408*R408)+(S409*R409)+(S410*R410)+(S411*R411)+(S412*R412)+(S413*R413)+(S414*R414)+(S415*R415)+(S416*R416)+(S417*R417)+(S418*R418)+(S419*R419)+(S420*R420)+(S421*R421)+(S422*R422)+(S423*R423)+(S424*R424)+(S425*R425)+(S426*R426)+(S427*R427)+(S428*R428)</f>
        <v>8747.3937000000005</v>
      </c>
      <c r="T429" s="10">
        <f>SUM(T404:T428)</f>
        <v>26656.91</v>
      </c>
      <c r="U429" s="545"/>
      <c r="V429" s="170"/>
      <c r="W429" s="182"/>
    </row>
    <row r="430" spans="2:23" ht="36" customHeight="1" x14ac:dyDescent="0.35">
      <c r="B430" s="72" t="s">
        <v>25</v>
      </c>
      <c r="C430" s="630" t="s">
        <v>340</v>
      </c>
      <c r="D430" s="630"/>
      <c r="E430" s="630"/>
      <c r="F430" s="630"/>
      <c r="G430" s="630"/>
      <c r="H430" s="630"/>
      <c r="I430" s="631"/>
      <c r="J430" s="630"/>
      <c r="K430" s="183"/>
      <c r="L430" s="353"/>
      <c r="M430" s="72" t="s">
        <v>25</v>
      </c>
      <c r="N430" s="630" t="s">
        <v>340</v>
      </c>
      <c r="O430" s="630"/>
      <c r="P430" s="630"/>
      <c r="Q430" s="630"/>
      <c r="R430" s="630"/>
      <c r="S430" s="630"/>
      <c r="T430" s="631"/>
      <c r="U430" s="631"/>
      <c r="V430" s="630"/>
      <c r="W430" s="183"/>
    </row>
    <row r="431" spans="2:23" ht="15.5" x14ac:dyDescent="0.35">
      <c r="B431" s="622" t="s">
        <v>341</v>
      </c>
      <c r="C431" s="166" t="s">
        <v>342</v>
      </c>
      <c r="D431" s="202">
        <v>2000</v>
      </c>
      <c r="E431" s="177"/>
      <c r="F431" s="177"/>
      <c r="G431" s="248">
        <f>D431+E431+F431</f>
        <v>2000</v>
      </c>
      <c r="H431" s="171"/>
      <c r="I431" s="177"/>
      <c r="J431" s="167" t="s">
        <v>336</v>
      </c>
      <c r="K431" s="181">
        <v>6</v>
      </c>
      <c r="L431" s="353"/>
      <c r="M431" s="622" t="s">
        <v>341</v>
      </c>
      <c r="N431" s="166" t="s">
        <v>342</v>
      </c>
      <c r="O431" s="202">
        <v>2000</v>
      </c>
      <c r="P431" s="177"/>
      <c r="Q431" s="177"/>
      <c r="R431" s="248">
        <f>O431+P431+Q431</f>
        <v>2000</v>
      </c>
      <c r="S431" s="171"/>
      <c r="T431" s="527">
        <v>2000</v>
      </c>
      <c r="U431" s="544"/>
      <c r="V431" s="167" t="s">
        <v>336</v>
      </c>
      <c r="W431" s="181">
        <v>6</v>
      </c>
    </row>
    <row r="432" spans="2:23" ht="31" x14ac:dyDescent="0.35">
      <c r="B432" s="623"/>
      <c r="C432" s="166" t="s">
        <v>343</v>
      </c>
      <c r="D432" s="202">
        <v>6000</v>
      </c>
      <c r="E432" s="177"/>
      <c r="F432" s="177"/>
      <c r="G432" s="248">
        <f t="shared" ref="G432:G450" si="48">D432+E432+F432</f>
        <v>6000</v>
      </c>
      <c r="H432" s="171">
        <v>0.3</v>
      </c>
      <c r="I432" s="177"/>
      <c r="J432" s="167" t="s">
        <v>336</v>
      </c>
      <c r="K432" s="181">
        <v>6</v>
      </c>
      <c r="L432" s="353"/>
      <c r="M432" s="623"/>
      <c r="N432" s="166" t="s">
        <v>343</v>
      </c>
      <c r="O432" s="202">
        <v>6000</v>
      </c>
      <c r="P432" s="177"/>
      <c r="Q432" s="177"/>
      <c r="R432" s="248">
        <f t="shared" ref="R432:R475" si="49">O432+P432+Q432</f>
        <v>6000</v>
      </c>
      <c r="S432" s="171">
        <v>0.3</v>
      </c>
      <c r="T432" s="527">
        <v>6000</v>
      </c>
      <c r="U432" s="544">
        <f>T432*30/100</f>
        <v>1800</v>
      </c>
      <c r="V432" s="167" t="s">
        <v>336</v>
      </c>
      <c r="W432" s="181">
        <v>6</v>
      </c>
    </row>
    <row r="433" spans="2:23" ht="15.5" x14ac:dyDescent="0.35">
      <c r="B433" s="623"/>
      <c r="C433" s="166" t="s">
        <v>344</v>
      </c>
      <c r="D433" s="202">
        <v>2000</v>
      </c>
      <c r="E433" s="177"/>
      <c r="F433" s="177"/>
      <c r="G433" s="248">
        <f t="shared" si="48"/>
        <v>2000</v>
      </c>
      <c r="H433" s="171"/>
      <c r="I433" s="177"/>
      <c r="J433" s="167" t="s">
        <v>336</v>
      </c>
      <c r="K433" s="181">
        <v>6</v>
      </c>
      <c r="L433" s="353"/>
      <c r="M433" s="623"/>
      <c r="N433" s="166" t="s">
        <v>344</v>
      </c>
      <c r="O433" s="202">
        <v>2000</v>
      </c>
      <c r="P433" s="177"/>
      <c r="Q433" s="177"/>
      <c r="R433" s="248">
        <f t="shared" si="49"/>
        <v>2000</v>
      </c>
      <c r="S433" s="171"/>
      <c r="T433" s="527">
        <v>2000</v>
      </c>
      <c r="U433" s="544">
        <f t="shared" ref="U433:U474" si="50">T433*30/100</f>
        <v>600</v>
      </c>
      <c r="V433" s="167" t="s">
        <v>336</v>
      </c>
      <c r="W433" s="181">
        <v>6</v>
      </c>
    </row>
    <row r="434" spans="2:23" ht="15.5" x14ac:dyDescent="0.35">
      <c r="B434" s="623"/>
      <c r="C434" s="166"/>
      <c r="D434" s="202"/>
      <c r="E434" s="177"/>
      <c r="F434" s="177"/>
      <c r="G434" s="248">
        <f t="shared" si="48"/>
        <v>0</v>
      </c>
      <c r="H434" s="171"/>
      <c r="I434" s="177"/>
      <c r="J434" s="167"/>
      <c r="K434" s="181"/>
      <c r="L434" s="353"/>
      <c r="M434" s="623"/>
      <c r="N434" s="166"/>
      <c r="O434" s="202"/>
      <c r="P434" s="177"/>
      <c r="Q434" s="177"/>
      <c r="R434" s="248">
        <f t="shared" si="49"/>
        <v>0</v>
      </c>
      <c r="S434" s="171"/>
      <c r="T434" s="527"/>
      <c r="U434" s="544">
        <f t="shared" si="50"/>
        <v>0</v>
      </c>
      <c r="V434" s="167"/>
      <c r="W434" s="181"/>
    </row>
    <row r="435" spans="2:23" ht="15.5" x14ac:dyDescent="0.35">
      <c r="B435" s="624"/>
      <c r="C435" s="166"/>
      <c r="D435" s="202"/>
      <c r="E435" s="177"/>
      <c r="F435" s="177"/>
      <c r="G435" s="248">
        <f t="shared" si="48"/>
        <v>0</v>
      </c>
      <c r="H435" s="171"/>
      <c r="I435" s="177"/>
      <c r="J435" s="167"/>
      <c r="K435" s="181"/>
      <c r="L435" s="353"/>
      <c r="M435" s="624"/>
      <c r="N435" s="166"/>
      <c r="O435" s="202"/>
      <c r="P435" s="177"/>
      <c r="Q435" s="177"/>
      <c r="R435" s="248">
        <f t="shared" si="49"/>
        <v>0</v>
      </c>
      <c r="S435" s="171"/>
      <c r="T435" s="527"/>
      <c r="U435" s="544">
        <f t="shared" si="50"/>
        <v>0</v>
      </c>
      <c r="V435" s="167"/>
      <c r="W435" s="181"/>
    </row>
    <row r="436" spans="2:23" ht="15.5" x14ac:dyDescent="0.35">
      <c r="B436" s="622" t="s">
        <v>345</v>
      </c>
      <c r="C436" s="166" t="s">
        <v>346</v>
      </c>
      <c r="D436" s="202">
        <v>10000</v>
      </c>
      <c r="E436" s="177"/>
      <c r="F436" s="177"/>
      <c r="G436" s="248">
        <f t="shared" si="48"/>
        <v>10000</v>
      </c>
      <c r="H436" s="171">
        <v>0.3</v>
      </c>
      <c r="I436" s="177"/>
      <c r="J436" s="167" t="s">
        <v>347</v>
      </c>
      <c r="K436" s="181">
        <v>4</v>
      </c>
      <c r="L436" s="353"/>
      <c r="M436" s="622" t="s">
        <v>345</v>
      </c>
      <c r="N436" s="166" t="s">
        <v>346</v>
      </c>
      <c r="O436" s="202">
        <v>10000</v>
      </c>
      <c r="P436" s="177"/>
      <c r="Q436" s="177"/>
      <c r="R436" s="248">
        <f t="shared" si="49"/>
        <v>10000</v>
      </c>
      <c r="S436" s="171">
        <v>0.3</v>
      </c>
      <c r="T436" s="527">
        <v>10000</v>
      </c>
      <c r="U436" s="544">
        <f t="shared" si="50"/>
        <v>3000</v>
      </c>
      <c r="V436" s="167" t="s">
        <v>347</v>
      </c>
      <c r="W436" s="181">
        <v>4</v>
      </c>
    </row>
    <row r="437" spans="2:23" ht="15.5" x14ac:dyDescent="0.35">
      <c r="B437" s="623"/>
      <c r="C437" s="166"/>
      <c r="D437" s="202"/>
      <c r="E437" s="177"/>
      <c r="F437" s="177"/>
      <c r="G437" s="248">
        <f t="shared" si="48"/>
        <v>0</v>
      </c>
      <c r="H437" s="171"/>
      <c r="I437" s="177"/>
      <c r="J437" s="167"/>
      <c r="K437" s="181"/>
      <c r="L437" s="353"/>
      <c r="M437" s="623"/>
      <c r="N437" s="166"/>
      <c r="O437" s="202"/>
      <c r="P437" s="177"/>
      <c r="Q437" s="177"/>
      <c r="R437" s="248">
        <f t="shared" si="49"/>
        <v>0</v>
      </c>
      <c r="S437" s="171"/>
      <c r="T437" s="527"/>
      <c r="U437" s="544">
        <f t="shared" si="50"/>
        <v>0</v>
      </c>
      <c r="V437" s="167"/>
      <c r="W437" s="181"/>
    </row>
    <row r="438" spans="2:23" ht="15.5" x14ac:dyDescent="0.35">
      <c r="B438" s="623"/>
      <c r="C438" s="166"/>
      <c r="D438" s="202"/>
      <c r="E438" s="177"/>
      <c r="F438" s="177"/>
      <c r="G438" s="248">
        <f t="shared" si="48"/>
        <v>0</v>
      </c>
      <c r="H438" s="171"/>
      <c r="I438" s="177"/>
      <c r="J438" s="167"/>
      <c r="K438" s="181"/>
      <c r="L438" s="353"/>
      <c r="M438" s="623"/>
      <c r="N438" s="166"/>
      <c r="O438" s="202"/>
      <c r="P438" s="177"/>
      <c r="Q438" s="177"/>
      <c r="R438" s="248">
        <f t="shared" si="49"/>
        <v>0</v>
      </c>
      <c r="S438" s="171"/>
      <c r="T438" s="527"/>
      <c r="U438" s="544">
        <f t="shared" si="50"/>
        <v>0</v>
      </c>
      <c r="V438" s="167"/>
      <c r="W438" s="181"/>
    </row>
    <row r="439" spans="2:23" ht="15.5" x14ac:dyDescent="0.35">
      <c r="B439" s="623"/>
      <c r="C439" s="166"/>
      <c r="D439" s="202"/>
      <c r="E439" s="177"/>
      <c r="F439" s="177"/>
      <c r="G439" s="248">
        <f t="shared" si="48"/>
        <v>0</v>
      </c>
      <c r="H439" s="171"/>
      <c r="I439" s="177"/>
      <c r="J439" s="167"/>
      <c r="K439" s="181"/>
      <c r="L439" s="353"/>
      <c r="M439" s="623"/>
      <c r="N439" s="166"/>
      <c r="O439" s="202"/>
      <c r="P439" s="177"/>
      <c r="Q439" s="177"/>
      <c r="R439" s="248">
        <f t="shared" si="49"/>
        <v>0</v>
      </c>
      <c r="S439" s="171"/>
      <c r="T439" s="527"/>
      <c r="U439" s="544">
        <f t="shared" si="50"/>
        <v>0</v>
      </c>
      <c r="V439" s="167"/>
      <c r="W439" s="181"/>
    </row>
    <row r="440" spans="2:23" ht="15.5" x14ac:dyDescent="0.35">
      <c r="B440" s="624"/>
      <c r="C440" s="166"/>
      <c r="D440" s="202"/>
      <c r="E440" s="177"/>
      <c r="F440" s="177"/>
      <c r="G440" s="248">
        <f t="shared" si="48"/>
        <v>0</v>
      </c>
      <c r="H440" s="171"/>
      <c r="I440" s="177"/>
      <c r="J440" s="167"/>
      <c r="K440" s="181"/>
      <c r="L440" s="353"/>
      <c r="M440" s="624"/>
      <c r="N440" s="166"/>
      <c r="O440" s="202"/>
      <c r="P440" s="177"/>
      <c r="Q440" s="177"/>
      <c r="R440" s="248">
        <f t="shared" si="49"/>
        <v>0</v>
      </c>
      <c r="S440" s="171"/>
      <c r="T440" s="527"/>
      <c r="U440" s="544">
        <f t="shared" si="50"/>
        <v>0</v>
      </c>
      <c r="V440" s="167"/>
      <c r="W440" s="181"/>
    </row>
    <row r="441" spans="2:23" ht="31" x14ac:dyDescent="0.35">
      <c r="B441" s="622" t="s">
        <v>348</v>
      </c>
      <c r="C441" s="166" t="s">
        <v>349</v>
      </c>
      <c r="D441" s="202">
        <v>2000</v>
      </c>
      <c r="E441" s="177"/>
      <c r="F441" s="177"/>
      <c r="G441" s="248">
        <f t="shared" si="48"/>
        <v>2000</v>
      </c>
      <c r="H441" s="171">
        <v>0.3</v>
      </c>
      <c r="I441" s="177"/>
      <c r="J441" s="167" t="s">
        <v>350</v>
      </c>
      <c r="K441" s="181">
        <v>4</v>
      </c>
      <c r="L441" s="353"/>
      <c r="M441" s="622" t="s">
        <v>348</v>
      </c>
      <c r="N441" s="166" t="s">
        <v>349</v>
      </c>
      <c r="O441" s="202">
        <v>2000</v>
      </c>
      <c r="P441" s="177"/>
      <c r="Q441" s="177"/>
      <c r="R441" s="248">
        <f t="shared" si="49"/>
        <v>2000</v>
      </c>
      <c r="S441" s="171">
        <v>0.3</v>
      </c>
      <c r="T441" s="527">
        <v>2000</v>
      </c>
      <c r="U441" s="544">
        <f t="shared" si="50"/>
        <v>600</v>
      </c>
      <c r="V441" s="167" t="s">
        <v>350</v>
      </c>
      <c r="W441" s="181">
        <v>4</v>
      </c>
    </row>
    <row r="442" spans="2:23" ht="15.5" x14ac:dyDescent="0.35">
      <c r="B442" s="623"/>
      <c r="C442" s="166" t="s">
        <v>97</v>
      </c>
      <c r="D442" s="202">
        <v>1000</v>
      </c>
      <c r="E442" s="177"/>
      <c r="F442" s="177"/>
      <c r="G442" s="248">
        <f t="shared" si="48"/>
        <v>1000</v>
      </c>
      <c r="H442" s="171">
        <v>0.3</v>
      </c>
      <c r="I442" s="177"/>
      <c r="J442" s="167" t="s">
        <v>201</v>
      </c>
      <c r="K442" s="181">
        <v>5</v>
      </c>
      <c r="L442" s="353"/>
      <c r="M442" s="623"/>
      <c r="N442" s="166" t="s">
        <v>97</v>
      </c>
      <c r="O442" s="202">
        <v>1000</v>
      </c>
      <c r="P442" s="177"/>
      <c r="Q442" s="177"/>
      <c r="R442" s="248">
        <f t="shared" si="49"/>
        <v>1000</v>
      </c>
      <c r="S442" s="171">
        <v>0.3</v>
      </c>
      <c r="T442" s="527">
        <v>1000</v>
      </c>
      <c r="U442" s="544">
        <f t="shared" si="50"/>
        <v>300</v>
      </c>
      <c r="V442" s="167" t="s">
        <v>201</v>
      </c>
      <c r="W442" s="181">
        <v>5</v>
      </c>
    </row>
    <row r="443" spans="2:23" ht="31" x14ac:dyDescent="0.35">
      <c r="B443" s="623"/>
      <c r="C443" s="166" t="s">
        <v>266</v>
      </c>
      <c r="D443" s="202">
        <v>8000</v>
      </c>
      <c r="E443" s="177"/>
      <c r="F443" s="177"/>
      <c r="G443" s="248">
        <f t="shared" si="48"/>
        <v>8000</v>
      </c>
      <c r="H443" s="171">
        <v>0.3</v>
      </c>
      <c r="I443" s="177"/>
      <c r="J443" s="167" t="s">
        <v>213</v>
      </c>
      <c r="K443" s="181">
        <v>7</v>
      </c>
      <c r="L443" s="353"/>
      <c r="M443" s="623"/>
      <c r="N443" s="166" t="s">
        <v>266</v>
      </c>
      <c r="O443" s="202">
        <v>8000</v>
      </c>
      <c r="P443" s="177"/>
      <c r="Q443" s="177"/>
      <c r="R443" s="248">
        <f t="shared" si="49"/>
        <v>8000</v>
      </c>
      <c r="S443" s="171">
        <v>0.3</v>
      </c>
      <c r="T443" s="527">
        <v>8000</v>
      </c>
      <c r="U443" s="544">
        <f t="shared" si="50"/>
        <v>2400</v>
      </c>
      <c r="V443" s="167" t="s">
        <v>213</v>
      </c>
      <c r="W443" s="181">
        <v>7</v>
      </c>
    </row>
    <row r="444" spans="2:23" ht="15.5" x14ac:dyDescent="0.35">
      <c r="B444" s="623"/>
      <c r="C444" s="166"/>
      <c r="D444" s="202"/>
      <c r="E444" s="177"/>
      <c r="F444" s="177"/>
      <c r="G444" s="248">
        <f t="shared" si="48"/>
        <v>0</v>
      </c>
      <c r="H444" s="171"/>
      <c r="I444" s="177"/>
      <c r="J444" s="167"/>
      <c r="K444" s="181"/>
      <c r="L444" s="353"/>
      <c r="M444" s="623"/>
      <c r="N444" s="166"/>
      <c r="O444" s="202"/>
      <c r="P444" s="177"/>
      <c r="Q444" s="177"/>
      <c r="R444" s="248">
        <f t="shared" si="49"/>
        <v>0</v>
      </c>
      <c r="S444" s="171"/>
      <c r="T444" s="527"/>
      <c r="U444" s="544">
        <f t="shared" si="50"/>
        <v>0</v>
      </c>
      <c r="V444" s="167"/>
      <c r="W444" s="181"/>
    </row>
    <row r="445" spans="2:23" ht="15.5" x14ac:dyDescent="0.35">
      <c r="B445" s="624"/>
      <c r="C445" s="166"/>
      <c r="D445" s="202"/>
      <c r="E445" s="177"/>
      <c r="F445" s="177"/>
      <c r="G445" s="248">
        <f t="shared" si="48"/>
        <v>0</v>
      </c>
      <c r="H445" s="171"/>
      <c r="I445" s="177"/>
      <c r="J445" s="167"/>
      <c r="K445" s="181"/>
      <c r="L445" s="353"/>
      <c r="M445" s="624"/>
      <c r="N445" s="166"/>
      <c r="O445" s="202"/>
      <c r="P445" s="177"/>
      <c r="Q445" s="177"/>
      <c r="R445" s="248">
        <f t="shared" si="49"/>
        <v>0</v>
      </c>
      <c r="S445" s="171"/>
      <c r="T445" s="527"/>
      <c r="U445" s="544">
        <f t="shared" si="50"/>
        <v>0</v>
      </c>
      <c r="V445" s="167"/>
      <c r="W445" s="181"/>
    </row>
    <row r="446" spans="2:23" ht="31" x14ac:dyDescent="0.35">
      <c r="B446" s="622" t="s">
        <v>351</v>
      </c>
      <c r="C446" s="166" t="s">
        <v>352</v>
      </c>
      <c r="D446" s="202">
        <v>10000</v>
      </c>
      <c r="E446" s="177"/>
      <c r="F446" s="177"/>
      <c r="G446" s="248">
        <f t="shared" si="48"/>
        <v>10000</v>
      </c>
      <c r="H446" s="171">
        <v>0.3</v>
      </c>
      <c r="I446" s="177"/>
      <c r="J446" s="167" t="s">
        <v>310</v>
      </c>
      <c r="K446" s="181">
        <v>7</v>
      </c>
      <c r="L446" s="353"/>
      <c r="M446" s="622" t="s">
        <v>351</v>
      </c>
      <c r="N446" s="166" t="s">
        <v>352</v>
      </c>
      <c r="O446" s="202">
        <v>10000</v>
      </c>
      <c r="P446" s="177"/>
      <c r="Q446" s="177"/>
      <c r="R446" s="248">
        <f t="shared" si="49"/>
        <v>10000</v>
      </c>
      <c r="S446" s="171">
        <v>0.3</v>
      </c>
      <c r="T446" s="527">
        <v>10000</v>
      </c>
      <c r="U446" s="544">
        <f t="shared" si="50"/>
        <v>3000</v>
      </c>
      <c r="V446" s="167" t="s">
        <v>310</v>
      </c>
      <c r="W446" s="181">
        <v>7</v>
      </c>
    </row>
    <row r="447" spans="2:23" ht="15.5" x14ac:dyDescent="0.35">
      <c r="B447" s="623"/>
      <c r="C447" s="166" t="s">
        <v>353</v>
      </c>
      <c r="D447" s="202">
        <v>5000</v>
      </c>
      <c r="E447" s="177"/>
      <c r="F447" s="177"/>
      <c r="G447" s="248">
        <f t="shared" si="48"/>
        <v>5000</v>
      </c>
      <c r="H447" s="171">
        <v>0.3</v>
      </c>
      <c r="I447" s="177"/>
      <c r="J447" s="167" t="s">
        <v>354</v>
      </c>
      <c r="K447" s="181">
        <v>5</v>
      </c>
      <c r="L447" s="353"/>
      <c r="M447" s="623"/>
      <c r="N447" s="166" t="s">
        <v>353</v>
      </c>
      <c r="O447" s="202">
        <v>5000</v>
      </c>
      <c r="P447" s="177"/>
      <c r="Q447" s="177"/>
      <c r="R447" s="248">
        <f t="shared" si="49"/>
        <v>5000</v>
      </c>
      <c r="S447" s="171">
        <v>0.3</v>
      </c>
      <c r="T447" s="527">
        <v>5000</v>
      </c>
      <c r="U447" s="544">
        <f t="shared" si="50"/>
        <v>1500</v>
      </c>
      <c r="V447" s="167" t="s">
        <v>354</v>
      </c>
      <c r="W447" s="181">
        <v>5</v>
      </c>
    </row>
    <row r="448" spans="2:23" ht="15.5" x14ac:dyDescent="0.35">
      <c r="B448" s="623"/>
      <c r="C448" s="166"/>
      <c r="D448" s="202"/>
      <c r="E448" s="177"/>
      <c r="F448" s="177"/>
      <c r="G448" s="248">
        <f t="shared" si="48"/>
        <v>0</v>
      </c>
      <c r="H448" s="171"/>
      <c r="I448" s="177"/>
      <c r="J448" s="167"/>
      <c r="K448" s="181"/>
      <c r="L448" s="353"/>
      <c r="M448" s="623"/>
      <c r="N448" s="166"/>
      <c r="O448" s="202"/>
      <c r="P448" s="177"/>
      <c r="Q448" s="177"/>
      <c r="R448" s="248">
        <f t="shared" si="49"/>
        <v>0</v>
      </c>
      <c r="S448" s="171"/>
      <c r="T448" s="527"/>
      <c r="U448" s="544">
        <f t="shared" si="50"/>
        <v>0</v>
      </c>
      <c r="V448" s="167"/>
      <c r="W448" s="181"/>
    </row>
    <row r="449" spans="2:24" ht="15.5" x14ac:dyDescent="0.35">
      <c r="B449" s="623"/>
      <c r="C449" s="166"/>
      <c r="D449" s="202"/>
      <c r="E449" s="177"/>
      <c r="F449" s="177"/>
      <c r="G449" s="248">
        <f t="shared" si="48"/>
        <v>0</v>
      </c>
      <c r="H449" s="171"/>
      <c r="I449" s="177"/>
      <c r="J449" s="167"/>
      <c r="K449" s="181"/>
      <c r="L449" s="353"/>
      <c r="M449" s="623"/>
      <c r="N449" s="166"/>
      <c r="O449" s="202"/>
      <c r="P449" s="177"/>
      <c r="Q449" s="177"/>
      <c r="R449" s="248">
        <f t="shared" si="49"/>
        <v>0</v>
      </c>
      <c r="S449" s="171"/>
      <c r="T449" s="527"/>
      <c r="U449" s="544">
        <f t="shared" si="50"/>
        <v>0</v>
      </c>
      <c r="V449" s="167"/>
      <c r="W449" s="181"/>
    </row>
    <row r="450" spans="2:24" ht="15.5" x14ac:dyDescent="0.35">
      <c r="B450" s="624"/>
      <c r="C450" s="166"/>
      <c r="D450" s="202"/>
      <c r="E450" s="177"/>
      <c r="F450" s="177"/>
      <c r="G450" s="248">
        <f t="shared" si="48"/>
        <v>0</v>
      </c>
      <c r="H450" s="171"/>
      <c r="I450" s="177"/>
      <c r="J450" s="167"/>
      <c r="K450" s="181"/>
      <c r="L450" s="353"/>
      <c r="M450" s="624"/>
      <c r="N450" s="166"/>
      <c r="O450" s="202"/>
      <c r="P450" s="177"/>
      <c r="Q450" s="177"/>
      <c r="R450" s="248">
        <f t="shared" si="49"/>
        <v>0</v>
      </c>
      <c r="S450" s="171"/>
      <c r="T450" s="527"/>
      <c r="U450" s="544">
        <f t="shared" si="50"/>
        <v>0</v>
      </c>
      <c r="V450" s="167"/>
      <c r="W450" s="181"/>
    </row>
    <row r="451" spans="2:24" ht="31" x14ac:dyDescent="0.35">
      <c r="B451" s="622"/>
      <c r="C451" s="166"/>
      <c r="D451" s="202"/>
      <c r="E451" s="177"/>
      <c r="F451" s="177"/>
      <c r="G451" s="248"/>
      <c r="H451" s="171"/>
      <c r="I451" s="177"/>
      <c r="J451" s="167"/>
      <c r="K451" s="181"/>
      <c r="L451" s="353"/>
      <c r="M451" s="658" t="s">
        <v>458</v>
      </c>
      <c r="N451" s="224" t="s">
        <v>459</v>
      </c>
      <c r="O451" s="225">
        <v>2000</v>
      </c>
      <c r="P451" s="226"/>
      <c r="Q451" s="226"/>
      <c r="R451" s="227">
        <f t="shared" si="49"/>
        <v>2000</v>
      </c>
      <c r="S451" s="221">
        <v>0.5</v>
      </c>
      <c r="T451" s="226"/>
      <c r="U451" s="544">
        <f>T451*50/100</f>
        <v>0</v>
      </c>
      <c r="V451" s="228" t="s">
        <v>460</v>
      </c>
      <c r="W451" s="229">
        <v>7</v>
      </c>
      <c r="X451" s="422"/>
    </row>
    <row r="452" spans="2:24" ht="15.5" x14ac:dyDescent="0.35">
      <c r="B452" s="623"/>
      <c r="C452" s="166"/>
      <c r="D452" s="202"/>
      <c r="E452" s="177"/>
      <c r="F452" s="177"/>
      <c r="G452" s="248"/>
      <c r="H452" s="171"/>
      <c r="I452" s="177"/>
      <c r="J452" s="167"/>
      <c r="K452" s="181"/>
      <c r="L452" s="353"/>
      <c r="M452" s="658"/>
      <c r="N452" s="224" t="s">
        <v>461</v>
      </c>
      <c r="O452" s="225">
        <v>5000</v>
      </c>
      <c r="P452" s="226"/>
      <c r="Q452" s="226"/>
      <c r="R452" s="227">
        <f t="shared" si="49"/>
        <v>5000</v>
      </c>
      <c r="S452" s="221">
        <v>0.3</v>
      </c>
      <c r="T452" s="226"/>
      <c r="U452" s="544">
        <f t="shared" si="50"/>
        <v>0</v>
      </c>
      <c r="V452" s="426" t="s">
        <v>462</v>
      </c>
      <c r="W452" s="229">
        <v>6</v>
      </c>
      <c r="X452" s="422"/>
    </row>
    <row r="453" spans="2:24" ht="15.5" x14ac:dyDescent="0.35">
      <c r="B453" s="623"/>
      <c r="C453" s="166"/>
      <c r="D453" s="202"/>
      <c r="E453" s="177"/>
      <c r="F453" s="177"/>
      <c r="G453" s="248"/>
      <c r="H453" s="171"/>
      <c r="I453" s="177"/>
      <c r="J453" s="167"/>
      <c r="K453" s="181"/>
      <c r="L453" s="353"/>
      <c r="M453" s="658"/>
      <c r="N453" s="224" t="s">
        <v>463</v>
      </c>
      <c r="O453" s="225">
        <v>7000</v>
      </c>
      <c r="P453" s="226"/>
      <c r="Q453" s="226"/>
      <c r="R453" s="227">
        <f t="shared" si="49"/>
        <v>7000</v>
      </c>
      <c r="S453" s="221">
        <v>0.3</v>
      </c>
      <c r="T453" s="226"/>
      <c r="U453" s="544">
        <f t="shared" si="50"/>
        <v>0</v>
      </c>
      <c r="V453" s="228" t="s">
        <v>464</v>
      </c>
      <c r="W453" s="229">
        <v>2</v>
      </c>
      <c r="X453" s="422"/>
    </row>
    <row r="454" spans="2:24" ht="15.5" x14ac:dyDescent="0.35">
      <c r="B454" s="623"/>
      <c r="C454" s="166"/>
      <c r="D454" s="202"/>
      <c r="E454" s="177"/>
      <c r="F454" s="177"/>
      <c r="G454" s="248"/>
      <c r="H454" s="171"/>
      <c r="I454" s="177"/>
      <c r="J454" s="167"/>
      <c r="K454" s="181"/>
      <c r="L454" s="353"/>
      <c r="M454" s="658"/>
      <c r="N454" s="224"/>
      <c r="O454" s="225"/>
      <c r="P454" s="226"/>
      <c r="Q454" s="226"/>
      <c r="R454" s="227">
        <f t="shared" si="49"/>
        <v>0</v>
      </c>
      <c r="S454" s="221"/>
      <c r="T454" s="226"/>
      <c r="U454" s="544">
        <f t="shared" si="50"/>
        <v>0</v>
      </c>
      <c r="V454" s="228"/>
      <c r="W454" s="229"/>
      <c r="X454" s="422"/>
    </row>
    <row r="455" spans="2:24" ht="15.5" x14ac:dyDescent="0.35">
      <c r="B455" s="623"/>
      <c r="C455" s="166"/>
      <c r="D455" s="202"/>
      <c r="E455" s="177"/>
      <c r="F455" s="177"/>
      <c r="G455" s="248"/>
      <c r="H455" s="171"/>
      <c r="I455" s="177"/>
      <c r="J455" s="167"/>
      <c r="K455" s="181"/>
      <c r="L455" s="353"/>
      <c r="M455" s="658"/>
      <c r="N455" s="224"/>
      <c r="O455" s="225"/>
      <c r="P455" s="226"/>
      <c r="Q455" s="226"/>
      <c r="R455" s="227">
        <f t="shared" si="49"/>
        <v>0</v>
      </c>
      <c r="S455" s="221"/>
      <c r="T455" s="226"/>
      <c r="U455" s="544">
        <f t="shared" si="50"/>
        <v>0</v>
      </c>
      <c r="V455" s="228"/>
      <c r="W455" s="229"/>
      <c r="X455" s="422"/>
    </row>
    <row r="456" spans="2:24" ht="32.25" customHeight="1" x14ac:dyDescent="0.35">
      <c r="B456" s="624"/>
      <c r="C456" s="166"/>
      <c r="D456" s="202"/>
      <c r="E456" s="177"/>
      <c r="F456" s="177"/>
      <c r="G456" s="248"/>
      <c r="H456" s="171"/>
      <c r="I456" s="177"/>
      <c r="J456" s="167"/>
      <c r="K456" s="181"/>
      <c r="L456" s="353"/>
      <c r="M456" s="658" t="s">
        <v>465</v>
      </c>
      <c r="N456" s="224" t="s">
        <v>466</v>
      </c>
      <c r="O456" s="225">
        <v>5000</v>
      </c>
      <c r="P456" s="226"/>
      <c r="Q456" s="226"/>
      <c r="R456" s="227">
        <f t="shared" si="49"/>
        <v>5000</v>
      </c>
      <c r="S456" s="221">
        <v>0.5</v>
      </c>
      <c r="T456" s="226"/>
      <c r="U456" s="544">
        <f>T456*50/100</f>
        <v>0</v>
      </c>
      <c r="V456" s="228" t="s">
        <v>467</v>
      </c>
      <c r="W456" s="229">
        <v>7</v>
      </c>
      <c r="X456" s="422"/>
    </row>
    <row r="457" spans="2:24" ht="31" x14ac:dyDescent="0.35">
      <c r="B457" s="348"/>
      <c r="C457" s="166"/>
      <c r="D457" s="202"/>
      <c r="E457" s="177"/>
      <c r="F457" s="177"/>
      <c r="G457" s="248"/>
      <c r="H457" s="171"/>
      <c r="I457" s="177"/>
      <c r="J457" s="167"/>
      <c r="K457" s="181"/>
      <c r="L457" s="353"/>
      <c r="M457" s="658"/>
      <c r="N457" s="224" t="s">
        <v>468</v>
      </c>
      <c r="O457" s="225">
        <v>5000</v>
      </c>
      <c r="P457" s="226"/>
      <c r="Q457" s="226"/>
      <c r="R457" s="227">
        <f t="shared" si="49"/>
        <v>5000</v>
      </c>
      <c r="S457" s="221">
        <v>0.5</v>
      </c>
      <c r="T457" s="226"/>
      <c r="U457" s="544">
        <f>T457*50/100</f>
        <v>0</v>
      </c>
      <c r="V457" s="228" t="s">
        <v>469</v>
      </c>
      <c r="W457" s="229">
        <v>2</v>
      </c>
      <c r="X457" s="422"/>
    </row>
    <row r="458" spans="2:24" ht="15.5" x14ac:dyDescent="0.35">
      <c r="B458" s="348"/>
      <c r="C458" s="166"/>
      <c r="D458" s="202"/>
      <c r="E458" s="177"/>
      <c r="F458" s="177"/>
      <c r="G458" s="248"/>
      <c r="H458" s="171"/>
      <c r="I458" s="177"/>
      <c r="J458" s="167"/>
      <c r="K458" s="181"/>
      <c r="L458" s="353"/>
      <c r="M458" s="658"/>
      <c r="N458" s="224"/>
      <c r="O458" s="225"/>
      <c r="P458" s="226"/>
      <c r="Q458" s="226"/>
      <c r="R458" s="227">
        <f t="shared" si="49"/>
        <v>0</v>
      </c>
      <c r="S458" s="221"/>
      <c r="T458" s="226"/>
      <c r="U458" s="544">
        <f t="shared" si="50"/>
        <v>0</v>
      </c>
      <c r="V458" s="228"/>
      <c r="W458" s="229"/>
      <c r="X458" s="422"/>
    </row>
    <row r="459" spans="2:24" ht="15.5" x14ac:dyDescent="0.35">
      <c r="B459" s="348"/>
      <c r="C459" s="166"/>
      <c r="D459" s="202"/>
      <c r="E459" s="177"/>
      <c r="F459" s="177"/>
      <c r="G459" s="248"/>
      <c r="H459" s="171"/>
      <c r="I459" s="177"/>
      <c r="J459" s="167"/>
      <c r="K459" s="181"/>
      <c r="L459" s="353"/>
      <c r="M459" s="658"/>
      <c r="N459" s="224"/>
      <c r="O459" s="225"/>
      <c r="P459" s="226"/>
      <c r="Q459" s="226"/>
      <c r="R459" s="227">
        <f t="shared" si="49"/>
        <v>0</v>
      </c>
      <c r="S459" s="221"/>
      <c r="T459" s="226"/>
      <c r="U459" s="544">
        <f t="shared" si="50"/>
        <v>0</v>
      </c>
      <c r="V459" s="228"/>
      <c r="W459" s="229"/>
      <c r="X459" s="422"/>
    </row>
    <row r="460" spans="2:24" ht="63" customHeight="1" x14ac:dyDescent="0.35">
      <c r="B460" s="348"/>
      <c r="C460" s="166"/>
      <c r="D460" s="202"/>
      <c r="E460" s="177"/>
      <c r="F460" s="177"/>
      <c r="G460" s="248"/>
      <c r="H460" s="171"/>
      <c r="I460" s="177"/>
      <c r="J460" s="167"/>
      <c r="K460" s="181"/>
      <c r="L460" s="353"/>
      <c r="M460" s="658"/>
      <c r="N460" s="224"/>
      <c r="O460" s="225"/>
      <c r="P460" s="226"/>
      <c r="Q460" s="226"/>
      <c r="R460" s="227">
        <f t="shared" si="49"/>
        <v>0</v>
      </c>
      <c r="S460" s="221"/>
      <c r="T460" s="226"/>
      <c r="U460" s="544">
        <f t="shared" si="50"/>
        <v>0</v>
      </c>
      <c r="V460" s="228"/>
      <c r="W460" s="229"/>
      <c r="X460" s="422"/>
    </row>
    <row r="461" spans="2:24" ht="43.5" customHeight="1" x14ac:dyDescent="0.35">
      <c r="B461" s="348"/>
      <c r="C461" s="166"/>
      <c r="D461" s="202"/>
      <c r="E461" s="177"/>
      <c r="F461" s="177"/>
      <c r="G461" s="248"/>
      <c r="H461" s="171"/>
      <c r="I461" s="177"/>
      <c r="J461" s="167"/>
      <c r="K461" s="181"/>
      <c r="L461" s="353"/>
      <c r="M461" s="658" t="s">
        <v>470</v>
      </c>
      <c r="N461" s="224" t="s">
        <v>471</v>
      </c>
      <c r="O461" s="225">
        <v>10000</v>
      </c>
      <c r="P461" s="226"/>
      <c r="Q461" s="226"/>
      <c r="R461" s="227">
        <f t="shared" si="49"/>
        <v>10000</v>
      </c>
      <c r="S461" s="221">
        <v>0.5</v>
      </c>
      <c r="T461" s="226"/>
      <c r="U461" s="544">
        <f>T461*50/100</f>
        <v>0</v>
      </c>
      <c r="V461" s="228" t="s">
        <v>467</v>
      </c>
      <c r="W461" s="229">
        <v>7</v>
      </c>
      <c r="X461" s="422"/>
    </row>
    <row r="462" spans="2:24" ht="31" x14ac:dyDescent="0.35">
      <c r="B462" s="348"/>
      <c r="C462" s="166"/>
      <c r="D462" s="202"/>
      <c r="E462" s="177"/>
      <c r="F462" s="177"/>
      <c r="G462" s="248"/>
      <c r="H462" s="171"/>
      <c r="I462" s="177"/>
      <c r="J462" s="167"/>
      <c r="K462" s="181"/>
      <c r="L462" s="353"/>
      <c r="M462" s="658"/>
      <c r="N462" s="224" t="s">
        <v>468</v>
      </c>
      <c r="O462" s="225">
        <v>7000</v>
      </c>
      <c r="P462" s="226"/>
      <c r="Q462" s="226"/>
      <c r="R462" s="227">
        <f t="shared" si="49"/>
        <v>7000</v>
      </c>
      <c r="S462" s="221">
        <v>0.5</v>
      </c>
      <c r="T462" s="226"/>
      <c r="U462" s="544">
        <f>T462*50/100</f>
        <v>0</v>
      </c>
      <c r="V462" s="228" t="s">
        <v>469</v>
      </c>
      <c r="W462" s="229">
        <v>2</v>
      </c>
      <c r="X462" s="422"/>
    </row>
    <row r="463" spans="2:24" ht="15.5" x14ac:dyDescent="0.35">
      <c r="B463" s="348"/>
      <c r="C463" s="166"/>
      <c r="D463" s="202"/>
      <c r="E463" s="177"/>
      <c r="F463" s="177"/>
      <c r="G463" s="248"/>
      <c r="H463" s="171"/>
      <c r="I463" s="177"/>
      <c r="J463" s="167"/>
      <c r="K463" s="181"/>
      <c r="L463" s="353"/>
      <c r="M463" s="658"/>
      <c r="N463" s="224"/>
      <c r="O463" s="225"/>
      <c r="P463" s="226"/>
      <c r="Q463" s="226"/>
      <c r="R463" s="227">
        <f t="shared" si="49"/>
        <v>0</v>
      </c>
      <c r="S463" s="221"/>
      <c r="T463" s="226"/>
      <c r="U463" s="544">
        <f t="shared" si="50"/>
        <v>0</v>
      </c>
      <c r="W463" s="229"/>
      <c r="X463" s="422"/>
    </row>
    <row r="464" spans="2:24" ht="15.5" x14ac:dyDescent="0.35">
      <c r="B464" s="348"/>
      <c r="C464" s="166"/>
      <c r="D464" s="202"/>
      <c r="E464" s="177"/>
      <c r="F464" s="177"/>
      <c r="G464" s="248"/>
      <c r="H464" s="171"/>
      <c r="I464" s="177"/>
      <c r="J464" s="167"/>
      <c r="K464" s="181"/>
      <c r="L464" s="353"/>
      <c r="M464" s="658"/>
      <c r="N464" s="224"/>
      <c r="O464" s="225"/>
      <c r="P464" s="226"/>
      <c r="Q464" s="226"/>
      <c r="R464" s="227">
        <f t="shared" si="49"/>
        <v>0</v>
      </c>
      <c r="S464" s="221"/>
      <c r="T464" s="226"/>
      <c r="U464" s="544">
        <f t="shared" si="50"/>
        <v>0</v>
      </c>
      <c r="V464" s="228"/>
      <c r="W464" s="229"/>
      <c r="X464" s="422"/>
    </row>
    <row r="465" spans="2:24" ht="52.5" customHeight="1" x14ac:dyDescent="0.35">
      <c r="B465" s="348"/>
      <c r="C465" s="166"/>
      <c r="D465" s="202"/>
      <c r="E465" s="177"/>
      <c r="F465" s="177"/>
      <c r="G465" s="248"/>
      <c r="H465" s="171"/>
      <c r="I465" s="177"/>
      <c r="J465" s="167"/>
      <c r="K465" s="181"/>
      <c r="L465" s="353"/>
      <c r="M465" s="658"/>
      <c r="N465" s="224"/>
      <c r="O465" s="225"/>
      <c r="P465" s="226"/>
      <c r="Q465" s="226"/>
      <c r="R465" s="227">
        <f t="shared" si="49"/>
        <v>0</v>
      </c>
      <c r="S465" s="221"/>
      <c r="T465" s="226"/>
      <c r="U465" s="544">
        <f t="shared" si="50"/>
        <v>0</v>
      </c>
      <c r="V465" s="228"/>
      <c r="W465" s="229"/>
      <c r="X465" s="422"/>
    </row>
    <row r="466" spans="2:24" ht="31" x14ac:dyDescent="0.35">
      <c r="B466" s="348"/>
      <c r="C466" s="166"/>
      <c r="D466" s="202"/>
      <c r="E466" s="177"/>
      <c r="F466" s="177"/>
      <c r="G466" s="248"/>
      <c r="H466" s="171"/>
      <c r="I466" s="177"/>
      <c r="J466" s="167"/>
      <c r="K466" s="181"/>
      <c r="L466" s="353"/>
      <c r="M466" s="655" t="s">
        <v>472</v>
      </c>
      <c r="N466" s="224" t="s">
        <v>473</v>
      </c>
      <c r="O466" s="225">
        <v>5000</v>
      </c>
      <c r="P466" s="226"/>
      <c r="Q466" s="226"/>
      <c r="R466" s="227">
        <f t="shared" si="49"/>
        <v>5000</v>
      </c>
      <c r="S466" s="221">
        <v>0.5</v>
      </c>
      <c r="T466" s="226"/>
      <c r="U466" s="544">
        <f t="shared" si="50"/>
        <v>0</v>
      </c>
      <c r="V466" s="228" t="s">
        <v>467</v>
      </c>
      <c r="W466" s="229">
        <v>7</v>
      </c>
      <c r="X466" s="422"/>
    </row>
    <row r="467" spans="2:24" ht="31" x14ac:dyDescent="0.35">
      <c r="B467" s="348"/>
      <c r="C467" s="166"/>
      <c r="D467" s="202"/>
      <c r="E467" s="177"/>
      <c r="F467" s="177"/>
      <c r="G467" s="248"/>
      <c r="H467" s="171"/>
      <c r="I467" s="177"/>
      <c r="J467" s="167"/>
      <c r="K467" s="181"/>
      <c r="L467" s="353"/>
      <c r="M467" s="655"/>
      <c r="N467" s="224" t="s">
        <v>474</v>
      </c>
      <c r="O467" s="225">
        <v>10000</v>
      </c>
      <c r="P467" s="226"/>
      <c r="Q467" s="226"/>
      <c r="R467" s="227">
        <f t="shared" si="49"/>
        <v>10000</v>
      </c>
      <c r="S467" s="221">
        <v>0.5</v>
      </c>
      <c r="T467" s="226"/>
      <c r="U467" s="544">
        <f t="shared" si="50"/>
        <v>0</v>
      </c>
      <c r="V467" s="228" t="s">
        <v>469</v>
      </c>
      <c r="W467" s="229">
        <v>2</v>
      </c>
      <c r="X467" s="422"/>
    </row>
    <row r="468" spans="2:24" ht="15.5" x14ac:dyDescent="0.35">
      <c r="B468" s="348"/>
      <c r="C468" s="166"/>
      <c r="D468" s="202"/>
      <c r="E468" s="177"/>
      <c r="F468" s="177"/>
      <c r="G468" s="248"/>
      <c r="H468" s="171"/>
      <c r="I468" s="177"/>
      <c r="J468" s="167"/>
      <c r="K468" s="181"/>
      <c r="L468" s="353"/>
      <c r="M468" s="655"/>
      <c r="N468" s="224"/>
      <c r="O468" s="225"/>
      <c r="P468" s="226"/>
      <c r="Q468" s="226"/>
      <c r="R468" s="227">
        <f t="shared" si="49"/>
        <v>0</v>
      </c>
      <c r="S468" s="221"/>
      <c r="T468" s="226"/>
      <c r="U468" s="544">
        <f t="shared" si="50"/>
        <v>0</v>
      </c>
      <c r="V468" s="228"/>
      <c r="W468" s="229"/>
      <c r="X468" s="422"/>
    </row>
    <row r="469" spans="2:24" ht="15.5" x14ac:dyDescent="0.35">
      <c r="B469" s="348"/>
      <c r="C469" s="166"/>
      <c r="D469" s="202"/>
      <c r="E469" s="177"/>
      <c r="F469" s="177"/>
      <c r="G469" s="248"/>
      <c r="H469" s="171"/>
      <c r="I469" s="177"/>
      <c r="J469" s="167"/>
      <c r="K469" s="181"/>
      <c r="L469" s="353"/>
      <c r="M469" s="655"/>
      <c r="N469" s="224"/>
      <c r="O469" s="225"/>
      <c r="P469" s="226"/>
      <c r="Q469" s="226"/>
      <c r="R469" s="227">
        <f t="shared" si="49"/>
        <v>0</v>
      </c>
      <c r="S469" s="221"/>
      <c r="T469" s="226"/>
      <c r="U469" s="544">
        <f t="shared" si="50"/>
        <v>0</v>
      </c>
      <c r="V469" s="228"/>
      <c r="W469" s="229"/>
      <c r="X469" s="422"/>
    </row>
    <row r="470" spans="2:24" ht="60" customHeight="1" x14ac:dyDescent="0.35">
      <c r="B470" s="348"/>
      <c r="C470" s="166"/>
      <c r="D470" s="202"/>
      <c r="E470" s="177"/>
      <c r="F470" s="177"/>
      <c r="G470" s="248"/>
      <c r="H470" s="171"/>
      <c r="I470" s="177"/>
      <c r="J470" s="167"/>
      <c r="K470" s="181"/>
      <c r="L470" s="353"/>
      <c r="M470" s="656"/>
      <c r="N470" s="224"/>
      <c r="O470" s="225"/>
      <c r="P470" s="226"/>
      <c r="Q470" s="226"/>
      <c r="R470" s="227">
        <f t="shared" si="49"/>
        <v>0</v>
      </c>
      <c r="S470" s="221"/>
      <c r="T470" s="226"/>
      <c r="U470" s="544">
        <f t="shared" si="50"/>
        <v>0</v>
      </c>
      <c r="V470" s="228"/>
      <c r="W470" s="229"/>
      <c r="X470" s="422"/>
    </row>
    <row r="471" spans="2:24" ht="31" x14ac:dyDescent="0.35">
      <c r="B471" s="622"/>
      <c r="C471" s="166"/>
      <c r="D471" s="202"/>
      <c r="E471" s="177"/>
      <c r="F471" s="177"/>
      <c r="G471" s="248">
        <f t="shared" ref="G471:G475" si="51">D471+E471+F471</f>
        <v>0</v>
      </c>
      <c r="H471" s="171"/>
      <c r="I471" s="177"/>
      <c r="J471" s="167"/>
      <c r="K471" s="181"/>
      <c r="L471" s="353"/>
      <c r="M471" s="657" t="s">
        <v>475</v>
      </c>
      <c r="N471" s="224" t="s">
        <v>476</v>
      </c>
      <c r="O471" s="225">
        <v>5000</v>
      </c>
      <c r="P471" s="226"/>
      <c r="Q471" s="226"/>
      <c r="R471" s="227">
        <f t="shared" si="49"/>
        <v>5000</v>
      </c>
      <c r="S471" s="221">
        <v>0.5</v>
      </c>
      <c r="T471" s="226"/>
      <c r="U471" s="544">
        <f t="shared" si="50"/>
        <v>0</v>
      </c>
      <c r="V471" s="228" t="s">
        <v>477</v>
      </c>
      <c r="W471" s="229">
        <v>7</v>
      </c>
      <c r="X471" s="422"/>
    </row>
    <row r="472" spans="2:24" ht="31" x14ac:dyDescent="0.35">
      <c r="B472" s="623"/>
      <c r="C472" s="166"/>
      <c r="D472" s="202"/>
      <c r="E472" s="177"/>
      <c r="F472" s="177"/>
      <c r="G472" s="248">
        <f t="shared" si="51"/>
        <v>0</v>
      </c>
      <c r="H472" s="171"/>
      <c r="I472" s="177"/>
      <c r="J472" s="167"/>
      <c r="K472" s="181"/>
      <c r="L472" s="353"/>
      <c r="M472" s="655"/>
      <c r="N472" s="224" t="s">
        <v>478</v>
      </c>
      <c r="O472" s="449">
        <v>20000</v>
      </c>
      <c r="P472" s="226"/>
      <c r="Q472" s="226"/>
      <c r="R472" s="227">
        <f t="shared" si="49"/>
        <v>20000</v>
      </c>
      <c r="S472" s="221">
        <v>0.3</v>
      </c>
      <c r="T472" s="226"/>
      <c r="U472" s="544">
        <f t="shared" si="50"/>
        <v>0</v>
      </c>
      <c r="V472" s="228" t="s">
        <v>479</v>
      </c>
      <c r="W472" s="229">
        <v>7</v>
      </c>
      <c r="X472" s="422"/>
    </row>
    <row r="473" spans="2:24" ht="29" x14ac:dyDescent="0.35">
      <c r="B473" s="623"/>
      <c r="C473" s="166"/>
      <c r="D473" s="202"/>
      <c r="E473" s="177"/>
      <c r="F473" s="177"/>
      <c r="G473" s="248">
        <f t="shared" si="51"/>
        <v>0</v>
      </c>
      <c r="H473" s="171"/>
      <c r="I473" s="177"/>
      <c r="J473" s="167"/>
      <c r="K473" s="181"/>
      <c r="L473" s="353"/>
      <c r="M473" s="655"/>
      <c r="N473" s="224" t="s">
        <v>480</v>
      </c>
      <c r="O473" s="225">
        <v>15000</v>
      </c>
      <c r="P473" s="226"/>
      <c r="Q473" s="226"/>
      <c r="R473" s="227">
        <f t="shared" si="49"/>
        <v>15000</v>
      </c>
      <c r="S473" s="221">
        <v>0.3</v>
      </c>
      <c r="T473" s="226"/>
      <c r="U473" s="544">
        <f t="shared" si="50"/>
        <v>0</v>
      </c>
      <c r="V473" s="425" t="s">
        <v>481</v>
      </c>
      <c r="W473" s="229">
        <v>7</v>
      </c>
      <c r="X473" s="422"/>
    </row>
    <row r="474" spans="2:24" ht="15.5" x14ac:dyDescent="0.35">
      <c r="B474" s="623"/>
      <c r="C474" s="245"/>
      <c r="D474" s="202"/>
      <c r="E474" s="251"/>
      <c r="F474" s="251"/>
      <c r="G474" s="248">
        <f t="shared" si="51"/>
        <v>0</v>
      </c>
      <c r="H474" s="250"/>
      <c r="I474" s="251"/>
      <c r="J474" s="170"/>
      <c r="K474" s="181"/>
      <c r="L474" s="353"/>
      <c r="M474" s="655"/>
      <c r="N474" s="352" t="s">
        <v>482</v>
      </c>
      <c r="O474" s="225">
        <v>0</v>
      </c>
      <c r="P474" s="357"/>
      <c r="Q474" s="357"/>
      <c r="R474" s="227">
        <f t="shared" si="49"/>
        <v>0</v>
      </c>
      <c r="S474" s="367">
        <v>0.3</v>
      </c>
      <c r="T474" s="357"/>
      <c r="U474" s="544">
        <f t="shared" si="50"/>
        <v>0</v>
      </c>
      <c r="V474" s="368" t="s">
        <v>483</v>
      </c>
      <c r="W474" s="229">
        <v>7</v>
      </c>
      <c r="X474" s="422"/>
    </row>
    <row r="475" spans="2:24" ht="231.75" hidden="1" customHeight="1" x14ac:dyDescent="0.35">
      <c r="B475" s="624"/>
      <c r="C475" s="245"/>
      <c r="D475" s="202"/>
      <c r="E475" s="251"/>
      <c r="F475" s="251"/>
      <c r="G475" s="248">
        <f t="shared" si="51"/>
        <v>0</v>
      </c>
      <c r="H475" s="250"/>
      <c r="I475" s="251"/>
      <c r="J475" s="170"/>
      <c r="K475" s="181"/>
      <c r="L475" s="353"/>
      <c r="M475" s="656"/>
      <c r="N475" s="352"/>
      <c r="O475" s="225"/>
      <c r="P475" s="357"/>
      <c r="Q475" s="357"/>
      <c r="R475" s="227">
        <f t="shared" si="49"/>
        <v>0</v>
      </c>
      <c r="S475" s="367"/>
      <c r="T475" s="357"/>
      <c r="U475" s="546"/>
      <c r="V475" s="368"/>
      <c r="W475" s="229"/>
      <c r="X475" s="422"/>
    </row>
    <row r="476" spans="2:24" ht="15.5" x14ac:dyDescent="0.35">
      <c r="C476" s="73" t="s">
        <v>356</v>
      </c>
      <c r="D476" s="203">
        <f>SUM(D431:D475)</f>
        <v>46000</v>
      </c>
      <c r="E476" s="12">
        <f>SUM(E431:E475)</f>
        <v>0</v>
      </c>
      <c r="F476" s="12">
        <f>SUM(F431:F475)</f>
        <v>0</v>
      </c>
      <c r="G476" s="10">
        <f>SUM(G431:G475)</f>
        <v>46000</v>
      </c>
      <c r="H476" s="10">
        <f>(H431*G431)+(H432*G432)+(H433*G433)+(H434*G434)+(H435*G435)+(H436*G436)+(H437*G437)+(H438*G438)+(H439*G439)+(H440*G440)+(H441*G441)+(H442*G442)+(H443*G443)+(H444*G444)+(H445*G445)+(H446*G446)+(H447*G447)+(H448*G448)+(H449*G449)+(H450*G450)+(G451*H451)+(G452*H452)+(G453*H453)+(G454*H454)+(G455*H455)+(G456*H456)+(G457*H457)+(G458*H458)+(G459*H459)+(G460*H460)+(G461*H461)+(G462*H462)+(G463*H463)+(G464*H464)+(G465*H465)+(G466*H466)+(G467*H467)+(G468*H468)+(G469*H469)+(G470*H470)+(H471*G471)+(H472*G472)+(H473*G473)+(H474*G474)+(H475*G475)</f>
        <v>12600</v>
      </c>
      <c r="I476" s="10">
        <f>SUM(I431:I475)</f>
        <v>0</v>
      </c>
      <c r="J476" s="170"/>
      <c r="K476" s="182"/>
      <c r="L476" s="353"/>
      <c r="N476" s="73" t="s">
        <v>356</v>
      </c>
      <c r="O476" s="203">
        <f>SUM(O431:O475)</f>
        <v>142000</v>
      </c>
      <c r="P476" s="12">
        <f>SUM(P431:P475)</f>
        <v>0</v>
      </c>
      <c r="Q476" s="12">
        <f>SUM(Q431:Q475)</f>
        <v>0</v>
      </c>
      <c r="R476" s="10">
        <f>SUM(R431:R475)</f>
        <v>142000</v>
      </c>
      <c r="S476" s="10">
        <f>(S431*R431)+(S432*R432)+(S433*R433)+(S434*R434)+(S435*R435)+(S436*R436)+(S437*R437)+(S438*R438)+(S439*R439)+(S440*R440)+(S441*R441)+(S442*R442)+(S443*R443)+(S444*R444)+(S445*R445)+(S446*R446)+(S447*R447)+(S448*R448)+(S449*R449)+(S450*R450)+(R451*S451)+(R452*S452)+(R453*S453)+(R454*S454)+(R455*S455)+(R456*S456)+(R457*S457)+(R458*S458)+(R459*S459)+(R460*S460)+(R461*S461)+(R462*S462)+(R463*S463)+(R464*S464)+(R465*S465)+(R466*S466)+(R467*S467)+(R468*S468)+(R469*S469)+(R470*S470)+(S471*R471)+(S472*R472)+(S473*R473)+(S474*R474)+(S475*R475)</f>
        <v>51200</v>
      </c>
      <c r="T476" s="10">
        <f>SUM(T431:T475)</f>
        <v>46000</v>
      </c>
      <c r="U476" s="545">
        <f>SUM(U432:U475)</f>
        <v>13200</v>
      </c>
      <c r="V476" s="170"/>
      <c r="W476" s="182"/>
    </row>
    <row r="477" spans="2:24" ht="15.5" x14ac:dyDescent="0.35">
      <c r="B477" s="72" t="s">
        <v>26</v>
      </c>
      <c r="C477" s="632" t="s">
        <v>357</v>
      </c>
      <c r="D477" s="632"/>
      <c r="E477" s="632"/>
      <c r="F477" s="632"/>
      <c r="G477" s="632"/>
      <c r="H477" s="632"/>
      <c r="I477" s="633"/>
      <c r="J477" s="632"/>
      <c r="K477" s="183"/>
      <c r="L477" s="353"/>
      <c r="M477" s="72" t="s">
        <v>26</v>
      </c>
      <c r="N477" s="632" t="s">
        <v>357</v>
      </c>
      <c r="O477" s="632"/>
      <c r="P477" s="632"/>
      <c r="Q477" s="632"/>
      <c r="R477" s="632"/>
      <c r="S477" s="632"/>
      <c r="T477" s="633"/>
      <c r="U477" s="633"/>
      <c r="V477" s="632"/>
      <c r="W477" s="183"/>
    </row>
    <row r="478" spans="2:24" ht="31" x14ac:dyDescent="0.35">
      <c r="B478" s="622" t="s">
        <v>358</v>
      </c>
      <c r="C478" s="166" t="s">
        <v>359</v>
      </c>
      <c r="D478" s="202">
        <v>15000</v>
      </c>
      <c r="E478" s="177"/>
      <c r="F478" s="177"/>
      <c r="G478" s="248">
        <f>D478+E478+F478</f>
        <v>15000</v>
      </c>
      <c r="H478" s="171">
        <v>0.3</v>
      </c>
      <c r="I478" s="177"/>
      <c r="J478" s="167" t="s">
        <v>250</v>
      </c>
      <c r="K478" s="181">
        <v>4</v>
      </c>
      <c r="L478" s="353"/>
      <c r="M478" s="622" t="s">
        <v>358</v>
      </c>
      <c r="N478" s="166" t="s">
        <v>359</v>
      </c>
      <c r="O478" s="202">
        <v>15000</v>
      </c>
      <c r="P478" s="177"/>
      <c r="Q478" s="177"/>
      <c r="R478" s="248">
        <f>O478+P478+Q478</f>
        <v>15000</v>
      </c>
      <c r="S478" s="171">
        <v>0.3</v>
      </c>
      <c r="T478" s="527">
        <v>15000</v>
      </c>
      <c r="U478" s="544"/>
      <c r="V478" s="167" t="s">
        <v>250</v>
      </c>
      <c r="W478" s="181">
        <v>4</v>
      </c>
    </row>
    <row r="479" spans="2:24" ht="31" x14ac:dyDescent="0.35">
      <c r="B479" s="623"/>
      <c r="C479" s="166" t="s">
        <v>360</v>
      </c>
      <c r="D479" s="202">
        <v>10000</v>
      </c>
      <c r="E479" s="177"/>
      <c r="F479" s="177"/>
      <c r="G479" s="248">
        <f t="shared" ref="G479:G503" si="52">D479+E479+F479</f>
        <v>10000</v>
      </c>
      <c r="H479" s="171">
        <v>0.4</v>
      </c>
      <c r="I479" s="177"/>
      <c r="J479" s="167" t="s">
        <v>361</v>
      </c>
      <c r="K479" s="181">
        <v>4</v>
      </c>
      <c r="L479" s="353"/>
      <c r="M479" s="623"/>
      <c r="N479" s="166" t="s">
        <v>360</v>
      </c>
      <c r="O479" s="202">
        <v>10000</v>
      </c>
      <c r="P479" s="177"/>
      <c r="Q479" s="177"/>
      <c r="R479" s="248">
        <f t="shared" ref="R479:R503" si="53">O479+P479+Q479</f>
        <v>10000</v>
      </c>
      <c r="S479" s="171">
        <v>0.4</v>
      </c>
      <c r="T479" s="527">
        <v>10000</v>
      </c>
      <c r="U479" s="544"/>
      <c r="V479" s="167" t="s">
        <v>361</v>
      </c>
      <c r="W479" s="181">
        <v>4</v>
      </c>
    </row>
    <row r="480" spans="2:24" ht="15.5" x14ac:dyDescent="0.35">
      <c r="B480" s="623"/>
      <c r="C480" s="169" t="s">
        <v>362</v>
      </c>
      <c r="D480" s="202">
        <v>5000</v>
      </c>
      <c r="E480" s="177"/>
      <c r="F480" s="177"/>
      <c r="G480" s="248">
        <f t="shared" si="52"/>
        <v>5000</v>
      </c>
      <c r="H480" s="171">
        <v>0.4</v>
      </c>
      <c r="I480" s="177"/>
      <c r="J480" s="167" t="s">
        <v>363</v>
      </c>
      <c r="K480" s="181">
        <v>7</v>
      </c>
      <c r="L480" s="353"/>
      <c r="M480" s="623"/>
      <c r="N480" s="169" t="s">
        <v>362</v>
      </c>
      <c r="O480" s="202">
        <v>5000</v>
      </c>
      <c r="P480" s="177"/>
      <c r="Q480" s="177"/>
      <c r="R480" s="248">
        <f t="shared" si="53"/>
        <v>5000</v>
      </c>
      <c r="S480" s="171">
        <v>0.4</v>
      </c>
      <c r="T480" s="527">
        <v>5000</v>
      </c>
      <c r="U480" s="544"/>
      <c r="V480" s="167" t="s">
        <v>363</v>
      </c>
      <c r="W480" s="181">
        <v>7</v>
      </c>
    </row>
    <row r="481" spans="2:23" ht="15.5" x14ac:dyDescent="0.35">
      <c r="B481" s="623"/>
      <c r="C481" s="177"/>
      <c r="D481" s="202"/>
      <c r="E481" s="177"/>
      <c r="F481" s="177"/>
      <c r="G481" s="248">
        <f t="shared" si="52"/>
        <v>0</v>
      </c>
      <c r="H481" s="171"/>
      <c r="I481" s="177"/>
      <c r="J481" s="167"/>
      <c r="K481" s="181"/>
      <c r="L481" s="353"/>
      <c r="M481" s="623"/>
      <c r="N481" s="177"/>
      <c r="O481" s="202"/>
      <c r="P481" s="177"/>
      <c r="Q481" s="177"/>
      <c r="R481" s="248">
        <f t="shared" si="53"/>
        <v>0</v>
      </c>
      <c r="S481" s="171"/>
      <c r="T481" s="527"/>
      <c r="U481" s="544"/>
      <c r="V481" s="167"/>
      <c r="W481" s="181"/>
    </row>
    <row r="482" spans="2:23" ht="15.5" x14ac:dyDescent="0.35">
      <c r="B482" s="623"/>
      <c r="C482" s="166"/>
      <c r="D482" s="202"/>
      <c r="E482" s="177"/>
      <c r="F482" s="177"/>
      <c r="G482" s="248">
        <f t="shared" si="52"/>
        <v>0</v>
      </c>
      <c r="H482" s="171"/>
      <c r="I482" s="177"/>
      <c r="J482" s="167"/>
      <c r="K482" s="181"/>
      <c r="L482" s="353"/>
      <c r="M482" s="623"/>
      <c r="N482" s="166"/>
      <c r="O482" s="202"/>
      <c r="P482" s="177"/>
      <c r="Q482" s="177"/>
      <c r="R482" s="248">
        <f t="shared" si="53"/>
        <v>0</v>
      </c>
      <c r="S482" s="171"/>
      <c r="T482" s="527"/>
      <c r="U482" s="544"/>
      <c r="V482" s="167"/>
      <c r="W482" s="181"/>
    </row>
    <row r="483" spans="2:23" ht="20.149999999999999" customHeight="1" x14ac:dyDescent="0.35">
      <c r="B483" s="624"/>
      <c r="C483" s="166"/>
      <c r="D483" s="202"/>
      <c r="E483" s="177"/>
      <c r="F483" s="177"/>
      <c r="G483" s="248">
        <f t="shared" si="52"/>
        <v>0</v>
      </c>
      <c r="H483" s="171"/>
      <c r="I483" s="177"/>
      <c r="J483" s="167"/>
      <c r="K483" s="181"/>
      <c r="L483" s="353"/>
      <c r="M483" s="624"/>
      <c r="N483" s="166"/>
      <c r="O483" s="202"/>
      <c r="P483" s="177"/>
      <c r="Q483" s="177"/>
      <c r="R483" s="248">
        <f t="shared" si="53"/>
        <v>0</v>
      </c>
      <c r="S483" s="171"/>
      <c r="T483" s="527"/>
      <c r="U483" s="544"/>
      <c r="V483" s="167"/>
      <c r="W483" s="181"/>
    </row>
    <row r="484" spans="2:23" ht="35.5" customHeight="1" x14ac:dyDescent="0.35">
      <c r="B484" s="622" t="s">
        <v>364</v>
      </c>
      <c r="C484" s="166" t="s">
        <v>365</v>
      </c>
      <c r="D484" s="202">
        <v>8289.7199999999993</v>
      </c>
      <c r="E484" s="177"/>
      <c r="F484" s="177"/>
      <c r="G484" s="248">
        <f t="shared" si="52"/>
        <v>8289.7199999999993</v>
      </c>
      <c r="H484" s="171">
        <v>0.3</v>
      </c>
      <c r="I484" s="177"/>
      <c r="J484" s="167" t="s">
        <v>310</v>
      </c>
      <c r="K484" s="181">
        <v>7</v>
      </c>
      <c r="L484" s="353"/>
      <c r="M484" s="622" t="s">
        <v>364</v>
      </c>
      <c r="N484" s="166" t="s">
        <v>365</v>
      </c>
      <c r="O484" s="202">
        <v>8289.7199999999993</v>
      </c>
      <c r="P484" s="177"/>
      <c r="Q484" s="177"/>
      <c r="R484" s="248">
        <f t="shared" si="53"/>
        <v>8289.7199999999993</v>
      </c>
      <c r="S484" s="171">
        <v>0.3</v>
      </c>
      <c r="T484" s="527">
        <v>8289.7199999999993</v>
      </c>
      <c r="U484" s="544"/>
      <c r="V484" s="167" t="s">
        <v>310</v>
      </c>
      <c r="W484" s="181">
        <v>7</v>
      </c>
    </row>
    <row r="485" spans="2:23" ht="15.5" x14ac:dyDescent="0.35">
      <c r="B485" s="623"/>
      <c r="C485" s="166" t="s">
        <v>97</v>
      </c>
      <c r="D485" s="202">
        <v>1900</v>
      </c>
      <c r="E485" s="177"/>
      <c r="F485" s="177"/>
      <c r="G485" s="248">
        <f t="shared" si="52"/>
        <v>1900</v>
      </c>
      <c r="H485" s="171">
        <v>0.3</v>
      </c>
      <c r="I485" s="177"/>
      <c r="J485" s="167" t="s">
        <v>201</v>
      </c>
      <c r="K485" s="181">
        <v>5</v>
      </c>
      <c r="L485" s="353"/>
      <c r="M485" s="623"/>
      <c r="N485" s="166" t="s">
        <v>97</v>
      </c>
      <c r="O485" s="202">
        <v>1900</v>
      </c>
      <c r="P485" s="177"/>
      <c r="Q485" s="177"/>
      <c r="R485" s="248">
        <f t="shared" si="53"/>
        <v>1900</v>
      </c>
      <c r="S485" s="171">
        <v>0.3</v>
      </c>
      <c r="T485" s="527">
        <v>1900</v>
      </c>
      <c r="U485" s="544"/>
      <c r="V485" s="167" t="s">
        <v>201</v>
      </c>
      <c r="W485" s="181">
        <v>5</v>
      </c>
    </row>
    <row r="486" spans="2:23" ht="35.5" customHeight="1" x14ac:dyDescent="0.35">
      <c r="B486" s="623"/>
      <c r="C486" s="166"/>
      <c r="D486" s="202"/>
      <c r="E486" s="177"/>
      <c r="F486" s="177"/>
      <c r="G486" s="248">
        <f t="shared" si="52"/>
        <v>0</v>
      </c>
      <c r="H486" s="171"/>
      <c r="I486" s="177"/>
      <c r="J486" s="167"/>
      <c r="K486" s="181"/>
      <c r="L486" s="353"/>
      <c r="M486" s="623"/>
      <c r="N486" s="166"/>
      <c r="O486" s="202"/>
      <c r="P486" s="177"/>
      <c r="Q486" s="177"/>
      <c r="R486" s="248">
        <f t="shared" si="53"/>
        <v>0</v>
      </c>
      <c r="S486" s="171"/>
      <c r="T486" s="527"/>
      <c r="U486" s="544"/>
      <c r="V486" s="167"/>
      <c r="W486" s="181"/>
    </row>
    <row r="487" spans="2:23" ht="35.5" customHeight="1" x14ac:dyDescent="0.35">
      <c r="B487" s="623"/>
      <c r="C487" s="166"/>
      <c r="D487" s="202"/>
      <c r="E487" s="177"/>
      <c r="F487" s="177"/>
      <c r="G487" s="248">
        <f t="shared" si="52"/>
        <v>0</v>
      </c>
      <c r="H487" s="171"/>
      <c r="I487" s="177"/>
      <c r="J487" s="167"/>
      <c r="K487" s="181"/>
      <c r="L487" s="353"/>
      <c r="M487" s="623"/>
      <c r="N487" s="166"/>
      <c r="O487" s="202"/>
      <c r="P487" s="177"/>
      <c r="Q487" s="177"/>
      <c r="R487" s="248">
        <f t="shared" si="53"/>
        <v>0</v>
      </c>
      <c r="S487" s="171"/>
      <c r="T487" s="527"/>
      <c r="U487" s="544"/>
      <c r="V487" s="167"/>
      <c r="W487" s="181"/>
    </row>
    <row r="488" spans="2:23" ht="35.5" customHeight="1" x14ac:dyDescent="0.35">
      <c r="B488" s="624"/>
      <c r="C488" s="166"/>
      <c r="D488" s="202"/>
      <c r="E488" s="177"/>
      <c r="F488" s="177"/>
      <c r="G488" s="248">
        <f t="shared" si="52"/>
        <v>0</v>
      </c>
      <c r="H488" s="171"/>
      <c r="I488" s="177"/>
      <c r="J488" s="167"/>
      <c r="K488" s="181"/>
      <c r="L488" s="353"/>
      <c r="M488" s="624"/>
      <c r="N488" s="166"/>
      <c r="O488" s="202"/>
      <c r="P488" s="177"/>
      <c r="Q488" s="177"/>
      <c r="R488" s="248">
        <f t="shared" si="53"/>
        <v>0</v>
      </c>
      <c r="S488" s="171"/>
      <c r="T488" s="527"/>
      <c r="U488" s="544"/>
      <c r="V488" s="167"/>
      <c r="W488" s="181"/>
    </row>
    <row r="489" spans="2:23" ht="31" x14ac:dyDescent="0.35">
      <c r="B489" s="622" t="s">
        <v>366</v>
      </c>
      <c r="C489" s="166" t="s">
        <v>367</v>
      </c>
      <c r="D489" s="202">
        <v>10000</v>
      </c>
      <c r="E489" s="177"/>
      <c r="F489" s="177"/>
      <c r="G489" s="248">
        <f t="shared" si="52"/>
        <v>10000</v>
      </c>
      <c r="H489" s="171">
        <v>0.3</v>
      </c>
      <c r="I489" s="177"/>
      <c r="J489" s="167" t="s">
        <v>368</v>
      </c>
      <c r="K489" s="181">
        <v>7</v>
      </c>
      <c r="L489" s="353"/>
      <c r="M489" s="622" t="s">
        <v>366</v>
      </c>
      <c r="N489" s="166" t="s">
        <v>367</v>
      </c>
      <c r="O489" s="202">
        <v>10000</v>
      </c>
      <c r="P489" s="177"/>
      <c r="Q489" s="177"/>
      <c r="R489" s="248">
        <f t="shared" si="53"/>
        <v>10000</v>
      </c>
      <c r="S489" s="171">
        <v>0.3</v>
      </c>
      <c r="T489" s="527">
        <v>10000</v>
      </c>
      <c r="U489" s="544"/>
      <c r="V489" s="167" t="s">
        <v>368</v>
      </c>
      <c r="W489" s="181">
        <v>7</v>
      </c>
    </row>
    <row r="490" spans="2:23" ht="15.5" x14ac:dyDescent="0.35">
      <c r="B490" s="623"/>
      <c r="C490" s="166" t="s">
        <v>369</v>
      </c>
      <c r="D490" s="202">
        <v>6000</v>
      </c>
      <c r="E490" s="177"/>
      <c r="F490" s="177"/>
      <c r="G490" s="248">
        <f t="shared" si="52"/>
        <v>6000</v>
      </c>
      <c r="H490" s="171">
        <v>0.3</v>
      </c>
      <c r="I490" s="177"/>
      <c r="J490" s="167" t="s">
        <v>250</v>
      </c>
      <c r="K490" s="181">
        <v>4</v>
      </c>
      <c r="L490" s="353"/>
      <c r="M490" s="623"/>
      <c r="N490" s="166" t="s">
        <v>369</v>
      </c>
      <c r="O490" s="202">
        <v>6000</v>
      </c>
      <c r="P490" s="177"/>
      <c r="Q490" s="177"/>
      <c r="R490" s="248">
        <f t="shared" si="53"/>
        <v>6000</v>
      </c>
      <c r="S490" s="171">
        <v>0.3</v>
      </c>
      <c r="T490" s="527">
        <v>6000</v>
      </c>
      <c r="U490" s="544"/>
      <c r="V490" s="167" t="s">
        <v>250</v>
      </c>
      <c r="W490" s="181">
        <v>4</v>
      </c>
    </row>
    <row r="491" spans="2:23" ht="31" x14ac:dyDescent="0.35">
      <c r="B491" s="623"/>
      <c r="C491" s="166" t="s">
        <v>370</v>
      </c>
      <c r="D491" s="202">
        <v>10000</v>
      </c>
      <c r="E491" s="177"/>
      <c r="F491" s="177"/>
      <c r="G491" s="248">
        <f t="shared" si="52"/>
        <v>10000</v>
      </c>
      <c r="H491" s="171">
        <v>0.3</v>
      </c>
      <c r="I491" s="177"/>
      <c r="J491" s="167" t="s">
        <v>371</v>
      </c>
      <c r="K491" s="181">
        <v>7</v>
      </c>
      <c r="L491" s="353"/>
      <c r="M491" s="623"/>
      <c r="N491" s="166" t="s">
        <v>370</v>
      </c>
      <c r="O491" s="202">
        <v>10000</v>
      </c>
      <c r="P491" s="177"/>
      <c r="Q491" s="177"/>
      <c r="R491" s="248">
        <f t="shared" si="53"/>
        <v>10000</v>
      </c>
      <c r="S491" s="171">
        <v>0.3</v>
      </c>
      <c r="T491" s="527">
        <v>10000</v>
      </c>
      <c r="U491" s="544"/>
      <c r="V491" s="167" t="s">
        <v>371</v>
      </c>
      <c r="W491" s="181">
        <v>7</v>
      </c>
    </row>
    <row r="492" spans="2:23" ht="15.5" x14ac:dyDescent="0.35">
      <c r="B492" s="623"/>
      <c r="C492" s="166" t="s">
        <v>97</v>
      </c>
      <c r="D492" s="202">
        <v>2000</v>
      </c>
      <c r="E492" s="177"/>
      <c r="F492" s="177"/>
      <c r="G492" s="248">
        <f t="shared" si="52"/>
        <v>2000</v>
      </c>
      <c r="H492" s="171">
        <v>0.3</v>
      </c>
      <c r="I492" s="177"/>
      <c r="J492" s="167" t="s">
        <v>201</v>
      </c>
      <c r="K492" s="181">
        <v>5</v>
      </c>
      <c r="L492" s="353"/>
      <c r="M492" s="623"/>
      <c r="N492" s="166" t="s">
        <v>97</v>
      </c>
      <c r="O492" s="202">
        <v>2000</v>
      </c>
      <c r="P492" s="177"/>
      <c r="Q492" s="177"/>
      <c r="R492" s="248">
        <f t="shared" si="53"/>
        <v>2000</v>
      </c>
      <c r="S492" s="171">
        <v>0.3</v>
      </c>
      <c r="T492" s="527">
        <v>2000</v>
      </c>
      <c r="U492" s="544"/>
      <c r="V492" s="167" t="s">
        <v>201</v>
      </c>
      <c r="W492" s="181">
        <v>5</v>
      </c>
    </row>
    <row r="493" spans="2:23" ht="15.5" x14ac:dyDescent="0.35">
      <c r="B493" s="624"/>
      <c r="C493" s="166"/>
      <c r="D493" s="202"/>
      <c r="E493" s="177"/>
      <c r="F493" s="177"/>
      <c r="G493" s="248">
        <f t="shared" si="52"/>
        <v>0</v>
      </c>
      <c r="H493" s="171"/>
      <c r="I493" s="177"/>
      <c r="J493" s="167"/>
      <c r="K493" s="181"/>
      <c r="L493" s="353"/>
      <c r="M493" s="624"/>
      <c r="N493" s="166"/>
      <c r="O493" s="202"/>
      <c r="P493" s="177"/>
      <c r="Q493" s="177"/>
      <c r="R493" s="248">
        <f t="shared" si="53"/>
        <v>0</v>
      </c>
      <c r="S493" s="171"/>
      <c r="T493" s="527"/>
      <c r="U493" s="544"/>
      <c r="V493" s="167"/>
      <c r="W493" s="181"/>
    </row>
    <row r="494" spans="2:23" ht="31" x14ac:dyDescent="0.35">
      <c r="B494" s="622" t="s">
        <v>372</v>
      </c>
      <c r="C494" s="166" t="s">
        <v>373</v>
      </c>
      <c r="D494" s="202">
        <v>3000</v>
      </c>
      <c r="E494" s="177"/>
      <c r="F494" s="177"/>
      <c r="G494" s="248">
        <f t="shared" si="52"/>
        <v>3000</v>
      </c>
      <c r="H494" s="171">
        <v>0.3</v>
      </c>
      <c r="I494" s="177"/>
      <c r="J494" s="167" t="s">
        <v>374</v>
      </c>
      <c r="K494" s="181">
        <v>7</v>
      </c>
      <c r="L494" s="353"/>
      <c r="M494" s="622" t="s">
        <v>372</v>
      </c>
      <c r="N494" s="166" t="s">
        <v>373</v>
      </c>
      <c r="O494" s="202">
        <v>3000</v>
      </c>
      <c r="P494" s="177"/>
      <c r="Q494" s="177"/>
      <c r="R494" s="248">
        <f t="shared" si="53"/>
        <v>3000</v>
      </c>
      <c r="S494" s="171">
        <v>0.3</v>
      </c>
      <c r="T494" s="527">
        <v>3000</v>
      </c>
      <c r="U494" s="544"/>
      <c r="V494" s="167" t="s">
        <v>374</v>
      </c>
      <c r="W494" s="181">
        <v>7</v>
      </c>
    </row>
    <row r="495" spans="2:23" ht="31" x14ac:dyDescent="0.35">
      <c r="B495" s="623"/>
      <c r="C495" s="166" t="s">
        <v>375</v>
      </c>
      <c r="D495" s="202">
        <v>7500</v>
      </c>
      <c r="E495" s="177"/>
      <c r="F495" s="177"/>
      <c r="G495" s="248">
        <f t="shared" si="52"/>
        <v>7500</v>
      </c>
      <c r="H495" s="171">
        <v>0.3</v>
      </c>
      <c r="I495" s="177"/>
      <c r="J495" s="167" t="s">
        <v>308</v>
      </c>
      <c r="K495" s="181">
        <v>3</v>
      </c>
      <c r="L495" s="353"/>
      <c r="M495" s="623"/>
      <c r="N495" s="166" t="s">
        <v>375</v>
      </c>
      <c r="O495" s="202">
        <v>7500</v>
      </c>
      <c r="P495" s="177"/>
      <c r="Q495" s="177"/>
      <c r="R495" s="248">
        <f t="shared" si="53"/>
        <v>7500</v>
      </c>
      <c r="S495" s="171">
        <v>0.3</v>
      </c>
      <c r="T495" s="527">
        <v>7500</v>
      </c>
      <c r="U495" s="544"/>
      <c r="V495" s="167" t="s">
        <v>308</v>
      </c>
      <c r="W495" s="181">
        <v>3</v>
      </c>
    </row>
    <row r="496" spans="2:23" ht="15.5" x14ac:dyDescent="0.35">
      <c r="B496" s="623"/>
      <c r="C496" s="166"/>
      <c r="D496" s="202"/>
      <c r="E496" s="177"/>
      <c r="F496" s="177"/>
      <c r="G496" s="248">
        <f t="shared" si="52"/>
        <v>0</v>
      </c>
      <c r="H496" s="171"/>
      <c r="I496" s="177"/>
      <c r="J496" s="167"/>
      <c r="K496" s="181"/>
      <c r="L496" s="353"/>
      <c r="M496" s="623"/>
      <c r="N496" s="166"/>
      <c r="O496" s="202"/>
      <c r="P496" s="177"/>
      <c r="Q496" s="177"/>
      <c r="R496" s="248">
        <f t="shared" si="53"/>
        <v>0</v>
      </c>
      <c r="S496" s="171"/>
      <c r="T496" s="527"/>
      <c r="U496" s="544"/>
      <c r="V496" s="167"/>
      <c r="W496" s="181"/>
    </row>
    <row r="497" spans="2:23" ht="15.5" x14ac:dyDescent="0.35">
      <c r="B497" s="623"/>
      <c r="C497" s="166"/>
      <c r="D497" s="202"/>
      <c r="E497" s="177"/>
      <c r="F497" s="177"/>
      <c r="G497" s="248">
        <f t="shared" si="52"/>
        <v>0</v>
      </c>
      <c r="H497" s="171"/>
      <c r="I497" s="177"/>
      <c r="J497" s="167"/>
      <c r="K497" s="181"/>
      <c r="L497" s="353"/>
      <c r="M497" s="623"/>
      <c r="N497" s="166"/>
      <c r="O497" s="202"/>
      <c r="P497" s="177"/>
      <c r="Q497" s="177"/>
      <c r="R497" s="248">
        <f t="shared" si="53"/>
        <v>0</v>
      </c>
      <c r="S497" s="171"/>
      <c r="T497" s="527"/>
      <c r="U497" s="544"/>
      <c r="V497" s="167"/>
      <c r="W497" s="181"/>
    </row>
    <row r="498" spans="2:23" ht="15.5" x14ac:dyDescent="0.35">
      <c r="B498" s="624"/>
      <c r="C498" s="166"/>
      <c r="D498" s="202"/>
      <c r="E498" s="177"/>
      <c r="F498" s="177"/>
      <c r="G498" s="248">
        <f t="shared" si="52"/>
        <v>0</v>
      </c>
      <c r="H498" s="171"/>
      <c r="I498" s="177"/>
      <c r="J498" s="167"/>
      <c r="K498" s="181"/>
      <c r="L498" s="353"/>
      <c r="M498" s="624"/>
      <c r="N498" s="166"/>
      <c r="O498" s="202"/>
      <c r="P498" s="177"/>
      <c r="Q498" s="177"/>
      <c r="R498" s="248">
        <f t="shared" si="53"/>
        <v>0</v>
      </c>
      <c r="S498" s="171"/>
      <c r="T498" s="527"/>
      <c r="U498" s="544"/>
      <c r="V498" s="167"/>
      <c r="W498" s="181"/>
    </row>
    <row r="499" spans="2:23" ht="15.5" x14ac:dyDescent="0.35">
      <c r="B499" s="622" t="s">
        <v>376</v>
      </c>
      <c r="C499" s="166"/>
      <c r="D499" s="202"/>
      <c r="E499" s="177"/>
      <c r="F499" s="177"/>
      <c r="G499" s="248">
        <f t="shared" si="52"/>
        <v>0</v>
      </c>
      <c r="H499" s="171"/>
      <c r="I499" s="177"/>
      <c r="J499" s="167"/>
      <c r="K499" s="181"/>
      <c r="L499" s="353"/>
      <c r="M499" s="622" t="s">
        <v>376</v>
      </c>
      <c r="N499" s="166"/>
      <c r="O499" s="202"/>
      <c r="P499" s="177"/>
      <c r="Q499" s="177"/>
      <c r="R499" s="248">
        <f t="shared" si="53"/>
        <v>0</v>
      </c>
      <c r="S499" s="171"/>
      <c r="T499" s="177"/>
      <c r="U499" s="544"/>
      <c r="V499" s="167"/>
      <c r="W499" s="181"/>
    </row>
    <row r="500" spans="2:23" ht="15.5" x14ac:dyDescent="0.35">
      <c r="B500" s="623"/>
      <c r="C500" s="166"/>
      <c r="D500" s="202"/>
      <c r="E500" s="177"/>
      <c r="F500" s="177"/>
      <c r="G500" s="248">
        <f t="shared" si="52"/>
        <v>0</v>
      </c>
      <c r="H500" s="171"/>
      <c r="I500" s="177"/>
      <c r="J500" s="167"/>
      <c r="K500" s="181"/>
      <c r="L500" s="353"/>
      <c r="M500" s="623"/>
      <c r="N500" s="166"/>
      <c r="O500" s="202"/>
      <c r="P500" s="177"/>
      <c r="Q500" s="177"/>
      <c r="R500" s="248">
        <f t="shared" si="53"/>
        <v>0</v>
      </c>
      <c r="S500" s="171"/>
      <c r="T500" s="177"/>
      <c r="U500" s="544"/>
      <c r="V500" s="167"/>
      <c r="W500" s="181"/>
    </row>
    <row r="501" spans="2:23" ht="15.5" x14ac:dyDescent="0.35">
      <c r="B501" s="623"/>
      <c r="C501" s="166"/>
      <c r="D501" s="202"/>
      <c r="E501" s="177"/>
      <c r="F501" s="177"/>
      <c r="G501" s="248">
        <f t="shared" si="52"/>
        <v>0</v>
      </c>
      <c r="H501" s="171"/>
      <c r="I501" s="177"/>
      <c r="J501" s="167"/>
      <c r="K501" s="181"/>
      <c r="L501" s="353"/>
      <c r="M501" s="623"/>
      <c r="N501" s="166"/>
      <c r="O501" s="202"/>
      <c r="P501" s="177"/>
      <c r="Q501" s="177"/>
      <c r="R501" s="248">
        <f t="shared" si="53"/>
        <v>0</v>
      </c>
      <c r="S501" s="171"/>
      <c r="T501" s="177"/>
      <c r="U501" s="544"/>
      <c r="V501" s="167"/>
      <c r="W501" s="181"/>
    </row>
    <row r="502" spans="2:23" ht="15.5" x14ac:dyDescent="0.35">
      <c r="B502" s="623"/>
      <c r="C502" s="245"/>
      <c r="D502" s="202"/>
      <c r="E502" s="251"/>
      <c r="F502" s="251"/>
      <c r="G502" s="248">
        <f t="shared" si="52"/>
        <v>0</v>
      </c>
      <c r="H502" s="250"/>
      <c r="I502" s="251"/>
      <c r="J502" s="170"/>
      <c r="K502" s="181"/>
      <c r="L502" s="353"/>
      <c r="M502" s="623"/>
      <c r="N502" s="245"/>
      <c r="O502" s="202"/>
      <c r="P502" s="251"/>
      <c r="Q502" s="251"/>
      <c r="R502" s="248">
        <f t="shared" si="53"/>
        <v>0</v>
      </c>
      <c r="S502" s="250"/>
      <c r="T502" s="251"/>
      <c r="U502" s="544"/>
      <c r="V502" s="170"/>
      <c r="W502" s="181"/>
    </row>
    <row r="503" spans="2:23" ht="15.5" x14ac:dyDescent="0.35">
      <c r="B503" s="624"/>
      <c r="C503" s="245"/>
      <c r="D503" s="202"/>
      <c r="E503" s="251"/>
      <c r="F503" s="251"/>
      <c r="G503" s="248">
        <f t="shared" si="52"/>
        <v>0</v>
      </c>
      <c r="H503" s="250"/>
      <c r="I503" s="251"/>
      <c r="J503" s="170"/>
      <c r="K503" s="181"/>
      <c r="L503" s="353"/>
      <c r="M503" s="624"/>
      <c r="N503" s="245"/>
      <c r="O503" s="202"/>
      <c r="P503" s="251"/>
      <c r="Q503" s="251"/>
      <c r="R503" s="248">
        <f t="shared" si="53"/>
        <v>0</v>
      </c>
      <c r="S503" s="250"/>
      <c r="T503" s="251"/>
      <c r="U503" s="544"/>
      <c r="V503" s="170"/>
      <c r="W503" s="181"/>
    </row>
    <row r="504" spans="2:23" ht="15.5" x14ac:dyDescent="0.35">
      <c r="C504" s="73" t="s">
        <v>377</v>
      </c>
      <c r="D504" s="203">
        <f>SUM(D478:D503)</f>
        <v>78689.72</v>
      </c>
      <c r="E504" s="12">
        <f t="shared" ref="E504:F504" si="54">SUM(E478:E503)</f>
        <v>0</v>
      </c>
      <c r="F504" s="12">
        <f t="shared" si="54"/>
        <v>0</v>
      </c>
      <c r="G504" s="10">
        <f>SUM(G478:G503)</f>
        <v>78689.72</v>
      </c>
      <c r="H504" s="10">
        <f>(H478*G478)+(H479*G479)+(H480*G480)+(H481*G481)+(H482*G482)+(H483*G483)+(H484*G484)+(H485*G485)+(H486*G486)+(H487*G487)+(H488*G488)+(H489*G489)+(H490*G490)+(H491*G491)+(H492*G492)+(H493*G493)+(H494*G494)+(H495*G495)+(H496*G496)+(H497*G497)+(H498*G498)+(H499*G499)+(H500*G500)+(H501*G501)+(H502*G502)+(H503*G503)</f>
        <v>25106.915999999997</v>
      </c>
      <c r="I504" s="10">
        <f>SUM(I478:I503)</f>
        <v>0</v>
      </c>
      <c r="J504" s="170"/>
      <c r="K504" s="182"/>
      <c r="L504" s="353"/>
      <c r="N504" s="73" t="s">
        <v>377</v>
      </c>
      <c r="O504" s="203">
        <f>SUM(O478:O503)</f>
        <v>78689.72</v>
      </c>
      <c r="P504" s="12">
        <f t="shared" ref="P504:Q504" si="55">SUM(P478:P503)</f>
        <v>0</v>
      </c>
      <c r="Q504" s="12">
        <f t="shared" si="55"/>
        <v>0</v>
      </c>
      <c r="R504" s="10">
        <f>SUM(R478:R503)</f>
        <v>78689.72</v>
      </c>
      <c r="S504" s="10">
        <f>(S478*R478)+(S479*R479)+(S480*R480)+(S481*R481)+(S482*R482)+(S483*R483)+(S484*R484)+(S485*R485)+(S486*R486)+(S487*R487)+(S488*R488)+(S489*R489)+(S490*R490)+(S491*R491)+(S492*R492)+(S493*R493)+(S494*R494)+(S495*R495)+(S496*R496)+(S497*R497)+(S498*R498)+(S499*R499)+(S500*R500)+(S501*R501)+(S502*R502)+(S503*R503)</f>
        <v>25106.915999999997</v>
      </c>
      <c r="T504" s="10">
        <f>SUM(T478:T503)</f>
        <v>78689.72</v>
      </c>
      <c r="U504" s="545"/>
      <c r="V504" s="170"/>
      <c r="W504" s="182"/>
    </row>
    <row r="505" spans="2:23" ht="34.4" hidden="1" customHeight="1" x14ac:dyDescent="0.35">
      <c r="B505" s="72" t="s">
        <v>378</v>
      </c>
      <c r="C505" s="630"/>
      <c r="D505" s="630"/>
      <c r="E505" s="630"/>
      <c r="F505" s="630"/>
      <c r="G505" s="630"/>
      <c r="H505" s="630"/>
      <c r="I505" s="631"/>
      <c r="J505" s="630"/>
      <c r="K505" s="183"/>
      <c r="L505" s="353"/>
      <c r="M505" s="72" t="s">
        <v>378</v>
      </c>
      <c r="N505" s="630"/>
      <c r="O505" s="630"/>
      <c r="P505" s="630"/>
      <c r="Q505" s="630"/>
      <c r="R505" s="630"/>
      <c r="S505" s="630"/>
      <c r="T505" s="631"/>
      <c r="U505" s="631"/>
      <c r="V505" s="630"/>
      <c r="W505" s="183"/>
    </row>
    <row r="506" spans="2:23" ht="15.5" hidden="1" x14ac:dyDescent="0.35">
      <c r="B506" s="622" t="s">
        <v>379</v>
      </c>
      <c r="C506" s="166"/>
      <c r="D506" s="202"/>
      <c r="E506" s="177"/>
      <c r="F506" s="177"/>
      <c r="G506" s="248">
        <f>D506+E506+F506</f>
        <v>0</v>
      </c>
      <c r="H506" s="171"/>
      <c r="I506" s="177"/>
      <c r="J506" s="167"/>
      <c r="K506" s="181"/>
      <c r="L506" s="353"/>
      <c r="M506" s="622" t="s">
        <v>379</v>
      </c>
      <c r="N506" s="166"/>
      <c r="O506" s="202"/>
      <c r="P506" s="177"/>
      <c r="Q506" s="177"/>
      <c r="R506" s="248">
        <f>O506+P506+Q506</f>
        <v>0</v>
      </c>
      <c r="S506" s="171"/>
      <c r="T506" s="177"/>
      <c r="U506" s="544"/>
      <c r="V506" s="167"/>
      <c r="W506" s="181"/>
    </row>
    <row r="507" spans="2:23" ht="15.5" hidden="1" x14ac:dyDescent="0.35">
      <c r="B507" s="623"/>
      <c r="C507" s="166"/>
      <c r="D507" s="202"/>
      <c r="E507" s="177"/>
      <c r="F507" s="177"/>
      <c r="G507" s="248">
        <f t="shared" ref="G507:G515" si="56">D507+E507+F507</f>
        <v>0</v>
      </c>
      <c r="H507" s="171"/>
      <c r="I507" s="177"/>
      <c r="J507" s="167"/>
      <c r="K507" s="181"/>
      <c r="L507" s="353"/>
      <c r="M507" s="623"/>
      <c r="N507" s="166"/>
      <c r="O507" s="202"/>
      <c r="P507" s="177"/>
      <c r="Q507" s="177"/>
      <c r="R507" s="248">
        <f t="shared" ref="R507:R515" si="57">O507+P507+Q507</f>
        <v>0</v>
      </c>
      <c r="S507" s="171"/>
      <c r="T507" s="177"/>
      <c r="U507" s="544"/>
      <c r="V507" s="167"/>
      <c r="W507" s="181"/>
    </row>
    <row r="508" spans="2:23" ht="15.5" hidden="1" x14ac:dyDescent="0.35">
      <c r="B508" s="623"/>
      <c r="C508" s="166"/>
      <c r="D508" s="202"/>
      <c r="E508" s="177"/>
      <c r="F508" s="177"/>
      <c r="G508" s="248">
        <f t="shared" si="56"/>
        <v>0</v>
      </c>
      <c r="H508" s="171"/>
      <c r="I508" s="177"/>
      <c r="J508" s="167"/>
      <c r="K508" s="181"/>
      <c r="L508" s="353"/>
      <c r="M508" s="623"/>
      <c r="N508" s="166"/>
      <c r="O508" s="202"/>
      <c r="P508" s="177"/>
      <c r="Q508" s="177"/>
      <c r="R508" s="248">
        <f t="shared" si="57"/>
        <v>0</v>
      </c>
      <c r="S508" s="171"/>
      <c r="T508" s="177"/>
      <c r="U508" s="544"/>
      <c r="V508" s="167"/>
      <c r="W508" s="181"/>
    </row>
    <row r="509" spans="2:23" ht="15.5" hidden="1" x14ac:dyDescent="0.35">
      <c r="B509" s="623"/>
      <c r="C509" s="166"/>
      <c r="D509" s="202"/>
      <c r="E509" s="177"/>
      <c r="F509" s="177"/>
      <c r="G509" s="248">
        <f t="shared" si="56"/>
        <v>0</v>
      </c>
      <c r="H509" s="171"/>
      <c r="I509" s="177"/>
      <c r="J509" s="167"/>
      <c r="K509" s="181"/>
      <c r="L509" s="353"/>
      <c r="M509" s="623"/>
      <c r="N509" s="166"/>
      <c r="O509" s="202"/>
      <c r="P509" s="177"/>
      <c r="Q509" s="177"/>
      <c r="R509" s="248">
        <f t="shared" si="57"/>
        <v>0</v>
      </c>
      <c r="S509" s="171"/>
      <c r="T509" s="177"/>
      <c r="U509" s="544"/>
      <c r="V509" s="167"/>
      <c r="W509" s="181"/>
    </row>
    <row r="510" spans="2:23" ht="15.5" hidden="1" x14ac:dyDescent="0.35">
      <c r="B510" s="624"/>
      <c r="C510" s="166"/>
      <c r="D510" s="202"/>
      <c r="E510" s="177"/>
      <c r="F510" s="177"/>
      <c r="G510" s="248">
        <f t="shared" si="56"/>
        <v>0</v>
      </c>
      <c r="H510" s="171"/>
      <c r="I510" s="177"/>
      <c r="J510" s="167"/>
      <c r="K510" s="181"/>
      <c r="L510" s="353"/>
      <c r="M510" s="624"/>
      <c r="N510" s="166"/>
      <c r="O510" s="202"/>
      <c r="P510" s="177"/>
      <c r="Q510" s="177"/>
      <c r="R510" s="248">
        <f t="shared" si="57"/>
        <v>0</v>
      </c>
      <c r="S510" s="171"/>
      <c r="T510" s="177"/>
      <c r="U510" s="544"/>
      <c r="V510" s="167"/>
      <c r="W510" s="181"/>
    </row>
    <row r="511" spans="2:23" ht="15.5" hidden="1" x14ac:dyDescent="0.35">
      <c r="B511" s="622" t="s">
        <v>380</v>
      </c>
      <c r="C511" s="166"/>
      <c r="D511" s="202"/>
      <c r="E511" s="177"/>
      <c r="F511" s="177"/>
      <c r="G511" s="248">
        <f t="shared" si="56"/>
        <v>0</v>
      </c>
      <c r="H511" s="171"/>
      <c r="I511" s="177"/>
      <c r="J511" s="167"/>
      <c r="K511" s="181"/>
      <c r="L511" s="353"/>
      <c r="M511" s="622" t="s">
        <v>380</v>
      </c>
      <c r="N511" s="166"/>
      <c r="O511" s="202"/>
      <c r="P511" s="177"/>
      <c r="Q511" s="177"/>
      <c r="R511" s="248">
        <f t="shared" si="57"/>
        <v>0</v>
      </c>
      <c r="S511" s="171"/>
      <c r="T511" s="177"/>
      <c r="U511" s="544"/>
      <c r="V511" s="167"/>
      <c r="W511" s="181"/>
    </row>
    <row r="512" spans="2:23" ht="15.5" hidden="1" x14ac:dyDescent="0.35">
      <c r="B512" s="623"/>
      <c r="C512" s="166"/>
      <c r="D512" s="202"/>
      <c r="E512" s="177"/>
      <c r="F512" s="177"/>
      <c r="G512" s="248">
        <f t="shared" si="56"/>
        <v>0</v>
      </c>
      <c r="H512" s="171"/>
      <c r="I512" s="177"/>
      <c r="J512" s="167"/>
      <c r="K512" s="181"/>
      <c r="L512" s="353"/>
      <c r="M512" s="623"/>
      <c r="N512" s="166"/>
      <c r="O512" s="202"/>
      <c r="P512" s="177"/>
      <c r="Q512" s="177"/>
      <c r="R512" s="248">
        <f t="shared" si="57"/>
        <v>0</v>
      </c>
      <c r="S512" s="171"/>
      <c r="T512" s="177"/>
      <c r="U512" s="544"/>
      <c r="V512" s="167"/>
      <c r="W512" s="181"/>
    </row>
    <row r="513" spans="2:23" ht="15.5" hidden="1" x14ac:dyDescent="0.35">
      <c r="B513" s="623"/>
      <c r="C513" s="166"/>
      <c r="D513" s="202"/>
      <c r="E513" s="177"/>
      <c r="F513" s="177"/>
      <c r="G513" s="248">
        <f t="shared" si="56"/>
        <v>0</v>
      </c>
      <c r="H513" s="171"/>
      <c r="I513" s="177"/>
      <c r="J513" s="167"/>
      <c r="K513" s="181"/>
      <c r="L513" s="353"/>
      <c r="M513" s="623"/>
      <c r="N513" s="166"/>
      <c r="O513" s="202"/>
      <c r="P513" s="177"/>
      <c r="Q513" s="177"/>
      <c r="R513" s="248">
        <f t="shared" si="57"/>
        <v>0</v>
      </c>
      <c r="S513" s="171"/>
      <c r="T513" s="177"/>
      <c r="U513" s="544"/>
      <c r="V513" s="167"/>
      <c r="W513" s="181"/>
    </row>
    <row r="514" spans="2:23" ht="15.5" hidden="1" x14ac:dyDescent="0.35">
      <c r="B514" s="623"/>
      <c r="C514" s="166"/>
      <c r="D514" s="202"/>
      <c r="E514" s="177"/>
      <c r="F514" s="177"/>
      <c r="G514" s="248">
        <f t="shared" si="56"/>
        <v>0</v>
      </c>
      <c r="H514" s="171"/>
      <c r="I514" s="177"/>
      <c r="J514" s="167"/>
      <c r="K514" s="181"/>
      <c r="L514" s="353"/>
      <c r="M514" s="623"/>
      <c r="N514" s="166"/>
      <c r="O514" s="202"/>
      <c r="P514" s="177"/>
      <c r="Q514" s="177"/>
      <c r="R514" s="248">
        <f t="shared" si="57"/>
        <v>0</v>
      </c>
      <c r="S514" s="171"/>
      <c r="T514" s="177"/>
      <c r="U514" s="544"/>
      <c r="V514" s="167"/>
      <c r="W514" s="181"/>
    </row>
    <row r="515" spans="2:23" ht="15.5" hidden="1" x14ac:dyDescent="0.35">
      <c r="B515" s="624"/>
      <c r="C515" s="166"/>
      <c r="D515" s="202"/>
      <c r="E515" s="177"/>
      <c r="F515" s="177"/>
      <c r="G515" s="248">
        <f t="shared" si="56"/>
        <v>0</v>
      </c>
      <c r="H515" s="171"/>
      <c r="I515" s="177"/>
      <c r="J515" s="167"/>
      <c r="K515" s="181"/>
      <c r="L515" s="353"/>
      <c r="M515" s="624"/>
      <c r="N515" s="166"/>
      <c r="O515" s="202"/>
      <c r="P515" s="177"/>
      <c r="Q515" s="177"/>
      <c r="R515" s="248">
        <f t="shared" si="57"/>
        <v>0</v>
      </c>
      <c r="S515" s="171"/>
      <c r="T515" s="177"/>
      <c r="U515" s="544"/>
      <c r="V515" s="167"/>
      <c r="W515" s="181"/>
    </row>
    <row r="516" spans="2:23" ht="15.5" hidden="1" x14ac:dyDescent="0.35">
      <c r="C516" s="73" t="s">
        <v>381</v>
      </c>
      <c r="D516" s="201">
        <f>SUM(D506:D515)</f>
        <v>0</v>
      </c>
      <c r="E516" s="10">
        <f>SUM(E506:E515)</f>
        <v>0</v>
      </c>
      <c r="F516" s="10">
        <f>SUM(F506:F515)</f>
        <v>0</v>
      </c>
      <c r="G516" s="10">
        <f>SUM(G506:G515)</f>
        <v>0</v>
      </c>
      <c r="H516" s="10">
        <f>(H506*G506)+(H507*G507)+(H508*G508)+(H509*G509)+(H510*G510)+(H511*G511)+(H512*G512)+(H513*G513)+(H514*G514)+(H515*G515)</f>
        <v>0</v>
      </c>
      <c r="I516" s="10">
        <f>SUM(I506:I515)</f>
        <v>0</v>
      </c>
      <c r="J516" s="170"/>
      <c r="K516" s="182"/>
      <c r="L516" s="353"/>
      <c r="N516" s="73" t="s">
        <v>381</v>
      </c>
      <c r="O516" s="201">
        <f>SUM(O506:O515)</f>
        <v>0</v>
      </c>
      <c r="P516" s="10">
        <f>SUM(P506:P515)</f>
        <v>0</v>
      </c>
      <c r="Q516" s="10">
        <f>SUM(Q506:Q515)</f>
        <v>0</v>
      </c>
      <c r="R516" s="10">
        <f>SUM(R506:R515)</f>
        <v>0</v>
      </c>
      <c r="S516" s="10">
        <f>(S506*R506)+(S507*R507)+(S508*R508)+(S509*R509)+(S510*R510)+(S511*R511)+(S512*R512)+(S513*R513)+(S514*R514)+(S515*R515)</f>
        <v>0</v>
      </c>
      <c r="T516" s="10">
        <f>SUM(T506:T515)</f>
        <v>0</v>
      </c>
      <c r="U516" s="545"/>
      <c r="V516" s="170"/>
      <c r="W516" s="182"/>
    </row>
    <row r="517" spans="2:23" ht="15.75" hidden="1" customHeight="1" x14ac:dyDescent="0.35">
      <c r="B517" s="4"/>
      <c r="C517" s="252"/>
      <c r="D517" s="258"/>
      <c r="E517" s="259"/>
      <c r="F517" s="259"/>
      <c r="G517" s="259"/>
      <c r="H517" s="259"/>
      <c r="I517" s="259"/>
      <c r="J517" s="252"/>
      <c r="K517" s="186"/>
      <c r="L517" s="353"/>
      <c r="M517" s="4"/>
      <c r="N517" s="252"/>
      <c r="O517" s="258"/>
      <c r="P517" s="259"/>
      <c r="Q517" s="259"/>
      <c r="R517" s="259"/>
      <c r="S517" s="259"/>
      <c r="T517" s="259"/>
      <c r="U517" s="551"/>
      <c r="V517" s="252"/>
      <c r="W517" s="186"/>
    </row>
    <row r="518" spans="2:23" ht="15.75" hidden="1" customHeight="1" x14ac:dyDescent="0.35">
      <c r="B518" s="4"/>
      <c r="C518" s="252"/>
      <c r="D518" s="258"/>
      <c r="E518" s="259"/>
      <c r="F518" s="259"/>
      <c r="G518" s="259"/>
      <c r="H518" s="259"/>
      <c r="I518" s="259"/>
      <c r="J518" s="252"/>
      <c r="K518" s="186"/>
      <c r="L518" s="353"/>
      <c r="M518" s="4"/>
      <c r="N518" s="252"/>
      <c r="O518" s="258"/>
      <c r="P518" s="259"/>
      <c r="Q518" s="259"/>
      <c r="R518" s="259"/>
      <c r="S518" s="259"/>
      <c r="T518" s="259"/>
      <c r="U518" s="551"/>
      <c r="V518" s="252"/>
      <c r="W518" s="186"/>
    </row>
    <row r="519" spans="2:23" ht="34.5" customHeight="1" x14ac:dyDescent="0.35">
      <c r="B519" s="625" t="s">
        <v>382</v>
      </c>
      <c r="C519" s="217" t="s">
        <v>383</v>
      </c>
      <c r="D519" s="218">
        <f>202440-75000</f>
        <v>127440</v>
      </c>
      <c r="E519" s="219"/>
      <c r="F519" s="219">
        <v>0</v>
      </c>
      <c r="G519" s="220">
        <f>D519+E519+F519</f>
        <v>127440</v>
      </c>
      <c r="H519" s="221">
        <v>0.5</v>
      </c>
      <c r="I519" s="174"/>
      <c r="J519" s="222"/>
      <c r="K519" s="223">
        <v>1</v>
      </c>
      <c r="L519" s="353"/>
      <c r="M519" s="625" t="s">
        <v>382</v>
      </c>
      <c r="N519" s="375" t="s">
        <v>383</v>
      </c>
      <c r="O519" s="376">
        <f>202440-75000</f>
        <v>127440</v>
      </c>
      <c r="P519" s="377"/>
      <c r="Q519" s="377">
        <v>0</v>
      </c>
      <c r="R519" s="378">
        <f>O519+P519+Q519</f>
        <v>127440</v>
      </c>
      <c r="S519" s="236">
        <v>0.5</v>
      </c>
      <c r="T519" s="531">
        <v>127444</v>
      </c>
      <c r="U519" s="552">
        <v>0</v>
      </c>
      <c r="V519" s="379"/>
      <c r="W519" s="187">
        <v>1</v>
      </c>
    </row>
    <row r="520" spans="2:23" ht="23.5" customHeight="1" x14ac:dyDescent="0.35">
      <c r="B520" s="626"/>
      <c r="C520" s="178" t="s">
        <v>384</v>
      </c>
      <c r="D520" s="204">
        <v>53165.708720000002</v>
      </c>
      <c r="E520" s="179"/>
      <c r="F520" s="179"/>
      <c r="G520" s="261">
        <f t="shared" ref="G520:G535" si="58">D520+E520+F520</f>
        <v>53165.708720000002</v>
      </c>
      <c r="H520" s="171">
        <v>0.5</v>
      </c>
      <c r="I520" s="262"/>
      <c r="J520" s="263"/>
      <c r="K520" s="187">
        <v>1</v>
      </c>
      <c r="L520" s="353"/>
      <c r="M520" s="626"/>
      <c r="N520" s="178" t="s">
        <v>384</v>
      </c>
      <c r="O520" s="204">
        <v>53165.708720000002</v>
      </c>
      <c r="P520" s="179"/>
      <c r="Q520" s="179"/>
      <c r="R520" s="261">
        <f t="shared" ref="R520:R535" si="59">O520+P520+Q520</f>
        <v>53165.708720000002</v>
      </c>
      <c r="S520" s="171">
        <v>0.5</v>
      </c>
      <c r="T520" s="531">
        <v>53165</v>
      </c>
      <c r="U520" s="552">
        <f t="shared" ref="U520:U560" si="60">T520*50/100</f>
        <v>26582.5</v>
      </c>
      <c r="V520" s="263"/>
      <c r="W520" s="187">
        <v>1</v>
      </c>
    </row>
    <row r="521" spans="2:23" ht="23.5" customHeight="1" x14ac:dyDescent="0.35">
      <c r="B521" s="626"/>
      <c r="C521" s="178" t="s">
        <v>385</v>
      </c>
      <c r="D521" s="204">
        <f>12808*2</f>
        <v>25616</v>
      </c>
      <c r="E521" s="179"/>
      <c r="F521" s="179"/>
      <c r="G521" s="261">
        <f t="shared" si="58"/>
        <v>25616</v>
      </c>
      <c r="H521" s="171">
        <v>0.5</v>
      </c>
      <c r="I521" s="262"/>
      <c r="J521" s="263"/>
      <c r="K521" s="187">
        <v>1</v>
      </c>
      <c r="L521" s="353"/>
      <c r="M521" s="626"/>
      <c r="N521" s="178" t="s">
        <v>385</v>
      </c>
      <c r="O521" s="204">
        <f>12808*2</f>
        <v>25616</v>
      </c>
      <c r="P521" s="179"/>
      <c r="Q521" s="179"/>
      <c r="R521" s="261">
        <f t="shared" si="59"/>
        <v>25616</v>
      </c>
      <c r="S521" s="171">
        <v>0.5</v>
      </c>
      <c r="T521" s="531">
        <v>25616</v>
      </c>
      <c r="U521" s="552">
        <v>0</v>
      </c>
      <c r="V521" s="263"/>
      <c r="W521" s="187">
        <v>1</v>
      </c>
    </row>
    <row r="522" spans="2:23" ht="23.5" customHeight="1" x14ac:dyDescent="0.35">
      <c r="B522" s="626"/>
      <c r="C522" s="179" t="s">
        <v>386</v>
      </c>
      <c r="D522" s="204"/>
      <c r="E522" s="179">
        <v>42936</v>
      </c>
      <c r="F522" s="179"/>
      <c r="G522" s="261">
        <f t="shared" si="58"/>
        <v>42936</v>
      </c>
      <c r="H522" s="171">
        <v>0.5</v>
      </c>
      <c r="I522" s="262"/>
      <c r="J522" s="263"/>
      <c r="K522" s="187">
        <v>1</v>
      </c>
      <c r="L522" s="353"/>
      <c r="M522" s="626"/>
      <c r="N522" s="179" t="s">
        <v>386</v>
      </c>
      <c r="O522" s="204"/>
      <c r="P522" s="219">
        <v>39658</v>
      </c>
      <c r="Q522" s="179"/>
      <c r="R522" s="261">
        <f t="shared" si="59"/>
        <v>39658</v>
      </c>
      <c r="S522" s="171">
        <v>0.5</v>
      </c>
      <c r="T522" s="531">
        <v>41227</v>
      </c>
      <c r="U522" s="552">
        <f t="shared" si="60"/>
        <v>20613.5</v>
      </c>
      <c r="V522" s="263"/>
      <c r="W522" s="187">
        <v>1</v>
      </c>
    </row>
    <row r="523" spans="2:23" ht="23.5" customHeight="1" x14ac:dyDescent="0.35">
      <c r="B523" s="626"/>
      <c r="C523" s="179" t="s">
        <v>387</v>
      </c>
      <c r="D523" s="204"/>
      <c r="E523" s="179">
        <v>25716</v>
      </c>
      <c r="F523" s="179"/>
      <c r="G523" s="261">
        <f t="shared" si="58"/>
        <v>25716</v>
      </c>
      <c r="H523" s="171">
        <v>0.5</v>
      </c>
      <c r="I523" s="262"/>
      <c r="J523" s="263"/>
      <c r="K523" s="187">
        <v>1</v>
      </c>
      <c r="L523" s="353"/>
      <c r="M523" s="626"/>
      <c r="N523" s="179" t="s">
        <v>387</v>
      </c>
      <c r="O523" s="204"/>
      <c r="P523" s="179">
        <v>25716</v>
      </c>
      <c r="Q523" s="179"/>
      <c r="R523" s="261">
        <f t="shared" si="59"/>
        <v>25716</v>
      </c>
      <c r="S523" s="171">
        <v>0.5</v>
      </c>
      <c r="T523" s="531">
        <v>25716</v>
      </c>
      <c r="U523" s="552">
        <v>0</v>
      </c>
      <c r="V523" s="263"/>
      <c r="W523" s="187">
        <v>1</v>
      </c>
    </row>
    <row r="524" spans="2:23" ht="23.5" customHeight="1" x14ac:dyDescent="0.35">
      <c r="B524" s="626"/>
      <c r="C524" s="179"/>
      <c r="D524" s="204"/>
      <c r="E524" s="179"/>
      <c r="F524" s="179"/>
      <c r="G524" s="261">
        <f t="shared" si="58"/>
        <v>0</v>
      </c>
      <c r="H524" s="264"/>
      <c r="I524" s="262"/>
      <c r="J524" s="263"/>
      <c r="K524" s="187"/>
      <c r="L524" s="353"/>
      <c r="M524" s="626"/>
      <c r="N524" s="179"/>
      <c r="O524" s="204"/>
      <c r="P524" s="179"/>
      <c r="Q524" s="179"/>
      <c r="R524" s="261">
        <f t="shared" si="59"/>
        <v>0</v>
      </c>
      <c r="S524" s="264"/>
      <c r="T524" s="531"/>
      <c r="U524" s="552">
        <f t="shared" si="60"/>
        <v>0</v>
      </c>
      <c r="V524" s="263"/>
      <c r="W524" s="187"/>
    </row>
    <row r="525" spans="2:23" ht="23.5" customHeight="1" x14ac:dyDescent="0.35">
      <c r="B525" s="626"/>
      <c r="C525" s="179"/>
      <c r="D525" s="204"/>
      <c r="E525" s="179"/>
      <c r="F525" s="179"/>
      <c r="G525" s="261">
        <f t="shared" si="58"/>
        <v>0</v>
      </c>
      <c r="H525" s="264"/>
      <c r="I525" s="262"/>
      <c r="J525" s="263"/>
      <c r="K525" s="187"/>
      <c r="L525" s="353"/>
      <c r="M525" s="626"/>
      <c r="N525" s="179"/>
      <c r="O525" s="204"/>
      <c r="P525" s="179"/>
      <c r="Q525" s="179"/>
      <c r="R525" s="261">
        <f t="shared" si="59"/>
        <v>0</v>
      </c>
      <c r="S525" s="264"/>
      <c r="T525" s="531"/>
      <c r="U525" s="552">
        <f t="shared" si="60"/>
        <v>0</v>
      </c>
      <c r="V525" s="263"/>
      <c r="W525" s="187"/>
    </row>
    <row r="526" spans="2:23" ht="23.5" customHeight="1" x14ac:dyDescent="0.35">
      <c r="B526" s="626"/>
      <c r="C526" s="179"/>
      <c r="D526" s="204"/>
      <c r="E526" s="179"/>
      <c r="F526" s="179"/>
      <c r="G526" s="261">
        <f t="shared" si="58"/>
        <v>0</v>
      </c>
      <c r="H526" s="264"/>
      <c r="I526" s="262"/>
      <c r="J526" s="263"/>
      <c r="K526" s="187"/>
      <c r="L526" s="353"/>
      <c r="M526" s="626"/>
      <c r="N526" s="179"/>
      <c r="O526" s="204"/>
      <c r="P526" s="179"/>
      <c r="Q526" s="179"/>
      <c r="R526" s="261">
        <f t="shared" si="59"/>
        <v>0</v>
      </c>
      <c r="S526" s="264"/>
      <c r="T526" s="531"/>
      <c r="U526" s="552">
        <f t="shared" si="60"/>
        <v>0</v>
      </c>
      <c r="V526" s="263"/>
      <c r="W526" s="187"/>
    </row>
    <row r="527" spans="2:23" ht="23.5" customHeight="1" x14ac:dyDescent="0.35">
      <c r="B527" s="626"/>
      <c r="C527" s="178"/>
      <c r="D527" s="204"/>
      <c r="E527" s="179"/>
      <c r="F527" s="179"/>
      <c r="G527" s="261">
        <f t="shared" si="58"/>
        <v>0</v>
      </c>
      <c r="H527" s="264"/>
      <c r="I527" s="262"/>
      <c r="J527" s="263"/>
      <c r="K527" s="187"/>
      <c r="L527" s="353"/>
      <c r="M527" s="626"/>
      <c r="N527" s="178"/>
      <c r="O527" s="204"/>
      <c r="P527" s="179"/>
      <c r="Q527" s="179"/>
      <c r="R527" s="261">
        <f t="shared" si="59"/>
        <v>0</v>
      </c>
      <c r="S527" s="264"/>
      <c r="T527" s="531"/>
      <c r="U527" s="552">
        <f t="shared" si="60"/>
        <v>0</v>
      </c>
      <c r="V527" s="263"/>
      <c r="W527" s="187"/>
    </row>
    <row r="528" spans="2:23" ht="23.5" customHeight="1" x14ac:dyDescent="0.35">
      <c r="B528" s="626"/>
      <c r="C528" s="178"/>
      <c r="D528" s="204"/>
      <c r="E528" s="179"/>
      <c r="F528" s="179"/>
      <c r="G528" s="261">
        <f t="shared" si="58"/>
        <v>0</v>
      </c>
      <c r="H528" s="264"/>
      <c r="I528" s="262"/>
      <c r="J528" s="263"/>
      <c r="K528" s="187"/>
      <c r="L528" s="353"/>
      <c r="M528" s="626"/>
      <c r="N528" s="178"/>
      <c r="O528" s="204"/>
      <c r="P528" s="179"/>
      <c r="Q528" s="179"/>
      <c r="R528" s="261">
        <f t="shared" si="59"/>
        <v>0</v>
      </c>
      <c r="S528" s="264"/>
      <c r="T528" s="531"/>
      <c r="U528" s="552">
        <f t="shared" si="60"/>
        <v>0</v>
      </c>
      <c r="V528" s="263"/>
      <c r="W528" s="187"/>
    </row>
    <row r="529" spans="2:24" ht="23.5" customHeight="1" x14ac:dyDescent="0.35">
      <c r="B529" s="626"/>
      <c r="C529" s="178"/>
      <c r="D529" s="204"/>
      <c r="E529" s="179"/>
      <c r="F529" s="179"/>
      <c r="G529" s="261">
        <f t="shared" si="58"/>
        <v>0</v>
      </c>
      <c r="H529" s="264"/>
      <c r="I529" s="262"/>
      <c r="J529" s="263"/>
      <c r="K529" s="187"/>
      <c r="L529" s="353"/>
      <c r="M529" s="626"/>
      <c r="N529" s="178"/>
      <c r="O529" s="204"/>
      <c r="P529" s="179"/>
      <c r="Q529" s="179"/>
      <c r="R529" s="261">
        <f t="shared" si="59"/>
        <v>0</v>
      </c>
      <c r="S529" s="264"/>
      <c r="T529" s="531"/>
      <c r="U529" s="552">
        <f t="shared" si="60"/>
        <v>0</v>
      </c>
      <c r="V529" s="263"/>
      <c r="W529" s="187"/>
    </row>
    <row r="530" spans="2:24" ht="23.5" customHeight="1" x14ac:dyDescent="0.35">
      <c r="B530" s="627"/>
      <c r="C530" s="178"/>
      <c r="D530" s="204"/>
      <c r="E530" s="179"/>
      <c r="F530" s="179"/>
      <c r="G530" s="261">
        <f t="shared" si="58"/>
        <v>0</v>
      </c>
      <c r="H530" s="264"/>
      <c r="I530" s="262"/>
      <c r="J530" s="263"/>
      <c r="K530" s="187"/>
      <c r="L530" s="353"/>
      <c r="M530" s="627"/>
      <c r="N530" s="178"/>
      <c r="O530" s="204"/>
      <c r="P530" s="179"/>
      <c r="Q530" s="179"/>
      <c r="R530" s="261">
        <f t="shared" si="59"/>
        <v>0</v>
      </c>
      <c r="S530" s="264"/>
      <c r="T530" s="531"/>
      <c r="U530" s="552">
        <f t="shared" si="60"/>
        <v>0</v>
      </c>
      <c r="V530" s="263"/>
      <c r="W530" s="187"/>
    </row>
    <row r="531" spans="2:24" ht="27" customHeight="1" x14ac:dyDescent="0.35">
      <c r="B531" s="625" t="s">
        <v>388</v>
      </c>
      <c r="C531" s="179" t="s">
        <v>389</v>
      </c>
      <c r="D531" s="204">
        <v>50000</v>
      </c>
      <c r="E531" s="179"/>
      <c r="F531" s="179"/>
      <c r="G531" s="261">
        <f t="shared" si="58"/>
        <v>50000</v>
      </c>
      <c r="H531" s="264"/>
      <c r="I531" s="262"/>
      <c r="J531" s="263"/>
      <c r="K531" s="187">
        <v>3</v>
      </c>
      <c r="L531" s="354"/>
      <c r="M531" s="625" t="s">
        <v>388</v>
      </c>
      <c r="N531" s="179" t="s">
        <v>389</v>
      </c>
      <c r="O531" s="204">
        <v>50000</v>
      </c>
      <c r="P531" s="179"/>
      <c r="Q531" s="179"/>
      <c r="R531" s="261">
        <f t="shared" si="59"/>
        <v>50000</v>
      </c>
      <c r="S531" s="264"/>
      <c r="T531" s="531">
        <v>50000</v>
      </c>
      <c r="U531" s="552">
        <v>0</v>
      </c>
      <c r="V531" s="263"/>
      <c r="W531" s="187">
        <v>3</v>
      </c>
      <c r="X531" s="564"/>
    </row>
    <row r="532" spans="2:24" ht="27" customHeight="1" x14ac:dyDescent="0.35">
      <c r="B532" s="626"/>
      <c r="C532" s="195" t="s">
        <v>390</v>
      </c>
      <c r="D532" s="204">
        <v>20000</v>
      </c>
      <c r="E532" s="179"/>
      <c r="F532" s="179"/>
      <c r="G532" s="261">
        <f t="shared" si="58"/>
        <v>20000</v>
      </c>
      <c r="H532" s="264"/>
      <c r="I532" s="262"/>
      <c r="J532" s="263"/>
      <c r="K532" s="187">
        <v>3</v>
      </c>
      <c r="L532" s="354"/>
      <c r="M532" s="626"/>
      <c r="N532" s="195" t="s">
        <v>390</v>
      </c>
      <c r="O532" s="204">
        <v>20000</v>
      </c>
      <c r="P532" s="179"/>
      <c r="Q532" s="179"/>
      <c r="R532" s="261">
        <f t="shared" si="59"/>
        <v>20000</v>
      </c>
      <c r="S532" s="264"/>
      <c r="T532" s="531">
        <v>20000</v>
      </c>
      <c r="U532" s="552">
        <v>0</v>
      </c>
      <c r="V532" s="263"/>
      <c r="W532" s="187">
        <v>3</v>
      </c>
      <c r="X532" s="564"/>
    </row>
    <row r="533" spans="2:24" ht="27" customHeight="1" x14ac:dyDescent="0.35">
      <c r="B533" s="626"/>
      <c r="C533" s="195" t="s">
        <v>391</v>
      </c>
      <c r="D533" s="204">
        <v>90000</v>
      </c>
      <c r="E533" s="179">
        <v>69560</v>
      </c>
      <c r="F533" s="179"/>
      <c r="G533" s="261">
        <f t="shared" si="58"/>
        <v>159560</v>
      </c>
      <c r="H533" s="264"/>
      <c r="I533" s="262"/>
      <c r="J533" s="263"/>
      <c r="K533" s="187">
        <v>7</v>
      </c>
      <c r="L533" s="354"/>
      <c r="M533" s="626"/>
      <c r="N533" s="195" t="s">
        <v>391</v>
      </c>
      <c r="O533" s="204">
        <v>90000</v>
      </c>
      <c r="P533" s="179">
        <v>69560</v>
      </c>
      <c r="Q533" s="179"/>
      <c r="R533" s="261">
        <f t="shared" si="59"/>
        <v>159560</v>
      </c>
      <c r="S533" s="264"/>
      <c r="T533" s="531">
        <v>159560</v>
      </c>
      <c r="U533" s="552">
        <v>0</v>
      </c>
      <c r="V533" s="263"/>
      <c r="W533" s="187">
        <v>7</v>
      </c>
      <c r="X533" s="564"/>
    </row>
    <row r="534" spans="2:24" ht="15.5" x14ac:dyDescent="0.35">
      <c r="B534" s="627"/>
      <c r="C534" s="195"/>
      <c r="D534" s="204"/>
      <c r="E534" s="179"/>
      <c r="F534" s="179"/>
      <c r="G534" s="261">
        <f t="shared" si="58"/>
        <v>0</v>
      </c>
      <c r="H534" s="264"/>
      <c r="I534" s="262"/>
      <c r="J534" s="263"/>
      <c r="K534" s="187">
        <v>7</v>
      </c>
      <c r="L534" s="354"/>
      <c r="M534" s="627"/>
      <c r="N534" s="195"/>
      <c r="O534" s="204"/>
      <c r="P534" s="179"/>
      <c r="Q534" s="179"/>
      <c r="R534" s="261">
        <f t="shared" si="59"/>
        <v>0</v>
      </c>
      <c r="S534" s="264"/>
      <c r="T534" s="531"/>
      <c r="U534" s="552">
        <f t="shared" si="60"/>
        <v>0</v>
      </c>
      <c r="V534" s="263"/>
      <c r="W534" s="187">
        <v>7</v>
      </c>
      <c r="X534" s="564"/>
    </row>
    <row r="535" spans="2:24" ht="15.5" x14ac:dyDescent="0.35">
      <c r="B535" s="625" t="s">
        <v>392</v>
      </c>
      <c r="C535" s="180" t="s">
        <v>393</v>
      </c>
      <c r="D535" s="204">
        <v>83730</v>
      </c>
      <c r="E535" s="179"/>
      <c r="F535" s="179"/>
      <c r="G535" s="261">
        <f t="shared" si="58"/>
        <v>83730</v>
      </c>
      <c r="H535" s="264">
        <v>0.5</v>
      </c>
      <c r="I535" s="262"/>
      <c r="J535" s="263"/>
      <c r="K535" s="187">
        <v>7</v>
      </c>
      <c r="L535" s="353"/>
      <c r="M535" s="625" t="s">
        <v>392</v>
      </c>
      <c r="N535" s="180" t="s">
        <v>393</v>
      </c>
      <c r="O535" s="204">
        <v>83730</v>
      </c>
      <c r="P535" s="179"/>
      <c r="Q535" s="179"/>
      <c r="R535" s="261">
        <f t="shared" si="59"/>
        <v>83730</v>
      </c>
      <c r="S535" s="264">
        <v>0.5</v>
      </c>
      <c r="T535" s="531">
        <v>83730</v>
      </c>
      <c r="U535" s="552">
        <f t="shared" si="60"/>
        <v>41865</v>
      </c>
      <c r="V535" s="263"/>
      <c r="W535" s="187">
        <v>7</v>
      </c>
    </row>
    <row r="536" spans="2:24" ht="15.5" x14ac:dyDescent="0.35">
      <c r="B536" s="626"/>
      <c r="C536" s="180"/>
      <c r="D536" s="204"/>
      <c r="E536" s="179"/>
      <c r="F536" s="179"/>
      <c r="G536" s="261"/>
      <c r="H536" s="264"/>
      <c r="I536" s="262"/>
      <c r="J536" s="263"/>
      <c r="K536" s="187"/>
      <c r="L536" s="353"/>
      <c r="M536" s="626"/>
      <c r="N536" s="180"/>
      <c r="O536" s="204"/>
      <c r="P536" s="179"/>
      <c r="Q536" s="179"/>
      <c r="R536" s="261"/>
      <c r="S536" s="264"/>
      <c r="T536" s="531"/>
      <c r="U536" s="552">
        <f t="shared" si="60"/>
        <v>0</v>
      </c>
      <c r="V536" s="263"/>
      <c r="W536" s="187"/>
    </row>
    <row r="537" spans="2:24" ht="15.5" x14ac:dyDescent="0.35">
      <c r="B537" s="626"/>
      <c r="C537" s="180"/>
      <c r="D537" s="204"/>
      <c r="E537" s="179"/>
      <c r="F537" s="179"/>
      <c r="G537" s="261"/>
      <c r="H537" s="264"/>
      <c r="I537" s="262"/>
      <c r="J537" s="263"/>
      <c r="K537" s="187"/>
      <c r="L537" s="353"/>
      <c r="M537" s="626"/>
      <c r="N537" s="180"/>
      <c r="O537" s="204"/>
      <c r="P537" s="179"/>
      <c r="Q537" s="179"/>
      <c r="R537" s="261"/>
      <c r="S537" s="264"/>
      <c r="T537" s="531"/>
      <c r="U537" s="552">
        <f t="shared" si="60"/>
        <v>0</v>
      </c>
      <c r="V537" s="263"/>
      <c r="W537" s="187"/>
    </row>
    <row r="538" spans="2:24" ht="13.75" customHeight="1" x14ac:dyDescent="0.35">
      <c r="B538" s="627"/>
      <c r="C538" s="180"/>
      <c r="D538" s="204"/>
      <c r="E538" s="179"/>
      <c r="F538" s="179"/>
      <c r="G538" s="261"/>
      <c r="H538" s="264"/>
      <c r="I538" s="262"/>
      <c r="J538" s="263"/>
      <c r="K538" s="187"/>
      <c r="L538" s="353"/>
      <c r="M538" s="627"/>
      <c r="N538" s="180"/>
      <c r="O538" s="204"/>
      <c r="P538" s="179"/>
      <c r="Q538" s="179"/>
      <c r="R538" s="261"/>
      <c r="S538" s="264"/>
      <c r="T538" s="531"/>
      <c r="U538" s="552">
        <f t="shared" si="60"/>
        <v>0</v>
      </c>
      <c r="V538" s="263"/>
      <c r="W538" s="187"/>
    </row>
    <row r="539" spans="2:24" ht="31" x14ac:dyDescent="0.35">
      <c r="B539" s="85" t="s">
        <v>394</v>
      </c>
      <c r="C539" s="265"/>
      <c r="D539" s="204">
        <v>50000</v>
      </c>
      <c r="E539" s="174"/>
      <c r="F539" s="262"/>
      <c r="G539" s="261">
        <f>D539+E539+F539</f>
        <v>50000</v>
      </c>
      <c r="H539" s="264">
        <v>0.5</v>
      </c>
      <c r="I539" s="262"/>
      <c r="J539" s="263"/>
      <c r="K539" s="187">
        <v>4</v>
      </c>
      <c r="L539" s="353"/>
      <c r="M539" s="85" t="s">
        <v>394</v>
      </c>
      <c r="N539" s="265"/>
      <c r="O539" s="204">
        <v>50000</v>
      </c>
      <c r="P539" s="174"/>
      <c r="Q539" s="262"/>
      <c r="R539" s="261">
        <f>O539+P539+Q539</f>
        <v>50000</v>
      </c>
      <c r="S539" s="264">
        <v>0.5</v>
      </c>
      <c r="T539" s="531">
        <v>18645</v>
      </c>
      <c r="U539" s="552">
        <f t="shared" si="60"/>
        <v>9322.5</v>
      </c>
      <c r="V539" s="263"/>
      <c r="W539" s="187">
        <v>4</v>
      </c>
    </row>
    <row r="540" spans="2:24" ht="15.65" customHeight="1" x14ac:dyDescent="0.35">
      <c r="B540" s="369"/>
      <c r="C540" s="265"/>
      <c r="D540" s="204"/>
      <c r="E540" s="174"/>
      <c r="F540" s="262"/>
      <c r="G540" s="261"/>
      <c r="H540" s="264"/>
      <c r="I540" s="262"/>
      <c r="J540" s="263"/>
      <c r="K540" s="187"/>
      <c r="L540" s="353"/>
      <c r="M540" s="652" t="s">
        <v>382</v>
      </c>
      <c r="N540" s="217" t="s">
        <v>383</v>
      </c>
      <c r="O540" s="218">
        <v>75000</v>
      </c>
      <c r="P540" s="174"/>
      <c r="Q540" s="174"/>
      <c r="R540" s="220">
        <f>O540+P540+Q540</f>
        <v>75000</v>
      </c>
      <c r="S540" s="374">
        <v>0.5</v>
      </c>
      <c r="T540" s="563">
        <v>45135.79</v>
      </c>
      <c r="U540" s="552">
        <v>0</v>
      </c>
      <c r="V540" s="222"/>
      <c r="W540" s="223">
        <v>1</v>
      </c>
    </row>
    <row r="541" spans="2:24" ht="15.65" customHeight="1" x14ac:dyDescent="0.35">
      <c r="B541" s="369"/>
      <c r="C541" s="265"/>
      <c r="D541" s="204"/>
      <c r="E541" s="174"/>
      <c r="F541" s="262"/>
      <c r="G541" s="261"/>
      <c r="H541" s="264"/>
      <c r="I541" s="262"/>
      <c r="J541" s="263"/>
      <c r="K541" s="187"/>
      <c r="L541" s="353"/>
      <c r="M541" s="653"/>
      <c r="N541" s="217" t="s">
        <v>384</v>
      </c>
      <c r="O541" s="448">
        <v>39730.119999999995</v>
      </c>
      <c r="P541" s="174"/>
      <c r="Q541" s="174"/>
      <c r="R541" s="220">
        <f t="shared" ref="R541:R560" si="61">O541+P541+Q541</f>
        <v>39730.119999999995</v>
      </c>
      <c r="S541" s="374">
        <v>0.5</v>
      </c>
      <c r="T541" s="174">
        <v>16554</v>
      </c>
      <c r="U541" s="552">
        <f t="shared" si="60"/>
        <v>8277</v>
      </c>
      <c r="V541" s="222"/>
      <c r="W541" s="223">
        <v>1</v>
      </c>
      <c r="X541" s="565"/>
    </row>
    <row r="542" spans="2:24" ht="15.65" customHeight="1" x14ac:dyDescent="0.35">
      <c r="B542" s="369"/>
      <c r="C542" s="265"/>
      <c r="D542" s="204"/>
      <c r="E542" s="174"/>
      <c r="F542" s="262"/>
      <c r="G542" s="261"/>
      <c r="H542" s="264"/>
      <c r="I542" s="262"/>
      <c r="J542" s="263"/>
      <c r="K542" s="187"/>
      <c r="L542" s="353"/>
      <c r="M542" s="653"/>
      <c r="N542" s="217" t="s">
        <v>385</v>
      </c>
      <c r="O542" s="218">
        <v>19500</v>
      </c>
      <c r="P542" s="448">
        <v>10920</v>
      </c>
      <c r="Q542" s="174"/>
      <c r="R542" s="220">
        <f t="shared" si="61"/>
        <v>30420</v>
      </c>
      <c r="S542" s="374">
        <v>0.5</v>
      </c>
      <c r="T542" s="174">
        <v>8125</v>
      </c>
      <c r="U542" s="552">
        <v>0</v>
      </c>
      <c r="V542" s="222"/>
      <c r="W542" s="223">
        <v>1</v>
      </c>
    </row>
    <row r="543" spans="2:24" ht="15.65" customHeight="1" x14ac:dyDescent="0.35">
      <c r="B543" s="369"/>
      <c r="C543" s="265"/>
      <c r="D543" s="204"/>
      <c r="E543" s="174"/>
      <c r="F543" s="262"/>
      <c r="G543" s="261"/>
      <c r="H543" s="264"/>
      <c r="I543" s="262"/>
      <c r="J543" s="263"/>
      <c r="K543" s="187"/>
      <c r="L543" s="353"/>
      <c r="M543" s="653"/>
      <c r="N543" s="219" t="s">
        <v>386</v>
      </c>
      <c r="O543" s="218"/>
      <c r="P543" s="174"/>
      <c r="Q543" s="174"/>
      <c r="R543" s="220">
        <f t="shared" si="61"/>
        <v>0</v>
      </c>
      <c r="S543" s="374">
        <v>0.5</v>
      </c>
      <c r="T543" s="174"/>
      <c r="U543" s="552">
        <f t="shared" si="60"/>
        <v>0</v>
      </c>
      <c r="V543" s="222"/>
      <c r="W543" s="223">
        <v>1</v>
      </c>
    </row>
    <row r="544" spans="2:24" ht="15.65" customHeight="1" x14ac:dyDescent="0.35">
      <c r="B544" s="369"/>
      <c r="C544" s="265"/>
      <c r="D544" s="204"/>
      <c r="E544" s="174"/>
      <c r="F544" s="262"/>
      <c r="G544" s="261"/>
      <c r="H544" s="264"/>
      <c r="I544" s="262"/>
      <c r="J544" s="263"/>
      <c r="K544" s="187"/>
      <c r="L544" s="353"/>
      <c r="M544" s="653"/>
      <c r="N544" s="219" t="s">
        <v>387</v>
      </c>
      <c r="O544" s="218"/>
      <c r="P544" s="448">
        <f>39605-8248.38</f>
        <v>31356.620000000003</v>
      </c>
      <c r="Q544" s="174"/>
      <c r="R544" s="220">
        <f t="shared" si="61"/>
        <v>31356.620000000003</v>
      </c>
      <c r="S544" s="374">
        <v>0.5</v>
      </c>
      <c r="T544" s="536">
        <v>14984</v>
      </c>
      <c r="U544" s="552">
        <v>0</v>
      </c>
      <c r="V544" s="222"/>
      <c r="W544" s="223">
        <v>1</v>
      </c>
    </row>
    <row r="545" spans="2:24" ht="15.65" customHeight="1" x14ac:dyDescent="0.35">
      <c r="B545" s="369"/>
      <c r="C545" s="265"/>
      <c r="D545" s="204"/>
      <c r="E545" s="174"/>
      <c r="F545" s="262"/>
      <c r="G545" s="261"/>
      <c r="H545" s="264"/>
      <c r="I545" s="262"/>
      <c r="J545" s="263"/>
      <c r="K545" s="187"/>
      <c r="L545" s="353"/>
      <c r="M545" s="653"/>
      <c r="N545" s="219" t="s">
        <v>923</v>
      </c>
      <c r="O545" s="218"/>
      <c r="P545" s="448">
        <v>31599</v>
      </c>
      <c r="Q545" s="174"/>
      <c r="R545" s="220">
        <f t="shared" si="61"/>
        <v>31599</v>
      </c>
      <c r="S545" s="374">
        <v>0.5</v>
      </c>
      <c r="T545" s="536">
        <v>19752</v>
      </c>
      <c r="U545" s="552">
        <f t="shared" si="60"/>
        <v>9876</v>
      </c>
      <c r="V545" s="222"/>
      <c r="W545" s="223">
        <v>1</v>
      </c>
    </row>
    <row r="546" spans="2:24" ht="15.65" customHeight="1" x14ac:dyDescent="0.35">
      <c r="B546" s="369"/>
      <c r="C546" s="265"/>
      <c r="D546" s="204"/>
      <c r="E546" s="174"/>
      <c r="F546" s="262"/>
      <c r="G546" s="261"/>
      <c r="H546" s="264"/>
      <c r="I546" s="262"/>
      <c r="J546" s="263"/>
      <c r="K546" s="187"/>
      <c r="L546" s="353"/>
      <c r="M546" s="653"/>
      <c r="N546" s="219" t="s">
        <v>916</v>
      </c>
      <c r="O546" s="218"/>
      <c r="P546" s="448"/>
      <c r="Q546" s="174"/>
      <c r="R546" s="220">
        <f t="shared" si="61"/>
        <v>0</v>
      </c>
      <c r="S546" s="374">
        <v>0.5</v>
      </c>
      <c r="T546" s="174"/>
      <c r="U546" s="552">
        <f t="shared" si="60"/>
        <v>0</v>
      </c>
      <c r="V546" s="222"/>
      <c r="W546" s="223">
        <v>1</v>
      </c>
    </row>
    <row r="547" spans="2:24" ht="57.5" customHeight="1" x14ac:dyDescent="0.35">
      <c r="B547" s="369"/>
      <c r="C547" s="265"/>
      <c r="D547" s="204"/>
      <c r="E547" s="174"/>
      <c r="F547" s="262"/>
      <c r="G547" s="261"/>
      <c r="H547" s="264"/>
      <c r="I547" s="262"/>
      <c r="J547" s="263"/>
      <c r="K547" s="187"/>
      <c r="L547" s="353"/>
      <c r="M547" s="653"/>
      <c r="N547" s="219" t="s">
        <v>917</v>
      </c>
      <c r="O547" s="218"/>
      <c r="P547" s="174">
        <f>11925+1217-676.62</f>
        <v>12465.38</v>
      </c>
      <c r="Q547" s="174"/>
      <c r="R547" s="220">
        <f t="shared" si="61"/>
        <v>12465.38</v>
      </c>
      <c r="S547" s="374">
        <v>0.5</v>
      </c>
      <c r="T547" s="174"/>
      <c r="U547" s="552">
        <f t="shared" si="60"/>
        <v>0</v>
      </c>
      <c r="V547" s="222"/>
      <c r="W547" s="223">
        <v>1</v>
      </c>
      <c r="X547" s="422"/>
    </row>
    <row r="548" spans="2:24" ht="15.65" customHeight="1" x14ac:dyDescent="0.35">
      <c r="B548" s="369"/>
      <c r="C548" s="265"/>
      <c r="D548" s="204"/>
      <c r="E548" s="174"/>
      <c r="F548" s="262"/>
      <c r="G548" s="261"/>
      <c r="H548" s="264"/>
      <c r="I548" s="262"/>
      <c r="J548" s="263"/>
      <c r="K548" s="187"/>
      <c r="L548" s="353"/>
      <c r="M548" s="653"/>
      <c r="N548" s="217"/>
      <c r="O548" s="218"/>
      <c r="P548" s="174"/>
      <c r="Q548" s="174"/>
      <c r="R548" s="220">
        <f t="shared" si="61"/>
        <v>0</v>
      </c>
      <c r="S548" s="374"/>
      <c r="T548" s="174"/>
      <c r="U548" s="552">
        <f t="shared" si="60"/>
        <v>0</v>
      </c>
      <c r="V548" s="222"/>
      <c r="W548" s="223"/>
    </row>
    <row r="549" spans="2:24" ht="15.65" customHeight="1" x14ac:dyDescent="0.35">
      <c r="B549" s="369"/>
      <c r="C549" s="265"/>
      <c r="D549" s="204"/>
      <c r="E549" s="174"/>
      <c r="F549" s="262"/>
      <c r="G549" s="261"/>
      <c r="H549" s="264"/>
      <c r="I549" s="262"/>
      <c r="J549" s="263"/>
      <c r="K549" s="187"/>
      <c r="L549" s="353"/>
      <c r="M549" s="653"/>
      <c r="N549" s="217"/>
      <c r="O549" s="218"/>
      <c r="P549" s="174"/>
      <c r="Q549" s="174"/>
      <c r="R549" s="220">
        <f t="shared" si="61"/>
        <v>0</v>
      </c>
      <c r="S549" s="374"/>
      <c r="T549" s="174"/>
      <c r="U549" s="552">
        <f t="shared" si="60"/>
        <v>0</v>
      </c>
      <c r="V549" s="222"/>
      <c r="W549" s="223"/>
    </row>
    <row r="550" spans="2:24" ht="15.65" customHeight="1" x14ac:dyDescent="0.35">
      <c r="B550" s="369"/>
      <c r="C550" s="265"/>
      <c r="D550" s="204"/>
      <c r="E550" s="174"/>
      <c r="F550" s="262"/>
      <c r="G550" s="261"/>
      <c r="H550" s="264"/>
      <c r="I550" s="262"/>
      <c r="J550" s="263"/>
      <c r="K550" s="187"/>
      <c r="L550" s="353"/>
      <c r="M550" s="653"/>
      <c r="N550" s="217"/>
      <c r="O550" s="218"/>
      <c r="P550" s="174"/>
      <c r="Q550" s="174"/>
      <c r="R550" s="220">
        <f t="shared" si="61"/>
        <v>0</v>
      </c>
      <c r="S550" s="374"/>
      <c r="T550" s="174"/>
      <c r="U550" s="552">
        <f t="shared" si="60"/>
        <v>0</v>
      </c>
      <c r="V550" s="222"/>
      <c r="W550" s="223"/>
    </row>
    <row r="551" spans="2:24" ht="15.5" x14ac:dyDescent="0.35">
      <c r="B551" s="369"/>
      <c r="C551" s="265"/>
      <c r="D551" s="204"/>
      <c r="E551" s="174"/>
      <c r="F551" s="262"/>
      <c r="G551" s="261"/>
      <c r="H551" s="264"/>
      <c r="I551" s="262"/>
      <c r="J551" s="263"/>
      <c r="K551" s="187"/>
      <c r="L551" s="353"/>
      <c r="M551" s="654"/>
      <c r="N551" s="217"/>
      <c r="O551" s="218"/>
      <c r="P551" s="174"/>
      <c r="Q551" s="174"/>
      <c r="R551" s="220">
        <f t="shared" si="61"/>
        <v>0</v>
      </c>
      <c r="S551" s="374"/>
      <c r="T551" s="174"/>
      <c r="U551" s="552">
        <f t="shared" si="60"/>
        <v>0</v>
      </c>
      <c r="V551" s="222"/>
      <c r="W551" s="223"/>
    </row>
    <row r="552" spans="2:24" ht="15.5" x14ac:dyDescent="0.35">
      <c r="B552" s="369"/>
      <c r="C552" s="265"/>
      <c r="D552" s="204"/>
      <c r="E552" s="174"/>
      <c r="F552" s="262"/>
      <c r="G552" s="261"/>
      <c r="H552" s="264"/>
      <c r="I552" s="262"/>
      <c r="J552" s="263"/>
      <c r="K552" s="187"/>
      <c r="L552" s="353"/>
      <c r="M552" s="652" t="s">
        <v>388</v>
      </c>
      <c r="N552" s="219" t="s">
        <v>925</v>
      </c>
      <c r="O552" s="218"/>
      <c r="P552" s="174">
        <v>7172</v>
      </c>
      <c r="Q552" s="174"/>
      <c r="R552" s="220">
        <f t="shared" si="61"/>
        <v>7172</v>
      </c>
      <c r="S552" s="374"/>
      <c r="T552" s="536">
        <v>7172</v>
      </c>
      <c r="U552" s="552">
        <v>0</v>
      </c>
      <c r="V552" s="222"/>
      <c r="W552" s="223">
        <v>3</v>
      </c>
    </row>
    <row r="553" spans="2:24" ht="15.5" x14ac:dyDescent="0.35">
      <c r="B553" s="369"/>
      <c r="C553" s="265"/>
      <c r="D553" s="204"/>
      <c r="E553" s="174"/>
      <c r="F553" s="262"/>
      <c r="G553" s="261"/>
      <c r="H553" s="264"/>
      <c r="I553" s="262"/>
      <c r="J553" s="263"/>
      <c r="K553" s="187"/>
      <c r="L553" s="353"/>
      <c r="M553" s="653"/>
      <c r="N553" s="370"/>
      <c r="O553" s="218"/>
      <c r="P553" s="174"/>
      <c r="Q553" s="174"/>
      <c r="R553" s="220">
        <f t="shared" si="61"/>
        <v>0</v>
      </c>
      <c r="S553" s="374"/>
      <c r="T553" s="174"/>
      <c r="U553" s="552">
        <f t="shared" si="60"/>
        <v>0</v>
      </c>
      <c r="V553" s="222"/>
      <c r="W553" s="223"/>
    </row>
    <row r="554" spans="2:24" ht="15.5" x14ac:dyDescent="0.35">
      <c r="B554" s="369"/>
      <c r="C554" s="265"/>
      <c r="D554" s="204"/>
      <c r="E554" s="174"/>
      <c r="F554" s="262"/>
      <c r="G554" s="261"/>
      <c r="H554" s="264"/>
      <c r="I554" s="262"/>
      <c r="J554" s="263"/>
      <c r="K554" s="187"/>
      <c r="L554" s="353"/>
      <c r="M554" s="653"/>
      <c r="N554" s="370" t="s">
        <v>391</v>
      </c>
      <c r="O554" s="448">
        <v>47000</v>
      </c>
      <c r="P554" s="448">
        <v>31671</v>
      </c>
      <c r="Q554" s="174"/>
      <c r="R554" s="220">
        <f t="shared" si="61"/>
        <v>78671</v>
      </c>
      <c r="S554" s="374"/>
      <c r="T554" s="174">
        <f>8542+41140</f>
        <v>49682</v>
      </c>
      <c r="U554" s="552">
        <v>0</v>
      </c>
      <c r="V554" s="222"/>
      <c r="W554" s="223">
        <v>7</v>
      </c>
    </row>
    <row r="555" spans="2:24" ht="15.5" x14ac:dyDescent="0.35">
      <c r="B555" s="369"/>
      <c r="C555" s="265"/>
      <c r="D555" s="204"/>
      <c r="E555" s="174"/>
      <c r="F555" s="262"/>
      <c r="G555" s="261"/>
      <c r="H555" s="264"/>
      <c r="I555" s="262"/>
      <c r="J555" s="263"/>
      <c r="K555" s="187"/>
      <c r="L555" s="353"/>
      <c r="M555" s="654"/>
      <c r="N555" s="370"/>
      <c r="O555" s="218"/>
      <c r="P555" s="174"/>
      <c r="Q555" s="174"/>
      <c r="R555" s="220">
        <f t="shared" si="61"/>
        <v>0</v>
      </c>
      <c r="S555" s="374"/>
      <c r="T555" s="174"/>
      <c r="U555" s="552">
        <f t="shared" si="60"/>
        <v>0</v>
      </c>
      <c r="V555" s="222"/>
      <c r="W555" s="223"/>
    </row>
    <row r="556" spans="2:24" ht="15.5" x14ac:dyDescent="0.35">
      <c r="B556" s="369"/>
      <c r="C556" s="265"/>
      <c r="D556" s="204"/>
      <c r="E556" s="174"/>
      <c r="F556" s="262"/>
      <c r="G556" s="261"/>
      <c r="H556" s="264"/>
      <c r="I556" s="262"/>
      <c r="J556" s="263"/>
      <c r="K556" s="187"/>
      <c r="L556" s="353"/>
      <c r="M556" s="652" t="s">
        <v>392</v>
      </c>
      <c r="N556" s="371" t="s">
        <v>393</v>
      </c>
      <c r="O556" s="448">
        <v>44891.37</v>
      </c>
      <c r="P556" s="174"/>
      <c r="Q556" s="174"/>
      <c r="R556" s="220">
        <f t="shared" si="61"/>
        <v>44891.37</v>
      </c>
      <c r="S556" s="374">
        <v>0.5</v>
      </c>
      <c r="T556" s="174">
        <v>24738</v>
      </c>
      <c r="U556" s="552">
        <f t="shared" si="60"/>
        <v>12369</v>
      </c>
      <c r="V556" s="222"/>
      <c r="W556" s="223">
        <v>7</v>
      </c>
    </row>
    <row r="557" spans="2:24" ht="31" x14ac:dyDescent="0.35">
      <c r="B557" s="369"/>
      <c r="C557" s="265"/>
      <c r="D557" s="204"/>
      <c r="E557" s="174"/>
      <c r="F557" s="262"/>
      <c r="G557" s="261"/>
      <c r="H557" s="264"/>
      <c r="I557" s="262"/>
      <c r="J557" s="263"/>
      <c r="K557" s="187"/>
      <c r="L557" s="353"/>
      <c r="M557" s="653"/>
      <c r="N557" s="430" t="s">
        <v>484</v>
      </c>
      <c r="O557" s="448">
        <v>20000</v>
      </c>
      <c r="P557" s="174"/>
      <c r="Q557" s="174"/>
      <c r="R557" s="220">
        <f t="shared" si="61"/>
        <v>20000</v>
      </c>
      <c r="S557" s="374">
        <v>0.5</v>
      </c>
      <c r="T557" s="174"/>
      <c r="U557" s="552">
        <f t="shared" si="60"/>
        <v>0</v>
      </c>
      <c r="V557" s="222"/>
      <c r="W557" s="223">
        <v>7</v>
      </c>
    </row>
    <row r="558" spans="2:24" ht="15.5" x14ac:dyDescent="0.35">
      <c r="B558" s="369"/>
      <c r="C558" s="265"/>
      <c r="D558" s="204"/>
      <c r="E558" s="174"/>
      <c r="F558" s="262"/>
      <c r="G558" s="261"/>
      <c r="H558" s="264"/>
      <c r="I558" s="262"/>
      <c r="J558" s="263"/>
      <c r="K558" s="187"/>
      <c r="L558" s="353"/>
      <c r="M558" s="653"/>
      <c r="N558" s="371"/>
      <c r="O558" s="218"/>
      <c r="P558" s="174"/>
      <c r="Q558" s="174"/>
      <c r="R558" s="220">
        <f t="shared" si="61"/>
        <v>0</v>
      </c>
      <c r="S558" s="374"/>
      <c r="T558" s="174"/>
      <c r="U558" s="552">
        <f t="shared" si="60"/>
        <v>0</v>
      </c>
      <c r="V558" s="222"/>
      <c r="W558" s="223"/>
    </row>
    <row r="559" spans="2:24" ht="15.5" x14ac:dyDescent="0.35">
      <c r="B559" s="369"/>
      <c r="C559" s="265"/>
      <c r="D559" s="204"/>
      <c r="E559" s="174"/>
      <c r="F559" s="262"/>
      <c r="G559" s="261"/>
      <c r="H559" s="264"/>
      <c r="I559" s="262"/>
      <c r="J559" s="263"/>
      <c r="K559" s="187"/>
      <c r="L559" s="353"/>
      <c r="M559" s="654"/>
      <c r="N559" s="371" t="s">
        <v>924</v>
      </c>
      <c r="O559" s="218"/>
      <c r="P559" s="448">
        <v>57791</v>
      </c>
      <c r="Q559" s="174"/>
      <c r="R559" s="220">
        <f t="shared" si="61"/>
        <v>57791</v>
      </c>
      <c r="S559" s="374"/>
      <c r="T559" s="174"/>
      <c r="U559" s="552">
        <f t="shared" si="60"/>
        <v>0</v>
      </c>
      <c r="V559" s="222"/>
      <c r="W559" s="223">
        <v>5</v>
      </c>
    </row>
    <row r="560" spans="2:24" ht="31" x14ac:dyDescent="0.35">
      <c r="B560" s="369"/>
      <c r="C560" s="265"/>
      <c r="D560" s="204"/>
      <c r="E560" s="174"/>
      <c r="F560" s="262"/>
      <c r="G560" s="261"/>
      <c r="H560" s="264"/>
      <c r="I560" s="262"/>
      <c r="J560" s="263"/>
      <c r="K560" s="187"/>
      <c r="L560" s="353"/>
      <c r="M560" s="372" t="s">
        <v>394</v>
      </c>
      <c r="N560" s="373"/>
      <c r="O560" s="218">
        <v>31355</v>
      </c>
      <c r="P560" s="174"/>
      <c r="Q560" s="174"/>
      <c r="R560" s="220">
        <f t="shared" si="61"/>
        <v>31355</v>
      </c>
      <c r="S560" s="374">
        <v>0.5</v>
      </c>
      <c r="T560" s="174"/>
      <c r="U560" s="552">
        <f t="shared" si="60"/>
        <v>0</v>
      </c>
      <c r="V560" s="222"/>
      <c r="W560" s="223">
        <v>4</v>
      </c>
    </row>
    <row r="561" spans="2:25" ht="42" customHeight="1" x14ac:dyDescent="0.35">
      <c r="B561" s="4"/>
      <c r="C561" s="86" t="s">
        <v>395</v>
      </c>
      <c r="D561" s="205">
        <f>SUM(D519:D539)</f>
        <v>499951.70872</v>
      </c>
      <c r="E561" s="88">
        <f>SUM(E519:E539)</f>
        <v>138212</v>
      </c>
      <c r="F561" s="88">
        <f>SUM(F519:F539)</f>
        <v>0</v>
      </c>
      <c r="G561" s="88">
        <f>SUM(G519:G539)</f>
        <v>638163.70872</v>
      </c>
      <c r="H561" s="10">
        <f>(H519*G519)+(H520*G520)+(H521*G521)+(H522*G522)+(H523*G523)+(H524*G524)+(H525*G525)+(H526*G526)+(H527*G527)+(H528*G528)+(H529*G529)+(H530*G530)+(H531*G531)+(H535*G535)+(H536*G536)+(H537*G537)+(H538*G538)+(H539*G539)</f>
        <v>204301.85436</v>
      </c>
      <c r="I561" s="10">
        <f>SUM(I519:I539)</f>
        <v>0</v>
      </c>
      <c r="J561" s="265"/>
      <c r="K561" s="188"/>
      <c r="L561" s="353"/>
      <c r="M561" s="4"/>
      <c r="N561" s="86" t="s">
        <v>395</v>
      </c>
      <c r="O561" s="427">
        <f>SUM(O519:O560)</f>
        <v>777428.19871999999</v>
      </c>
      <c r="P561" s="428"/>
      <c r="Q561" s="428">
        <f>SUM(Q519:Q539)</f>
        <v>0</v>
      </c>
      <c r="R561" s="428">
        <f>SUM(R519:R560)</f>
        <v>1095337.19872</v>
      </c>
      <c r="S561" s="231">
        <f>(S519*R519)+(S520*R520)+(S521*R521)+(S522*R522)+(S523*R523)+(S524*R524)+(S525*R525)+(S526*R526)+(S527*R527)+(S528*R528)+(S529*R529)+(S530*R530)+(S531*R531)+(S535*R535)+(S536*R536)+(S537*R537)+(S538*R538)+(S539*R539)+(R540*S540)+(R541*S541)+(R542*S542)+(R543*S543)+(R544*S544)+(R545*S545)+(R546*S546)+(R547*S547)+(R556*S556)+(R557*S557)+(R560*S560)</f>
        <v>361071.59935999999</v>
      </c>
      <c r="T561" s="231">
        <f>SUM(T519:T560)</f>
        <v>791245.79</v>
      </c>
      <c r="U561" s="547">
        <f>SUM(U519:U560)</f>
        <v>128905.5</v>
      </c>
      <c r="V561" s="373"/>
      <c r="W561" s="429"/>
    </row>
    <row r="562" spans="2:25" ht="15.5" customHeight="1" x14ac:dyDescent="0.35">
      <c r="B562" s="4"/>
      <c r="C562" s="252"/>
      <c r="D562" s="258"/>
      <c r="E562" s="259"/>
      <c r="F562" s="259"/>
      <c r="G562" s="259"/>
      <c r="H562" s="259"/>
      <c r="I562" s="259"/>
      <c r="J562" s="252"/>
      <c r="K562" s="130"/>
      <c r="L562" s="353"/>
      <c r="M562" s="4"/>
      <c r="N562" s="252"/>
      <c r="O562" s="258"/>
      <c r="P562" s="259"/>
      <c r="Q562" s="259"/>
      <c r="R562" s="259"/>
      <c r="S562" s="259"/>
      <c r="T562" s="259"/>
      <c r="U562" s="551"/>
      <c r="V562" s="252"/>
      <c r="W562" s="130"/>
    </row>
    <row r="563" spans="2:25" ht="15.75" customHeight="1" x14ac:dyDescent="0.35">
      <c r="B563" s="4"/>
      <c r="C563" s="252"/>
      <c r="D563" s="258"/>
      <c r="E563" s="259"/>
      <c r="F563" s="259"/>
      <c r="G563" s="259"/>
      <c r="H563" s="259"/>
      <c r="I563" s="259"/>
      <c r="J563" s="252"/>
      <c r="K563" s="130"/>
      <c r="L563" s="353"/>
      <c r="M563" s="4"/>
      <c r="N563" s="252"/>
      <c r="O563" s="258"/>
      <c r="P563" s="259"/>
      <c r="Q563" s="259"/>
      <c r="R563" s="259"/>
      <c r="S563" s="259"/>
      <c r="T563" s="259"/>
      <c r="U563" s="551"/>
      <c r="V563" s="252"/>
      <c r="W563" s="130"/>
    </row>
    <row r="564" spans="2:25" ht="54.5" customHeight="1" x14ac:dyDescent="0.45">
      <c r="B564" s="4"/>
      <c r="C564" s="252"/>
      <c r="D564" s="258"/>
      <c r="E564" s="259"/>
      <c r="F564" s="259"/>
      <c r="G564" s="266"/>
      <c r="H564" s="259"/>
      <c r="I564" s="259"/>
      <c r="J564" s="252"/>
      <c r="K564" s="130"/>
      <c r="L564" s="353"/>
      <c r="M564" s="4"/>
      <c r="N564" s="252"/>
      <c r="O564" s="258"/>
      <c r="P564" s="259"/>
      <c r="Q564" s="259"/>
      <c r="R564" s="266"/>
      <c r="S564" s="259"/>
      <c r="T564" s="259"/>
      <c r="U564" s="551"/>
      <c r="V564" s="252"/>
      <c r="W564" s="130"/>
      <c r="X564" s="566" t="s">
        <v>956</v>
      </c>
      <c r="Y564" s="562">
        <f>U35+S62+U103+U257+U313+U358+U388+U476+U561</f>
        <v>827084.72750000004</v>
      </c>
    </row>
    <row r="565" spans="2:25" ht="15.75" customHeight="1" x14ac:dyDescent="0.35">
      <c r="B565" s="4"/>
      <c r="C565" s="252"/>
      <c r="D565" s="258"/>
      <c r="E565" s="259"/>
      <c r="F565" s="259"/>
      <c r="G565" s="259"/>
      <c r="H565" s="259"/>
      <c r="I565" s="259"/>
      <c r="J565" s="252"/>
      <c r="K565" s="130"/>
      <c r="L565" s="353"/>
      <c r="M565" s="4"/>
      <c r="N565" s="252"/>
      <c r="O565" s="258"/>
      <c r="P565" s="259"/>
      <c r="Q565" s="259"/>
      <c r="R565" s="259"/>
      <c r="S565" s="259"/>
      <c r="T565" s="259"/>
      <c r="U565" s="551"/>
      <c r="V565" s="252"/>
      <c r="W565" s="130"/>
    </row>
    <row r="566" spans="2:25" ht="15.75" customHeight="1" x14ac:dyDescent="0.35">
      <c r="B566" s="4"/>
      <c r="C566" s="252"/>
      <c r="D566" s="258"/>
      <c r="E566" s="259"/>
      <c r="F566" s="259"/>
      <c r="G566" s="259"/>
      <c r="H566" s="259"/>
      <c r="I566" s="259"/>
      <c r="J566" s="252"/>
      <c r="K566" s="130"/>
      <c r="L566" s="353"/>
      <c r="M566" s="4"/>
      <c r="N566" s="252"/>
      <c r="O566" s="258"/>
      <c r="P566" s="259"/>
      <c r="Q566" s="259"/>
      <c r="R566" s="259"/>
      <c r="S566" s="259"/>
      <c r="T566" s="259"/>
      <c r="U566" s="551"/>
      <c r="V566" s="252"/>
      <c r="W566" s="130"/>
    </row>
    <row r="567" spans="2:25" ht="15.75" customHeight="1" x14ac:dyDescent="0.35">
      <c r="B567" s="4"/>
      <c r="C567" s="252"/>
      <c r="D567" s="258"/>
      <c r="E567" s="259"/>
      <c r="F567" s="259"/>
      <c r="G567" s="259"/>
      <c r="H567" s="259"/>
      <c r="I567" s="259"/>
      <c r="J567" s="252"/>
      <c r="K567" s="130"/>
      <c r="L567" s="353"/>
      <c r="M567" s="4"/>
      <c r="N567" s="252"/>
      <c r="O567" s="258"/>
      <c r="P567" s="259"/>
      <c r="Q567" s="259"/>
      <c r="R567" s="259"/>
      <c r="S567" s="259"/>
      <c r="T567" s="259"/>
      <c r="U567" s="551"/>
      <c r="V567" s="252"/>
      <c r="W567" s="130"/>
    </row>
    <row r="568" spans="2:25" ht="15.75" customHeight="1" thickBot="1" x14ac:dyDescent="0.4">
      <c r="B568" s="4"/>
      <c r="C568" s="252"/>
      <c r="D568" s="258"/>
      <c r="E568" s="259"/>
      <c r="F568" s="259"/>
      <c r="G568" s="259"/>
      <c r="H568" s="259"/>
      <c r="I568" s="259"/>
      <c r="J568" s="252"/>
      <c r="K568" s="130"/>
      <c r="L568" s="353"/>
      <c r="M568" s="4"/>
      <c r="N568" s="252"/>
      <c r="O568" s="258"/>
      <c r="P568" s="259"/>
      <c r="Q568" s="259"/>
      <c r="R568" s="259"/>
      <c r="S568" s="259"/>
      <c r="T568" s="259"/>
      <c r="U568" s="551"/>
      <c r="V568" s="252"/>
      <c r="W568" s="130"/>
    </row>
    <row r="569" spans="2:25" ht="15.5" x14ac:dyDescent="0.35">
      <c r="B569" s="4"/>
      <c r="C569" s="628" t="s">
        <v>44</v>
      </c>
      <c r="D569" s="629"/>
      <c r="E569" s="95"/>
      <c r="F569" s="95"/>
      <c r="G569" s="129"/>
      <c r="H569" s="9"/>
      <c r="I569" s="113"/>
      <c r="J569" s="9"/>
      <c r="L569" s="353"/>
      <c r="M569" s="4"/>
      <c r="N569" s="628" t="s">
        <v>44</v>
      </c>
      <c r="O569" s="629"/>
      <c r="P569" s="95"/>
      <c r="Q569" s="95"/>
      <c r="R569" s="129"/>
      <c r="S569" s="9"/>
      <c r="T569" s="532"/>
      <c r="U569" s="553"/>
      <c r="V569" s="9"/>
      <c r="W569" s="131"/>
    </row>
    <row r="570" spans="2:25" ht="48" customHeight="1" x14ac:dyDescent="0.35">
      <c r="B570" s="4"/>
      <c r="C570" s="606"/>
      <c r="D570" s="206" t="s">
        <v>396</v>
      </c>
      <c r="E570" s="96" t="s">
        <v>397</v>
      </c>
      <c r="F570" s="10" t="s">
        <v>398</v>
      </c>
      <c r="G570" s="608" t="s">
        <v>63</v>
      </c>
      <c r="H570" s="252"/>
      <c r="I570" s="259"/>
      <c r="J570" s="9"/>
      <c r="L570" s="353"/>
      <c r="M570" s="4"/>
      <c r="N570" s="606"/>
      <c r="O570" s="206" t="s">
        <v>396</v>
      </c>
      <c r="P570" s="96" t="s">
        <v>397</v>
      </c>
      <c r="Q570" s="10" t="s">
        <v>398</v>
      </c>
      <c r="R570" s="608" t="s">
        <v>63</v>
      </c>
      <c r="S570" s="252"/>
      <c r="T570" s="650"/>
      <c r="U570" s="554"/>
      <c r="V570" s="9"/>
      <c r="W570" s="131"/>
    </row>
    <row r="571" spans="2:25" ht="24.75" customHeight="1" x14ac:dyDescent="0.35">
      <c r="B571" s="4"/>
      <c r="C571" s="607"/>
      <c r="D571" s="207" t="str">
        <f>D13</f>
        <v>PNUD</v>
      </c>
      <c r="E571" s="97" t="str">
        <f>E13</f>
        <v>FAO</v>
      </c>
      <c r="F571" s="89">
        <f>F13</f>
        <v>0</v>
      </c>
      <c r="G571" s="609"/>
      <c r="H571" s="252"/>
      <c r="I571" s="259"/>
      <c r="J571" s="9"/>
      <c r="L571" s="353"/>
      <c r="M571" s="4"/>
      <c r="N571" s="607"/>
      <c r="O571" s="207" t="str">
        <f>O13</f>
        <v>PNUD</v>
      </c>
      <c r="P571" s="97" t="str">
        <f>P13</f>
        <v>FAO</v>
      </c>
      <c r="Q571" s="89">
        <f>Q13</f>
        <v>0</v>
      </c>
      <c r="R571" s="609"/>
      <c r="S571" s="252"/>
      <c r="T571" s="651"/>
      <c r="U571" s="554"/>
      <c r="V571" s="9"/>
      <c r="W571" s="131"/>
    </row>
    <row r="572" spans="2:25" ht="41.25" customHeight="1" x14ac:dyDescent="0.35">
      <c r="B572" s="267"/>
      <c r="C572" s="124" t="s">
        <v>52</v>
      </c>
      <c r="D572" s="268">
        <f>(D561+D504+D476+D429+D388+D358+D313+D257+D103+D62+D35)</f>
        <v>1509345.7977199999</v>
      </c>
      <c r="E572" s="269">
        <f>(E561+E504+E476+E429+E388+E358+E313+E257+E103+E62+E35)</f>
        <v>827102.8</v>
      </c>
      <c r="F572" s="269">
        <f>SUM(F35,F62,F103,F115,F257,F313,F325,F358,F388,F400,F429,F476,F504,F516,F519,F531,F535,F539)</f>
        <v>0</v>
      </c>
      <c r="G572" s="269">
        <f>SUM(D572:F572)</f>
        <v>2336448.59772</v>
      </c>
      <c r="H572" s="252"/>
      <c r="I572" s="259"/>
      <c r="J572" s="267"/>
      <c r="L572" s="353"/>
      <c r="M572" s="267"/>
      <c r="N572" s="124" t="s">
        <v>52</v>
      </c>
      <c r="O572" s="268">
        <f>(O561+O504+O476+O429+O388+O358+O313+O257+O103+O62+O35)</f>
        <v>2297705.5177199999</v>
      </c>
      <c r="P572" s="269">
        <f>(P561+P504+P476+P429+P388+P358+P313+P257+P103+P62+P35)</f>
        <v>1114058.24</v>
      </c>
      <c r="Q572" s="269">
        <f>SUM(Q35,Q62,Q103,Q115,Q257,Q313,Q325,Q358,Q388,Q400,Q429,Q476,Q504,Q516,Q519,Q531,Q535,Q539)</f>
        <v>0</v>
      </c>
      <c r="R572" s="269">
        <f>SUM(O572:Q572)</f>
        <v>3411763.7577200001</v>
      </c>
      <c r="S572" s="252"/>
      <c r="T572" s="533">
        <f>(T561+T504+T476+T429+T388+T358+T313+T257+T103+T62+T35)</f>
        <v>2712707.71</v>
      </c>
      <c r="U572" s="551"/>
      <c r="V572" s="409"/>
      <c r="W572" s="131"/>
    </row>
    <row r="573" spans="2:25" ht="51.75" customHeight="1" x14ac:dyDescent="0.35">
      <c r="B573" s="270"/>
      <c r="C573" s="124" t="s">
        <v>53</v>
      </c>
      <c r="D573" s="268">
        <f>D572*0.07</f>
        <v>105654.2058404</v>
      </c>
      <c r="E573" s="271">
        <f>E572*0.07</f>
        <v>57897.196000000011</v>
      </c>
      <c r="F573" s="272">
        <f t="shared" ref="F573" si="62">F572*0.07</f>
        <v>0</v>
      </c>
      <c r="G573" s="269">
        <f>G572*0.07</f>
        <v>163551.40184040001</v>
      </c>
      <c r="H573" s="270"/>
      <c r="I573" s="273"/>
      <c r="J573" s="274"/>
      <c r="L573" s="353"/>
      <c r="M573" s="270"/>
      <c r="N573" s="124" t="s">
        <v>53</v>
      </c>
      <c r="O573" s="268">
        <f>O572*0.07</f>
        <v>160839.3862404</v>
      </c>
      <c r="P573" s="271">
        <f>P572*0.07</f>
        <v>77984.07680000001</v>
      </c>
      <c r="Q573" s="272">
        <f t="shared" ref="Q573" si="63">Q572*0.07</f>
        <v>0</v>
      </c>
      <c r="R573" s="269">
        <f>R572*0.07</f>
        <v>238823.46304040003</v>
      </c>
      <c r="S573" s="270"/>
      <c r="T573" s="535">
        <v>60930</v>
      </c>
      <c r="U573" s="551"/>
      <c r="V573" s="274"/>
      <c r="W573" s="131"/>
    </row>
    <row r="574" spans="2:25" ht="51.75" customHeight="1" thickBot="1" x14ac:dyDescent="0.4">
      <c r="B574" s="270"/>
      <c r="C574" s="7" t="s">
        <v>63</v>
      </c>
      <c r="D574" s="208">
        <f>SUM(D572:D573)</f>
        <v>1615000.0035603999</v>
      </c>
      <c r="E574" s="98">
        <f>SUM(E572:E573)</f>
        <v>884999.99600000004</v>
      </c>
      <c r="F574" s="75">
        <f>SUM(F572:F573)</f>
        <v>0</v>
      </c>
      <c r="G574" s="84">
        <f>SUM(G572:G573)</f>
        <v>2499999.9995603999</v>
      </c>
      <c r="H574" s="270"/>
      <c r="I574" s="273"/>
      <c r="J574" s="274"/>
      <c r="L574" s="353"/>
      <c r="M574" s="270"/>
      <c r="N574" s="7" t="s">
        <v>63</v>
      </c>
      <c r="O574" s="431">
        <f>SUM(O572:O573)</f>
        <v>2458544.9039603998</v>
      </c>
      <c r="P574" s="432">
        <f>SUM(P572:P573)</f>
        <v>1192042.3167999999</v>
      </c>
      <c r="Q574" s="433">
        <f>SUM(Q572:Q573)</f>
        <v>0</v>
      </c>
      <c r="R574" s="434">
        <f>SUM(R572:R573)</f>
        <v>3650587.2207603999</v>
      </c>
      <c r="S574" s="270"/>
      <c r="T574" s="534"/>
      <c r="U574" s="551"/>
      <c r="V574" s="274"/>
      <c r="W574" s="131"/>
    </row>
    <row r="575" spans="2:25" ht="42" customHeight="1" x14ac:dyDescent="0.35">
      <c r="B575" s="270"/>
      <c r="I575" s="114"/>
      <c r="J575" s="2"/>
      <c r="K575" s="275"/>
      <c r="L575" s="353"/>
      <c r="M575" s="270"/>
      <c r="O575" s="453"/>
      <c r="T575" s="114"/>
      <c r="U575" s="555"/>
      <c r="V575" s="2"/>
      <c r="W575" s="275"/>
    </row>
    <row r="576" spans="2:25" s="24" customFormat="1" ht="29.25" customHeight="1" thickBot="1" x14ac:dyDescent="0.4">
      <c r="B576" s="252"/>
      <c r="C576" s="4"/>
      <c r="D576" s="209"/>
      <c r="E576" s="19"/>
      <c r="F576" s="19"/>
      <c r="G576" s="19"/>
      <c r="H576" s="19"/>
      <c r="I576" s="115"/>
      <c r="J576" s="9"/>
      <c r="K576" s="276"/>
      <c r="L576" s="353"/>
      <c r="M576" s="252"/>
      <c r="N576" s="4"/>
      <c r="O576" s="209"/>
      <c r="P576" s="19"/>
      <c r="Q576" s="19"/>
      <c r="R576" s="19"/>
      <c r="S576" s="19"/>
      <c r="T576" s="115"/>
      <c r="U576" s="556"/>
      <c r="V576" s="9"/>
      <c r="W576" s="276"/>
    </row>
    <row r="577" spans="2:24" ht="23.25" customHeight="1" x14ac:dyDescent="0.35">
      <c r="B577" s="274"/>
      <c r="C577" s="610" t="s">
        <v>399</v>
      </c>
      <c r="D577" s="611"/>
      <c r="E577" s="612"/>
      <c r="F577" s="612"/>
      <c r="G577" s="612"/>
      <c r="H577" s="613"/>
      <c r="I577" s="116"/>
      <c r="J577" s="274"/>
      <c r="L577" s="353"/>
      <c r="M577" s="274"/>
      <c r="N577" s="610" t="s">
        <v>399</v>
      </c>
      <c r="O577" s="611"/>
      <c r="P577" s="612"/>
      <c r="Q577" s="612"/>
      <c r="R577" s="612"/>
      <c r="S577" s="613"/>
      <c r="T577" s="116"/>
      <c r="U577" s="554"/>
      <c r="V577" s="274"/>
      <c r="W577" s="131"/>
    </row>
    <row r="578" spans="2:24" ht="45.65" customHeight="1" x14ac:dyDescent="0.35">
      <c r="B578" s="274"/>
      <c r="C578" s="16"/>
      <c r="D578" s="206" t="s">
        <v>396</v>
      </c>
      <c r="E578" s="96" t="s">
        <v>397</v>
      </c>
      <c r="F578" s="10" t="s">
        <v>398</v>
      </c>
      <c r="G578" s="614" t="s">
        <v>63</v>
      </c>
      <c r="H578" s="616" t="s">
        <v>400</v>
      </c>
      <c r="I578" s="116"/>
      <c r="J578" s="274"/>
      <c r="L578" s="353"/>
      <c r="M578" s="274"/>
      <c r="N578" s="16"/>
      <c r="O578" s="206" t="s">
        <v>396</v>
      </c>
      <c r="P578" s="96" t="s">
        <v>397</v>
      </c>
      <c r="Q578" s="10" t="s">
        <v>398</v>
      </c>
      <c r="R578" s="614" t="s">
        <v>63</v>
      </c>
      <c r="S578" s="616" t="s">
        <v>400</v>
      </c>
      <c r="T578" s="116"/>
      <c r="U578" s="554"/>
      <c r="V578" s="274"/>
      <c r="W578" s="131"/>
    </row>
    <row r="579" spans="2:24" ht="27.75" customHeight="1" x14ac:dyDescent="0.35">
      <c r="B579" s="274"/>
      <c r="C579" s="16"/>
      <c r="D579" s="199" t="str">
        <f>D13</f>
        <v>PNUD</v>
      </c>
      <c r="E579" s="14" t="str">
        <f>E13</f>
        <v>FAO</v>
      </c>
      <c r="F579" s="14">
        <f>F13</f>
        <v>0</v>
      </c>
      <c r="G579" s="615"/>
      <c r="H579" s="589"/>
      <c r="I579" s="116"/>
      <c r="J579" s="274"/>
      <c r="L579" s="353"/>
      <c r="M579" s="274"/>
      <c r="N579" s="16"/>
      <c r="O579" s="199" t="str">
        <f>O13</f>
        <v>PNUD</v>
      </c>
      <c r="P579" s="14" t="str">
        <f>P13</f>
        <v>FAO</v>
      </c>
      <c r="Q579" s="14">
        <f>Q13</f>
        <v>0</v>
      </c>
      <c r="R579" s="615"/>
      <c r="S579" s="589"/>
      <c r="T579" s="116"/>
      <c r="U579" s="554"/>
      <c r="V579" s="274"/>
      <c r="W579" s="131"/>
    </row>
    <row r="580" spans="2:24" ht="55.5" customHeight="1" x14ac:dyDescent="0.35">
      <c r="B580" s="274"/>
      <c r="C580" s="15" t="s">
        <v>401</v>
      </c>
      <c r="D580" s="205">
        <f>$D$574*H580</f>
        <v>565250.00124613987</v>
      </c>
      <c r="E580" s="74">
        <f>$E$574*H580</f>
        <v>309749.99859999999</v>
      </c>
      <c r="F580" s="74">
        <f>$F$574*H580</f>
        <v>0</v>
      </c>
      <c r="G580" s="74">
        <f>SUM(D580:F580)</f>
        <v>874999.99984613992</v>
      </c>
      <c r="H580" s="102">
        <v>0.35</v>
      </c>
      <c r="I580" s="113"/>
      <c r="J580" s="274"/>
      <c r="L580" s="353"/>
      <c r="M580" s="274"/>
      <c r="N580" s="15" t="s">
        <v>401</v>
      </c>
      <c r="O580" s="205">
        <v>565250.00124613987</v>
      </c>
      <c r="P580" s="74">
        <v>309749.99859999999</v>
      </c>
      <c r="Q580" s="74"/>
      <c r="R580" s="74">
        <f>SUM(O580:Q580)</f>
        <v>874999.99984613992</v>
      </c>
      <c r="S580" s="102">
        <f>R580/R585</f>
        <v>0.21874999998557562</v>
      </c>
      <c r="T580" s="441"/>
      <c r="U580" s="557"/>
      <c r="V580" s="274"/>
      <c r="W580" s="131"/>
    </row>
    <row r="581" spans="2:24" ht="57.75" customHeight="1" x14ac:dyDescent="0.35">
      <c r="B581" s="617"/>
      <c r="C581" s="87" t="s">
        <v>402</v>
      </c>
      <c r="D581" s="210">
        <f>$D$574*H581</f>
        <v>565250.00124613987</v>
      </c>
      <c r="E581" s="74">
        <f>$E$574*H581</f>
        <v>309749.99859999999</v>
      </c>
      <c r="F581" s="74">
        <f>$F$574*H581</f>
        <v>0</v>
      </c>
      <c r="G581" s="74">
        <f t="shared" ref="G581:G582" si="64">SUM(D581:F581)</f>
        <v>874999.99984613992</v>
      </c>
      <c r="H581" s="103">
        <v>0.35</v>
      </c>
      <c r="I581" s="113"/>
      <c r="L581" s="353"/>
      <c r="M581" s="617"/>
      <c r="N581" s="87" t="s">
        <v>402</v>
      </c>
      <c r="O581" s="210">
        <v>565250.00124613987</v>
      </c>
      <c r="P581" s="74">
        <v>309749.99859999999</v>
      </c>
      <c r="Q581" s="74"/>
      <c r="R581" s="74">
        <f t="shared" ref="R581:R584" si="65">SUM(O581:Q581)</f>
        <v>874999.99984613992</v>
      </c>
      <c r="S581" s="103">
        <f>R581/R585</f>
        <v>0.21874999998557562</v>
      </c>
      <c r="T581" s="113"/>
      <c r="U581" s="558"/>
      <c r="W581" s="131"/>
    </row>
    <row r="582" spans="2:24" ht="57.75" customHeight="1" x14ac:dyDescent="0.35">
      <c r="B582" s="617"/>
      <c r="C582" s="87" t="s">
        <v>403</v>
      </c>
      <c r="D582" s="210">
        <f>$D$574*H582</f>
        <v>484500.00106811995</v>
      </c>
      <c r="E582" s="74">
        <f>$E$574*H582</f>
        <v>265499.9988</v>
      </c>
      <c r="F582" s="74">
        <f>$F$574*H582</f>
        <v>0</v>
      </c>
      <c r="G582" s="74">
        <f t="shared" si="64"/>
        <v>749999.99986811995</v>
      </c>
      <c r="H582" s="103">
        <v>0.3</v>
      </c>
      <c r="I582" s="113"/>
      <c r="L582" s="353"/>
      <c r="M582" s="617"/>
      <c r="N582" s="87" t="s">
        <v>403</v>
      </c>
      <c r="O582" s="210">
        <v>484500.00106811995</v>
      </c>
      <c r="P582" s="74">
        <v>265499.9988</v>
      </c>
      <c r="Q582" s="74"/>
      <c r="R582" s="74">
        <f t="shared" si="65"/>
        <v>749999.99986811995</v>
      </c>
      <c r="S582" s="103">
        <f>R582/R585</f>
        <v>0.18749999998763625</v>
      </c>
      <c r="T582" s="113"/>
      <c r="U582" s="558"/>
      <c r="W582" s="131"/>
    </row>
    <row r="583" spans="2:24" ht="57.75" customHeight="1" x14ac:dyDescent="0.35">
      <c r="B583" s="617"/>
      <c r="C583" s="87" t="s">
        <v>485</v>
      </c>
      <c r="D583" s="210"/>
      <c r="E583" s="440"/>
      <c r="F583" s="440"/>
      <c r="G583" s="440"/>
      <c r="H583" s="103"/>
      <c r="I583" s="113"/>
      <c r="L583" s="353"/>
      <c r="M583" s="617"/>
      <c r="N583" s="87" t="s">
        <v>485</v>
      </c>
      <c r="O583" s="210">
        <v>600000</v>
      </c>
      <c r="P583" s="440">
        <v>300000</v>
      </c>
      <c r="Q583" s="440"/>
      <c r="R583" s="74">
        <f t="shared" si="65"/>
        <v>900000</v>
      </c>
      <c r="S583" s="103">
        <f>R583/R585</f>
        <v>0.2250000000247275</v>
      </c>
      <c r="T583" s="113"/>
      <c r="U583" s="558"/>
      <c r="W583" s="131"/>
    </row>
    <row r="584" spans="2:24" ht="57.75" customHeight="1" x14ac:dyDescent="0.35">
      <c r="B584" s="617"/>
      <c r="C584" s="87" t="s">
        <v>486</v>
      </c>
      <c r="D584" s="210"/>
      <c r="E584" s="440"/>
      <c r="F584" s="440"/>
      <c r="G584" s="440"/>
      <c r="H584" s="103"/>
      <c r="I584" s="113"/>
      <c r="L584" s="353"/>
      <c r="M584" s="617"/>
      <c r="N584" s="87" t="s">
        <v>486</v>
      </c>
      <c r="O584" s="210">
        <v>300000</v>
      </c>
      <c r="P584" s="440">
        <v>300000</v>
      </c>
      <c r="Q584" s="440"/>
      <c r="R584" s="74">
        <f t="shared" si="65"/>
        <v>600000</v>
      </c>
      <c r="S584" s="103">
        <f>R584/R585</f>
        <v>0.150000000016485</v>
      </c>
      <c r="T584" s="113"/>
      <c r="U584" s="558"/>
      <c r="W584" s="131"/>
    </row>
    <row r="585" spans="2:24" ht="38.25" customHeight="1" thickBot="1" x14ac:dyDescent="0.4">
      <c r="B585" s="617"/>
      <c r="C585" s="7" t="s">
        <v>63</v>
      </c>
      <c r="D585" s="211">
        <f>SUM(D580:D582)</f>
        <v>1615000.0035603996</v>
      </c>
      <c r="E585" s="75">
        <f t="shared" ref="E585:F585" si="66">SUM(E580:E582)</f>
        <v>884999.99600000004</v>
      </c>
      <c r="F585" s="75">
        <f t="shared" si="66"/>
        <v>0</v>
      </c>
      <c r="G585" s="75">
        <f>SUM(G580:G582)</f>
        <v>2499999.9995603999</v>
      </c>
      <c r="H585" s="76"/>
      <c r="I585" s="117"/>
      <c r="L585" s="353"/>
      <c r="M585" s="617"/>
      <c r="N585" s="7" t="s">
        <v>63</v>
      </c>
      <c r="O585" s="211">
        <f>SUM(O580:O584)</f>
        <v>2515000.0035603996</v>
      </c>
      <c r="P585" s="211">
        <f t="shared" ref="P585:R585" si="67">SUM(P580:P584)</f>
        <v>1484999.996</v>
      </c>
      <c r="Q585" s="211"/>
      <c r="R585" s="211">
        <f t="shared" si="67"/>
        <v>3999999.9995603999</v>
      </c>
      <c r="S585" s="76">
        <f>SUM(S580:S584)</f>
        <v>1</v>
      </c>
      <c r="T585" s="117"/>
      <c r="U585" s="559"/>
      <c r="W585" s="131"/>
    </row>
    <row r="586" spans="2:24" ht="21.75" customHeight="1" thickBot="1" x14ac:dyDescent="0.4">
      <c r="B586" s="617"/>
      <c r="C586" s="1"/>
      <c r="D586" s="209"/>
      <c r="E586" s="5"/>
      <c r="F586" s="5"/>
      <c r="G586" s="5"/>
      <c r="H586" s="5"/>
      <c r="I586" s="118"/>
      <c r="L586" s="353"/>
      <c r="M586" s="617"/>
      <c r="N586" s="1"/>
      <c r="O586" s="209"/>
      <c r="P586" s="5"/>
      <c r="Q586" s="5"/>
      <c r="R586" s="5"/>
      <c r="S586" s="5"/>
      <c r="T586" s="118"/>
      <c r="U586" s="556"/>
      <c r="W586" s="131"/>
    </row>
    <row r="587" spans="2:24" ht="49.5" customHeight="1" x14ac:dyDescent="0.35">
      <c r="B587" s="617"/>
      <c r="C587" s="77" t="s">
        <v>404</v>
      </c>
      <c r="D587" s="212" t="e">
        <f>SUM(H35,H62,H103,H115,H257,H313,H325,H358,H388,H400,H429,H476,H504,H516,H561)*1.07</f>
        <v>#REF!</v>
      </c>
      <c r="E587" s="19"/>
      <c r="F587" s="19"/>
      <c r="G587" s="19"/>
      <c r="H587" s="125" t="s">
        <v>405</v>
      </c>
      <c r="I587" s="126">
        <f>SUM(I561,I516,I504,I476,I429,I400,I388,I358,I325,I313,I257,I115,I103,I62,I35)</f>
        <v>0</v>
      </c>
      <c r="L587" s="353"/>
      <c r="M587" s="617"/>
      <c r="N587" s="77" t="s">
        <v>404</v>
      </c>
      <c r="O587" s="212">
        <f>SUM(S35,S62,S103,S115,S257,S313,S325,S358,S388,S400,S429,S476,S504,S516,S561)*1.07</f>
        <v>1832548.9863442003</v>
      </c>
      <c r="P587" s="19"/>
      <c r="Q587" s="19"/>
      <c r="R587" s="19"/>
      <c r="S587" s="125" t="s">
        <v>405</v>
      </c>
      <c r="T587" s="126">
        <f>SUM(T561,T516,T504,T476,T429,T400,T388,T358,T325,T313,T257,T115,T103,T62,T35)</f>
        <v>2712707.71</v>
      </c>
      <c r="U587" s="560"/>
      <c r="V587" s="444"/>
      <c r="W587" s="567" t="s">
        <v>7</v>
      </c>
      <c r="X587" s="568">
        <f>T35+T62+217430.69+25000+52500+77000+26656.91+36000+786689.72+468596.71</f>
        <v>2122874.0299999998</v>
      </c>
    </row>
    <row r="588" spans="2:24" ht="28.5" customHeight="1" thickBot="1" x14ac:dyDescent="0.4">
      <c r="B588" s="617"/>
      <c r="C588" s="78" t="s">
        <v>406</v>
      </c>
      <c r="D588" s="213" t="e">
        <f>D587/G574</f>
        <v>#REF!</v>
      </c>
      <c r="E588" s="29"/>
      <c r="F588" s="29"/>
      <c r="G588" s="29"/>
      <c r="H588" s="128" t="s">
        <v>407</v>
      </c>
      <c r="I588" s="127">
        <f>I587/G572</f>
        <v>0</v>
      </c>
      <c r="L588" s="353"/>
      <c r="M588" s="617"/>
      <c r="N588" s="78" t="s">
        <v>406</v>
      </c>
      <c r="O588" s="213">
        <f>O587/R574</f>
        <v>0.50198745449026394</v>
      </c>
      <c r="P588" s="29"/>
      <c r="Q588" s="29"/>
      <c r="R588" s="29"/>
      <c r="S588" s="128" t="s">
        <v>407</v>
      </c>
      <c r="T588" s="127">
        <f>T587/R574</f>
        <v>0.74308804199313327</v>
      </c>
      <c r="U588" s="561"/>
      <c r="W588" s="131"/>
    </row>
    <row r="589" spans="2:24" ht="28.5" customHeight="1" x14ac:dyDescent="0.35">
      <c r="B589" s="617"/>
      <c r="C589" s="618"/>
      <c r="D589" s="619"/>
      <c r="E589" s="30" t="s">
        <v>408</v>
      </c>
      <c r="F589" s="30"/>
      <c r="G589" s="30"/>
      <c r="L589" s="353"/>
      <c r="M589" s="617"/>
      <c r="N589" s="618"/>
      <c r="O589" s="619"/>
      <c r="P589" s="30" t="s">
        <v>408</v>
      </c>
      <c r="Q589" s="30"/>
      <c r="R589" s="30"/>
      <c r="T589" s="119"/>
      <c r="U589" s="555"/>
      <c r="W589" s="131"/>
      <c r="X589" s="565"/>
    </row>
    <row r="590" spans="2:24" ht="28.5" customHeight="1" x14ac:dyDescent="0.35">
      <c r="B590" s="617"/>
      <c r="C590" s="78" t="s">
        <v>409</v>
      </c>
      <c r="D590" s="214">
        <f>SUM(D535:F539)*1.07</f>
        <v>143091.1</v>
      </c>
      <c r="E590" s="31"/>
      <c r="F590" s="31"/>
      <c r="G590" s="31"/>
      <c r="L590" s="353"/>
      <c r="M590" s="617"/>
      <c r="N590" s="78" t="s">
        <v>409</v>
      </c>
      <c r="O590" s="214">
        <f>(SUM(O535:Q539)+SUM(O556:Q559))*1.07</f>
        <v>274361.23590000003</v>
      </c>
      <c r="P590" s="31"/>
      <c r="Q590" s="31"/>
      <c r="R590" s="31"/>
      <c r="T590" s="119"/>
      <c r="U590" s="555"/>
      <c r="W590" s="131"/>
    </row>
    <row r="591" spans="2:24" ht="23.25" customHeight="1" x14ac:dyDescent="0.35">
      <c r="B591" s="617"/>
      <c r="C591" s="78" t="s">
        <v>410</v>
      </c>
      <c r="D591" s="213">
        <f>D590/G574</f>
        <v>5.7236440010064463E-2</v>
      </c>
      <c r="E591" s="31"/>
      <c r="F591" s="31"/>
      <c r="G591" s="31"/>
      <c r="L591" s="353"/>
      <c r="M591" s="617"/>
      <c r="N591" s="78" t="s">
        <v>410</v>
      </c>
      <c r="O591" s="213">
        <f>O590/R574</f>
        <v>7.5155370713989381E-2</v>
      </c>
      <c r="P591" s="31"/>
      <c r="Q591" s="31"/>
      <c r="R591" s="31"/>
      <c r="T591" s="119"/>
      <c r="U591" s="555"/>
      <c r="W591" s="131"/>
    </row>
    <row r="592" spans="2:24" ht="68.25" customHeight="1" thickBot="1" x14ac:dyDescent="0.4">
      <c r="B592" s="617"/>
      <c r="C592" s="620" t="s">
        <v>411</v>
      </c>
      <c r="D592" s="621"/>
      <c r="E592" s="20"/>
      <c r="F592" s="20"/>
      <c r="G592" s="20"/>
      <c r="I592" s="120"/>
      <c r="L592" s="353"/>
      <c r="M592" s="617"/>
      <c r="N592" s="620" t="s">
        <v>411</v>
      </c>
      <c r="O592" s="621"/>
      <c r="P592" s="20"/>
      <c r="Q592" s="20"/>
      <c r="R592" s="20"/>
      <c r="T592" s="120"/>
      <c r="U592" s="555"/>
      <c r="W592" s="131"/>
    </row>
    <row r="593" spans="2:23" ht="55.5" customHeight="1" x14ac:dyDescent="0.35">
      <c r="B593" s="617"/>
      <c r="K593" s="132"/>
      <c r="L593" s="353"/>
      <c r="M593" s="617"/>
      <c r="O593" s="196"/>
      <c r="T593" s="119"/>
      <c r="U593" s="555"/>
      <c r="W593" s="132"/>
    </row>
    <row r="594" spans="2:23" ht="42.75" customHeight="1" x14ac:dyDescent="0.35">
      <c r="B594" s="617"/>
      <c r="L594" s="353"/>
      <c r="M594" s="617"/>
      <c r="O594" s="196"/>
      <c r="T594" s="119"/>
      <c r="U594" s="555"/>
      <c r="W594" s="131"/>
    </row>
    <row r="595" spans="2:23" ht="21.75" customHeight="1" x14ac:dyDescent="0.35">
      <c r="B595" s="617"/>
      <c r="L595" s="353"/>
      <c r="M595" s="617"/>
      <c r="O595" s="196"/>
      <c r="T595" s="119"/>
      <c r="U595" s="555"/>
      <c r="W595" s="131"/>
    </row>
    <row r="596" spans="2:23" ht="21.75" customHeight="1" x14ac:dyDescent="0.35">
      <c r="B596" s="617"/>
      <c r="L596" s="353"/>
      <c r="M596" s="617"/>
      <c r="O596" s="196"/>
      <c r="T596" s="119"/>
      <c r="U596" s="555"/>
      <c r="W596" s="131"/>
    </row>
    <row r="597" spans="2:23" ht="23.25" customHeight="1" x14ac:dyDescent="0.35">
      <c r="B597" s="617"/>
      <c r="L597" s="353"/>
      <c r="M597" s="617"/>
      <c r="O597" s="196"/>
      <c r="T597" s="119"/>
      <c r="U597" s="555"/>
      <c r="W597" s="131"/>
    </row>
    <row r="598" spans="2:23" ht="23.25" customHeight="1" x14ac:dyDescent="0.35"/>
    <row r="599" spans="2:23" ht="21.75" customHeight="1" x14ac:dyDescent="0.35"/>
    <row r="600" spans="2:23" ht="16.5" customHeight="1" x14ac:dyDescent="0.35"/>
    <row r="601" spans="2:23" ht="29.25" customHeight="1" x14ac:dyDescent="0.35"/>
    <row r="602" spans="2:23" ht="24.75" customHeight="1" x14ac:dyDescent="0.35"/>
    <row r="603" spans="2:23" ht="33" customHeight="1" x14ac:dyDescent="0.35"/>
    <row r="605" spans="2:23" ht="15" customHeight="1" x14ac:dyDescent="0.35"/>
    <row r="606" spans="2:23" ht="25.5" customHeight="1" x14ac:dyDescent="0.35"/>
  </sheetData>
  <sheetProtection formatCells="0" formatColumns="0" formatRows="0"/>
  <mergeCells count="246">
    <mergeCell ref="B2:E2"/>
    <mergeCell ref="B6:M6"/>
    <mergeCell ref="B9:H9"/>
    <mergeCell ref="B11:K11"/>
    <mergeCell ref="M11:X11"/>
    <mergeCell ref="N14:V14"/>
    <mergeCell ref="B26:B29"/>
    <mergeCell ref="M26:M29"/>
    <mergeCell ref="B30:B34"/>
    <mergeCell ref="M30:M34"/>
    <mergeCell ref="C36:J36"/>
    <mergeCell ref="N36:V36"/>
    <mergeCell ref="C15:J15"/>
    <mergeCell ref="N15:V15"/>
    <mergeCell ref="B16:B21"/>
    <mergeCell ref="M16:M21"/>
    <mergeCell ref="B22:B25"/>
    <mergeCell ref="M22:M25"/>
    <mergeCell ref="B47:B51"/>
    <mergeCell ref="M47:M51"/>
    <mergeCell ref="B52:B56"/>
    <mergeCell ref="M52:M56"/>
    <mergeCell ref="B57:B61"/>
    <mergeCell ref="M57:M61"/>
    <mergeCell ref="B37:B39"/>
    <mergeCell ref="M37:M39"/>
    <mergeCell ref="B40:B42"/>
    <mergeCell ref="M40:M42"/>
    <mergeCell ref="B43:B46"/>
    <mergeCell ref="M43:M46"/>
    <mergeCell ref="B74:B78"/>
    <mergeCell ref="M74:M78"/>
    <mergeCell ref="B79:B83"/>
    <mergeCell ref="M79:M83"/>
    <mergeCell ref="B84:B88"/>
    <mergeCell ref="M84:M88"/>
    <mergeCell ref="C63:J63"/>
    <mergeCell ref="N63:V63"/>
    <mergeCell ref="B64:B68"/>
    <mergeCell ref="M64:M68"/>
    <mergeCell ref="B69:B73"/>
    <mergeCell ref="M69:M73"/>
    <mergeCell ref="N117:V117"/>
    <mergeCell ref="C118:J118"/>
    <mergeCell ref="N118:V118"/>
    <mergeCell ref="B89:B93"/>
    <mergeCell ref="M89:M93"/>
    <mergeCell ref="M94:M98"/>
    <mergeCell ref="C104:J104"/>
    <mergeCell ref="N104:V104"/>
    <mergeCell ref="B105:B109"/>
    <mergeCell ref="M105:M109"/>
    <mergeCell ref="B119:B123"/>
    <mergeCell ref="M119:M123"/>
    <mergeCell ref="B124:B128"/>
    <mergeCell ref="M124:M128"/>
    <mergeCell ref="B129:B133"/>
    <mergeCell ref="M129:M133"/>
    <mergeCell ref="B110:B114"/>
    <mergeCell ref="M110:M114"/>
    <mergeCell ref="C117:J117"/>
    <mergeCell ref="B150:B154"/>
    <mergeCell ref="M150:M154"/>
    <mergeCell ref="B155:B159"/>
    <mergeCell ref="M155:M159"/>
    <mergeCell ref="B160:B164"/>
    <mergeCell ref="M160:M164"/>
    <mergeCell ref="B134:B138"/>
    <mergeCell ref="M134:M138"/>
    <mergeCell ref="B139:B143"/>
    <mergeCell ref="M139:M143"/>
    <mergeCell ref="B144:B149"/>
    <mergeCell ref="M144:M149"/>
    <mergeCell ref="B180:B184"/>
    <mergeCell ref="M180:M184"/>
    <mergeCell ref="B185:B189"/>
    <mergeCell ref="M185:M189"/>
    <mergeCell ref="B190:B194"/>
    <mergeCell ref="M190:M194"/>
    <mergeCell ref="B165:B169"/>
    <mergeCell ref="M165:M169"/>
    <mergeCell ref="B170:B174"/>
    <mergeCell ref="M170:M174"/>
    <mergeCell ref="B175:B179"/>
    <mergeCell ref="M175:M179"/>
    <mergeCell ref="M211:M213"/>
    <mergeCell ref="M214:M217"/>
    <mergeCell ref="M218:M220"/>
    <mergeCell ref="M221:M222"/>
    <mergeCell ref="M223:M227"/>
    <mergeCell ref="M228:M229"/>
    <mergeCell ref="B195:B199"/>
    <mergeCell ref="M195:M199"/>
    <mergeCell ref="B200:B204"/>
    <mergeCell ref="M200:M204"/>
    <mergeCell ref="B205:B209"/>
    <mergeCell ref="M205:M209"/>
    <mergeCell ref="N258:V258"/>
    <mergeCell ref="B259:B263"/>
    <mergeCell ref="M259:M263"/>
    <mergeCell ref="M230:M233"/>
    <mergeCell ref="M234:M235"/>
    <mergeCell ref="M236:M239"/>
    <mergeCell ref="M240:M241"/>
    <mergeCell ref="M243:M244"/>
    <mergeCell ref="M245:M247"/>
    <mergeCell ref="B264:B268"/>
    <mergeCell ref="M264:M268"/>
    <mergeCell ref="B269:B273"/>
    <mergeCell ref="M269:M273"/>
    <mergeCell ref="B274:B278"/>
    <mergeCell ref="M274:M278"/>
    <mergeCell ref="M248:M249"/>
    <mergeCell ref="B252:B256"/>
    <mergeCell ref="M252:M256"/>
    <mergeCell ref="C258:J258"/>
    <mergeCell ref="B303:B307"/>
    <mergeCell ref="M303:M307"/>
    <mergeCell ref="B308:B312"/>
    <mergeCell ref="M308:M312"/>
    <mergeCell ref="C314:J314"/>
    <mergeCell ref="N314:V314"/>
    <mergeCell ref="B279:B283"/>
    <mergeCell ref="M279:M283"/>
    <mergeCell ref="M284:M286"/>
    <mergeCell ref="M287:M288"/>
    <mergeCell ref="M289:M290"/>
    <mergeCell ref="B298:B302"/>
    <mergeCell ref="M298:M302"/>
    <mergeCell ref="C327:J327"/>
    <mergeCell ref="N327:V327"/>
    <mergeCell ref="C328:J328"/>
    <mergeCell ref="N328:V328"/>
    <mergeCell ref="B329:B333"/>
    <mergeCell ref="M329:M333"/>
    <mergeCell ref="B315:B319"/>
    <mergeCell ref="M315:M319"/>
    <mergeCell ref="B320:B324"/>
    <mergeCell ref="M320:M324"/>
    <mergeCell ref="C326:J326"/>
    <mergeCell ref="N326:V326"/>
    <mergeCell ref="B349:B353"/>
    <mergeCell ref="M349:M353"/>
    <mergeCell ref="M354:M357"/>
    <mergeCell ref="C359:J359"/>
    <mergeCell ref="N359:V359"/>
    <mergeCell ref="B360:B364"/>
    <mergeCell ref="M360:M364"/>
    <mergeCell ref="B334:B338"/>
    <mergeCell ref="M334:M338"/>
    <mergeCell ref="B339:B343"/>
    <mergeCell ref="M339:M343"/>
    <mergeCell ref="B344:B348"/>
    <mergeCell ref="M344:M348"/>
    <mergeCell ref="B383:B387"/>
    <mergeCell ref="M383:M387"/>
    <mergeCell ref="C389:J389"/>
    <mergeCell ref="N389:V389"/>
    <mergeCell ref="B390:B394"/>
    <mergeCell ref="M390:M394"/>
    <mergeCell ref="B365:B369"/>
    <mergeCell ref="M365:M369"/>
    <mergeCell ref="B370:B371"/>
    <mergeCell ref="M370:M371"/>
    <mergeCell ref="M374:M375"/>
    <mergeCell ref="B378:B382"/>
    <mergeCell ref="M378:M382"/>
    <mergeCell ref="N430:V430"/>
    <mergeCell ref="B404:B408"/>
    <mergeCell ref="M404:M408"/>
    <mergeCell ref="B409:B413"/>
    <mergeCell ref="M409:M413"/>
    <mergeCell ref="B414:B418"/>
    <mergeCell ref="M414:M418"/>
    <mergeCell ref="B395:B399"/>
    <mergeCell ref="M395:M399"/>
    <mergeCell ref="C402:J402"/>
    <mergeCell ref="N402:V402"/>
    <mergeCell ref="C403:J403"/>
    <mergeCell ref="N403:V403"/>
    <mergeCell ref="B431:B435"/>
    <mergeCell ref="M431:M435"/>
    <mergeCell ref="B436:B440"/>
    <mergeCell ref="M436:M440"/>
    <mergeCell ref="B441:B445"/>
    <mergeCell ref="M441:M445"/>
    <mergeCell ref="B419:B423"/>
    <mergeCell ref="M419:M423"/>
    <mergeCell ref="B424:B428"/>
    <mergeCell ref="M424:M428"/>
    <mergeCell ref="C430:J430"/>
    <mergeCell ref="M466:M470"/>
    <mergeCell ref="B471:B475"/>
    <mergeCell ref="M471:M475"/>
    <mergeCell ref="C477:J477"/>
    <mergeCell ref="N477:V477"/>
    <mergeCell ref="B478:B483"/>
    <mergeCell ref="M478:M483"/>
    <mergeCell ref="B446:B450"/>
    <mergeCell ref="M446:M450"/>
    <mergeCell ref="B451:B456"/>
    <mergeCell ref="M451:M455"/>
    <mergeCell ref="M456:M460"/>
    <mergeCell ref="M461:M465"/>
    <mergeCell ref="N505:V505"/>
    <mergeCell ref="B506:B510"/>
    <mergeCell ref="M506:M510"/>
    <mergeCell ref="B484:B488"/>
    <mergeCell ref="M484:M488"/>
    <mergeCell ref="B489:B493"/>
    <mergeCell ref="M489:M493"/>
    <mergeCell ref="B494:B498"/>
    <mergeCell ref="M494:M498"/>
    <mergeCell ref="B511:B515"/>
    <mergeCell ref="M511:M515"/>
    <mergeCell ref="B519:B530"/>
    <mergeCell ref="M519:M530"/>
    <mergeCell ref="B531:B534"/>
    <mergeCell ref="M531:M534"/>
    <mergeCell ref="B499:B503"/>
    <mergeCell ref="M499:M503"/>
    <mergeCell ref="C505:J505"/>
    <mergeCell ref="N569:O569"/>
    <mergeCell ref="C570:C571"/>
    <mergeCell ref="G570:G571"/>
    <mergeCell ref="N570:N571"/>
    <mergeCell ref="R570:R571"/>
    <mergeCell ref="T570:T571"/>
    <mergeCell ref="B535:B538"/>
    <mergeCell ref="M535:M538"/>
    <mergeCell ref="M540:M551"/>
    <mergeCell ref="M552:M555"/>
    <mergeCell ref="M556:M559"/>
    <mergeCell ref="C569:D569"/>
    <mergeCell ref="B581:B597"/>
    <mergeCell ref="M581:M597"/>
    <mergeCell ref="C589:D589"/>
    <mergeCell ref="N589:O589"/>
    <mergeCell ref="C592:D592"/>
    <mergeCell ref="N592:O592"/>
    <mergeCell ref="C577:H577"/>
    <mergeCell ref="N577:S577"/>
    <mergeCell ref="G578:G579"/>
    <mergeCell ref="H578:H579"/>
    <mergeCell ref="R578:R579"/>
    <mergeCell ref="S578:S579"/>
  </mergeCells>
  <conditionalFormatting sqref="D588">
    <cfRule type="cellIs" dxfId="108" priority="4" operator="lessThan">
      <formula>0.15</formula>
    </cfRule>
  </conditionalFormatting>
  <conditionalFormatting sqref="D591">
    <cfRule type="cellIs" dxfId="107" priority="3" operator="lessThan">
      <formula>0.05</formula>
    </cfRule>
  </conditionalFormatting>
  <conditionalFormatting sqref="O588">
    <cfRule type="cellIs" dxfId="106" priority="2" operator="lessThan">
      <formula>0.15</formula>
    </cfRule>
  </conditionalFormatting>
  <conditionalFormatting sqref="O591">
    <cfRule type="cellIs" dxfId="105" priority="1" operator="lessThan">
      <formula>0.05</formula>
    </cfRule>
  </conditionalFormatting>
  <dataValidations count="7">
    <dataValidation allowBlank="1" showErrorMessage="1" prompt="% Towards Gender Equality and Women's Empowerment Must be Higher than 15%_x000a_" sqref="D590:G590 O590:R590" xr:uid="{1524B810-1CA5-4790-B6C5-2BB03DB96AB9}"/>
    <dataValidation allowBlank="1" showInputMessage="1" showErrorMessage="1" prompt="Insert name of recipient agency here _x000a_" sqref="D13:G13 O13:R13" xr:uid="{AA171239-20E3-4E1F-AA28-239CED283F66}"/>
    <dataValidation allowBlank="1" showInputMessage="1" showErrorMessage="1" prompt="Insert *text* description of Activity here" sqref="C16 C37:C38 C105:C114 C259 C315 C264 C349 C390:C399 C404:C421 C506:C515 C431:C446 C64:C81 D334:D344 C360:C365 C478:C479 C482:C496 C119:C133 N404:N421 N16 N105:N114 N64:N81 N315 C369:C378 N259 N390:N399 N360:N365 N506:N515 N431:N446 N37:N38 N264 N354 N478:N479 N482:N496 N349 O334:O344 N369:N378 N119:N133" xr:uid="{65E4BBE1-B934-498A-BF40-518FFA160D9E}"/>
    <dataValidation allowBlank="1" showInputMessage="1" showErrorMessage="1" prompt="Insert *text* description of Output here" sqref="C15 C36 C63 C104 C118 C258 C314 C328 C359 C389 C403 C430 C477 C505 N15 N36 N63 N104 N118 N258 N314 N328 N359 N389 N403 N430 N477 N505" xr:uid="{64C82D56-A4C3-4D16-9171-6DBC29FF711F}"/>
    <dataValidation allowBlank="1" showInputMessage="1" showErrorMessage="1" prompt="Insert *text* description of Outcome here" sqref="C14:J14 C117:J117 C327:J327 C402:J402 N14:V14 N117:V117 N327:V327 N402:V402" xr:uid="{2453CD26-2B09-403A-AD03-A4C4D8FDC47A}"/>
    <dataValidation allowBlank="1" showInputMessage="1" showErrorMessage="1" prompt="M&amp;E Budget Cannot be Less than 5%_x000a_" sqref="D591:G591 O591:R591" xr:uid="{E70BF200-D32F-4578-AE73-A1BFEA939104}"/>
    <dataValidation allowBlank="1" showInputMessage="1" showErrorMessage="1" prompt="% Towards Gender Equality and Women's Empowerment Must be Higher than 15%_x000a_" sqref="D588:G588 O588:R588" xr:uid="{38A4FA66-C06E-4555-B2B8-9F6A27B62A88}"/>
  </dataValidations>
  <pageMargins left="0.7" right="0.7" top="0.75" bottom="0.75" header="0.3" footer="0.3"/>
  <pageSetup scale="74" orientation="landscape" r:id="rId1"/>
  <rowBreaks count="1" manualBreakCount="1">
    <brk id="2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W606"/>
  <sheetViews>
    <sheetView showGridLines="0" showZeros="0" tabSelected="1" topLeftCell="A11" zoomScale="70" zoomScaleNormal="70" workbookViewId="0">
      <pane xSplit="3" ySplit="3" topLeftCell="N587" activePane="bottomRight" state="frozen"/>
      <selection activeCell="A11" sqref="A11"/>
      <selection pane="topRight" activeCell="D11" sqref="D11"/>
      <selection pane="bottomLeft" activeCell="A14" sqref="A14"/>
      <selection pane="bottomRight" activeCell="R593" sqref="R593"/>
    </sheetView>
  </sheetViews>
  <sheetFormatPr baseColWidth="10" defaultColWidth="9.1796875" defaultRowHeight="14.5" x14ac:dyDescent="0.35"/>
  <cols>
    <col min="1" max="1" width="9.1796875" style="23" customWidth="1"/>
    <col min="2" max="2" width="37.453125" style="23" hidden="1" customWidth="1"/>
    <col min="3" max="3" width="45.81640625" style="23" hidden="1" customWidth="1"/>
    <col min="4" max="4" width="23" style="196" customWidth="1"/>
    <col min="5" max="5" width="23" style="23" customWidth="1"/>
    <col min="6" max="6" width="19.81640625" style="23" customWidth="1"/>
    <col min="7" max="7" width="21" style="23" customWidth="1"/>
    <col min="8" max="8" width="22.453125" style="23" customWidth="1"/>
    <col min="9" max="9" width="22.453125" style="119" customWidth="1"/>
    <col min="10" max="10" width="49.36328125" style="23" customWidth="1"/>
    <col min="11" max="11" width="11.81640625" style="131" customWidth="1"/>
    <col min="12" max="12" width="11.81640625" style="23" bestFit="1" customWidth="1"/>
    <col min="13" max="13" width="41.81640625" style="23" customWidth="1"/>
    <col min="14" max="14" width="54.54296875" style="23" customWidth="1"/>
    <col min="15" max="15" width="22.453125" style="23" customWidth="1"/>
    <col min="16" max="16" width="23.6328125" style="23" customWidth="1"/>
    <col min="17" max="17" width="23.453125" style="23" customWidth="1"/>
    <col min="18" max="18" width="17.453125" style="23" customWidth="1"/>
    <col min="19" max="19" width="26.54296875" style="23" customWidth="1"/>
    <col min="20" max="20" width="25.1796875" style="23" customWidth="1"/>
    <col min="21" max="21" width="39.54296875" style="23" customWidth="1"/>
    <col min="22" max="22" width="9.1796875" style="23" customWidth="1"/>
    <col min="23" max="23" width="33.26953125" style="23" customWidth="1"/>
    <col min="24" max="16384" width="9.1796875" style="23"/>
  </cols>
  <sheetData>
    <row r="1" spans="2:23" x14ac:dyDescent="0.35">
      <c r="K1" s="23"/>
    </row>
    <row r="2" spans="2:23" ht="47.25" customHeight="1" x14ac:dyDescent="1">
      <c r="B2" s="640" t="s">
        <v>54</v>
      </c>
      <c r="C2" s="640"/>
      <c r="D2" s="640"/>
      <c r="E2" s="640"/>
      <c r="F2" s="21"/>
      <c r="G2" s="21"/>
      <c r="H2" s="22"/>
      <c r="I2" s="121"/>
      <c r="J2" s="22"/>
      <c r="K2" s="23"/>
    </row>
    <row r="3" spans="2:23" ht="15.5" x14ac:dyDescent="0.35">
      <c r="B3" s="99"/>
      <c r="K3" s="23"/>
    </row>
    <row r="4" spans="2:23" ht="16" thickBot="1" x14ac:dyDescent="0.4">
      <c r="B4" s="25"/>
      <c r="K4" s="23"/>
    </row>
    <row r="5" spans="2:23" ht="36" x14ac:dyDescent="0.8">
      <c r="B5" s="83" t="s">
        <v>55</v>
      </c>
      <c r="C5" s="100"/>
      <c r="D5" s="197"/>
      <c r="E5" s="100"/>
      <c r="F5" s="100"/>
      <c r="G5" s="100"/>
      <c r="H5" s="100"/>
      <c r="I5" s="122"/>
      <c r="J5" s="100"/>
      <c r="K5" s="100"/>
      <c r="L5" s="100"/>
      <c r="M5" s="101"/>
    </row>
    <row r="6" spans="2:23" ht="189" customHeight="1" thickBot="1" x14ac:dyDescent="0.55000000000000004">
      <c r="B6" s="641" t="s">
        <v>56</v>
      </c>
      <c r="C6" s="642"/>
      <c r="D6" s="642"/>
      <c r="E6" s="642"/>
      <c r="F6" s="642"/>
      <c r="G6" s="642"/>
      <c r="H6" s="642"/>
      <c r="I6" s="643"/>
      <c r="J6" s="642"/>
      <c r="K6" s="642"/>
      <c r="L6" s="642"/>
      <c r="M6" s="644"/>
    </row>
    <row r="7" spans="2:23" ht="15.75" customHeight="1" x14ac:dyDescent="0.35">
      <c r="B7" s="26"/>
      <c r="K7" s="23"/>
    </row>
    <row r="8" spans="2:23" ht="15.75" customHeight="1" thickBot="1" x14ac:dyDescent="0.4">
      <c r="K8" s="23"/>
    </row>
    <row r="9" spans="2:23" ht="27" customHeight="1" thickBot="1" x14ac:dyDescent="0.65">
      <c r="B9" s="645" t="s">
        <v>57</v>
      </c>
      <c r="C9" s="646"/>
      <c r="D9" s="646"/>
      <c r="E9" s="646"/>
      <c r="F9" s="646"/>
      <c r="G9" s="646"/>
      <c r="H9" s="647"/>
      <c r="I9" s="123"/>
      <c r="K9" s="23"/>
    </row>
    <row r="10" spans="2:23" x14ac:dyDescent="0.35">
      <c r="K10" s="23"/>
    </row>
    <row r="11" spans="2:23" ht="25.5" customHeight="1" x14ac:dyDescent="0.7">
      <c r="B11" s="667" t="s">
        <v>412</v>
      </c>
      <c r="C11" s="667"/>
      <c r="D11" s="667"/>
      <c r="E11" s="667"/>
      <c r="F11" s="667"/>
      <c r="G11" s="667"/>
      <c r="H11" s="667"/>
      <c r="I11" s="667"/>
      <c r="J11" s="667"/>
      <c r="K11" s="667"/>
      <c r="L11" s="353"/>
      <c r="M11" s="668" t="s">
        <v>413</v>
      </c>
      <c r="N11" s="668"/>
      <c r="O11" s="668"/>
      <c r="P11" s="668"/>
      <c r="Q11" s="668"/>
      <c r="R11" s="668"/>
      <c r="S11" s="668"/>
      <c r="T11" s="668"/>
      <c r="U11" s="668"/>
      <c r="V11" s="668"/>
      <c r="W11" s="668"/>
    </row>
    <row r="12" spans="2:23" ht="135" customHeight="1" x14ac:dyDescent="0.35">
      <c r="B12" s="14" t="s">
        <v>58</v>
      </c>
      <c r="C12" s="14" t="s">
        <v>59</v>
      </c>
      <c r="D12" s="199" t="s">
        <v>60</v>
      </c>
      <c r="E12" s="14" t="s">
        <v>61</v>
      </c>
      <c r="F12" s="14" t="s">
        <v>62</v>
      </c>
      <c r="G12" s="14" t="s">
        <v>63</v>
      </c>
      <c r="H12" s="14" t="s">
        <v>64</v>
      </c>
      <c r="I12" s="14" t="s">
        <v>65</v>
      </c>
      <c r="J12" s="14" t="s">
        <v>66</v>
      </c>
      <c r="K12" s="164" t="s">
        <v>67</v>
      </c>
      <c r="L12" s="353"/>
      <c r="M12" s="14" t="s">
        <v>58</v>
      </c>
      <c r="N12" s="14" t="s">
        <v>59</v>
      </c>
      <c r="O12" s="199" t="s">
        <v>60</v>
      </c>
      <c r="P12" s="14" t="s">
        <v>61</v>
      </c>
      <c r="Q12" s="14" t="s">
        <v>62</v>
      </c>
      <c r="R12" s="14" t="s">
        <v>63</v>
      </c>
      <c r="S12" s="14" t="s">
        <v>64</v>
      </c>
      <c r="T12" s="14" t="s">
        <v>65</v>
      </c>
      <c r="U12" s="14" t="s">
        <v>66</v>
      </c>
      <c r="V12" s="164" t="s">
        <v>67</v>
      </c>
    </row>
    <row r="13" spans="2:23" ht="18.75" customHeight="1" x14ac:dyDescent="0.35">
      <c r="B13" s="247"/>
      <c r="C13" s="247"/>
      <c r="D13" s="200" t="s">
        <v>7</v>
      </c>
      <c r="E13" s="52" t="s">
        <v>8</v>
      </c>
      <c r="F13" s="52"/>
      <c r="G13" s="52"/>
      <c r="H13" s="247"/>
      <c r="I13" s="248"/>
      <c r="J13" s="247"/>
      <c r="K13" s="247"/>
      <c r="L13" s="353"/>
      <c r="M13" s="247"/>
      <c r="N13" s="247"/>
      <c r="O13" s="200" t="s">
        <v>7</v>
      </c>
      <c r="P13" s="52" t="s">
        <v>8</v>
      </c>
      <c r="Q13" s="52"/>
      <c r="R13" s="52"/>
      <c r="S13" s="247"/>
      <c r="T13" s="248"/>
      <c r="U13" s="247"/>
      <c r="V13" s="247"/>
    </row>
    <row r="14" spans="2:23" ht="15.65" customHeight="1" x14ac:dyDescent="0.35">
      <c r="B14" s="72" t="s">
        <v>68</v>
      </c>
      <c r="C14" s="509" t="s">
        <v>69</v>
      </c>
      <c r="D14" s="507"/>
      <c r="E14" s="507"/>
      <c r="F14" s="507"/>
      <c r="G14" s="507"/>
      <c r="H14" s="507"/>
      <c r="I14" s="508"/>
      <c r="J14" s="507"/>
      <c r="K14" s="23">
        <v>0</v>
      </c>
      <c r="L14" s="353"/>
      <c r="M14" s="72" t="s">
        <v>68</v>
      </c>
      <c r="N14" s="648" t="s">
        <v>69</v>
      </c>
      <c r="O14" s="648"/>
      <c r="P14" s="648"/>
      <c r="Q14" s="648"/>
      <c r="R14" s="648"/>
      <c r="S14" s="648"/>
      <c r="T14" s="635"/>
      <c r="U14" s="648"/>
      <c r="V14" s="23">
        <v>0</v>
      </c>
    </row>
    <row r="15" spans="2:23" ht="29.15" customHeight="1" x14ac:dyDescent="0.35">
      <c r="B15" s="72" t="s">
        <v>70</v>
      </c>
      <c r="C15" s="649" t="s">
        <v>71</v>
      </c>
      <c r="D15" s="649"/>
      <c r="E15" s="649"/>
      <c r="F15" s="649"/>
      <c r="G15" s="649"/>
      <c r="H15" s="649"/>
      <c r="I15" s="633"/>
      <c r="J15" s="649"/>
      <c r="K15" s="23"/>
      <c r="L15" s="353"/>
      <c r="M15" s="72" t="s">
        <v>70</v>
      </c>
      <c r="N15" s="649" t="s">
        <v>71</v>
      </c>
      <c r="O15" s="649"/>
      <c r="P15" s="649"/>
      <c r="Q15" s="649"/>
      <c r="R15" s="649"/>
      <c r="S15" s="649"/>
      <c r="T15" s="633"/>
      <c r="U15" s="649"/>
    </row>
    <row r="16" spans="2:23" ht="15.5" x14ac:dyDescent="0.35">
      <c r="B16" s="622" t="s">
        <v>72</v>
      </c>
      <c r="C16" s="166" t="s">
        <v>73</v>
      </c>
      <c r="D16" s="202">
        <v>30000</v>
      </c>
      <c r="E16" s="177"/>
      <c r="F16" s="177"/>
      <c r="G16" s="248">
        <f>D16+E16+F16</f>
        <v>30000</v>
      </c>
      <c r="H16" s="171">
        <v>0.4</v>
      </c>
      <c r="I16" s="177"/>
      <c r="J16" s="167" t="s">
        <v>74</v>
      </c>
      <c r="K16" s="181">
        <v>6</v>
      </c>
      <c r="L16" s="353"/>
      <c r="M16" s="622" t="s">
        <v>72</v>
      </c>
      <c r="N16" s="166" t="s">
        <v>73</v>
      </c>
      <c r="O16" s="202">
        <v>30000</v>
      </c>
      <c r="P16" s="177"/>
      <c r="Q16" s="177"/>
      <c r="R16" s="248">
        <f>O16+P16+Q16</f>
        <v>30000</v>
      </c>
      <c r="S16" s="171">
        <v>0.4</v>
      </c>
      <c r="T16" s="527">
        <v>30000</v>
      </c>
      <c r="U16" s="167" t="s">
        <v>74</v>
      </c>
      <c r="V16" s="181">
        <v>6</v>
      </c>
    </row>
    <row r="17" spans="2:22" ht="31" x14ac:dyDescent="0.35">
      <c r="B17" s="623"/>
      <c r="C17" s="166" t="s">
        <v>75</v>
      </c>
      <c r="D17" s="202">
        <v>5000</v>
      </c>
      <c r="E17" s="177"/>
      <c r="F17" s="177"/>
      <c r="G17" s="248">
        <f t="shared" ref="G17:G34" si="0">D17+E17+F17</f>
        <v>5000</v>
      </c>
      <c r="H17" s="171">
        <v>0</v>
      </c>
      <c r="I17" s="177"/>
      <c r="J17" s="167" t="s">
        <v>76</v>
      </c>
      <c r="K17" s="181">
        <v>6</v>
      </c>
      <c r="L17" s="353"/>
      <c r="M17" s="623"/>
      <c r="N17" s="166" t="s">
        <v>75</v>
      </c>
      <c r="O17" s="202">
        <v>5000</v>
      </c>
      <c r="P17" s="177"/>
      <c r="Q17" s="177"/>
      <c r="R17" s="248">
        <f t="shared" ref="R17:R20" si="1">O17+P17+Q17</f>
        <v>5000</v>
      </c>
      <c r="S17" s="171">
        <v>0</v>
      </c>
      <c r="T17" s="527">
        <v>5000</v>
      </c>
      <c r="U17" s="167" t="s">
        <v>76</v>
      </c>
      <c r="V17" s="181">
        <v>6</v>
      </c>
    </row>
    <row r="18" spans="2:22" ht="35.15" customHeight="1" x14ac:dyDescent="0.35">
      <c r="B18" s="623"/>
      <c r="C18" s="166" t="s">
        <v>77</v>
      </c>
      <c r="D18" s="202">
        <v>10000</v>
      </c>
      <c r="E18" s="177"/>
      <c r="F18" s="177"/>
      <c r="G18" s="248">
        <f t="shared" si="0"/>
        <v>10000</v>
      </c>
      <c r="H18" s="171">
        <v>0.4</v>
      </c>
      <c r="I18" s="177"/>
      <c r="J18" s="167" t="s">
        <v>78</v>
      </c>
      <c r="K18" s="181">
        <v>6</v>
      </c>
      <c r="L18" s="353"/>
      <c r="M18" s="623"/>
      <c r="N18" s="166" t="s">
        <v>77</v>
      </c>
      <c r="O18" s="202">
        <v>10000</v>
      </c>
      <c r="P18" s="177"/>
      <c r="Q18" s="177"/>
      <c r="R18" s="248">
        <f t="shared" si="1"/>
        <v>10000</v>
      </c>
      <c r="S18" s="171">
        <v>0.4</v>
      </c>
      <c r="T18" s="527">
        <v>10000</v>
      </c>
      <c r="U18" s="167" t="s">
        <v>78</v>
      </c>
      <c r="V18" s="181">
        <v>6</v>
      </c>
    </row>
    <row r="19" spans="2:22" ht="31" x14ac:dyDescent="0.35">
      <c r="B19" s="623"/>
      <c r="C19" s="166" t="s">
        <v>79</v>
      </c>
      <c r="D19" s="202">
        <v>5000</v>
      </c>
      <c r="E19" s="177"/>
      <c r="F19" s="177"/>
      <c r="G19" s="248">
        <f t="shared" si="0"/>
        <v>5000</v>
      </c>
      <c r="H19" s="171">
        <v>0.3</v>
      </c>
      <c r="I19" s="177"/>
      <c r="J19" s="167" t="s">
        <v>80</v>
      </c>
      <c r="K19" s="181">
        <v>6</v>
      </c>
      <c r="L19" s="353"/>
      <c r="M19" s="623"/>
      <c r="N19" s="166" t="s">
        <v>79</v>
      </c>
      <c r="O19" s="202">
        <v>5000</v>
      </c>
      <c r="P19" s="177"/>
      <c r="Q19" s="177"/>
      <c r="R19" s="248">
        <f t="shared" si="1"/>
        <v>5000</v>
      </c>
      <c r="S19" s="171">
        <v>0.3</v>
      </c>
      <c r="T19" s="527">
        <v>5000</v>
      </c>
      <c r="U19" s="167" t="s">
        <v>80</v>
      </c>
      <c r="V19" s="181">
        <v>6</v>
      </c>
    </row>
    <row r="20" spans="2:22" ht="31" x14ac:dyDescent="0.35">
      <c r="B20" s="623"/>
      <c r="C20" s="166" t="s">
        <v>81</v>
      </c>
      <c r="D20" s="202">
        <v>10000</v>
      </c>
      <c r="E20" s="177"/>
      <c r="F20" s="177"/>
      <c r="G20" s="248">
        <f t="shared" si="0"/>
        <v>10000</v>
      </c>
      <c r="H20" s="171">
        <v>0.4</v>
      </c>
      <c r="I20" s="177"/>
      <c r="J20" s="167" t="s">
        <v>82</v>
      </c>
      <c r="K20" s="181">
        <v>6</v>
      </c>
      <c r="L20" s="353"/>
      <c r="M20" s="623"/>
      <c r="N20" s="166" t="s">
        <v>81</v>
      </c>
      <c r="O20" s="202">
        <v>10000</v>
      </c>
      <c r="P20" s="177"/>
      <c r="Q20" s="177"/>
      <c r="R20" s="248">
        <f t="shared" si="1"/>
        <v>10000</v>
      </c>
      <c r="S20" s="171">
        <v>0.4</v>
      </c>
      <c r="T20" s="527">
        <v>10000</v>
      </c>
      <c r="U20" s="167" t="s">
        <v>82</v>
      </c>
      <c r="V20" s="181">
        <v>6</v>
      </c>
    </row>
    <row r="21" spans="2:22" ht="15.5" x14ac:dyDescent="0.35">
      <c r="B21" s="624"/>
      <c r="C21" s="166"/>
      <c r="D21" s="202"/>
      <c r="E21" s="177"/>
      <c r="F21" s="177"/>
      <c r="G21" s="248"/>
      <c r="H21" s="171"/>
      <c r="I21" s="177"/>
      <c r="J21" s="167"/>
      <c r="K21" s="181"/>
      <c r="L21" s="353"/>
      <c r="M21" s="624"/>
      <c r="N21" s="166"/>
      <c r="O21" s="202"/>
      <c r="P21" s="177"/>
      <c r="Q21" s="177"/>
      <c r="R21" s="248"/>
      <c r="S21" s="171"/>
      <c r="T21" s="527"/>
      <c r="U21" s="167"/>
      <c r="V21" s="181"/>
    </row>
    <row r="22" spans="2:22" ht="31" x14ac:dyDescent="0.35">
      <c r="B22" s="622" t="s">
        <v>83</v>
      </c>
      <c r="C22" s="166" t="s">
        <v>84</v>
      </c>
      <c r="D22" s="202">
        <v>30000</v>
      </c>
      <c r="E22" s="177"/>
      <c r="F22" s="177"/>
      <c r="G22" s="248">
        <f t="shared" si="0"/>
        <v>30000</v>
      </c>
      <c r="H22" s="171">
        <v>0.4</v>
      </c>
      <c r="I22" s="177"/>
      <c r="J22" s="167" t="s">
        <v>85</v>
      </c>
      <c r="K22" s="181">
        <v>6</v>
      </c>
      <c r="L22" s="353"/>
      <c r="M22" s="622" t="s">
        <v>83</v>
      </c>
      <c r="N22" s="166" t="s">
        <v>84</v>
      </c>
      <c r="O22" s="202">
        <v>30000</v>
      </c>
      <c r="P22" s="177"/>
      <c r="Q22" s="177"/>
      <c r="R22" s="248">
        <f t="shared" ref="R22:R29" si="2">O22+P22+Q22</f>
        <v>30000</v>
      </c>
      <c r="S22" s="171">
        <v>0.4</v>
      </c>
      <c r="T22" s="527">
        <v>30000</v>
      </c>
      <c r="U22" s="167" t="s">
        <v>85</v>
      </c>
      <c r="V22" s="181">
        <v>6</v>
      </c>
    </row>
    <row r="23" spans="2:22" ht="31" x14ac:dyDescent="0.35">
      <c r="B23" s="623"/>
      <c r="C23" s="166" t="s">
        <v>86</v>
      </c>
      <c r="D23" s="202">
        <v>15000</v>
      </c>
      <c r="E23" s="177"/>
      <c r="F23" s="177"/>
      <c r="G23" s="248">
        <f t="shared" si="0"/>
        <v>15000</v>
      </c>
      <c r="H23" s="171">
        <v>0.3</v>
      </c>
      <c r="I23" s="177"/>
      <c r="J23" s="167" t="s">
        <v>87</v>
      </c>
      <c r="K23" s="181">
        <v>6</v>
      </c>
      <c r="L23" s="353"/>
      <c r="M23" s="623"/>
      <c r="N23" s="166" t="s">
        <v>86</v>
      </c>
      <c r="O23" s="202">
        <v>15000</v>
      </c>
      <c r="P23" s="177"/>
      <c r="Q23" s="177"/>
      <c r="R23" s="248">
        <f t="shared" si="2"/>
        <v>15000</v>
      </c>
      <c r="S23" s="171">
        <v>0.3</v>
      </c>
      <c r="T23" s="527">
        <v>15000</v>
      </c>
      <c r="U23" s="167" t="s">
        <v>87</v>
      </c>
      <c r="V23" s="181">
        <v>6</v>
      </c>
    </row>
    <row r="24" spans="2:22" ht="31" x14ac:dyDescent="0.35">
      <c r="B24" s="623"/>
      <c r="C24" s="166" t="s">
        <v>88</v>
      </c>
      <c r="D24" s="202">
        <v>20000</v>
      </c>
      <c r="E24" s="177"/>
      <c r="F24" s="177"/>
      <c r="G24" s="248">
        <f t="shared" si="0"/>
        <v>20000</v>
      </c>
      <c r="H24" s="171">
        <v>0.4</v>
      </c>
      <c r="I24" s="177"/>
      <c r="J24" s="167" t="s">
        <v>89</v>
      </c>
      <c r="K24" s="181">
        <v>6</v>
      </c>
      <c r="L24" s="353"/>
      <c r="M24" s="623"/>
      <c r="N24" s="166" t="s">
        <v>88</v>
      </c>
      <c r="O24" s="202">
        <v>20000</v>
      </c>
      <c r="P24" s="177"/>
      <c r="Q24" s="177"/>
      <c r="R24" s="248">
        <f t="shared" si="2"/>
        <v>20000</v>
      </c>
      <c r="S24" s="171">
        <v>0.4</v>
      </c>
      <c r="T24" s="527">
        <v>20000</v>
      </c>
      <c r="U24" s="167" t="s">
        <v>89</v>
      </c>
      <c r="V24" s="181">
        <v>6</v>
      </c>
    </row>
    <row r="25" spans="2:22" ht="31" x14ac:dyDescent="0.35">
      <c r="B25" s="624"/>
      <c r="C25" s="166" t="s">
        <v>90</v>
      </c>
      <c r="D25" s="202">
        <v>8000</v>
      </c>
      <c r="E25" s="177"/>
      <c r="F25" s="177"/>
      <c r="G25" s="248">
        <f t="shared" si="0"/>
        <v>8000</v>
      </c>
      <c r="H25" s="171">
        <v>0.4</v>
      </c>
      <c r="I25" s="177"/>
      <c r="J25" s="167" t="s">
        <v>91</v>
      </c>
      <c r="K25" s="181">
        <v>6</v>
      </c>
      <c r="L25" s="353"/>
      <c r="M25" s="624"/>
      <c r="N25" s="166" t="s">
        <v>90</v>
      </c>
      <c r="O25" s="202">
        <v>8000</v>
      </c>
      <c r="P25" s="177"/>
      <c r="Q25" s="177"/>
      <c r="R25" s="248">
        <f t="shared" si="2"/>
        <v>8000</v>
      </c>
      <c r="S25" s="171">
        <v>0.4</v>
      </c>
      <c r="T25" s="527">
        <v>8000</v>
      </c>
      <c r="U25" s="167" t="s">
        <v>91</v>
      </c>
      <c r="V25" s="181">
        <v>6</v>
      </c>
    </row>
    <row r="26" spans="2:22" ht="31" x14ac:dyDescent="0.35">
      <c r="B26" s="622" t="s">
        <v>92</v>
      </c>
      <c r="C26" s="166" t="s">
        <v>93</v>
      </c>
      <c r="D26" s="202">
        <v>20000</v>
      </c>
      <c r="E26" s="177"/>
      <c r="F26" s="177"/>
      <c r="G26" s="248">
        <f t="shared" si="0"/>
        <v>20000</v>
      </c>
      <c r="H26" s="171">
        <v>0.3</v>
      </c>
      <c r="I26" s="177"/>
      <c r="J26" s="167" t="s">
        <v>94</v>
      </c>
      <c r="K26" s="181">
        <v>6</v>
      </c>
      <c r="L26" s="353"/>
      <c r="M26" s="622" t="s">
        <v>92</v>
      </c>
      <c r="N26" s="166" t="s">
        <v>93</v>
      </c>
      <c r="O26" s="202">
        <v>20000</v>
      </c>
      <c r="P26" s="177"/>
      <c r="Q26" s="177"/>
      <c r="R26" s="248">
        <f t="shared" si="2"/>
        <v>20000</v>
      </c>
      <c r="S26" s="171">
        <v>0.3</v>
      </c>
      <c r="T26" s="527">
        <v>20000</v>
      </c>
      <c r="U26" s="167" t="s">
        <v>94</v>
      </c>
      <c r="V26" s="181">
        <v>6</v>
      </c>
    </row>
    <row r="27" spans="2:22" ht="31" x14ac:dyDescent="0.35">
      <c r="B27" s="623"/>
      <c r="C27" s="166" t="s">
        <v>95</v>
      </c>
      <c r="D27" s="202">
        <v>4000</v>
      </c>
      <c r="E27" s="177"/>
      <c r="F27" s="177"/>
      <c r="G27" s="248">
        <f t="shared" si="0"/>
        <v>4000</v>
      </c>
      <c r="H27" s="171">
        <v>0.3</v>
      </c>
      <c r="I27" s="177"/>
      <c r="J27" s="167" t="s">
        <v>96</v>
      </c>
      <c r="K27" s="181">
        <v>6</v>
      </c>
      <c r="L27" s="353"/>
      <c r="M27" s="623"/>
      <c r="N27" s="166" t="s">
        <v>95</v>
      </c>
      <c r="O27" s="202">
        <v>4000</v>
      </c>
      <c r="P27" s="177"/>
      <c r="Q27" s="177"/>
      <c r="R27" s="248">
        <f t="shared" si="2"/>
        <v>4000</v>
      </c>
      <c r="S27" s="171">
        <v>0.3</v>
      </c>
      <c r="T27" s="527">
        <v>4000</v>
      </c>
      <c r="U27" s="167" t="s">
        <v>96</v>
      </c>
      <c r="V27" s="181">
        <v>6</v>
      </c>
    </row>
    <row r="28" spans="2:22" ht="31" x14ac:dyDescent="0.35">
      <c r="B28" s="623"/>
      <c r="C28" s="166" t="s">
        <v>97</v>
      </c>
      <c r="D28" s="202">
        <v>5000</v>
      </c>
      <c r="E28" s="177"/>
      <c r="F28" s="177"/>
      <c r="G28" s="248">
        <f t="shared" si="0"/>
        <v>5000</v>
      </c>
      <c r="H28" s="171">
        <v>0.4</v>
      </c>
      <c r="I28" s="177"/>
      <c r="J28" s="167" t="s">
        <v>98</v>
      </c>
      <c r="K28" s="181">
        <v>6</v>
      </c>
      <c r="L28" s="353"/>
      <c r="M28" s="623"/>
      <c r="N28" s="166" t="s">
        <v>97</v>
      </c>
      <c r="O28" s="202">
        <v>5000</v>
      </c>
      <c r="P28" s="177"/>
      <c r="Q28" s="177"/>
      <c r="R28" s="248">
        <f t="shared" si="2"/>
        <v>5000</v>
      </c>
      <c r="S28" s="171">
        <v>0.4</v>
      </c>
      <c r="T28" s="527">
        <v>5000</v>
      </c>
      <c r="U28" s="167" t="s">
        <v>98</v>
      </c>
      <c r="V28" s="181">
        <v>6</v>
      </c>
    </row>
    <row r="29" spans="2:22" ht="15.5" x14ac:dyDescent="0.35">
      <c r="B29" s="624"/>
      <c r="C29" s="166"/>
      <c r="D29" s="202"/>
      <c r="E29" s="177"/>
      <c r="F29" s="177"/>
      <c r="G29" s="248">
        <f t="shared" si="0"/>
        <v>0</v>
      </c>
      <c r="H29" s="171"/>
      <c r="I29" s="177"/>
      <c r="J29" s="167"/>
      <c r="K29" s="181"/>
      <c r="L29" s="353"/>
      <c r="M29" s="624"/>
      <c r="N29" s="166"/>
      <c r="O29" s="202"/>
      <c r="P29" s="177"/>
      <c r="Q29" s="177"/>
      <c r="R29" s="248">
        <f t="shared" si="2"/>
        <v>0</v>
      </c>
      <c r="S29" s="171"/>
      <c r="T29" s="177"/>
      <c r="U29" s="167"/>
      <c r="V29" s="181"/>
    </row>
    <row r="30" spans="2:22" ht="15.5" x14ac:dyDescent="0.35">
      <c r="B30" s="622" t="s">
        <v>99</v>
      </c>
      <c r="C30" s="166"/>
      <c r="D30" s="202"/>
      <c r="E30" s="177"/>
      <c r="F30" s="177"/>
      <c r="G30" s="248">
        <f t="shared" si="0"/>
        <v>0</v>
      </c>
      <c r="H30" s="171"/>
      <c r="I30" s="177"/>
      <c r="J30" s="167"/>
      <c r="K30" s="249"/>
      <c r="L30" s="353"/>
      <c r="M30" s="622" t="s">
        <v>99</v>
      </c>
      <c r="N30" s="166"/>
      <c r="O30" s="202"/>
      <c r="P30" s="177"/>
      <c r="Q30" s="177"/>
      <c r="R30" s="248">
        <f t="shared" ref="R30:R34" si="3">O30+P30+Q30</f>
        <v>0</v>
      </c>
      <c r="S30" s="171"/>
      <c r="T30" s="177"/>
      <c r="U30" s="167"/>
      <c r="V30" s="249"/>
    </row>
    <row r="31" spans="2:22" ht="15.5" x14ac:dyDescent="0.35">
      <c r="B31" s="623"/>
      <c r="C31" s="166"/>
      <c r="D31" s="202"/>
      <c r="E31" s="177"/>
      <c r="F31" s="177"/>
      <c r="G31" s="248">
        <f t="shared" si="0"/>
        <v>0</v>
      </c>
      <c r="H31" s="171"/>
      <c r="I31" s="177"/>
      <c r="J31" s="167"/>
      <c r="K31" s="249"/>
      <c r="L31" s="353"/>
      <c r="M31" s="623"/>
      <c r="N31" s="166"/>
      <c r="O31" s="202"/>
      <c r="P31" s="177"/>
      <c r="Q31" s="177"/>
      <c r="R31" s="248">
        <f t="shared" si="3"/>
        <v>0</v>
      </c>
      <c r="S31" s="171"/>
      <c r="T31" s="177"/>
      <c r="U31" s="167"/>
      <c r="V31" s="249"/>
    </row>
    <row r="32" spans="2:22" ht="15.5" x14ac:dyDescent="0.35">
      <c r="B32" s="623"/>
      <c r="C32" s="166"/>
      <c r="D32" s="202"/>
      <c r="E32" s="177"/>
      <c r="F32" s="177"/>
      <c r="G32" s="248">
        <f t="shared" si="0"/>
        <v>0</v>
      </c>
      <c r="H32" s="171"/>
      <c r="I32" s="177"/>
      <c r="J32" s="167"/>
      <c r="K32" s="249"/>
      <c r="L32" s="353"/>
      <c r="M32" s="623"/>
      <c r="N32" s="166"/>
      <c r="O32" s="202"/>
      <c r="P32" s="177"/>
      <c r="Q32" s="177"/>
      <c r="R32" s="248">
        <f t="shared" si="3"/>
        <v>0</v>
      </c>
      <c r="S32" s="171"/>
      <c r="T32" s="177"/>
      <c r="U32" s="167"/>
      <c r="V32" s="249"/>
    </row>
    <row r="33" spans="1:22" ht="15.5" x14ac:dyDescent="0.35">
      <c r="B33" s="623"/>
      <c r="C33" s="166"/>
      <c r="D33" s="202"/>
      <c r="E33" s="177"/>
      <c r="F33" s="177"/>
      <c r="G33" s="248">
        <f t="shared" si="0"/>
        <v>0</v>
      </c>
      <c r="H33" s="171"/>
      <c r="I33" s="177"/>
      <c r="J33" s="167"/>
      <c r="K33" s="249"/>
      <c r="L33" s="353"/>
      <c r="M33" s="623"/>
      <c r="N33" s="166"/>
      <c r="O33" s="202"/>
      <c r="P33" s="177"/>
      <c r="Q33" s="177"/>
      <c r="R33" s="248">
        <f t="shared" si="3"/>
        <v>0</v>
      </c>
      <c r="S33" s="171"/>
      <c r="T33" s="177"/>
      <c r="U33" s="167"/>
      <c r="V33" s="249"/>
    </row>
    <row r="34" spans="1:22" ht="15.5" x14ac:dyDescent="0.35">
      <c r="B34" s="624"/>
      <c r="C34" s="166"/>
      <c r="D34" s="202"/>
      <c r="E34" s="177"/>
      <c r="F34" s="177"/>
      <c r="G34" s="248">
        <f t="shared" si="0"/>
        <v>0</v>
      </c>
      <c r="H34" s="171"/>
      <c r="I34" s="177"/>
      <c r="J34" s="167"/>
      <c r="K34" s="249"/>
      <c r="L34" s="353"/>
      <c r="M34" s="624"/>
      <c r="N34" s="166"/>
      <c r="O34" s="202"/>
      <c r="P34" s="177"/>
      <c r="Q34" s="177"/>
      <c r="R34" s="248">
        <f t="shared" si="3"/>
        <v>0</v>
      </c>
      <c r="S34" s="171"/>
      <c r="T34" s="177"/>
      <c r="U34" s="167"/>
      <c r="V34" s="249"/>
    </row>
    <row r="35" spans="1:22" ht="15.5" x14ac:dyDescent="0.35">
      <c r="A35" s="24"/>
      <c r="C35" s="73" t="s">
        <v>100</v>
      </c>
      <c r="D35" s="201">
        <f>SUM(D16:D34)</f>
        <v>162000</v>
      </c>
      <c r="E35" s="10">
        <f>SUM(E16:E34)</f>
        <v>0</v>
      </c>
      <c r="F35" s="10">
        <f>SUM(F16:F34)</f>
        <v>0</v>
      </c>
      <c r="G35" s="10">
        <f>SUM(G16:G34)</f>
        <v>162000</v>
      </c>
      <c r="H35" s="10">
        <f>(H16*G16)+(H17*G17)+(H18*G18)+(H19*G19)+(H20*G20)+(H21*G21)+(H22*G22)+(H23*G23)+(H24*G24)+(H25*G25)+(H26*G26)+(H27*G27)+(H28*G28)+(H29*G29)+(H30*G30)+(H31*G31)+(H32*G32)+(H33*G33)+(H34*G34)</f>
        <v>58400</v>
      </c>
      <c r="I35" s="10">
        <f>SUM(I16:I34)</f>
        <v>0</v>
      </c>
      <c r="J35" s="170"/>
      <c r="K35" s="133"/>
      <c r="L35" s="353"/>
      <c r="N35" s="73" t="s">
        <v>100</v>
      </c>
      <c r="O35" s="201">
        <f>SUM(O16:O34)</f>
        <v>162000</v>
      </c>
      <c r="P35" s="10">
        <f>SUM(P16:P34)</f>
        <v>0</v>
      </c>
      <c r="Q35" s="10">
        <f>SUM(Q16:Q34)</f>
        <v>0</v>
      </c>
      <c r="R35" s="10">
        <f>SUM(R16:R34)</f>
        <v>162000</v>
      </c>
      <c r="S35" s="10">
        <f>(S16*R16)+(S17*R17)+(S18*R18)+(S19*R19)+(S20*R20)+(S21*R21)+(S22*R22)+(S23*R23)+(S24*R24)+(S25*R25)+(S26*R26)+(S27*R27)+(S28*R28)+(S29*R29)+(S30*R30)+(S31*R31)+(S32*R32)+(S33*R33)+(S34*R34)</f>
        <v>58400</v>
      </c>
      <c r="T35" s="10">
        <f>SUM(T16:T34)</f>
        <v>162000</v>
      </c>
      <c r="U35" s="170"/>
      <c r="V35" s="133"/>
    </row>
    <row r="36" spans="1:22" ht="39" customHeight="1" x14ac:dyDescent="0.35">
      <c r="A36" s="24"/>
      <c r="B36" s="72" t="s">
        <v>101</v>
      </c>
      <c r="C36" s="630" t="s">
        <v>102</v>
      </c>
      <c r="D36" s="630"/>
      <c r="E36" s="630"/>
      <c r="F36" s="630"/>
      <c r="G36" s="630"/>
      <c r="H36" s="630"/>
      <c r="I36" s="631"/>
      <c r="J36" s="630"/>
      <c r="K36" s="134"/>
      <c r="L36" s="353"/>
      <c r="M36" s="72" t="s">
        <v>101</v>
      </c>
      <c r="N36" s="630" t="s">
        <v>102</v>
      </c>
      <c r="O36" s="630"/>
      <c r="P36" s="630"/>
      <c r="Q36" s="630"/>
      <c r="R36" s="630"/>
      <c r="S36" s="630"/>
      <c r="T36" s="631"/>
      <c r="U36" s="630"/>
      <c r="V36" s="134"/>
    </row>
    <row r="37" spans="1:22" ht="33" customHeight="1" x14ac:dyDescent="0.35">
      <c r="A37" s="24"/>
      <c r="B37" s="622" t="s">
        <v>103</v>
      </c>
      <c r="C37" s="166" t="s">
        <v>104</v>
      </c>
      <c r="D37" s="202">
        <v>15000</v>
      </c>
      <c r="E37" s="177"/>
      <c r="F37" s="177"/>
      <c r="G37" s="248">
        <f t="shared" ref="G37:G61" si="4">D37+E37+F37</f>
        <v>15000</v>
      </c>
      <c r="H37" s="171">
        <v>0.4</v>
      </c>
      <c r="I37" s="177"/>
      <c r="J37" s="167" t="s">
        <v>105</v>
      </c>
      <c r="K37" s="181">
        <v>6</v>
      </c>
      <c r="L37" s="353"/>
      <c r="M37" s="622" t="s">
        <v>103</v>
      </c>
      <c r="N37" s="166" t="s">
        <v>104</v>
      </c>
      <c r="O37" s="202">
        <v>15000</v>
      </c>
      <c r="P37" s="177"/>
      <c r="Q37" s="177"/>
      <c r="R37" s="248">
        <f t="shared" ref="R37:R61" si="5">O37+P37+Q37</f>
        <v>15000</v>
      </c>
      <c r="S37" s="171">
        <v>0.4</v>
      </c>
      <c r="T37" s="527">
        <v>15000</v>
      </c>
      <c r="U37" s="167" t="s">
        <v>105</v>
      </c>
      <c r="V37" s="181">
        <v>6</v>
      </c>
    </row>
    <row r="38" spans="1:22" ht="15.5" x14ac:dyDescent="0.35">
      <c r="A38" s="24"/>
      <c r="B38" s="623"/>
      <c r="C38" s="166" t="s">
        <v>106</v>
      </c>
      <c r="D38" s="202">
        <v>5000</v>
      </c>
      <c r="E38" s="177"/>
      <c r="F38" s="177"/>
      <c r="G38" s="248">
        <f t="shared" si="4"/>
        <v>5000</v>
      </c>
      <c r="H38" s="171">
        <v>0.4</v>
      </c>
      <c r="I38" s="177"/>
      <c r="J38" s="167" t="s">
        <v>107</v>
      </c>
      <c r="K38" s="181">
        <v>6</v>
      </c>
      <c r="L38" s="353"/>
      <c r="M38" s="623"/>
      <c r="N38" s="166" t="s">
        <v>106</v>
      </c>
      <c r="O38" s="202">
        <v>5000</v>
      </c>
      <c r="P38" s="177"/>
      <c r="Q38" s="177"/>
      <c r="R38" s="248">
        <f t="shared" si="5"/>
        <v>5000</v>
      </c>
      <c r="S38" s="171">
        <v>0.4</v>
      </c>
      <c r="T38" s="527">
        <v>5000</v>
      </c>
      <c r="U38" s="167" t="s">
        <v>107</v>
      </c>
      <c r="V38" s="181">
        <v>6</v>
      </c>
    </row>
    <row r="39" spans="1:22" ht="31" x14ac:dyDescent="0.35">
      <c r="A39" s="24"/>
      <c r="B39" s="624"/>
      <c r="C39" s="166" t="s">
        <v>108</v>
      </c>
      <c r="D39" s="202">
        <v>4000</v>
      </c>
      <c r="E39" s="177"/>
      <c r="F39" s="177"/>
      <c r="G39" s="248">
        <f t="shared" si="4"/>
        <v>4000</v>
      </c>
      <c r="H39" s="171">
        <v>0.3</v>
      </c>
      <c r="I39" s="177"/>
      <c r="J39" s="167" t="s">
        <v>109</v>
      </c>
      <c r="K39" s="181">
        <v>6</v>
      </c>
      <c r="L39" s="353"/>
      <c r="M39" s="624"/>
      <c r="N39" s="166" t="s">
        <v>108</v>
      </c>
      <c r="O39" s="202">
        <v>4000</v>
      </c>
      <c r="P39" s="177"/>
      <c r="Q39" s="177"/>
      <c r="R39" s="248">
        <f t="shared" si="5"/>
        <v>4000</v>
      </c>
      <c r="S39" s="171">
        <v>0.3</v>
      </c>
      <c r="T39" s="527">
        <v>4000</v>
      </c>
      <c r="U39" s="167" t="s">
        <v>109</v>
      </c>
      <c r="V39" s="181">
        <v>6</v>
      </c>
    </row>
    <row r="40" spans="1:22" ht="31" x14ac:dyDescent="0.35">
      <c r="A40" s="24"/>
      <c r="B40" s="622" t="s">
        <v>110</v>
      </c>
      <c r="C40" s="166" t="s">
        <v>111</v>
      </c>
      <c r="D40" s="202">
        <v>13000</v>
      </c>
      <c r="E40" s="177"/>
      <c r="F40" s="177"/>
      <c r="G40" s="248">
        <f t="shared" si="4"/>
        <v>13000</v>
      </c>
      <c r="H40" s="171">
        <v>0.3</v>
      </c>
      <c r="I40" s="177"/>
      <c r="J40" s="167" t="s">
        <v>94</v>
      </c>
      <c r="K40" s="181">
        <v>6</v>
      </c>
      <c r="L40" s="353"/>
      <c r="M40" s="622" t="s">
        <v>110</v>
      </c>
      <c r="N40" s="166" t="s">
        <v>111</v>
      </c>
      <c r="O40" s="202">
        <v>13000</v>
      </c>
      <c r="P40" s="177"/>
      <c r="Q40" s="177"/>
      <c r="R40" s="248">
        <f t="shared" si="5"/>
        <v>13000</v>
      </c>
      <c r="S40" s="171">
        <v>0.3</v>
      </c>
      <c r="T40" s="527">
        <v>13000</v>
      </c>
      <c r="U40" s="167" t="s">
        <v>94</v>
      </c>
      <c r="V40" s="181">
        <v>6</v>
      </c>
    </row>
    <row r="41" spans="1:22" ht="31" x14ac:dyDescent="0.35">
      <c r="A41" s="24"/>
      <c r="B41" s="623"/>
      <c r="C41" s="166" t="s">
        <v>112</v>
      </c>
      <c r="D41" s="202">
        <v>45000</v>
      </c>
      <c r="E41" s="177"/>
      <c r="F41" s="177"/>
      <c r="G41" s="248">
        <f t="shared" ref="G41:G42" si="6">D41+E41+F41</f>
        <v>45000</v>
      </c>
      <c r="H41" s="171">
        <v>0.3</v>
      </c>
      <c r="I41" s="177"/>
      <c r="J41" s="167" t="s">
        <v>113</v>
      </c>
      <c r="K41" s="181">
        <v>6</v>
      </c>
      <c r="L41" s="353"/>
      <c r="M41" s="623"/>
      <c r="N41" s="166" t="s">
        <v>112</v>
      </c>
      <c r="O41" s="202">
        <v>45000</v>
      </c>
      <c r="P41" s="177"/>
      <c r="Q41" s="177"/>
      <c r="R41" s="248">
        <f t="shared" si="5"/>
        <v>45000</v>
      </c>
      <c r="S41" s="171">
        <v>0.3</v>
      </c>
      <c r="T41" s="527">
        <v>45000</v>
      </c>
      <c r="U41" s="167" t="s">
        <v>113</v>
      </c>
      <c r="V41" s="181">
        <v>6</v>
      </c>
    </row>
    <row r="42" spans="1:22" ht="31" x14ac:dyDescent="0.35">
      <c r="A42" s="24"/>
      <c r="B42" s="623"/>
      <c r="C42" s="166" t="s">
        <v>114</v>
      </c>
      <c r="D42" s="202">
        <v>20000</v>
      </c>
      <c r="E42" s="177"/>
      <c r="F42" s="177"/>
      <c r="G42" s="248">
        <f t="shared" si="6"/>
        <v>20000</v>
      </c>
      <c r="H42" s="171">
        <v>0.3</v>
      </c>
      <c r="I42" s="177"/>
      <c r="J42" s="167" t="s">
        <v>115</v>
      </c>
      <c r="K42" s="181">
        <v>6</v>
      </c>
      <c r="L42" s="353"/>
      <c r="M42" s="623"/>
      <c r="N42" s="166" t="s">
        <v>114</v>
      </c>
      <c r="O42" s="202">
        <v>20000</v>
      </c>
      <c r="P42" s="177"/>
      <c r="Q42" s="177"/>
      <c r="R42" s="248">
        <f t="shared" si="5"/>
        <v>20000</v>
      </c>
      <c r="S42" s="171">
        <v>0.3</v>
      </c>
      <c r="T42" s="527">
        <v>20000</v>
      </c>
      <c r="U42" s="167" t="s">
        <v>115</v>
      </c>
      <c r="V42" s="181">
        <v>6</v>
      </c>
    </row>
    <row r="43" spans="1:22" ht="31" x14ac:dyDescent="0.35">
      <c r="A43" s="24"/>
      <c r="B43" s="622" t="s">
        <v>116</v>
      </c>
      <c r="C43" s="166" t="s">
        <v>117</v>
      </c>
      <c r="D43" s="202">
        <v>10000</v>
      </c>
      <c r="E43" s="177"/>
      <c r="F43" s="177"/>
      <c r="G43" s="248">
        <f t="shared" si="4"/>
        <v>10000</v>
      </c>
      <c r="H43" s="171">
        <v>0.3</v>
      </c>
      <c r="I43" s="177"/>
      <c r="J43" s="167" t="s">
        <v>118</v>
      </c>
      <c r="K43" s="181">
        <v>6</v>
      </c>
      <c r="L43" s="353"/>
      <c r="M43" s="622" t="s">
        <v>116</v>
      </c>
      <c r="N43" s="166" t="s">
        <v>117</v>
      </c>
      <c r="O43" s="202">
        <v>10000</v>
      </c>
      <c r="P43" s="177"/>
      <c r="Q43" s="177"/>
      <c r="R43" s="248">
        <f t="shared" si="5"/>
        <v>10000</v>
      </c>
      <c r="S43" s="171">
        <v>0.3</v>
      </c>
      <c r="T43" s="527">
        <v>10000</v>
      </c>
      <c r="U43" s="167" t="s">
        <v>118</v>
      </c>
      <c r="V43" s="181">
        <v>6</v>
      </c>
    </row>
    <row r="44" spans="1:22" ht="31" x14ac:dyDescent="0.35">
      <c r="A44" s="24"/>
      <c r="B44" s="623"/>
      <c r="C44" s="166" t="s">
        <v>119</v>
      </c>
      <c r="D44" s="202">
        <f>15000+15000</f>
        <v>30000</v>
      </c>
      <c r="E44" s="177"/>
      <c r="F44" s="177"/>
      <c r="G44" s="248">
        <f t="shared" si="4"/>
        <v>30000</v>
      </c>
      <c r="H44" s="171">
        <v>0.3</v>
      </c>
      <c r="I44" s="177"/>
      <c r="J44" s="167" t="s">
        <v>94</v>
      </c>
      <c r="K44" s="181">
        <v>6</v>
      </c>
      <c r="L44" s="353"/>
      <c r="M44" s="623"/>
      <c r="N44" s="166" t="s">
        <v>119</v>
      </c>
      <c r="O44" s="202">
        <f>15000+15000</f>
        <v>30000</v>
      </c>
      <c r="P44" s="177"/>
      <c r="Q44" s="177"/>
      <c r="R44" s="248">
        <f t="shared" si="5"/>
        <v>30000</v>
      </c>
      <c r="S44" s="171">
        <v>0.3</v>
      </c>
      <c r="T44" s="527">
        <v>30000</v>
      </c>
      <c r="U44" s="167" t="s">
        <v>94</v>
      </c>
      <c r="V44" s="181">
        <v>6</v>
      </c>
    </row>
    <row r="45" spans="1:22" ht="31" x14ac:dyDescent="0.35">
      <c r="A45" s="24"/>
      <c r="B45" s="623"/>
      <c r="C45" s="166" t="s">
        <v>120</v>
      </c>
      <c r="D45" s="202">
        <f>10000+10000</f>
        <v>20000</v>
      </c>
      <c r="E45" s="177"/>
      <c r="F45" s="177"/>
      <c r="G45" s="248">
        <f t="shared" si="4"/>
        <v>20000</v>
      </c>
      <c r="H45" s="171">
        <v>0.3</v>
      </c>
      <c r="I45" s="177"/>
      <c r="J45" s="167" t="s">
        <v>121</v>
      </c>
      <c r="K45" s="181">
        <v>6</v>
      </c>
      <c r="L45" s="353"/>
      <c r="M45" s="623"/>
      <c r="N45" s="166" t="s">
        <v>120</v>
      </c>
      <c r="O45" s="202">
        <f>10000+10000</f>
        <v>20000</v>
      </c>
      <c r="P45" s="177"/>
      <c r="Q45" s="177"/>
      <c r="R45" s="248">
        <f t="shared" si="5"/>
        <v>20000</v>
      </c>
      <c r="S45" s="171">
        <v>0.3</v>
      </c>
      <c r="T45" s="527">
        <v>20000</v>
      </c>
      <c r="U45" s="167" t="s">
        <v>121</v>
      </c>
      <c r="V45" s="181">
        <v>6</v>
      </c>
    </row>
    <row r="46" spans="1:22" ht="15.5" x14ac:dyDescent="0.35">
      <c r="A46" s="24"/>
      <c r="B46" s="624"/>
      <c r="C46" s="166"/>
      <c r="D46" s="202"/>
      <c r="E46" s="177"/>
      <c r="F46" s="177"/>
      <c r="G46" s="248">
        <f t="shared" si="4"/>
        <v>0</v>
      </c>
      <c r="H46" s="171"/>
      <c r="I46" s="177"/>
      <c r="J46" s="167"/>
      <c r="K46" s="181"/>
      <c r="L46" s="353"/>
      <c r="M46" s="624"/>
      <c r="N46" s="166"/>
      <c r="O46" s="202"/>
      <c r="P46" s="177"/>
      <c r="Q46" s="177"/>
      <c r="R46" s="248">
        <f t="shared" si="5"/>
        <v>0</v>
      </c>
      <c r="S46" s="171"/>
      <c r="T46" s="527"/>
      <c r="U46" s="167"/>
      <c r="V46" s="181"/>
    </row>
    <row r="47" spans="1:22" ht="31.4" customHeight="1" x14ac:dyDescent="0.35">
      <c r="A47" s="24"/>
      <c r="B47" s="622" t="s">
        <v>122</v>
      </c>
      <c r="C47" s="166" t="s">
        <v>123</v>
      </c>
      <c r="D47" s="202">
        <v>25000</v>
      </c>
      <c r="E47" s="177"/>
      <c r="F47" s="177"/>
      <c r="G47" s="248">
        <f t="shared" si="4"/>
        <v>25000</v>
      </c>
      <c r="H47" s="171">
        <v>0.3</v>
      </c>
      <c r="I47" s="177"/>
      <c r="J47" s="167" t="s">
        <v>94</v>
      </c>
      <c r="K47" s="181">
        <v>6</v>
      </c>
      <c r="L47" s="353"/>
      <c r="M47" s="622" t="s">
        <v>122</v>
      </c>
      <c r="N47" s="166" t="s">
        <v>123</v>
      </c>
      <c r="O47" s="202">
        <v>25000</v>
      </c>
      <c r="P47" s="177"/>
      <c r="Q47" s="177"/>
      <c r="R47" s="248">
        <f t="shared" si="5"/>
        <v>25000</v>
      </c>
      <c r="S47" s="171">
        <v>0.3</v>
      </c>
      <c r="T47" s="527">
        <v>25000</v>
      </c>
      <c r="U47" s="167" t="s">
        <v>94</v>
      </c>
      <c r="V47" s="181">
        <v>6</v>
      </c>
    </row>
    <row r="48" spans="1:22" ht="31" x14ac:dyDescent="0.35">
      <c r="A48" s="24"/>
      <c r="B48" s="623"/>
      <c r="C48" s="166" t="s">
        <v>124</v>
      </c>
      <c r="D48" s="202">
        <v>10000</v>
      </c>
      <c r="E48" s="177"/>
      <c r="F48" s="177"/>
      <c r="G48" s="248">
        <f t="shared" si="4"/>
        <v>10000</v>
      </c>
      <c r="H48" s="171">
        <v>0.3</v>
      </c>
      <c r="I48" s="177"/>
      <c r="J48" s="167" t="s">
        <v>125</v>
      </c>
      <c r="K48" s="181">
        <v>6</v>
      </c>
      <c r="L48" s="353"/>
      <c r="M48" s="623"/>
      <c r="N48" s="166" t="s">
        <v>124</v>
      </c>
      <c r="O48" s="202">
        <v>10000</v>
      </c>
      <c r="P48" s="177"/>
      <c r="Q48" s="177"/>
      <c r="R48" s="248">
        <f t="shared" si="5"/>
        <v>10000</v>
      </c>
      <c r="S48" s="171">
        <v>0.3</v>
      </c>
      <c r="T48" s="527">
        <v>10000</v>
      </c>
      <c r="U48" s="167" t="s">
        <v>125</v>
      </c>
      <c r="V48" s="181">
        <v>6</v>
      </c>
    </row>
    <row r="49" spans="1:22" ht="46.5" x14ac:dyDescent="0.35">
      <c r="A49" s="24"/>
      <c r="B49" s="623"/>
      <c r="C49" s="166" t="s">
        <v>126</v>
      </c>
      <c r="D49" s="202">
        <v>5000</v>
      </c>
      <c r="E49" s="177"/>
      <c r="F49" s="177"/>
      <c r="G49" s="248">
        <f t="shared" si="4"/>
        <v>5000</v>
      </c>
      <c r="H49" s="171">
        <v>0.3</v>
      </c>
      <c r="I49" s="177"/>
      <c r="J49" s="167" t="s">
        <v>127</v>
      </c>
      <c r="K49" s="181">
        <v>6</v>
      </c>
      <c r="L49" s="353"/>
      <c r="M49" s="623"/>
      <c r="N49" s="166" t="s">
        <v>126</v>
      </c>
      <c r="O49" s="202">
        <v>5000</v>
      </c>
      <c r="P49" s="177"/>
      <c r="Q49" s="177"/>
      <c r="R49" s="248">
        <f t="shared" si="5"/>
        <v>5000</v>
      </c>
      <c r="S49" s="171">
        <v>0.3</v>
      </c>
      <c r="T49" s="527">
        <v>5000</v>
      </c>
      <c r="U49" s="167" t="s">
        <v>127</v>
      </c>
      <c r="V49" s="181">
        <v>6</v>
      </c>
    </row>
    <row r="50" spans="1:22" ht="15.5" x14ac:dyDescent="0.35">
      <c r="A50" s="24"/>
      <c r="B50" s="623"/>
      <c r="C50" s="166"/>
      <c r="D50" s="202"/>
      <c r="E50" s="177"/>
      <c r="F50" s="177"/>
      <c r="G50" s="248">
        <f t="shared" si="4"/>
        <v>0</v>
      </c>
      <c r="H50" s="171"/>
      <c r="I50" s="177"/>
      <c r="J50" s="167"/>
      <c r="K50" s="181"/>
      <c r="L50" s="353"/>
      <c r="M50" s="623"/>
      <c r="N50" s="166"/>
      <c r="O50" s="202"/>
      <c r="P50" s="177"/>
      <c r="Q50" s="177"/>
      <c r="R50" s="248">
        <f t="shared" si="5"/>
        <v>0</v>
      </c>
      <c r="S50" s="171"/>
      <c r="T50" s="527"/>
      <c r="U50" s="167"/>
      <c r="V50" s="181"/>
    </row>
    <row r="51" spans="1:22" ht="15.5" x14ac:dyDescent="0.35">
      <c r="A51" s="24"/>
      <c r="B51" s="624"/>
      <c r="C51" s="166"/>
      <c r="D51" s="202"/>
      <c r="E51" s="177"/>
      <c r="F51" s="177"/>
      <c r="G51" s="248">
        <f t="shared" si="4"/>
        <v>0</v>
      </c>
      <c r="H51" s="171"/>
      <c r="I51" s="177"/>
      <c r="J51" s="167"/>
      <c r="K51" s="181"/>
      <c r="L51" s="353"/>
      <c r="M51" s="624"/>
      <c r="N51" s="166"/>
      <c r="O51" s="202"/>
      <c r="P51" s="177"/>
      <c r="Q51" s="177"/>
      <c r="R51" s="248">
        <f t="shared" si="5"/>
        <v>0</v>
      </c>
      <c r="S51" s="171"/>
      <c r="T51" s="527"/>
      <c r="U51" s="167"/>
      <c r="V51" s="181"/>
    </row>
    <row r="52" spans="1:22" ht="31.4" customHeight="1" x14ac:dyDescent="0.35">
      <c r="A52" s="24"/>
      <c r="B52" s="622" t="s">
        <v>128</v>
      </c>
      <c r="C52" s="166" t="s">
        <v>129</v>
      </c>
      <c r="D52" s="202">
        <v>25000</v>
      </c>
      <c r="E52" s="177"/>
      <c r="F52" s="177"/>
      <c r="G52" s="248">
        <f t="shared" si="4"/>
        <v>25000</v>
      </c>
      <c r="H52" s="171">
        <v>0.4</v>
      </c>
      <c r="I52" s="177"/>
      <c r="J52" s="167" t="s">
        <v>94</v>
      </c>
      <c r="K52" s="181">
        <v>6</v>
      </c>
      <c r="L52" s="353"/>
      <c r="M52" s="622" t="s">
        <v>128</v>
      </c>
      <c r="N52" s="166" t="s">
        <v>129</v>
      </c>
      <c r="O52" s="202">
        <v>25000</v>
      </c>
      <c r="P52" s="177"/>
      <c r="Q52" s="177"/>
      <c r="R52" s="248">
        <f t="shared" si="5"/>
        <v>25000</v>
      </c>
      <c r="S52" s="171">
        <v>0.4</v>
      </c>
      <c r="T52" s="527">
        <v>25000</v>
      </c>
      <c r="U52" s="167" t="s">
        <v>94</v>
      </c>
      <c r="V52" s="181">
        <v>6</v>
      </c>
    </row>
    <row r="53" spans="1:22" ht="31" x14ac:dyDescent="0.35">
      <c r="A53" s="24"/>
      <c r="B53" s="623"/>
      <c r="C53" s="166" t="s">
        <v>124</v>
      </c>
      <c r="D53" s="202">
        <v>9000</v>
      </c>
      <c r="E53" s="177"/>
      <c r="F53" s="177"/>
      <c r="G53" s="248">
        <f t="shared" si="4"/>
        <v>9000</v>
      </c>
      <c r="H53" s="171">
        <v>0.3</v>
      </c>
      <c r="I53" s="177"/>
      <c r="J53" s="167" t="s">
        <v>125</v>
      </c>
      <c r="K53" s="181">
        <v>6</v>
      </c>
      <c r="L53" s="353"/>
      <c r="M53" s="623"/>
      <c r="N53" s="166" t="s">
        <v>124</v>
      </c>
      <c r="O53" s="202">
        <v>9000</v>
      </c>
      <c r="P53" s="177"/>
      <c r="Q53" s="177"/>
      <c r="R53" s="248">
        <f t="shared" si="5"/>
        <v>9000</v>
      </c>
      <c r="S53" s="171">
        <v>0.3</v>
      </c>
      <c r="T53" s="527">
        <v>9000</v>
      </c>
      <c r="U53" s="167" t="s">
        <v>125</v>
      </c>
      <c r="V53" s="181">
        <v>6</v>
      </c>
    </row>
    <row r="54" spans="1:22" ht="46.5" x14ac:dyDescent="0.35">
      <c r="A54" s="24"/>
      <c r="B54" s="623"/>
      <c r="C54" s="166" t="s">
        <v>130</v>
      </c>
      <c r="D54" s="202">
        <v>5000</v>
      </c>
      <c r="E54" s="177"/>
      <c r="F54" s="177"/>
      <c r="G54" s="248">
        <f t="shared" si="4"/>
        <v>5000</v>
      </c>
      <c r="H54" s="171">
        <v>0.3</v>
      </c>
      <c r="I54" s="177"/>
      <c r="J54" s="167" t="s">
        <v>127</v>
      </c>
      <c r="K54" s="181">
        <v>6</v>
      </c>
      <c r="L54" s="353"/>
      <c r="M54" s="623"/>
      <c r="N54" s="166" t="s">
        <v>130</v>
      </c>
      <c r="O54" s="202">
        <v>5000</v>
      </c>
      <c r="P54" s="177"/>
      <c r="Q54" s="177"/>
      <c r="R54" s="248">
        <f t="shared" si="5"/>
        <v>5000</v>
      </c>
      <c r="S54" s="171">
        <v>0.3</v>
      </c>
      <c r="T54" s="527">
        <v>5000</v>
      </c>
      <c r="U54" s="167" t="s">
        <v>127</v>
      </c>
      <c r="V54" s="181">
        <v>6</v>
      </c>
    </row>
    <row r="55" spans="1:22" ht="15.5" x14ac:dyDescent="0.35">
      <c r="A55" s="24"/>
      <c r="B55" s="623"/>
      <c r="C55" s="166"/>
      <c r="D55" s="202"/>
      <c r="E55" s="177"/>
      <c r="F55" s="177"/>
      <c r="G55" s="248">
        <f t="shared" si="4"/>
        <v>0</v>
      </c>
      <c r="H55" s="171"/>
      <c r="I55" s="177"/>
      <c r="J55" s="167"/>
      <c r="K55" s="181"/>
      <c r="L55" s="353"/>
      <c r="M55" s="623"/>
      <c r="N55" s="166"/>
      <c r="O55" s="202"/>
      <c r="P55" s="177"/>
      <c r="Q55" s="177"/>
      <c r="R55" s="248">
        <f t="shared" si="5"/>
        <v>0</v>
      </c>
      <c r="S55" s="171"/>
      <c r="T55" s="527"/>
      <c r="U55" s="167"/>
      <c r="V55" s="181"/>
    </row>
    <row r="56" spans="1:22" ht="15.5" x14ac:dyDescent="0.35">
      <c r="A56" s="24"/>
      <c r="B56" s="624"/>
      <c r="C56" s="166"/>
      <c r="D56" s="202"/>
      <c r="E56" s="177"/>
      <c r="F56" s="177"/>
      <c r="G56" s="248">
        <f t="shared" si="4"/>
        <v>0</v>
      </c>
      <c r="H56" s="171"/>
      <c r="I56" s="177"/>
      <c r="J56" s="167"/>
      <c r="K56" s="181"/>
      <c r="L56" s="353"/>
      <c r="M56" s="624"/>
      <c r="N56" s="166"/>
      <c r="O56" s="202"/>
      <c r="P56" s="177"/>
      <c r="Q56" s="177"/>
      <c r="R56" s="248">
        <f t="shared" si="5"/>
        <v>0</v>
      </c>
      <c r="S56" s="171"/>
      <c r="T56" s="527"/>
      <c r="U56" s="167"/>
      <c r="V56" s="181"/>
    </row>
    <row r="57" spans="1:22" ht="51.65" customHeight="1" x14ac:dyDescent="0.35">
      <c r="A57" s="24"/>
      <c r="B57" s="622" t="s">
        <v>131</v>
      </c>
      <c r="C57" s="166" t="s">
        <v>132</v>
      </c>
      <c r="D57" s="202">
        <v>30000</v>
      </c>
      <c r="E57" s="177"/>
      <c r="F57" s="177"/>
      <c r="G57" s="248">
        <f t="shared" si="4"/>
        <v>30000</v>
      </c>
      <c r="H57" s="171">
        <v>0.4</v>
      </c>
      <c r="I57" s="177"/>
      <c r="J57" s="167" t="s">
        <v>133</v>
      </c>
      <c r="K57" s="181">
        <v>6</v>
      </c>
      <c r="L57" s="353"/>
      <c r="M57" s="622" t="s">
        <v>131</v>
      </c>
      <c r="N57" s="166" t="s">
        <v>132</v>
      </c>
      <c r="O57" s="202">
        <v>30000</v>
      </c>
      <c r="P57" s="177"/>
      <c r="Q57" s="177"/>
      <c r="R57" s="248">
        <f t="shared" si="5"/>
        <v>30000</v>
      </c>
      <c r="S57" s="171">
        <v>0.4</v>
      </c>
      <c r="T57" s="527">
        <v>30000</v>
      </c>
      <c r="U57" s="167" t="s">
        <v>133</v>
      </c>
      <c r="V57" s="181">
        <v>6</v>
      </c>
    </row>
    <row r="58" spans="1:22" ht="15.5" x14ac:dyDescent="0.35">
      <c r="A58" s="24"/>
      <c r="B58" s="623"/>
      <c r="C58" s="166"/>
      <c r="D58" s="202"/>
      <c r="E58" s="177"/>
      <c r="F58" s="177"/>
      <c r="G58" s="248">
        <f t="shared" si="4"/>
        <v>0</v>
      </c>
      <c r="H58" s="171"/>
      <c r="I58" s="177"/>
      <c r="J58" s="167"/>
      <c r="K58" s="181"/>
      <c r="L58" s="353"/>
      <c r="M58" s="623"/>
      <c r="N58" s="166"/>
      <c r="O58" s="202"/>
      <c r="P58" s="177"/>
      <c r="Q58" s="177"/>
      <c r="R58" s="248">
        <f t="shared" si="5"/>
        <v>0</v>
      </c>
      <c r="S58" s="171"/>
      <c r="T58" s="527"/>
      <c r="U58" s="167"/>
      <c r="V58" s="181"/>
    </row>
    <row r="59" spans="1:22" ht="15.5" x14ac:dyDescent="0.35">
      <c r="A59" s="24"/>
      <c r="B59" s="623"/>
      <c r="C59" s="166"/>
      <c r="D59" s="202"/>
      <c r="E59" s="177"/>
      <c r="F59" s="177"/>
      <c r="G59" s="248">
        <f t="shared" si="4"/>
        <v>0</v>
      </c>
      <c r="H59" s="171"/>
      <c r="I59" s="177"/>
      <c r="J59" s="167"/>
      <c r="K59" s="181"/>
      <c r="L59" s="353"/>
      <c r="M59" s="623"/>
      <c r="N59" s="166"/>
      <c r="O59" s="202"/>
      <c r="P59" s="177"/>
      <c r="Q59" s="177"/>
      <c r="R59" s="248">
        <f t="shared" si="5"/>
        <v>0</v>
      </c>
      <c r="S59" s="171"/>
      <c r="T59" s="527"/>
      <c r="U59" s="167"/>
      <c r="V59" s="181"/>
    </row>
    <row r="60" spans="1:22" ht="15.5" x14ac:dyDescent="0.35">
      <c r="A60" s="24"/>
      <c r="B60" s="623"/>
      <c r="C60" s="245"/>
      <c r="D60" s="202"/>
      <c r="E60" s="177"/>
      <c r="F60" s="177"/>
      <c r="G60" s="248">
        <f t="shared" si="4"/>
        <v>0</v>
      </c>
      <c r="H60" s="250"/>
      <c r="I60" s="251"/>
      <c r="J60" s="170"/>
      <c r="K60" s="181"/>
      <c r="L60" s="353"/>
      <c r="M60" s="623"/>
      <c r="N60" s="245"/>
      <c r="O60" s="202"/>
      <c r="P60" s="177"/>
      <c r="Q60" s="177"/>
      <c r="R60" s="248">
        <f t="shared" si="5"/>
        <v>0</v>
      </c>
      <c r="S60" s="250"/>
      <c r="T60" s="527"/>
      <c r="U60" s="170"/>
      <c r="V60" s="181"/>
    </row>
    <row r="61" spans="1:22" ht="15.5" x14ac:dyDescent="0.35">
      <c r="A61" s="24"/>
      <c r="B61" s="624"/>
      <c r="C61" s="245"/>
      <c r="D61" s="202"/>
      <c r="E61" s="177"/>
      <c r="F61" s="177"/>
      <c r="G61" s="248">
        <f t="shared" si="4"/>
        <v>0</v>
      </c>
      <c r="H61" s="250"/>
      <c r="I61" s="251"/>
      <c r="J61" s="170"/>
      <c r="K61" s="181"/>
      <c r="L61" s="353"/>
      <c r="M61" s="624"/>
      <c r="N61" s="245"/>
      <c r="O61" s="202"/>
      <c r="P61" s="177"/>
      <c r="Q61" s="177"/>
      <c r="R61" s="248">
        <f t="shared" si="5"/>
        <v>0</v>
      </c>
      <c r="S61" s="250"/>
      <c r="T61" s="527"/>
      <c r="U61" s="170"/>
      <c r="V61" s="181"/>
    </row>
    <row r="62" spans="1:22" ht="15.5" x14ac:dyDescent="0.35">
      <c r="A62" s="24"/>
      <c r="C62" s="73" t="s">
        <v>134</v>
      </c>
      <c r="D62" s="203">
        <f>SUM(D37:D61)</f>
        <v>271000</v>
      </c>
      <c r="E62" s="12">
        <f>SUM(E37:E61)</f>
        <v>0</v>
      </c>
      <c r="F62" s="12">
        <f>SUM(F37:F61)</f>
        <v>0</v>
      </c>
      <c r="G62" s="12">
        <f>SUM(G37:G61)</f>
        <v>271000</v>
      </c>
      <c r="H62" s="10">
        <f>(H37*G37)+(H38*G38)+(H39*G39)+(H40*G40)+(H41*G41)+(H42*G42)+(H43*G43)+(H44*G44)+(H45*G45)+(H46*G46)+(H47*G47)+(H48*G48)+(H49*G49)+(H50*G50)+(H51*G51)+(H52*G52)+(H53*G53)+(H54*G54)+(H55*G55)+(H56*G56)+(H57*G57)+(H58*G58)+(H59*G59)+(H60*G60)+(H61*G61)</f>
        <v>88800</v>
      </c>
      <c r="I62" s="10">
        <f>SUM(I37:I61)</f>
        <v>0</v>
      </c>
      <c r="J62" s="170"/>
      <c r="K62" s="182"/>
      <c r="L62" s="353"/>
      <c r="N62" s="73" t="s">
        <v>134</v>
      </c>
      <c r="O62" s="203">
        <f>SUM(O37:O61)</f>
        <v>271000</v>
      </c>
      <c r="P62" s="12">
        <f>SUM(P37:P61)</f>
        <v>0</v>
      </c>
      <c r="Q62" s="12">
        <f>SUM(Q37:Q61)</f>
        <v>0</v>
      </c>
      <c r="R62" s="12">
        <f>SUM(R37:R61)</f>
        <v>271000</v>
      </c>
      <c r="S62" s="10">
        <f>(S37*R37)+(S38*R38)+(S39*R39)+(S40*R40)+(S41*R41)+(S42*R42)+(S43*R43)+(S44*R44)+(S45*R45)+(S46*R46)+(S47*R47)+(S48*R48)+(S49*R49)+(S50*R50)+(S51*R51)+(S52*R52)+(S53*R53)+(S54*R54)+(S55*R55)+(S56*R56)+(S57*R57)+(S58*R58)+(S59*R59)+(S60*R60)+(S61*R61)</f>
        <v>88800</v>
      </c>
      <c r="T62" s="10">
        <f>SUM(T37:T61)</f>
        <v>271000</v>
      </c>
      <c r="U62" s="170"/>
      <c r="V62" s="182"/>
    </row>
    <row r="63" spans="1:22" ht="31.4" customHeight="1" x14ac:dyDescent="0.35">
      <c r="A63" s="24"/>
      <c r="B63" s="72" t="s">
        <v>135</v>
      </c>
      <c r="C63" s="665" t="s">
        <v>136</v>
      </c>
      <c r="D63" s="665"/>
      <c r="E63" s="665"/>
      <c r="F63" s="665"/>
      <c r="G63" s="665"/>
      <c r="H63" s="665"/>
      <c r="I63" s="666"/>
      <c r="J63" s="665"/>
      <c r="K63" s="183"/>
      <c r="L63" s="353"/>
      <c r="M63" s="72" t="s">
        <v>135</v>
      </c>
      <c r="N63" s="665" t="s">
        <v>136</v>
      </c>
      <c r="O63" s="665"/>
      <c r="P63" s="665"/>
      <c r="Q63" s="665"/>
      <c r="R63" s="665"/>
      <c r="S63" s="665"/>
      <c r="T63" s="666"/>
      <c r="U63" s="665"/>
      <c r="V63" s="183"/>
    </row>
    <row r="64" spans="1:22" ht="46.5" x14ac:dyDescent="0.35">
      <c r="A64" s="24"/>
      <c r="B64" s="622" t="s">
        <v>137</v>
      </c>
      <c r="C64" s="166" t="s">
        <v>138</v>
      </c>
      <c r="D64" s="202">
        <v>5000</v>
      </c>
      <c r="E64" s="177"/>
      <c r="F64" s="177"/>
      <c r="G64" s="248">
        <f>D64+E64+F64</f>
        <v>5000</v>
      </c>
      <c r="H64" s="171">
        <v>0.4</v>
      </c>
      <c r="I64" s="177"/>
      <c r="J64" s="167" t="s">
        <v>121</v>
      </c>
      <c r="K64" s="181">
        <v>6</v>
      </c>
      <c r="L64" s="353"/>
      <c r="M64" s="622" t="s">
        <v>137</v>
      </c>
      <c r="N64" s="166" t="s">
        <v>138</v>
      </c>
      <c r="O64" s="202">
        <v>5000</v>
      </c>
      <c r="P64" s="177"/>
      <c r="Q64" s="177"/>
      <c r="R64" s="248">
        <f>O64+P64+Q64</f>
        <v>5000</v>
      </c>
      <c r="S64" s="171">
        <v>0.4</v>
      </c>
      <c r="T64" s="527">
        <v>5000</v>
      </c>
      <c r="U64" s="167" t="s">
        <v>121</v>
      </c>
      <c r="V64" s="181">
        <v>6</v>
      </c>
    </row>
    <row r="65" spans="1:22" ht="31" x14ac:dyDescent="0.35">
      <c r="A65" s="24"/>
      <c r="B65" s="623"/>
      <c r="C65" s="166" t="s">
        <v>139</v>
      </c>
      <c r="D65" s="202">
        <v>20000</v>
      </c>
      <c r="E65" s="177"/>
      <c r="F65" s="177"/>
      <c r="G65" s="248">
        <f t="shared" ref="G65:G102" si="7">D65+E65+F65</f>
        <v>20000</v>
      </c>
      <c r="H65" s="171">
        <v>0.4</v>
      </c>
      <c r="I65" s="177"/>
      <c r="J65" s="167" t="s">
        <v>94</v>
      </c>
      <c r="K65" s="181">
        <v>6</v>
      </c>
      <c r="L65" s="353"/>
      <c r="M65" s="623"/>
      <c r="N65" s="166" t="s">
        <v>139</v>
      </c>
      <c r="O65" s="202">
        <v>20000</v>
      </c>
      <c r="P65" s="177"/>
      <c r="Q65" s="177"/>
      <c r="R65" s="248">
        <f t="shared" ref="R65:R101" si="8">O65+P65+Q65</f>
        <v>20000</v>
      </c>
      <c r="S65" s="171">
        <v>0.4</v>
      </c>
      <c r="T65" s="527">
        <v>20000</v>
      </c>
      <c r="U65" s="167" t="s">
        <v>94</v>
      </c>
      <c r="V65" s="181">
        <v>6</v>
      </c>
    </row>
    <row r="66" spans="1:22" ht="31" x14ac:dyDescent="0.35">
      <c r="A66" s="24"/>
      <c r="B66" s="623"/>
      <c r="C66" s="166" t="s">
        <v>140</v>
      </c>
      <c r="D66" s="202">
        <v>45430.69</v>
      </c>
      <c r="E66" s="177"/>
      <c r="F66" s="177"/>
      <c r="G66" s="248">
        <f t="shared" si="7"/>
        <v>45430.69</v>
      </c>
      <c r="H66" s="171">
        <v>0.4</v>
      </c>
      <c r="I66" s="177"/>
      <c r="J66" s="167" t="s">
        <v>141</v>
      </c>
      <c r="K66" s="181">
        <v>6</v>
      </c>
      <c r="L66" s="353"/>
      <c r="M66" s="623"/>
      <c r="N66" s="166" t="s">
        <v>140</v>
      </c>
      <c r="O66" s="202">
        <v>45430.69</v>
      </c>
      <c r="P66" s="177"/>
      <c r="Q66" s="177"/>
      <c r="R66" s="248">
        <f t="shared" si="8"/>
        <v>45430.69</v>
      </c>
      <c r="S66" s="171">
        <v>0.4</v>
      </c>
      <c r="T66" s="527">
        <v>45000</v>
      </c>
      <c r="U66" s="167" t="s">
        <v>141</v>
      </c>
      <c r="V66" s="181">
        <v>6</v>
      </c>
    </row>
    <row r="67" spans="1:22" ht="31" x14ac:dyDescent="0.35">
      <c r="A67" s="24"/>
      <c r="B67" s="623"/>
      <c r="C67" s="166" t="s">
        <v>142</v>
      </c>
      <c r="D67" s="202">
        <v>6000</v>
      </c>
      <c r="E67" s="177"/>
      <c r="F67" s="177"/>
      <c r="G67" s="248">
        <f t="shared" si="7"/>
        <v>6000</v>
      </c>
      <c r="H67" s="171">
        <v>0.4</v>
      </c>
      <c r="I67" s="177"/>
      <c r="J67" s="167" t="s">
        <v>98</v>
      </c>
      <c r="K67" s="181">
        <v>6</v>
      </c>
      <c r="L67" s="353"/>
      <c r="M67" s="623"/>
      <c r="N67" s="166" t="s">
        <v>142</v>
      </c>
      <c r="O67" s="202">
        <v>6000</v>
      </c>
      <c r="P67" s="177"/>
      <c r="Q67" s="177"/>
      <c r="R67" s="248">
        <f t="shared" si="8"/>
        <v>6000</v>
      </c>
      <c r="S67" s="171">
        <v>0.4</v>
      </c>
      <c r="T67" s="527">
        <v>6000</v>
      </c>
      <c r="U67" s="167" t="s">
        <v>98</v>
      </c>
      <c r="V67" s="181">
        <v>6</v>
      </c>
    </row>
    <row r="68" spans="1:22" ht="15.5" x14ac:dyDescent="0.35">
      <c r="A68" s="24"/>
      <c r="B68" s="624"/>
      <c r="C68" s="166"/>
      <c r="D68" s="202"/>
      <c r="E68" s="177"/>
      <c r="F68" s="177"/>
      <c r="G68" s="248">
        <f t="shared" si="7"/>
        <v>0</v>
      </c>
      <c r="H68" s="171"/>
      <c r="I68" s="177"/>
      <c r="J68" s="167"/>
      <c r="K68" s="181"/>
      <c r="L68" s="353"/>
      <c r="M68" s="624"/>
      <c r="N68" s="166"/>
      <c r="O68" s="202"/>
      <c r="P68" s="177"/>
      <c r="Q68" s="177"/>
      <c r="R68" s="248">
        <f t="shared" si="8"/>
        <v>0</v>
      </c>
      <c r="S68" s="171"/>
      <c r="T68" s="527"/>
      <c r="U68" s="167"/>
      <c r="V68" s="181"/>
    </row>
    <row r="69" spans="1:22" ht="46.5" x14ac:dyDescent="0.35">
      <c r="A69" s="24"/>
      <c r="B69" s="622" t="s">
        <v>143</v>
      </c>
      <c r="C69" s="166" t="s">
        <v>144</v>
      </c>
      <c r="D69" s="202">
        <v>18000</v>
      </c>
      <c r="E69" s="177"/>
      <c r="F69" s="177"/>
      <c r="G69" s="248">
        <f t="shared" si="7"/>
        <v>18000</v>
      </c>
      <c r="H69" s="171">
        <v>0.4</v>
      </c>
      <c r="I69" s="177"/>
      <c r="J69" s="167" t="s">
        <v>145</v>
      </c>
      <c r="K69" s="181">
        <v>6</v>
      </c>
      <c r="L69" s="353"/>
      <c r="M69" s="622" t="s">
        <v>143</v>
      </c>
      <c r="N69" s="166" t="s">
        <v>144</v>
      </c>
      <c r="O69" s="202">
        <v>18000</v>
      </c>
      <c r="P69" s="177"/>
      <c r="Q69" s="177"/>
      <c r="R69" s="248">
        <f t="shared" si="8"/>
        <v>18000</v>
      </c>
      <c r="S69" s="171">
        <v>0.4</v>
      </c>
      <c r="T69" s="527">
        <v>18000</v>
      </c>
      <c r="U69" s="167" t="s">
        <v>145</v>
      </c>
      <c r="V69" s="181">
        <v>6</v>
      </c>
    </row>
    <row r="70" spans="1:22" ht="31" x14ac:dyDescent="0.35">
      <c r="A70" s="24"/>
      <c r="B70" s="623"/>
      <c r="C70" s="166" t="s">
        <v>146</v>
      </c>
      <c r="D70" s="202">
        <v>10000</v>
      </c>
      <c r="E70" s="177"/>
      <c r="F70" s="177"/>
      <c r="G70" s="248">
        <f t="shared" si="7"/>
        <v>10000</v>
      </c>
      <c r="H70" s="171"/>
      <c r="I70" s="177"/>
      <c r="J70" s="167" t="s">
        <v>147</v>
      </c>
      <c r="K70" s="181">
        <v>6</v>
      </c>
      <c r="L70" s="353"/>
      <c r="M70" s="623"/>
      <c r="N70" s="166" t="s">
        <v>146</v>
      </c>
      <c r="O70" s="202">
        <v>10000</v>
      </c>
      <c r="P70" s="177"/>
      <c r="Q70" s="177"/>
      <c r="R70" s="248">
        <f t="shared" si="8"/>
        <v>10000</v>
      </c>
      <c r="S70" s="171"/>
      <c r="T70" s="527">
        <v>10000</v>
      </c>
      <c r="U70" s="167" t="s">
        <v>147</v>
      </c>
      <c r="V70" s="181">
        <v>6</v>
      </c>
    </row>
    <row r="71" spans="1:22" ht="31" x14ac:dyDescent="0.35">
      <c r="A71" s="24"/>
      <c r="B71" s="623"/>
      <c r="C71" s="166" t="s">
        <v>148</v>
      </c>
      <c r="D71" s="202">
        <v>1500</v>
      </c>
      <c r="E71" s="177"/>
      <c r="F71" s="177"/>
      <c r="G71" s="248">
        <f t="shared" si="7"/>
        <v>1500</v>
      </c>
      <c r="H71" s="171">
        <v>0.4</v>
      </c>
      <c r="I71" s="177"/>
      <c r="J71" s="167" t="s">
        <v>98</v>
      </c>
      <c r="K71" s="181">
        <v>6</v>
      </c>
      <c r="L71" s="353"/>
      <c r="M71" s="623"/>
      <c r="N71" s="166" t="s">
        <v>148</v>
      </c>
      <c r="O71" s="202">
        <v>1500</v>
      </c>
      <c r="P71" s="177"/>
      <c r="Q71" s="177"/>
      <c r="R71" s="248">
        <f t="shared" si="8"/>
        <v>1500</v>
      </c>
      <c r="S71" s="171">
        <v>0.4</v>
      </c>
      <c r="T71" s="527">
        <v>1500</v>
      </c>
      <c r="U71" s="167" t="s">
        <v>98</v>
      </c>
      <c r="V71" s="181">
        <v>6</v>
      </c>
    </row>
    <row r="72" spans="1:22" ht="15.5" x14ac:dyDescent="0.35">
      <c r="A72" s="24"/>
      <c r="B72" s="623"/>
      <c r="C72" s="166"/>
      <c r="D72" s="202"/>
      <c r="E72" s="177"/>
      <c r="F72" s="177"/>
      <c r="G72" s="248">
        <f t="shared" si="7"/>
        <v>0</v>
      </c>
      <c r="H72" s="171"/>
      <c r="I72" s="177"/>
      <c r="J72" s="167"/>
      <c r="K72" s="181"/>
      <c r="L72" s="353"/>
      <c r="M72" s="623"/>
      <c r="N72" s="166"/>
      <c r="O72" s="202"/>
      <c r="P72" s="177"/>
      <c r="Q72" s="177"/>
      <c r="R72" s="248">
        <f t="shared" si="8"/>
        <v>0</v>
      </c>
      <c r="S72" s="171"/>
      <c r="T72" s="527"/>
      <c r="U72" s="167"/>
      <c r="V72" s="181"/>
    </row>
    <row r="73" spans="1:22" ht="15.5" x14ac:dyDescent="0.35">
      <c r="A73" s="24"/>
      <c r="B73" s="624"/>
      <c r="C73" s="166"/>
      <c r="D73" s="202"/>
      <c r="E73" s="177"/>
      <c r="F73" s="177"/>
      <c r="G73" s="248">
        <f t="shared" si="7"/>
        <v>0</v>
      </c>
      <c r="H73" s="171"/>
      <c r="I73" s="177"/>
      <c r="J73" s="167"/>
      <c r="K73" s="181"/>
      <c r="L73" s="353"/>
      <c r="M73" s="624"/>
      <c r="N73" s="166"/>
      <c r="O73" s="202"/>
      <c r="P73" s="177"/>
      <c r="Q73" s="177"/>
      <c r="R73" s="248">
        <f t="shared" si="8"/>
        <v>0</v>
      </c>
      <c r="S73" s="171"/>
      <c r="T73" s="527"/>
      <c r="U73" s="167"/>
      <c r="V73" s="181"/>
    </row>
    <row r="74" spans="1:22" ht="32.5" customHeight="1" x14ac:dyDescent="0.35">
      <c r="A74" s="24"/>
      <c r="B74" s="622" t="s">
        <v>149</v>
      </c>
      <c r="C74" s="166" t="s">
        <v>150</v>
      </c>
      <c r="D74" s="202">
        <v>15000</v>
      </c>
      <c r="E74" s="177"/>
      <c r="F74" s="177"/>
      <c r="G74" s="248">
        <f t="shared" si="7"/>
        <v>15000</v>
      </c>
      <c r="H74" s="171">
        <v>0.3</v>
      </c>
      <c r="I74" s="177"/>
      <c r="J74" s="167" t="s">
        <v>151</v>
      </c>
      <c r="K74" s="181">
        <v>6</v>
      </c>
      <c r="L74" s="353"/>
      <c r="M74" s="622" t="s">
        <v>149</v>
      </c>
      <c r="N74" s="166" t="s">
        <v>150</v>
      </c>
      <c r="O74" s="202">
        <v>15000</v>
      </c>
      <c r="P74" s="177"/>
      <c r="Q74" s="177"/>
      <c r="R74" s="248">
        <f t="shared" si="8"/>
        <v>15000</v>
      </c>
      <c r="S74" s="171">
        <v>0.3</v>
      </c>
      <c r="T74" s="527">
        <v>15000</v>
      </c>
      <c r="U74" s="167" t="s">
        <v>151</v>
      </c>
      <c r="V74" s="181">
        <v>6</v>
      </c>
    </row>
    <row r="75" spans="1:22" ht="31" x14ac:dyDescent="0.35">
      <c r="A75" s="24"/>
      <c r="B75" s="623"/>
      <c r="C75" s="166" t="s">
        <v>97</v>
      </c>
      <c r="D75" s="202">
        <v>6500</v>
      </c>
      <c r="E75" s="177"/>
      <c r="F75" s="177"/>
      <c r="G75" s="248">
        <f t="shared" si="7"/>
        <v>6500</v>
      </c>
      <c r="H75" s="171">
        <v>0.4</v>
      </c>
      <c r="I75" s="177"/>
      <c r="J75" s="167" t="s">
        <v>80</v>
      </c>
      <c r="K75" s="181">
        <v>6</v>
      </c>
      <c r="L75" s="353"/>
      <c r="M75" s="623"/>
      <c r="N75" s="166" t="s">
        <v>97</v>
      </c>
      <c r="O75" s="202">
        <v>6500</v>
      </c>
      <c r="P75" s="177"/>
      <c r="Q75" s="177"/>
      <c r="R75" s="248">
        <f t="shared" si="8"/>
        <v>6500</v>
      </c>
      <c r="S75" s="171">
        <v>0.4</v>
      </c>
      <c r="T75" s="527">
        <v>6500</v>
      </c>
      <c r="U75" s="167" t="s">
        <v>80</v>
      </c>
      <c r="V75" s="181">
        <v>6</v>
      </c>
    </row>
    <row r="76" spans="1:22" ht="15.5" x14ac:dyDescent="0.35">
      <c r="A76" s="24"/>
      <c r="B76" s="623"/>
      <c r="C76" s="166"/>
      <c r="D76" s="202"/>
      <c r="E76" s="177"/>
      <c r="F76" s="177"/>
      <c r="G76" s="248">
        <f t="shared" si="7"/>
        <v>0</v>
      </c>
      <c r="H76" s="171"/>
      <c r="I76" s="177"/>
      <c r="J76" s="167"/>
      <c r="K76" s="181"/>
      <c r="L76" s="353"/>
      <c r="M76" s="623"/>
      <c r="N76" s="166"/>
      <c r="O76" s="202"/>
      <c r="P76" s="177"/>
      <c r="Q76" s="177"/>
      <c r="R76" s="248">
        <f t="shared" si="8"/>
        <v>0</v>
      </c>
      <c r="S76" s="171"/>
      <c r="T76" s="527"/>
      <c r="U76" s="167"/>
      <c r="V76" s="181"/>
    </row>
    <row r="77" spans="1:22" ht="15.5" x14ac:dyDescent="0.35">
      <c r="A77" s="24"/>
      <c r="B77" s="623"/>
      <c r="C77" s="166"/>
      <c r="D77" s="202"/>
      <c r="E77" s="177"/>
      <c r="F77" s="177"/>
      <c r="G77" s="248">
        <f t="shared" si="7"/>
        <v>0</v>
      </c>
      <c r="H77" s="171"/>
      <c r="I77" s="177"/>
      <c r="J77" s="167"/>
      <c r="K77" s="181"/>
      <c r="L77" s="353"/>
      <c r="M77" s="623"/>
      <c r="N77" s="166"/>
      <c r="O77" s="202"/>
      <c r="P77" s="177"/>
      <c r="Q77" s="177"/>
      <c r="R77" s="248">
        <f t="shared" si="8"/>
        <v>0</v>
      </c>
      <c r="S77" s="171"/>
      <c r="T77" s="527"/>
      <c r="U77" s="167"/>
      <c r="V77" s="181"/>
    </row>
    <row r="78" spans="1:22" ht="15.5" x14ac:dyDescent="0.35">
      <c r="A78" s="24"/>
      <c r="B78" s="624"/>
      <c r="C78" s="166"/>
      <c r="D78" s="202"/>
      <c r="E78" s="177"/>
      <c r="F78" s="177"/>
      <c r="G78" s="248">
        <f t="shared" si="7"/>
        <v>0</v>
      </c>
      <c r="H78" s="171"/>
      <c r="I78" s="177"/>
      <c r="J78" s="167"/>
      <c r="K78" s="181"/>
      <c r="L78" s="353"/>
      <c r="M78" s="624"/>
      <c r="N78" s="166"/>
      <c r="O78" s="202"/>
      <c r="P78" s="177"/>
      <c r="Q78" s="177"/>
      <c r="R78" s="248">
        <f t="shared" si="8"/>
        <v>0</v>
      </c>
      <c r="S78" s="171"/>
      <c r="T78" s="527"/>
      <c r="U78" s="167"/>
      <c r="V78" s="181"/>
    </row>
    <row r="79" spans="1:22" ht="30" customHeight="1" x14ac:dyDescent="0.35">
      <c r="A79" s="24"/>
      <c r="B79" s="622" t="s">
        <v>152</v>
      </c>
      <c r="C79" s="166" t="s">
        <v>153</v>
      </c>
      <c r="D79" s="202">
        <v>20000</v>
      </c>
      <c r="E79" s="177"/>
      <c r="F79" s="177"/>
      <c r="G79" s="248">
        <f t="shared" si="7"/>
        <v>20000</v>
      </c>
      <c r="H79" s="171">
        <v>0.3</v>
      </c>
      <c r="I79" s="177"/>
      <c r="J79" s="167" t="s">
        <v>154</v>
      </c>
      <c r="K79" s="181">
        <v>6</v>
      </c>
      <c r="L79" s="353"/>
      <c r="M79" s="622" t="s">
        <v>152</v>
      </c>
      <c r="N79" s="166" t="s">
        <v>153</v>
      </c>
      <c r="O79" s="202">
        <v>20000</v>
      </c>
      <c r="P79" s="177"/>
      <c r="Q79" s="177"/>
      <c r="R79" s="248">
        <f t="shared" si="8"/>
        <v>20000</v>
      </c>
      <c r="S79" s="171">
        <v>0.3</v>
      </c>
      <c r="T79" s="527">
        <v>20000</v>
      </c>
      <c r="U79" s="167" t="s">
        <v>154</v>
      </c>
      <c r="V79" s="181">
        <v>6</v>
      </c>
    </row>
    <row r="80" spans="1:22" ht="31" x14ac:dyDescent="0.35">
      <c r="A80" s="24"/>
      <c r="B80" s="623"/>
      <c r="C80" s="166" t="s">
        <v>155</v>
      </c>
      <c r="D80" s="202">
        <v>8000</v>
      </c>
      <c r="E80" s="177"/>
      <c r="F80" s="177"/>
      <c r="G80" s="248">
        <f t="shared" si="7"/>
        <v>8000</v>
      </c>
      <c r="H80" s="171">
        <v>0.3</v>
      </c>
      <c r="I80" s="177"/>
      <c r="J80" s="167" t="s">
        <v>156</v>
      </c>
      <c r="K80" s="181">
        <v>6</v>
      </c>
      <c r="L80" s="353"/>
      <c r="M80" s="623"/>
      <c r="N80" s="166" t="s">
        <v>155</v>
      </c>
      <c r="O80" s="202">
        <v>8000</v>
      </c>
      <c r="P80" s="177"/>
      <c r="Q80" s="177"/>
      <c r="R80" s="248">
        <f t="shared" si="8"/>
        <v>8000</v>
      </c>
      <c r="S80" s="171">
        <v>0.3</v>
      </c>
      <c r="T80" s="527">
        <v>8000</v>
      </c>
      <c r="U80" s="167" t="s">
        <v>156</v>
      </c>
      <c r="V80" s="181">
        <v>6</v>
      </c>
    </row>
    <row r="81" spans="1:22" ht="15.5" x14ac:dyDescent="0.35">
      <c r="A81" s="24"/>
      <c r="B81" s="623"/>
      <c r="C81" s="166"/>
      <c r="D81" s="202"/>
      <c r="E81" s="177"/>
      <c r="F81" s="177"/>
      <c r="G81" s="248">
        <f t="shared" si="7"/>
        <v>0</v>
      </c>
      <c r="H81" s="171"/>
      <c r="I81" s="177"/>
      <c r="J81" s="167"/>
      <c r="K81" s="181"/>
      <c r="L81" s="353"/>
      <c r="M81" s="623"/>
      <c r="N81" s="166"/>
      <c r="O81" s="202"/>
      <c r="P81" s="177"/>
      <c r="Q81" s="177"/>
      <c r="R81" s="248">
        <f t="shared" si="8"/>
        <v>0</v>
      </c>
      <c r="S81" s="171"/>
      <c r="T81" s="527"/>
      <c r="U81" s="167"/>
      <c r="V81" s="181"/>
    </row>
    <row r="82" spans="1:22" ht="15.5" x14ac:dyDescent="0.35">
      <c r="A82" s="24"/>
      <c r="B82" s="623"/>
      <c r="C82" s="166"/>
      <c r="D82" s="202"/>
      <c r="E82" s="177"/>
      <c r="F82" s="177"/>
      <c r="G82" s="248">
        <f t="shared" si="7"/>
        <v>0</v>
      </c>
      <c r="H82" s="171"/>
      <c r="I82" s="177"/>
      <c r="J82" s="167"/>
      <c r="K82" s="181"/>
      <c r="L82" s="353"/>
      <c r="M82" s="623"/>
      <c r="N82" s="166"/>
      <c r="O82" s="202"/>
      <c r="P82" s="177"/>
      <c r="Q82" s="177"/>
      <c r="R82" s="248">
        <f t="shared" si="8"/>
        <v>0</v>
      </c>
      <c r="S82" s="171"/>
      <c r="T82" s="527"/>
      <c r="U82" s="167"/>
      <c r="V82" s="181"/>
    </row>
    <row r="83" spans="1:22" ht="15.5" x14ac:dyDescent="0.35">
      <c r="A83" s="24"/>
      <c r="B83" s="624"/>
      <c r="C83" s="166"/>
      <c r="D83" s="202"/>
      <c r="E83" s="177"/>
      <c r="F83" s="177"/>
      <c r="G83" s="248">
        <f t="shared" si="7"/>
        <v>0</v>
      </c>
      <c r="H83" s="171"/>
      <c r="I83" s="177"/>
      <c r="J83" s="167"/>
      <c r="K83" s="181"/>
      <c r="L83" s="353"/>
      <c r="M83" s="624"/>
      <c r="N83" s="166"/>
      <c r="O83" s="202"/>
      <c r="P83" s="177"/>
      <c r="Q83" s="177"/>
      <c r="R83" s="248">
        <f t="shared" si="8"/>
        <v>0</v>
      </c>
      <c r="S83" s="171"/>
      <c r="T83" s="527"/>
      <c r="U83" s="167"/>
      <c r="V83" s="181"/>
    </row>
    <row r="84" spans="1:22" ht="31" x14ac:dyDescent="0.35">
      <c r="A84" s="24"/>
      <c r="B84" s="622" t="s">
        <v>157</v>
      </c>
      <c r="C84" s="166" t="s">
        <v>158</v>
      </c>
      <c r="D84" s="202">
        <v>10000</v>
      </c>
      <c r="E84" s="177"/>
      <c r="F84" s="177"/>
      <c r="G84" s="248">
        <f t="shared" si="7"/>
        <v>10000</v>
      </c>
      <c r="H84" s="171">
        <v>0.3</v>
      </c>
      <c r="I84" s="177"/>
      <c r="J84" s="167" t="s">
        <v>145</v>
      </c>
      <c r="K84" s="181">
        <v>6</v>
      </c>
      <c r="L84" s="353"/>
      <c r="M84" s="622" t="s">
        <v>157</v>
      </c>
      <c r="N84" s="166" t="s">
        <v>158</v>
      </c>
      <c r="O84" s="202">
        <v>10000</v>
      </c>
      <c r="P84" s="177"/>
      <c r="Q84" s="177"/>
      <c r="R84" s="248">
        <f t="shared" si="8"/>
        <v>10000</v>
      </c>
      <c r="S84" s="171">
        <v>0.3</v>
      </c>
      <c r="T84" s="527">
        <v>10000</v>
      </c>
      <c r="U84" s="167" t="s">
        <v>145</v>
      </c>
      <c r="V84" s="181">
        <v>6</v>
      </c>
    </row>
    <row r="85" spans="1:22" s="24" customFormat="1" ht="31" x14ac:dyDescent="0.35">
      <c r="B85" s="623"/>
      <c r="C85" s="166" t="s">
        <v>159</v>
      </c>
      <c r="D85" s="202">
        <v>2000</v>
      </c>
      <c r="E85" s="177"/>
      <c r="F85" s="177"/>
      <c r="G85" s="248">
        <f t="shared" si="7"/>
        <v>2000</v>
      </c>
      <c r="H85" s="171">
        <v>0.3</v>
      </c>
      <c r="I85" s="177"/>
      <c r="J85" s="167" t="s">
        <v>118</v>
      </c>
      <c r="K85" s="181">
        <v>6</v>
      </c>
      <c r="L85" s="353"/>
      <c r="M85" s="623"/>
      <c r="N85" s="166" t="s">
        <v>159</v>
      </c>
      <c r="O85" s="202">
        <v>2000</v>
      </c>
      <c r="P85" s="177"/>
      <c r="Q85" s="177"/>
      <c r="R85" s="248">
        <f t="shared" si="8"/>
        <v>2000</v>
      </c>
      <c r="S85" s="171">
        <v>0.3</v>
      </c>
      <c r="T85" s="527">
        <v>2000</v>
      </c>
      <c r="U85" s="167" t="s">
        <v>118</v>
      </c>
      <c r="V85" s="181">
        <v>6</v>
      </c>
    </row>
    <row r="86" spans="1:22" s="24" customFormat="1" ht="15.5" x14ac:dyDescent="0.35">
      <c r="B86" s="623"/>
      <c r="C86" s="166"/>
      <c r="D86" s="202"/>
      <c r="E86" s="177"/>
      <c r="F86" s="177"/>
      <c r="G86" s="248">
        <f t="shared" si="7"/>
        <v>0</v>
      </c>
      <c r="H86" s="171"/>
      <c r="I86" s="177"/>
      <c r="J86" s="167"/>
      <c r="K86" s="181"/>
      <c r="L86" s="353"/>
      <c r="M86" s="623"/>
      <c r="N86" s="166"/>
      <c r="O86" s="202"/>
      <c r="P86" s="177"/>
      <c r="Q86" s="177"/>
      <c r="R86" s="248">
        <f t="shared" si="8"/>
        <v>0</v>
      </c>
      <c r="S86" s="171"/>
      <c r="T86" s="527"/>
      <c r="U86" s="167"/>
      <c r="V86" s="181"/>
    </row>
    <row r="87" spans="1:22" s="24" customFormat="1" ht="15.5" x14ac:dyDescent="0.35">
      <c r="A87" s="23"/>
      <c r="B87" s="623"/>
      <c r="C87" s="245"/>
      <c r="D87" s="202"/>
      <c r="E87" s="177"/>
      <c r="F87" s="177"/>
      <c r="G87" s="248">
        <f t="shared" si="7"/>
        <v>0</v>
      </c>
      <c r="H87" s="250"/>
      <c r="I87" s="251"/>
      <c r="J87" s="170"/>
      <c r="K87" s="181"/>
      <c r="L87" s="353"/>
      <c r="M87" s="623"/>
      <c r="N87" s="245"/>
      <c r="O87" s="202"/>
      <c r="P87" s="177"/>
      <c r="Q87" s="177"/>
      <c r="R87" s="248">
        <f t="shared" si="8"/>
        <v>0</v>
      </c>
      <c r="S87" s="250"/>
      <c r="T87" s="527"/>
      <c r="U87" s="170"/>
      <c r="V87" s="181"/>
    </row>
    <row r="88" spans="1:22" s="24" customFormat="1" ht="15.5" x14ac:dyDescent="0.35">
      <c r="A88" s="23"/>
      <c r="B88" s="623"/>
      <c r="C88" s="245"/>
      <c r="D88" s="202"/>
      <c r="E88" s="177"/>
      <c r="F88" s="177"/>
      <c r="G88" s="248">
        <f t="shared" si="7"/>
        <v>0</v>
      </c>
      <c r="H88" s="250"/>
      <c r="I88" s="251"/>
      <c r="J88" s="170"/>
      <c r="K88" s="181"/>
      <c r="L88" s="353"/>
      <c r="M88" s="623"/>
      <c r="N88" s="245"/>
      <c r="O88" s="202"/>
      <c r="P88" s="177"/>
      <c r="Q88" s="177"/>
      <c r="R88" s="248">
        <f t="shared" si="8"/>
        <v>0</v>
      </c>
      <c r="S88" s="250"/>
      <c r="T88" s="527"/>
      <c r="U88" s="170"/>
      <c r="V88" s="181"/>
    </row>
    <row r="89" spans="1:22" s="24" customFormat="1" ht="31" customHeight="1" x14ac:dyDescent="0.35">
      <c r="A89" s="23"/>
      <c r="B89" s="662" t="s">
        <v>414</v>
      </c>
      <c r="C89" s="232" t="s">
        <v>415</v>
      </c>
      <c r="D89" s="233">
        <v>23000</v>
      </c>
      <c r="E89" s="234"/>
      <c r="F89" s="234"/>
      <c r="G89" s="235">
        <f t="shared" si="7"/>
        <v>23000</v>
      </c>
      <c r="H89" s="236">
        <v>0.5</v>
      </c>
      <c r="I89" s="358"/>
      <c r="J89" s="170"/>
      <c r="K89" s="229">
        <v>4</v>
      </c>
      <c r="L89" s="353"/>
      <c r="M89" s="662" t="s">
        <v>414</v>
      </c>
      <c r="N89" s="232" t="s">
        <v>415</v>
      </c>
      <c r="O89" s="233">
        <v>23000</v>
      </c>
      <c r="P89" s="234"/>
      <c r="Q89" s="234"/>
      <c r="R89" s="235">
        <f t="shared" si="8"/>
        <v>23000</v>
      </c>
      <c r="S89" s="236">
        <v>0.5</v>
      </c>
      <c r="T89" s="358">
        <v>23000</v>
      </c>
      <c r="U89" s="170"/>
      <c r="V89" s="229">
        <v>4</v>
      </c>
    </row>
    <row r="90" spans="1:22" s="24" customFormat="1" ht="31" x14ac:dyDescent="0.35">
      <c r="A90" s="23"/>
      <c r="B90" s="663"/>
      <c r="C90" s="232" t="s">
        <v>416</v>
      </c>
      <c r="D90" s="233">
        <v>16000</v>
      </c>
      <c r="E90" s="234"/>
      <c r="F90" s="234"/>
      <c r="G90" s="235">
        <f t="shared" si="7"/>
        <v>16000</v>
      </c>
      <c r="H90" s="236">
        <v>0.3</v>
      </c>
      <c r="I90" s="358"/>
      <c r="J90" s="170"/>
      <c r="K90" s="229">
        <v>4</v>
      </c>
      <c r="L90" s="353"/>
      <c r="M90" s="663"/>
      <c r="N90" s="232" t="s">
        <v>416</v>
      </c>
      <c r="O90" s="233">
        <v>16000</v>
      </c>
      <c r="P90" s="234"/>
      <c r="Q90" s="234"/>
      <c r="R90" s="235">
        <f t="shared" si="8"/>
        <v>16000</v>
      </c>
      <c r="S90" s="236">
        <v>0.3</v>
      </c>
      <c r="T90" s="358">
        <v>16000</v>
      </c>
      <c r="U90" s="170"/>
      <c r="V90" s="229">
        <v>4</v>
      </c>
    </row>
    <row r="91" spans="1:22" s="24" customFormat="1" ht="15.5" x14ac:dyDescent="0.35">
      <c r="A91" s="23"/>
      <c r="B91" s="663"/>
      <c r="C91" s="232" t="s">
        <v>417</v>
      </c>
      <c r="D91" s="233">
        <v>11000</v>
      </c>
      <c r="E91" s="234"/>
      <c r="F91" s="234"/>
      <c r="G91" s="235">
        <f t="shared" si="7"/>
        <v>11000</v>
      </c>
      <c r="H91" s="236">
        <v>0.5</v>
      </c>
      <c r="I91" s="358"/>
      <c r="J91" s="170"/>
      <c r="K91" s="229">
        <v>4</v>
      </c>
      <c r="L91" s="353"/>
      <c r="M91" s="663"/>
      <c r="N91" s="232" t="s">
        <v>417</v>
      </c>
      <c r="O91" s="233">
        <v>11000</v>
      </c>
      <c r="P91" s="234"/>
      <c r="Q91" s="234"/>
      <c r="R91" s="235">
        <f t="shared" si="8"/>
        <v>11000</v>
      </c>
      <c r="S91" s="236">
        <v>0.5</v>
      </c>
      <c r="T91" s="358"/>
      <c r="U91" s="170"/>
      <c r="V91" s="229">
        <v>4</v>
      </c>
    </row>
    <row r="92" spans="1:22" s="24" customFormat="1" ht="15.5" x14ac:dyDescent="0.35">
      <c r="A92" s="23"/>
      <c r="B92" s="663"/>
      <c r="C92" s="359"/>
      <c r="D92" s="233"/>
      <c r="E92" s="234"/>
      <c r="F92" s="234"/>
      <c r="G92" s="235">
        <f t="shared" si="7"/>
        <v>0</v>
      </c>
      <c r="H92" s="360"/>
      <c r="I92" s="358"/>
      <c r="J92" s="170"/>
      <c r="K92" s="181"/>
      <c r="L92" s="353"/>
      <c r="M92" s="663"/>
      <c r="N92" s="359"/>
      <c r="O92" s="233"/>
      <c r="P92" s="234"/>
      <c r="Q92" s="234"/>
      <c r="R92" s="235">
        <f t="shared" si="8"/>
        <v>0</v>
      </c>
      <c r="S92" s="360"/>
      <c r="T92" s="358"/>
      <c r="U92" s="170"/>
      <c r="V92" s="181"/>
    </row>
    <row r="93" spans="1:22" s="24" customFormat="1" ht="15.5" x14ac:dyDescent="0.35">
      <c r="A93" s="23"/>
      <c r="B93" s="664"/>
      <c r="C93" s="359"/>
      <c r="D93" s="233"/>
      <c r="E93" s="234"/>
      <c r="F93" s="234"/>
      <c r="G93" s="235"/>
      <c r="H93" s="360"/>
      <c r="I93" s="358"/>
      <c r="J93" s="170"/>
      <c r="K93" s="181"/>
      <c r="L93" s="353"/>
      <c r="M93" s="664"/>
      <c r="N93" s="359"/>
      <c r="O93" s="233"/>
      <c r="P93" s="234"/>
      <c r="Q93" s="234"/>
      <c r="R93" s="235">
        <f t="shared" si="8"/>
        <v>0</v>
      </c>
      <c r="S93" s="360"/>
      <c r="T93" s="358"/>
      <c r="U93" s="170"/>
      <c r="V93" s="181"/>
    </row>
    <row r="94" spans="1:22" s="24" customFormat="1" ht="31" x14ac:dyDescent="0.35">
      <c r="A94" s="23"/>
      <c r="B94" s="350"/>
      <c r="C94" s="245"/>
      <c r="D94" s="202"/>
      <c r="E94" s="177"/>
      <c r="F94" s="177"/>
      <c r="G94" s="248"/>
      <c r="H94" s="250"/>
      <c r="I94" s="251"/>
      <c r="J94" s="170"/>
      <c r="K94" s="181"/>
      <c r="L94" s="353"/>
      <c r="M94" s="657" t="s">
        <v>950</v>
      </c>
      <c r="N94" s="415" t="s">
        <v>418</v>
      </c>
      <c r="O94" s="225">
        <v>1000</v>
      </c>
      <c r="P94" s="226"/>
      <c r="Q94" s="226"/>
      <c r="R94" s="227">
        <f t="shared" si="8"/>
        <v>1000</v>
      </c>
      <c r="S94" s="367">
        <v>0.3</v>
      </c>
      <c r="T94" s="357">
        <v>1000</v>
      </c>
      <c r="U94" s="368"/>
      <c r="V94" s="229">
        <v>4</v>
      </c>
    </row>
    <row r="95" spans="1:22" s="24" customFormat="1" ht="15.5" x14ac:dyDescent="0.35">
      <c r="A95" s="23"/>
      <c r="B95" s="350"/>
      <c r="C95" s="245"/>
      <c r="D95" s="202"/>
      <c r="E95" s="177"/>
      <c r="F95" s="177"/>
      <c r="G95" s="248"/>
      <c r="H95" s="250"/>
      <c r="I95" s="251"/>
      <c r="J95" s="170"/>
      <c r="K95" s="181"/>
      <c r="L95" s="353"/>
      <c r="M95" s="655"/>
      <c r="N95" s="416" t="s">
        <v>419</v>
      </c>
      <c r="O95" s="225">
        <v>100000</v>
      </c>
      <c r="P95" s="226"/>
      <c r="Q95" s="226"/>
      <c r="R95" s="227">
        <f t="shared" si="8"/>
        <v>100000</v>
      </c>
      <c r="S95" s="367">
        <v>0.3</v>
      </c>
      <c r="T95" s="357">
        <v>18366</v>
      </c>
      <c r="U95" s="368"/>
      <c r="V95" s="229">
        <v>6</v>
      </c>
    </row>
    <row r="96" spans="1:22" s="24" customFormat="1" ht="15.5" x14ac:dyDescent="0.35">
      <c r="A96" s="23"/>
      <c r="B96" s="350"/>
      <c r="C96" s="245"/>
      <c r="D96" s="202"/>
      <c r="E96" s="177"/>
      <c r="F96" s="177"/>
      <c r="G96" s="248"/>
      <c r="H96" s="250"/>
      <c r="I96" s="251"/>
      <c r="J96" s="170"/>
      <c r="K96" s="181"/>
      <c r="L96" s="353"/>
      <c r="M96" s="655"/>
      <c r="N96" s="416" t="s">
        <v>420</v>
      </c>
      <c r="O96" s="225">
        <v>2000</v>
      </c>
      <c r="P96" s="226"/>
      <c r="Q96" s="226"/>
      <c r="R96" s="227">
        <f t="shared" si="8"/>
        <v>2000</v>
      </c>
      <c r="S96" s="367">
        <v>0.3</v>
      </c>
      <c r="T96" s="357"/>
      <c r="U96" s="368"/>
      <c r="V96" s="229">
        <v>7</v>
      </c>
    </row>
    <row r="97" spans="1:22" s="24" customFormat="1" ht="15.5" x14ac:dyDescent="0.35">
      <c r="A97" s="23"/>
      <c r="B97" s="350"/>
      <c r="C97" s="245"/>
      <c r="D97" s="202"/>
      <c r="E97" s="177"/>
      <c r="F97" s="177"/>
      <c r="G97" s="248"/>
      <c r="H97" s="250"/>
      <c r="I97" s="251"/>
      <c r="J97" s="170"/>
      <c r="K97" s="181"/>
      <c r="L97" s="353"/>
      <c r="M97" s="655"/>
      <c r="N97" s="416" t="s">
        <v>421</v>
      </c>
      <c r="O97" s="225">
        <v>15000</v>
      </c>
      <c r="P97" s="226"/>
      <c r="Q97" s="226"/>
      <c r="R97" s="227">
        <f>O97+P97+Q97</f>
        <v>15000</v>
      </c>
      <c r="S97" s="367">
        <v>0.3</v>
      </c>
      <c r="T97" s="357"/>
      <c r="U97" s="368"/>
      <c r="V97" s="229">
        <v>7</v>
      </c>
    </row>
    <row r="98" spans="1:22" s="24" customFormat="1" ht="15.5" x14ac:dyDescent="0.35">
      <c r="A98" s="23"/>
      <c r="B98" s="350"/>
      <c r="C98" s="245"/>
      <c r="D98" s="202"/>
      <c r="E98" s="177"/>
      <c r="F98" s="177"/>
      <c r="G98" s="248"/>
      <c r="H98" s="250"/>
      <c r="I98" s="251"/>
      <c r="J98" s="170"/>
      <c r="K98" s="181"/>
      <c r="L98" s="353"/>
      <c r="M98" s="656"/>
      <c r="N98" s="416" t="s">
        <v>422</v>
      </c>
      <c r="O98" s="225">
        <v>3500</v>
      </c>
      <c r="P98" s="226"/>
      <c r="Q98" s="226"/>
      <c r="R98" s="227">
        <f t="shared" si="8"/>
        <v>3500</v>
      </c>
      <c r="S98" s="367">
        <v>0.5</v>
      </c>
      <c r="T98" s="357"/>
      <c r="U98" s="368"/>
      <c r="V98" s="229">
        <v>4</v>
      </c>
    </row>
    <row r="99" spans="1:22" s="24" customFormat="1" ht="15.5" x14ac:dyDescent="0.35">
      <c r="A99" s="23"/>
      <c r="B99" s="350"/>
      <c r="C99" s="245"/>
      <c r="D99" s="202"/>
      <c r="E99" s="177"/>
      <c r="F99" s="177"/>
      <c r="G99" s="248"/>
      <c r="H99" s="250"/>
      <c r="I99" s="251"/>
      <c r="J99" s="170"/>
      <c r="K99" s="181"/>
      <c r="L99" s="353"/>
      <c r="M99" s="355"/>
      <c r="N99" s="245"/>
      <c r="O99" s="225"/>
      <c r="P99" s="226"/>
      <c r="Q99" s="226"/>
      <c r="R99" s="227">
        <f t="shared" si="8"/>
        <v>0</v>
      </c>
      <c r="S99" s="367"/>
      <c r="T99" s="357"/>
      <c r="U99" s="368"/>
      <c r="V99" s="229"/>
    </row>
    <row r="100" spans="1:22" s="24" customFormat="1" ht="15.5" x14ac:dyDescent="0.35">
      <c r="A100" s="23"/>
      <c r="B100" s="350"/>
      <c r="C100" s="245"/>
      <c r="D100" s="202"/>
      <c r="E100" s="177"/>
      <c r="F100" s="177"/>
      <c r="G100" s="248"/>
      <c r="H100" s="250"/>
      <c r="I100" s="251"/>
      <c r="J100" s="170"/>
      <c r="K100" s="181"/>
      <c r="L100" s="353"/>
      <c r="M100" s="355"/>
      <c r="N100" s="245"/>
      <c r="O100" s="225"/>
      <c r="P100" s="226"/>
      <c r="Q100" s="226"/>
      <c r="R100" s="227">
        <f t="shared" si="8"/>
        <v>0</v>
      </c>
      <c r="S100" s="367"/>
      <c r="T100" s="357"/>
      <c r="U100" s="368"/>
      <c r="V100" s="229"/>
    </row>
    <row r="101" spans="1:22" s="24" customFormat="1" ht="15.5" x14ac:dyDescent="0.35">
      <c r="A101" s="23"/>
      <c r="B101" s="350"/>
      <c r="C101" s="245"/>
      <c r="D101" s="202"/>
      <c r="E101" s="177"/>
      <c r="F101" s="177"/>
      <c r="G101" s="248"/>
      <c r="H101" s="250"/>
      <c r="I101" s="251"/>
      <c r="J101" s="170"/>
      <c r="K101" s="181"/>
      <c r="L101" s="353"/>
      <c r="M101" s="355"/>
      <c r="N101" s="245"/>
      <c r="O101" s="225"/>
      <c r="P101" s="226"/>
      <c r="Q101" s="226"/>
      <c r="R101" s="227">
        <f t="shared" si="8"/>
        <v>0</v>
      </c>
      <c r="S101" s="367"/>
      <c r="T101" s="357"/>
      <c r="U101" s="368"/>
      <c r="V101" s="229"/>
    </row>
    <row r="102" spans="1:22" ht="15.5" x14ac:dyDescent="0.35">
      <c r="B102" s="355"/>
      <c r="C102" s="245"/>
      <c r="D102" s="202"/>
      <c r="E102" s="177"/>
      <c r="F102" s="177"/>
      <c r="G102" s="248">
        <f t="shared" si="7"/>
        <v>0</v>
      </c>
      <c r="H102" s="250"/>
      <c r="I102" s="251"/>
      <c r="J102" s="170"/>
      <c r="K102" s="181"/>
      <c r="L102" s="353"/>
      <c r="M102" s="355"/>
      <c r="N102" s="245"/>
      <c r="O102" s="225"/>
      <c r="P102" s="226"/>
      <c r="Q102" s="226"/>
      <c r="R102" s="227">
        <f t="shared" ref="R102" si="9">O102+P102+Q102</f>
        <v>0</v>
      </c>
      <c r="S102" s="367"/>
      <c r="T102" s="357"/>
      <c r="U102" s="368"/>
      <c r="V102" s="229"/>
    </row>
    <row r="103" spans="1:22" ht="15.5" x14ac:dyDescent="0.35">
      <c r="C103" s="73" t="s">
        <v>160</v>
      </c>
      <c r="D103" s="364">
        <f>SUM(D64:D102)</f>
        <v>217430.69</v>
      </c>
      <c r="E103" s="365">
        <f>SUM(E64:E102)</f>
        <v>0</v>
      </c>
      <c r="F103" s="365">
        <f>SUM(F64:F102)</f>
        <v>0</v>
      </c>
      <c r="G103" s="366">
        <f>SUM(G64:G102)</f>
        <v>217430.69</v>
      </c>
      <c r="H103" s="366" t="e">
        <f>(H64*G64)+(H65*G65)+(H66*G66)+(H67*G67)+(H68*G68)+(H69*G69)+(H70*G70)+(H71*G71)+(H72*G72)+(H73*G73)+(H74*G74)+(H75*G75)+(H76*G76)+(H77*G77)+(H78*G78)+(H79*G79)+(H80*G80)+(H81*G81)+(H82*G82)+(H83*G83)+(H84*G84)+(H85*G85)+(H86*G86)+(H87*G87)+(H88*G88)+(H89*G89)+(H90*G90)+(H91*G91)+(H92*G92)+(G93*H93)+(#REF!*#REF!)+(#REF!*#REF!)+(G98*H98)+(G99*H99)+(G100*H100)+(G101*H101)+(H102*G102)</f>
        <v>#REF!</v>
      </c>
      <c r="I103" s="366">
        <f>SUM(I64:I102)</f>
        <v>0</v>
      </c>
      <c r="J103" s="170"/>
      <c r="K103" s="182"/>
      <c r="L103" s="353"/>
      <c r="N103" s="73" t="s">
        <v>160</v>
      </c>
      <c r="O103" s="230">
        <f>SUM(O64:O102)</f>
        <v>338930.69</v>
      </c>
      <c r="P103" s="238">
        <f>SUM(P64:P102)</f>
        <v>0</v>
      </c>
      <c r="Q103" s="238">
        <f>SUM(Q64:Q102)</f>
        <v>0</v>
      </c>
      <c r="R103" s="231">
        <f>SUM(R64:R102)</f>
        <v>338930.69</v>
      </c>
      <c r="S103" s="231">
        <f>(S64*R64)+(S65*R65)+(S66*R66)+(S67*R67)+(S68*R68)+(S69*R69)+(S70*R70)+(S71*R71)+(S72*R72)+(S73*R73)+(S74*R74)+(S75*R75)+(S76*R76)+(S77*R77)+(S78*R78)+(S79*R79)+(S80*R80)+(S81*R81)+(S82*R82)+(S83*R83)+(S84*R84)+(S85*R85)+(S86*R86)+(S87*R87)+(S88*R88)+(S89*R89)+(S90*R90)+(S91*R91)+(S92*R92)+(R93*S93)+(R98*S98)+(R99*S99)+(R100*S100)+(R101*S101)+(S102*R102)</f>
        <v>81022.275999999998</v>
      </c>
      <c r="T103" s="231">
        <f>SUM(T64:T102)</f>
        <v>225366</v>
      </c>
      <c r="U103" s="170"/>
      <c r="V103" s="182"/>
    </row>
    <row r="104" spans="1:22" ht="36" hidden="1" customHeight="1" x14ac:dyDescent="0.35">
      <c r="B104" s="72" t="s">
        <v>161</v>
      </c>
      <c r="C104" s="630"/>
      <c r="D104" s="630"/>
      <c r="E104" s="630"/>
      <c r="F104" s="630"/>
      <c r="G104" s="630"/>
      <c r="H104" s="630"/>
      <c r="I104" s="631"/>
      <c r="J104" s="630"/>
      <c r="K104" s="183"/>
      <c r="L104" s="353"/>
      <c r="M104" s="72" t="s">
        <v>161</v>
      </c>
      <c r="N104" s="630"/>
      <c r="O104" s="630"/>
      <c r="P104" s="630"/>
      <c r="Q104" s="630"/>
      <c r="R104" s="630"/>
      <c r="S104" s="630"/>
      <c r="T104" s="631"/>
      <c r="U104" s="630"/>
      <c r="V104" s="183"/>
    </row>
    <row r="105" spans="1:22" ht="15.5" hidden="1" x14ac:dyDescent="0.35">
      <c r="B105" s="622" t="s">
        <v>162</v>
      </c>
      <c r="C105" s="166"/>
      <c r="D105" s="202"/>
      <c r="E105" s="177"/>
      <c r="F105" s="177"/>
      <c r="G105" s="248">
        <f>D105+E105+F105</f>
        <v>0</v>
      </c>
      <c r="H105" s="171"/>
      <c r="I105" s="177"/>
      <c r="J105" s="167"/>
      <c r="K105" s="181"/>
      <c r="L105" s="353"/>
      <c r="M105" s="622" t="s">
        <v>162</v>
      </c>
      <c r="N105" s="166"/>
      <c r="O105" s="202"/>
      <c r="P105" s="177"/>
      <c r="Q105" s="177"/>
      <c r="R105" s="248">
        <f>O105+P105+Q105</f>
        <v>0</v>
      </c>
      <c r="S105" s="171"/>
      <c r="T105" s="177"/>
      <c r="U105" s="167"/>
      <c r="V105" s="181"/>
    </row>
    <row r="106" spans="1:22" ht="15.5" hidden="1" x14ac:dyDescent="0.35">
      <c r="B106" s="623"/>
      <c r="C106" s="166"/>
      <c r="D106" s="202"/>
      <c r="E106" s="177"/>
      <c r="F106" s="177"/>
      <c r="G106" s="248">
        <f t="shared" ref="G106:G114" si="10">D106+E106+F106</f>
        <v>0</v>
      </c>
      <c r="H106" s="171"/>
      <c r="I106" s="177"/>
      <c r="J106" s="167"/>
      <c r="K106" s="181"/>
      <c r="L106" s="353"/>
      <c r="M106" s="623"/>
      <c r="N106" s="166"/>
      <c r="O106" s="202"/>
      <c r="P106" s="177"/>
      <c r="Q106" s="177"/>
      <c r="R106" s="248">
        <f t="shared" ref="R106:R114" si="11">O106+P106+Q106</f>
        <v>0</v>
      </c>
      <c r="S106" s="171"/>
      <c r="T106" s="177"/>
      <c r="U106" s="167"/>
      <c r="V106" s="181"/>
    </row>
    <row r="107" spans="1:22" ht="15.5" hidden="1" x14ac:dyDescent="0.35">
      <c r="B107" s="623"/>
      <c r="C107" s="166"/>
      <c r="D107" s="202"/>
      <c r="E107" s="177"/>
      <c r="F107" s="177"/>
      <c r="G107" s="248">
        <f t="shared" si="10"/>
        <v>0</v>
      </c>
      <c r="H107" s="171"/>
      <c r="I107" s="177"/>
      <c r="J107" s="167"/>
      <c r="K107" s="181"/>
      <c r="L107" s="353"/>
      <c r="M107" s="623"/>
      <c r="N107" s="166"/>
      <c r="O107" s="202"/>
      <c r="P107" s="177"/>
      <c r="Q107" s="177"/>
      <c r="R107" s="248">
        <f t="shared" si="11"/>
        <v>0</v>
      </c>
      <c r="S107" s="171"/>
      <c r="T107" s="177"/>
      <c r="U107" s="167"/>
      <c r="V107" s="181"/>
    </row>
    <row r="108" spans="1:22" ht="15.5" hidden="1" x14ac:dyDescent="0.35">
      <c r="B108" s="623"/>
      <c r="C108" s="166"/>
      <c r="D108" s="202"/>
      <c r="E108" s="177"/>
      <c r="F108" s="177"/>
      <c r="G108" s="248">
        <f t="shared" si="10"/>
        <v>0</v>
      </c>
      <c r="H108" s="171"/>
      <c r="I108" s="177"/>
      <c r="J108" s="167"/>
      <c r="K108" s="181"/>
      <c r="L108" s="353"/>
      <c r="M108" s="623"/>
      <c r="N108" s="166"/>
      <c r="O108" s="202"/>
      <c r="P108" s="177"/>
      <c r="Q108" s="177"/>
      <c r="R108" s="248">
        <f t="shared" si="11"/>
        <v>0</v>
      </c>
      <c r="S108" s="171"/>
      <c r="T108" s="177"/>
      <c r="U108" s="167"/>
      <c r="V108" s="181"/>
    </row>
    <row r="109" spans="1:22" ht="15.5" hidden="1" x14ac:dyDescent="0.35">
      <c r="B109" s="624"/>
      <c r="C109" s="166"/>
      <c r="D109" s="202"/>
      <c r="E109" s="177"/>
      <c r="F109" s="177"/>
      <c r="G109" s="248">
        <f t="shared" si="10"/>
        <v>0</v>
      </c>
      <c r="H109" s="171"/>
      <c r="I109" s="177"/>
      <c r="J109" s="167"/>
      <c r="K109" s="181"/>
      <c r="L109" s="353"/>
      <c r="M109" s="624"/>
      <c r="N109" s="166"/>
      <c r="O109" s="202"/>
      <c r="P109" s="177"/>
      <c r="Q109" s="177"/>
      <c r="R109" s="248">
        <f t="shared" si="11"/>
        <v>0</v>
      </c>
      <c r="S109" s="171"/>
      <c r="T109" s="177"/>
      <c r="U109" s="167"/>
      <c r="V109" s="181"/>
    </row>
    <row r="110" spans="1:22" ht="15.5" hidden="1" x14ac:dyDescent="0.35">
      <c r="B110" s="622" t="s">
        <v>163</v>
      </c>
      <c r="C110" s="166"/>
      <c r="D110" s="202"/>
      <c r="E110" s="177"/>
      <c r="F110" s="177"/>
      <c r="G110" s="248">
        <f t="shared" si="10"/>
        <v>0</v>
      </c>
      <c r="H110" s="171"/>
      <c r="I110" s="177"/>
      <c r="J110" s="167"/>
      <c r="K110" s="181"/>
      <c r="L110" s="353"/>
      <c r="M110" s="622" t="s">
        <v>163</v>
      </c>
      <c r="N110" s="166"/>
      <c r="O110" s="202"/>
      <c r="P110" s="177"/>
      <c r="Q110" s="177"/>
      <c r="R110" s="248">
        <f t="shared" si="11"/>
        <v>0</v>
      </c>
      <c r="S110" s="171"/>
      <c r="T110" s="177"/>
      <c r="U110" s="167"/>
      <c r="V110" s="181"/>
    </row>
    <row r="111" spans="1:22" ht="15.5" hidden="1" x14ac:dyDescent="0.35">
      <c r="B111" s="623"/>
      <c r="C111" s="166"/>
      <c r="D111" s="202"/>
      <c r="E111" s="177"/>
      <c r="F111" s="177"/>
      <c r="G111" s="248">
        <f t="shared" si="10"/>
        <v>0</v>
      </c>
      <c r="H111" s="171"/>
      <c r="I111" s="177"/>
      <c r="J111" s="167"/>
      <c r="K111" s="181"/>
      <c r="L111" s="353"/>
      <c r="M111" s="623"/>
      <c r="N111" s="166"/>
      <c r="O111" s="202"/>
      <c r="P111" s="177"/>
      <c r="Q111" s="177"/>
      <c r="R111" s="248">
        <f t="shared" si="11"/>
        <v>0</v>
      </c>
      <c r="S111" s="171"/>
      <c r="T111" s="177"/>
      <c r="U111" s="167"/>
      <c r="V111" s="181"/>
    </row>
    <row r="112" spans="1:22" ht="15.5" hidden="1" x14ac:dyDescent="0.35">
      <c r="B112" s="623"/>
      <c r="C112" s="166"/>
      <c r="D112" s="202"/>
      <c r="E112" s="177"/>
      <c r="F112" s="177"/>
      <c r="G112" s="248">
        <f t="shared" si="10"/>
        <v>0</v>
      </c>
      <c r="H112" s="171"/>
      <c r="I112" s="177"/>
      <c r="J112" s="167"/>
      <c r="K112" s="181"/>
      <c r="L112" s="353"/>
      <c r="M112" s="623"/>
      <c r="N112" s="166"/>
      <c r="O112" s="202"/>
      <c r="P112" s="177"/>
      <c r="Q112" s="177"/>
      <c r="R112" s="248">
        <f t="shared" si="11"/>
        <v>0</v>
      </c>
      <c r="S112" s="171"/>
      <c r="T112" s="177"/>
      <c r="U112" s="167"/>
      <c r="V112" s="181"/>
    </row>
    <row r="113" spans="2:23" ht="15.5" hidden="1" x14ac:dyDescent="0.35">
      <c r="B113" s="623"/>
      <c r="C113" s="166"/>
      <c r="D113" s="202"/>
      <c r="E113" s="177"/>
      <c r="F113" s="177"/>
      <c r="G113" s="248">
        <f t="shared" si="10"/>
        <v>0</v>
      </c>
      <c r="H113" s="171"/>
      <c r="I113" s="177"/>
      <c r="J113" s="167"/>
      <c r="K113" s="181"/>
      <c r="L113" s="353"/>
      <c r="M113" s="623"/>
      <c r="N113" s="166"/>
      <c r="O113" s="202"/>
      <c r="P113" s="177"/>
      <c r="Q113" s="177"/>
      <c r="R113" s="248">
        <f t="shared" si="11"/>
        <v>0</v>
      </c>
      <c r="S113" s="171"/>
      <c r="T113" s="177"/>
      <c r="U113" s="167"/>
      <c r="V113" s="181"/>
    </row>
    <row r="114" spans="2:23" ht="15.5" hidden="1" x14ac:dyDescent="0.35">
      <c r="B114" s="624"/>
      <c r="C114" s="166"/>
      <c r="D114" s="202"/>
      <c r="E114" s="177"/>
      <c r="F114" s="177"/>
      <c r="G114" s="248">
        <f t="shared" si="10"/>
        <v>0</v>
      </c>
      <c r="H114" s="171"/>
      <c r="I114" s="177"/>
      <c r="J114" s="167"/>
      <c r="K114" s="181"/>
      <c r="L114" s="353"/>
      <c r="M114" s="624"/>
      <c r="N114" s="166"/>
      <c r="O114" s="202"/>
      <c r="P114" s="177"/>
      <c r="Q114" s="177"/>
      <c r="R114" s="248">
        <f t="shared" si="11"/>
        <v>0</v>
      </c>
      <c r="S114" s="171"/>
      <c r="T114" s="177"/>
      <c r="U114" s="167"/>
      <c r="V114" s="181"/>
    </row>
    <row r="115" spans="2:23" ht="15.5" hidden="1" x14ac:dyDescent="0.35">
      <c r="C115" s="73" t="s">
        <v>164</v>
      </c>
      <c r="D115" s="201">
        <f>SUM(D105:D114)</f>
        <v>0</v>
      </c>
      <c r="E115" s="10">
        <f>SUM(E105:E114)</f>
        <v>0</v>
      </c>
      <c r="F115" s="10">
        <f>SUM(F105:F114)</f>
        <v>0</v>
      </c>
      <c r="G115" s="10">
        <f>SUM(G105:G114)</f>
        <v>0</v>
      </c>
      <c r="H115" s="10">
        <f>(H105*G105)+(H106*G106)+(H107*G107)+(H108*G108)+(H109*G109)+(H110*G110)+(H111*G111)+(H112*G112)+(H113*G113)+(H114*G114)</f>
        <v>0</v>
      </c>
      <c r="I115" s="10">
        <f>SUM(I105:I114)</f>
        <v>0</v>
      </c>
      <c r="J115" s="170"/>
      <c r="K115" s="182"/>
      <c r="L115" s="353"/>
      <c r="N115" s="73" t="s">
        <v>164</v>
      </c>
      <c r="O115" s="201">
        <f>SUM(O105:O114)</f>
        <v>0</v>
      </c>
      <c r="P115" s="10">
        <f>SUM(P105:P114)</f>
        <v>0</v>
      </c>
      <c r="Q115" s="10">
        <f>SUM(Q105:Q114)</f>
        <v>0</v>
      </c>
      <c r="R115" s="10">
        <f>SUM(R105:R114)</f>
        <v>0</v>
      </c>
      <c r="S115" s="10">
        <f>(S105*R105)+(S106*R106)+(S107*R107)+(S108*R108)+(S109*R109)+(S110*R110)+(S111*R111)+(S112*R112)+(S113*R113)+(S114*R114)</f>
        <v>0</v>
      </c>
      <c r="T115" s="10">
        <f>SUM(T105:T114)</f>
        <v>0</v>
      </c>
      <c r="U115" s="170"/>
      <c r="V115" s="182"/>
    </row>
    <row r="116" spans="2:23" ht="15.5" hidden="1" x14ac:dyDescent="0.35">
      <c r="B116" s="252"/>
      <c r="C116" s="253"/>
      <c r="D116" s="254"/>
      <c r="E116" s="255"/>
      <c r="F116" s="255"/>
      <c r="G116" s="255"/>
      <c r="H116" s="255"/>
      <c r="I116" s="255"/>
      <c r="J116" s="255"/>
      <c r="K116" s="184"/>
      <c r="L116" s="353"/>
      <c r="M116" s="252"/>
      <c r="N116" s="253"/>
      <c r="O116" s="254"/>
      <c r="P116" s="255"/>
      <c r="Q116" s="255"/>
      <c r="R116" s="255"/>
      <c r="S116" s="255"/>
      <c r="T116" s="255"/>
      <c r="U116" s="255"/>
      <c r="V116" s="184"/>
    </row>
    <row r="117" spans="2:23" ht="15.5" x14ac:dyDescent="0.35">
      <c r="B117" s="73" t="s">
        <v>165</v>
      </c>
      <c r="C117" s="634" t="s">
        <v>166</v>
      </c>
      <c r="D117" s="634"/>
      <c r="E117" s="634"/>
      <c r="F117" s="634"/>
      <c r="G117" s="634"/>
      <c r="H117" s="634"/>
      <c r="I117" s="635"/>
      <c r="J117" s="634"/>
      <c r="K117" s="185"/>
      <c r="L117" s="353"/>
      <c r="M117" s="73" t="s">
        <v>165</v>
      </c>
      <c r="N117" s="634" t="s">
        <v>166</v>
      </c>
      <c r="O117" s="634"/>
      <c r="P117" s="634"/>
      <c r="Q117" s="634"/>
      <c r="R117" s="634"/>
      <c r="S117" s="634"/>
      <c r="T117" s="635"/>
      <c r="U117" s="634"/>
      <c r="V117" s="185"/>
    </row>
    <row r="118" spans="2:23" ht="15.5" x14ac:dyDescent="0.35">
      <c r="B118" s="72" t="s">
        <v>17</v>
      </c>
      <c r="C118" s="630" t="s">
        <v>167</v>
      </c>
      <c r="D118" s="630"/>
      <c r="E118" s="630"/>
      <c r="F118" s="630"/>
      <c r="G118" s="630"/>
      <c r="H118" s="630"/>
      <c r="I118" s="631"/>
      <c r="J118" s="630"/>
      <c r="K118" s="183"/>
      <c r="L118" s="353"/>
      <c r="M118" s="72" t="s">
        <v>17</v>
      </c>
      <c r="N118" s="630" t="s">
        <v>167</v>
      </c>
      <c r="O118" s="630"/>
      <c r="P118" s="630"/>
      <c r="Q118" s="630"/>
      <c r="R118" s="630"/>
      <c r="S118" s="630"/>
      <c r="T118" s="631"/>
      <c r="U118" s="630"/>
      <c r="V118" s="183"/>
    </row>
    <row r="119" spans="2:23" ht="46.5" customHeight="1" x14ac:dyDescent="0.35">
      <c r="B119" s="622" t="s">
        <v>168</v>
      </c>
      <c r="C119" s="166" t="s">
        <v>169</v>
      </c>
      <c r="D119" s="202"/>
      <c r="E119" s="177">
        <v>28000</v>
      </c>
      <c r="F119" s="177"/>
      <c r="G119" s="248">
        <f>D119+E119+F119</f>
        <v>28000</v>
      </c>
      <c r="H119" s="171">
        <v>0.4</v>
      </c>
      <c r="I119" s="177"/>
      <c r="J119" s="167" t="s">
        <v>170</v>
      </c>
      <c r="K119" s="181">
        <v>4</v>
      </c>
      <c r="L119" s="353"/>
      <c r="M119" s="622" t="s">
        <v>168</v>
      </c>
      <c r="N119" s="166" t="s">
        <v>169</v>
      </c>
      <c r="O119" s="202"/>
      <c r="P119" s="226">
        <v>79000</v>
      </c>
      <c r="Q119" s="177"/>
      <c r="R119" s="248">
        <f>O119+P119+Q119</f>
        <v>79000</v>
      </c>
      <c r="S119" s="171">
        <v>0.4</v>
      </c>
      <c r="T119" s="537">
        <v>79000</v>
      </c>
      <c r="U119" s="167" t="s">
        <v>170</v>
      </c>
      <c r="V119" s="181">
        <v>4</v>
      </c>
    </row>
    <row r="120" spans="2:23" ht="15.5" x14ac:dyDescent="0.35">
      <c r="B120" s="623"/>
      <c r="C120" s="166" t="s">
        <v>171</v>
      </c>
      <c r="D120" s="202"/>
      <c r="E120" s="177">
        <v>2000</v>
      </c>
      <c r="F120" s="177"/>
      <c r="G120" s="248">
        <f t="shared" ref="G120:G256" si="12">D120+E120+F120</f>
        <v>2000</v>
      </c>
      <c r="H120" s="171">
        <v>0.4</v>
      </c>
      <c r="I120" s="177"/>
      <c r="J120" s="167" t="s">
        <v>172</v>
      </c>
      <c r="K120" s="181">
        <v>4</v>
      </c>
      <c r="L120" s="353"/>
      <c r="M120" s="623"/>
      <c r="N120" s="166" t="s">
        <v>171</v>
      </c>
      <c r="O120" s="202"/>
      <c r="P120" s="234">
        <v>2000</v>
      </c>
      <c r="Q120" s="177"/>
      <c r="R120" s="248">
        <f t="shared" ref="R120:R203" si="13">O120+P120+Q120</f>
        <v>2000</v>
      </c>
      <c r="S120" s="171">
        <v>0.4</v>
      </c>
      <c r="T120" s="528">
        <v>2000</v>
      </c>
      <c r="U120" s="167" t="s">
        <v>172</v>
      </c>
      <c r="V120" s="181">
        <v>4</v>
      </c>
    </row>
    <row r="121" spans="2:23" ht="152.5" customHeight="1" x14ac:dyDescent="0.35">
      <c r="B121" s="623"/>
      <c r="C121" s="166" t="s">
        <v>173</v>
      </c>
      <c r="D121" s="202"/>
      <c r="E121" s="177">
        <v>5000</v>
      </c>
      <c r="F121" s="177"/>
      <c r="G121" s="248">
        <f t="shared" si="12"/>
        <v>5000</v>
      </c>
      <c r="H121" s="171">
        <v>0.4</v>
      </c>
      <c r="I121" s="177"/>
      <c r="J121" s="167" t="s">
        <v>174</v>
      </c>
      <c r="K121" s="181">
        <v>4</v>
      </c>
      <c r="L121" s="353"/>
      <c r="M121" s="623"/>
      <c r="N121" s="166" t="s">
        <v>173</v>
      </c>
      <c r="O121" s="202"/>
      <c r="P121" s="177">
        <v>100000</v>
      </c>
      <c r="Q121" s="177"/>
      <c r="R121" s="248">
        <f t="shared" si="13"/>
        <v>100000</v>
      </c>
      <c r="S121" s="171">
        <v>0.4</v>
      </c>
      <c r="T121" s="537">
        <v>100000</v>
      </c>
      <c r="U121" s="167" t="s">
        <v>174</v>
      </c>
      <c r="V121" s="181">
        <v>4</v>
      </c>
      <c r="W121" s="540" t="s">
        <v>953</v>
      </c>
    </row>
    <row r="122" spans="2:23" ht="15.5" x14ac:dyDescent="0.35">
      <c r="B122" s="623"/>
      <c r="C122" s="166"/>
      <c r="D122" s="202"/>
      <c r="E122" s="177"/>
      <c r="F122" s="177"/>
      <c r="G122" s="248">
        <f t="shared" si="12"/>
        <v>0</v>
      </c>
      <c r="H122" s="171"/>
      <c r="I122" s="177"/>
      <c r="J122" s="167"/>
      <c r="K122" s="181"/>
      <c r="L122" s="353"/>
      <c r="M122" s="623"/>
      <c r="N122" s="166"/>
      <c r="O122" s="202"/>
      <c r="P122" s="177"/>
      <c r="Q122" s="177"/>
      <c r="R122" s="248">
        <f t="shared" si="13"/>
        <v>0</v>
      </c>
      <c r="S122" s="171"/>
      <c r="T122" s="529"/>
      <c r="U122" s="167"/>
      <c r="V122" s="181"/>
    </row>
    <row r="123" spans="2:23" ht="15.5" x14ac:dyDescent="0.35">
      <c r="B123" s="624"/>
      <c r="C123" s="166"/>
      <c r="D123" s="202"/>
      <c r="E123" s="177"/>
      <c r="F123" s="177"/>
      <c r="G123" s="248">
        <f t="shared" si="12"/>
        <v>0</v>
      </c>
      <c r="H123" s="171"/>
      <c r="I123" s="177"/>
      <c r="J123" s="167"/>
      <c r="K123" s="181"/>
      <c r="L123" s="353"/>
      <c r="M123" s="624"/>
      <c r="N123" s="166"/>
      <c r="O123" s="202"/>
      <c r="P123" s="177"/>
      <c r="Q123" s="177"/>
      <c r="R123" s="248">
        <f t="shared" si="13"/>
        <v>0</v>
      </c>
      <c r="S123" s="171"/>
      <c r="T123" s="529"/>
      <c r="U123" s="167"/>
      <c r="V123" s="181"/>
    </row>
    <row r="124" spans="2:23" ht="15.5" x14ac:dyDescent="0.35">
      <c r="B124" s="622" t="s">
        <v>175</v>
      </c>
      <c r="C124" s="166" t="s">
        <v>176</v>
      </c>
      <c r="D124" s="202"/>
      <c r="E124" s="177">
        <v>20000</v>
      </c>
      <c r="F124" s="177"/>
      <c r="G124" s="248">
        <f t="shared" si="12"/>
        <v>20000</v>
      </c>
      <c r="H124" s="171">
        <v>0.4</v>
      </c>
      <c r="I124" s="177"/>
      <c r="J124" s="167" t="s">
        <v>177</v>
      </c>
      <c r="K124" s="181">
        <v>6</v>
      </c>
      <c r="L124" s="353"/>
      <c r="M124" s="622" t="s">
        <v>175</v>
      </c>
      <c r="N124" s="166" t="s">
        <v>176</v>
      </c>
      <c r="O124" s="202"/>
      <c r="P124" s="177">
        <v>20000</v>
      </c>
      <c r="Q124" s="177"/>
      <c r="R124" s="248">
        <f t="shared" si="13"/>
        <v>20000</v>
      </c>
      <c r="S124" s="171">
        <v>0.4</v>
      </c>
      <c r="T124" s="529">
        <v>20000</v>
      </c>
      <c r="U124" s="167" t="s">
        <v>177</v>
      </c>
      <c r="V124" s="181">
        <v>6</v>
      </c>
    </row>
    <row r="125" spans="2:23" ht="48" customHeight="1" x14ac:dyDescent="0.35">
      <c r="B125" s="623"/>
      <c r="C125" s="166" t="s">
        <v>178</v>
      </c>
      <c r="D125" s="202"/>
      <c r="E125" s="177">
        <v>30000</v>
      </c>
      <c r="F125" s="177"/>
      <c r="G125" s="248">
        <f t="shared" si="12"/>
        <v>30000</v>
      </c>
      <c r="H125" s="171">
        <v>0.4</v>
      </c>
      <c r="I125" s="177"/>
      <c r="J125" s="167" t="s">
        <v>179</v>
      </c>
      <c r="K125" s="181">
        <v>6</v>
      </c>
      <c r="L125" s="353"/>
      <c r="M125" s="623"/>
      <c r="N125" s="166" t="s">
        <v>178</v>
      </c>
      <c r="O125" s="202"/>
      <c r="P125" s="177">
        <v>30000</v>
      </c>
      <c r="Q125" s="177"/>
      <c r="R125" s="248">
        <f t="shared" si="13"/>
        <v>30000</v>
      </c>
      <c r="S125" s="171">
        <v>0.4</v>
      </c>
      <c r="T125" s="529">
        <v>30000</v>
      </c>
      <c r="U125" s="167" t="s">
        <v>179</v>
      </c>
      <c r="V125" s="181">
        <v>6</v>
      </c>
      <c r="W125" s="540" t="s">
        <v>954</v>
      </c>
    </row>
    <row r="126" spans="2:23" ht="33.65" customHeight="1" x14ac:dyDescent="0.35">
      <c r="B126" s="623"/>
      <c r="C126" s="166" t="s">
        <v>180</v>
      </c>
      <c r="D126" s="202"/>
      <c r="E126" s="177">
        <v>11500</v>
      </c>
      <c r="F126" s="177"/>
      <c r="G126" s="248">
        <f t="shared" si="12"/>
        <v>11500</v>
      </c>
      <c r="H126" s="171">
        <v>0.4</v>
      </c>
      <c r="I126" s="177"/>
      <c r="J126" s="167" t="s">
        <v>181</v>
      </c>
      <c r="K126" s="181">
        <v>6</v>
      </c>
      <c r="L126" s="353"/>
      <c r="M126" s="623"/>
      <c r="N126" s="166" t="s">
        <v>180</v>
      </c>
      <c r="O126" s="202"/>
      <c r="P126" s="177">
        <v>11500</v>
      </c>
      <c r="Q126" s="177"/>
      <c r="R126" s="248">
        <f t="shared" si="13"/>
        <v>11500</v>
      </c>
      <c r="S126" s="171">
        <v>0.4</v>
      </c>
      <c r="T126" s="529">
        <v>11500</v>
      </c>
      <c r="U126" s="167" t="s">
        <v>181</v>
      </c>
      <c r="V126" s="181">
        <v>6</v>
      </c>
    </row>
    <row r="127" spans="2:23" ht="15.5" x14ac:dyDescent="0.35">
      <c r="B127" s="623"/>
      <c r="C127" s="166"/>
      <c r="D127" s="202"/>
      <c r="E127" s="177"/>
      <c r="F127" s="177"/>
      <c r="G127" s="248">
        <f t="shared" si="12"/>
        <v>0</v>
      </c>
      <c r="H127" s="171"/>
      <c r="I127" s="177"/>
      <c r="J127" s="167"/>
      <c r="K127" s="181"/>
      <c r="L127" s="353"/>
      <c r="M127" s="623"/>
      <c r="N127" s="224"/>
      <c r="O127" s="225"/>
      <c r="P127" s="226"/>
      <c r="Q127" s="226"/>
      <c r="R127" s="227">
        <f t="shared" si="13"/>
        <v>0</v>
      </c>
      <c r="S127" s="171">
        <v>0.4</v>
      </c>
      <c r="T127" s="529"/>
      <c r="U127" s="167"/>
      <c r="V127" s="229">
        <v>4</v>
      </c>
    </row>
    <row r="128" spans="2:23" ht="15.5" x14ac:dyDescent="0.35">
      <c r="B128" s="624"/>
      <c r="C128" s="166"/>
      <c r="D128" s="202"/>
      <c r="E128" s="177"/>
      <c r="F128" s="177"/>
      <c r="G128" s="248">
        <f t="shared" si="12"/>
        <v>0</v>
      </c>
      <c r="H128" s="171"/>
      <c r="I128" s="177"/>
      <c r="J128" s="167"/>
      <c r="K128" s="181"/>
      <c r="L128" s="353"/>
      <c r="M128" s="624"/>
      <c r="N128" s="166"/>
      <c r="O128" s="202"/>
      <c r="P128" s="177"/>
      <c r="Q128" s="177"/>
      <c r="R128" s="248">
        <f t="shared" si="13"/>
        <v>0</v>
      </c>
      <c r="S128" s="171"/>
      <c r="T128" s="529"/>
      <c r="U128" s="167"/>
      <c r="V128" s="181"/>
    </row>
    <row r="129" spans="2:23" ht="46.5" x14ac:dyDescent="0.35">
      <c r="B129" s="622" t="s">
        <v>182</v>
      </c>
      <c r="C129" s="166" t="s">
        <v>183</v>
      </c>
      <c r="D129" s="202"/>
      <c r="E129" s="177">
        <v>20000</v>
      </c>
      <c r="F129" s="177"/>
      <c r="G129" s="248">
        <f t="shared" si="12"/>
        <v>20000</v>
      </c>
      <c r="H129" s="171"/>
      <c r="I129" s="177"/>
      <c r="J129" s="167" t="s">
        <v>184</v>
      </c>
      <c r="K129" s="181">
        <v>2</v>
      </c>
      <c r="L129" s="353"/>
      <c r="M129" s="622" t="s">
        <v>182</v>
      </c>
      <c r="N129" s="166" t="s">
        <v>183</v>
      </c>
      <c r="O129" s="202"/>
      <c r="P129" s="177">
        <v>20000</v>
      </c>
      <c r="Q129" s="177"/>
      <c r="R129" s="248">
        <f t="shared" si="13"/>
        <v>20000</v>
      </c>
      <c r="S129" s="171"/>
      <c r="T129" s="528">
        <v>20000</v>
      </c>
      <c r="U129" s="167" t="s">
        <v>184</v>
      </c>
      <c r="V129" s="181">
        <v>2</v>
      </c>
    </row>
    <row r="130" spans="2:23" ht="29" x14ac:dyDescent="0.35">
      <c r="B130" s="623"/>
      <c r="C130" s="166" t="s">
        <v>185</v>
      </c>
      <c r="D130" s="202"/>
      <c r="E130" s="177">
        <v>30000</v>
      </c>
      <c r="F130" s="177"/>
      <c r="G130" s="248">
        <f t="shared" si="12"/>
        <v>30000</v>
      </c>
      <c r="H130" s="171"/>
      <c r="I130" s="177"/>
      <c r="J130" s="167" t="s">
        <v>186</v>
      </c>
      <c r="K130" s="181">
        <v>2</v>
      </c>
      <c r="L130" s="353"/>
      <c r="M130" s="623"/>
      <c r="N130" s="450" t="s">
        <v>946</v>
      </c>
      <c r="O130" s="202"/>
      <c r="P130" s="449">
        <v>24600</v>
      </c>
      <c r="Q130" s="177"/>
      <c r="R130" s="248">
        <f t="shared" si="13"/>
        <v>24600</v>
      </c>
      <c r="S130" s="171"/>
      <c r="T130" s="529">
        <v>24600</v>
      </c>
      <c r="U130" s="167" t="s">
        <v>947</v>
      </c>
      <c r="V130" s="181">
        <v>2</v>
      </c>
      <c r="W130" s="540" t="s">
        <v>954</v>
      </c>
    </row>
    <row r="131" spans="2:23" ht="15.5" x14ac:dyDescent="0.35">
      <c r="B131" s="623"/>
      <c r="C131" s="166"/>
      <c r="D131" s="202"/>
      <c r="E131" s="177"/>
      <c r="F131" s="177"/>
      <c r="G131" s="248">
        <f t="shared" si="12"/>
        <v>0</v>
      </c>
      <c r="H131" s="171"/>
      <c r="I131" s="177"/>
      <c r="J131" s="167"/>
      <c r="K131" s="181"/>
      <c r="L131" s="353"/>
      <c r="M131" s="623"/>
      <c r="N131" s="450" t="s">
        <v>185</v>
      </c>
      <c r="O131" s="202"/>
      <c r="P131" s="449">
        <v>5400</v>
      </c>
      <c r="Q131" s="177"/>
      <c r="R131" s="248">
        <f t="shared" si="13"/>
        <v>5400</v>
      </c>
      <c r="S131" s="171"/>
      <c r="T131" s="538">
        <v>5400</v>
      </c>
      <c r="U131" s="167" t="s">
        <v>948</v>
      </c>
      <c r="V131" s="229">
        <v>3</v>
      </c>
    </row>
    <row r="132" spans="2:23" ht="15.5" x14ac:dyDescent="0.35">
      <c r="B132" s="623"/>
      <c r="C132" s="166"/>
      <c r="D132" s="202"/>
      <c r="E132" s="177"/>
      <c r="F132" s="177"/>
      <c r="G132" s="248">
        <f t="shared" si="12"/>
        <v>0</v>
      </c>
      <c r="H132" s="171"/>
      <c r="I132" s="177"/>
      <c r="J132" s="167"/>
      <c r="K132" s="181"/>
      <c r="L132" s="353"/>
      <c r="M132" s="623"/>
      <c r="N132" s="166"/>
      <c r="O132" s="202"/>
      <c r="P132" s="177"/>
      <c r="Q132" s="177"/>
      <c r="R132" s="248">
        <f t="shared" si="13"/>
        <v>0</v>
      </c>
      <c r="S132" s="171"/>
      <c r="T132" s="529"/>
      <c r="U132" s="167"/>
      <c r="V132" s="181"/>
    </row>
    <row r="133" spans="2:23" ht="15.5" x14ac:dyDescent="0.35">
      <c r="B133" s="624"/>
      <c r="C133" s="166"/>
      <c r="D133" s="202"/>
      <c r="E133" s="177"/>
      <c r="F133" s="177"/>
      <c r="G133" s="248">
        <f t="shared" si="12"/>
        <v>0</v>
      </c>
      <c r="H133" s="171"/>
      <c r="I133" s="177"/>
      <c r="J133" s="167"/>
      <c r="K133" s="181"/>
      <c r="L133" s="353"/>
      <c r="M133" s="624"/>
      <c r="N133" s="166"/>
      <c r="O133" s="202"/>
      <c r="P133" s="177"/>
      <c r="Q133" s="177"/>
      <c r="R133" s="248">
        <f t="shared" si="13"/>
        <v>0</v>
      </c>
      <c r="S133" s="171"/>
      <c r="T133" s="529"/>
      <c r="U133" s="167"/>
      <c r="V133" s="181"/>
    </row>
    <row r="134" spans="2:23" ht="65.5" customHeight="1" x14ac:dyDescent="0.35">
      <c r="B134" s="622" t="s">
        <v>187</v>
      </c>
      <c r="C134" s="166" t="s">
        <v>188</v>
      </c>
      <c r="D134" s="202"/>
      <c r="E134" s="177">
        <v>44120</v>
      </c>
      <c r="F134" s="177"/>
      <c r="G134" s="248">
        <f t="shared" si="12"/>
        <v>44120</v>
      </c>
      <c r="H134" s="171">
        <v>0.5</v>
      </c>
      <c r="I134" s="177"/>
      <c r="J134" s="167" t="s">
        <v>186</v>
      </c>
      <c r="K134" s="181">
        <v>2</v>
      </c>
      <c r="L134" s="353"/>
      <c r="M134" s="622" t="s">
        <v>187</v>
      </c>
      <c r="N134" s="166" t="s">
        <v>188</v>
      </c>
      <c r="O134" s="202"/>
      <c r="P134" s="177">
        <v>44120</v>
      </c>
      <c r="Q134" s="177"/>
      <c r="R134" s="248">
        <f t="shared" si="13"/>
        <v>44120</v>
      </c>
      <c r="S134" s="171">
        <v>0.5</v>
      </c>
      <c r="T134" s="529">
        <v>44120</v>
      </c>
      <c r="U134" s="167" t="s">
        <v>186</v>
      </c>
      <c r="V134" s="181">
        <v>2</v>
      </c>
    </row>
    <row r="135" spans="2:23" ht="33" customHeight="1" x14ac:dyDescent="0.35">
      <c r="B135" s="623"/>
      <c r="C135" s="166" t="s">
        <v>189</v>
      </c>
      <c r="D135" s="202"/>
      <c r="E135" s="177">
        <v>10000</v>
      </c>
      <c r="F135" s="177"/>
      <c r="G135" s="248">
        <f t="shared" si="12"/>
        <v>10000</v>
      </c>
      <c r="H135" s="171">
        <v>0.5</v>
      </c>
      <c r="I135" s="177"/>
      <c r="J135" s="167" t="s">
        <v>190</v>
      </c>
      <c r="K135" s="181">
        <v>2</v>
      </c>
      <c r="L135" s="353"/>
      <c r="M135" s="623"/>
      <c r="N135" s="166" t="s">
        <v>189</v>
      </c>
      <c r="O135" s="202"/>
      <c r="P135" s="177">
        <v>10000</v>
      </c>
      <c r="Q135" s="177"/>
      <c r="R135" s="248">
        <f t="shared" si="13"/>
        <v>10000</v>
      </c>
      <c r="S135" s="171">
        <v>0.5</v>
      </c>
      <c r="T135" s="529">
        <v>10000</v>
      </c>
      <c r="U135" s="167" t="s">
        <v>190</v>
      </c>
      <c r="V135" s="181">
        <v>2</v>
      </c>
    </row>
    <row r="136" spans="2:23" ht="15.5" x14ac:dyDescent="0.35">
      <c r="B136" s="623"/>
      <c r="D136" s="202"/>
      <c r="E136" s="177"/>
      <c r="F136" s="177"/>
      <c r="G136" s="248">
        <f t="shared" si="12"/>
        <v>0</v>
      </c>
      <c r="H136" s="171"/>
      <c r="I136" s="177"/>
      <c r="J136" s="167"/>
      <c r="K136" s="181"/>
      <c r="L136" s="353"/>
      <c r="M136" s="623"/>
      <c r="O136" s="202"/>
      <c r="P136" s="177"/>
      <c r="Q136" s="177"/>
      <c r="R136" s="248">
        <f t="shared" si="13"/>
        <v>0</v>
      </c>
      <c r="S136" s="171"/>
      <c r="T136" s="529"/>
      <c r="U136" s="167"/>
      <c r="V136" s="181"/>
    </row>
    <row r="137" spans="2:23" ht="15.5" x14ac:dyDescent="0.35">
      <c r="B137" s="623"/>
      <c r="C137" s="166"/>
      <c r="D137" s="202"/>
      <c r="E137" s="177"/>
      <c r="F137" s="177"/>
      <c r="G137" s="248">
        <f t="shared" si="12"/>
        <v>0</v>
      </c>
      <c r="H137" s="171"/>
      <c r="I137" s="177"/>
      <c r="J137" s="167"/>
      <c r="K137" s="181"/>
      <c r="L137" s="353"/>
      <c r="M137" s="623"/>
      <c r="N137" s="166"/>
      <c r="O137" s="202"/>
      <c r="P137" s="177"/>
      <c r="Q137" s="177"/>
      <c r="R137" s="248">
        <f t="shared" si="13"/>
        <v>0</v>
      </c>
      <c r="S137" s="171"/>
      <c r="T137" s="529"/>
      <c r="U137" s="167"/>
      <c r="V137" s="181"/>
    </row>
    <row r="138" spans="2:23" ht="15.5" x14ac:dyDescent="0.35">
      <c r="B138" s="624"/>
      <c r="C138" s="166"/>
      <c r="D138" s="202"/>
      <c r="E138" s="177"/>
      <c r="F138" s="177"/>
      <c r="G138" s="248">
        <f t="shared" si="12"/>
        <v>0</v>
      </c>
      <c r="H138" s="171"/>
      <c r="I138" s="177"/>
      <c r="J138" s="167"/>
      <c r="K138" s="181"/>
      <c r="L138" s="353"/>
      <c r="M138" s="624"/>
      <c r="N138" s="166"/>
      <c r="O138" s="202"/>
      <c r="P138" s="177"/>
      <c r="Q138" s="177"/>
      <c r="R138" s="248">
        <f t="shared" si="13"/>
        <v>0</v>
      </c>
      <c r="S138" s="171"/>
      <c r="T138" s="529"/>
      <c r="U138" s="167"/>
      <c r="V138" s="181"/>
    </row>
    <row r="139" spans="2:23" ht="31" x14ac:dyDescent="0.35">
      <c r="B139" s="622" t="s">
        <v>191</v>
      </c>
      <c r="C139" s="166" t="s">
        <v>192</v>
      </c>
      <c r="D139" s="202"/>
      <c r="E139" s="176">
        <v>42000</v>
      </c>
      <c r="F139" s="177"/>
      <c r="G139" s="248">
        <f t="shared" si="12"/>
        <v>42000</v>
      </c>
      <c r="H139" s="171">
        <v>0.6</v>
      </c>
      <c r="I139" s="177"/>
      <c r="J139" s="167" t="s">
        <v>193</v>
      </c>
      <c r="K139" s="181">
        <v>2</v>
      </c>
      <c r="L139" s="353"/>
      <c r="M139" s="622" t="s">
        <v>191</v>
      </c>
      <c r="N139" s="166" t="s">
        <v>192</v>
      </c>
      <c r="O139" s="202"/>
      <c r="P139" s="176">
        <v>42000</v>
      </c>
      <c r="Q139" s="177"/>
      <c r="R139" s="248">
        <f t="shared" si="13"/>
        <v>42000</v>
      </c>
      <c r="S139" s="171">
        <v>0.6</v>
      </c>
      <c r="T139" s="529">
        <v>42000</v>
      </c>
      <c r="U139" s="167" t="s">
        <v>193</v>
      </c>
      <c r="V139" s="181">
        <v>2</v>
      </c>
    </row>
    <row r="140" spans="2:23" ht="15.5" x14ac:dyDescent="0.35">
      <c r="B140" s="623"/>
      <c r="C140" s="166" t="s">
        <v>194</v>
      </c>
      <c r="D140" s="202"/>
      <c r="E140" s="177">
        <v>20000</v>
      </c>
      <c r="F140" s="177"/>
      <c r="G140" s="248">
        <f t="shared" si="12"/>
        <v>20000</v>
      </c>
      <c r="H140" s="171">
        <v>0.6</v>
      </c>
      <c r="I140" s="177"/>
      <c r="J140" s="167" t="s">
        <v>193</v>
      </c>
      <c r="K140" s="181">
        <v>2</v>
      </c>
      <c r="L140" s="353"/>
      <c r="M140" s="623"/>
      <c r="N140" s="166" t="s">
        <v>194</v>
      </c>
      <c r="O140" s="202"/>
      <c r="P140" s="177">
        <v>20000</v>
      </c>
      <c r="Q140" s="177"/>
      <c r="R140" s="248">
        <f t="shared" si="13"/>
        <v>20000</v>
      </c>
      <c r="S140" s="171">
        <v>0.6</v>
      </c>
      <c r="T140" s="529">
        <v>20000</v>
      </c>
      <c r="U140" s="167" t="s">
        <v>193</v>
      </c>
      <c r="V140" s="181">
        <v>2</v>
      </c>
    </row>
    <row r="141" spans="2:23" ht="15.5" x14ac:dyDescent="0.35">
      <c r="B141" s="623"/>
      <c r="C141" s="166"/>
      <c r="D141" s="202"/>
      <c r="E141" s="177"/>
      <c r="F141" s="177"/>
      <c r="G141" s="248">
        <f t="shared" si="12"/>
        <v>0</v>
      </c>
      <c r="H141" s="171"/>
      <c r="I141" s="177"/>
      <c r="J141" s="167"/>
      <c r="K141" s="181"/>
      <c r="L141" s="353"/>
      <c r="M141" s="623"/>
      <c r="N141" s="166"/>
      <c r="O141" s="202"/>
      <c r="P141" s="177"/>
      <c r="Q141" s="177"/>
      <c r="R141" s="248">
        <f t="shared" si="13"/>
        <v>0</v>
      </c>
      <c r="S141" s="171"/>
      <c r="T141" s="529"/>
      <c r="U141" s="167"/>
      <c r="V141" s="181"/>
    </row>
    <row r="142" spans="2:23" ht="15.5" x14ac:dyDescent="0.35">
      <c r="B142" s="623"/>
      <c r="C142" s="166"/>
      <c r="D142" s="202"/>
      <c r="E142" s="177"/>
      <c r="F142" s="177"/>
      <c r="G142" s="248">
        <f t="shared" si="12"/>
        <v>0</v>
      </c>
      <c r="H142" s="171"/>
      <c r="I142" s="177"/>
      <c r="J142" s="167"/>
      <c r="K142" s="181"/>
      <c r="L142" s="353"/>
      <c r="M142" s="623"/>
      <c r="N142" s="166"/>
      <c r="O142" s="202"/>
      <c r="P142" s="177"/>
      <c r="Q142" s="177"/>
      <c r="R142" s="248">
        <f t="shared" si="13"/>
        <v>0</v>
      </c>
      <c r="S142" s="171"/>
      <c r="T142" s="529"/>
      <c r="U142" s="167"/>
      <c r="V142" s="181"/>
    </row>
    <row r="143" spans="2:23" ht="15.5" x14ac:dyDescent="0.35">
      <c r="B143" s="624"/>
      <c r="C143" s="166"/>
      <c r="D143" s="202"/>
      <c r="E143" s="177"/>
      <c r="F143" s="177"/>
      <c r="G143" s="248">
        <f t="shared" si="12"/>
        <v>0</v>
      </c>
      <c r="H143" s="171"/>
      <c r="I143" s="177"/>
      <c r="J143" s="167"/>
      <c r="K143" s="181"/>
      <c r="L143" s="353"/>
      <c r="M143" s="624"/>
      <c r="N143" s="166"/>
      <c r="O143" s="202"/>
      <c r="P143" s="177"/>
      <c r="Q143" s="177"/>
      <c r="R143" s="248">
        <f t="shared" si="13"/>
        <v>0</v>
      </c>
      <c r="S143" s="171"/>
      <c r="T143" s="529"/>
      <c r="U143" s="167"/>
      <c r="V143" s="181"/>
    </row>
    <row r="144" spans="2:23" ht="31" x14ac:dyDescent="0.35">
      <c r="B144" s="622" t="s">
        <v>195</v>
      </c>
      <c r="C144" s="166" t="s">
        <v>196</v>
      </c>
      <c r="D144" s="202"/>
      <c r="E144" s="176">
        <v>15000</v>
      </c>
      <c r="F144" s="177"/>
      <c r="G144" s="248">
        <f t="shared" si="12"/>
        <v>15000</v>
      </c>
      <c r="H144" s="171">
        <v>0.5</v>
      </c>
      <c r="I144" s="177"/>
      <c r="J144" s="167" t="s">
        <v>197</v>
      </c>
      <c r="K144" s="181">
        <v>7</v>
      </c>
      <c r="L144" s="353"/>
      <c r="M144" s="622" t="s">
        <v>195</v>
      </c>
      <c r="N144" s="166" t="s">
        <v>196</v>
      </c>
      <c r="O144" s="202"/>
      <c r="P144" s="449">
        <v>9600</v>
      </c>
      <c r="Q144" s="177"/>
      <c r="R144" s="248">
        <f t="shared" si="13"/>
        <v>9600</v>
      </c>
      <c r="S144" s="171">
        <v>0.5</v>
      </c>
      <c r="T144" s="529">
        <v>9600</v>
      </c>
      <c r="U144" s="167" t="s">
        <v>197</v>
      </c>
      <c r="V144" s="181">
        <v>7</v>
      </c>
      <c r="W144" s="540" t="s">
        <v>954</v>
      </c>
    </row>
    <row r="145" spans="2:23" ht="15.5" x14ac:dyDescent="0.35">
      <c r="B145" s="623"/>
      <c r="C145" s="166"/>
      <c r="D145" s="202"/>
      <c r="E145" s="176"/>
      <c r="F145" s="177"/>
      <c r="G145" s="248"/>
      <c r="H145" s="171"/>
      <c r="I145" s="177"/>
      <c r="J145" s="167"/>
      <c r="K145" s="181"/>
      <c r="L145" s="353"/>
      <c r="M145" s="623"/>
      <c r="N145" s="450" t="s">
        <v>909</v>
      </c>
      <c r="O145" s="202"/>
      <c r="P145" s="449">
        <v>5400</v>
      </c>
      <c r="Q145" s="177"/>
      <c r="R145" s="248">
        <f t="shared" si="13"/>
        <v>5400</v>
      </c>
      <c r="S145" s="171"/>
      <c r="T145" s="538">
        <v>5400</v>
      </c>
      <c r="U145" s="167" t="s">
        <v>909</v>
      </c>
      <c r="V145" s="181">
        <v>2</v>
      </c>
    </row>
    <row r="146" spans="2:23" ht="31" x14ac:dyDescent="0.35">
      <c r="B146" s="623"/>
      <c r="C146" s="166" t="s">
        <v>198</v>
      </c>
      <c r="D146" s="202"/>
      <c r="E146" s="176">
        <v>2000</v>
      </c>
      <c r="F146" s="177"/>
      <c r="G146" s="248">
        <f t="shared" si="12"/>
        <v>2000</v>
      </c>
      <c r="H146" s="171">
        <v>0.5</v>
      </c>
      <c r="I146" s="177"/>
      <c r="J146" s="167" t="s">
        <v>199</v>
      </c>
      <c r="K146" s="181">
        <v>7</v>
      </c>
      <c r="L146" s="353"/>
      <c r="M146" s="623"/>
      <c r="N146" s="166" t="s">
        <v>198</v>
      </c>
      <c r="O146" s="202"/>
      <c r="P146" s="176">
        <v>2000</v>
      </c>
      <c r="Q146" s="177"/>
      <c r="R146" s="248">
        <f t="shared" si="13"/>
        <v>2000</v>
      </c>
      <c r="S146" s="171">
        <v>0.5</v>
      </c>
      <c r="T146" s="538">
        <v>2000</v>
      </c>
      <c r="U146" s="167" t="s">
        <v>199</v>
      </c>
      <c r="V146" s="181">
        <v>7</v>
      </c>
    </row>
    <row r="147" spans="2:23" ht="15.5" x14ac:dyDescent="0.35">
      <c r="B147" s="623"/>
      <c r="C147" s="166" t="s">
        <v>200</v>
      </c>
      <c r="D147" s="202"/>
      <c r="E147" s="176">
        <v>3000</v>
      </c>
      <c r="F147" s="177"/>
      <c r="G147" s="248">
        <f t="shared" si="12"/>
        <v>3000</v>
      </c>
      <c r="H147" s="171">
        <v>0.5</v>
      </c>
      <c r="I147" s="177"/>
      <c r="J147" s="167" t="s">
        <v>201</v>
      </c>
      <c r="K147" s="181">
        <v>5</v>
      </c>
      <c r="L147" s="353"/>
      <c r="M147" s="623"/>
      <c r="N147" s="166" t="s">
        <v>200</v>
      </c>
      <c r="O147" s="202"/>
      <c r="P147" s="176">
        <v>3000</v>
      </c>
      <c r="Q147" s="177"/>
      <c r="R147" s="248">
        <f t="shared" si="13"/>
        <v>3000</v>
      </c>
      <c r="S147" s="171">
        <v>0.5</v>
      </c>
      <c r="T147" s="538">
        <v>3000</v>
      </c>
      <c r="U147" s="167" t="s">
        <v>201</v>
      </c>
      <c r="V147" s="181">
        <v>5</v>
      </c>
    </row>
    <row r="148" spans="2:23" ht="15.5" x14ac:dyDescent="0.35">
      <c r="B148" s="623"/>
      <c r="C148" s="166"/>
      <c r="D148" s="202"/>
      <c r="E148" s="177"/>
      <c r="F148" s="177"/>
      <c r="G148" s="248">
        <f t="shared" si="12"/>
        <v>0</v>
      </c>
      <c r="H148" s="171"/>
      <c r="I148" s="177"/>
      <c r="J148" s="167"/>
      <c r="K148" s="181"/>
      <c r="L148" s="353"/>
      <c r="M148" s="623"/>
      <c r="N148" s="166"/>
      <c r="O148" s="202"/>
      <c r="P148" s="177"/>
      <c r="Q148" s="177"/>
      <c r="R148" s="248">
        <f t="shared" si="13"/>
        <v>0</v>
      </c>
      <c r="S148" s="171"/>
      <c r="T148" s="529"/>
      <c r="U148" s="167"/>
      <c r="V148" s="181"/>
    </row>
    <row r="149" spans="2:23" ht="15.5" x14ac:dyDescent="0.35">
      <c r="B149" s="624"/>
      <c r="C149" s="166"/>
      <c r="D149" s="202"/>
      <c r="E149" s="177"/>
      <c r="F149" s="177"/>
      <c r="G149" s="248">
        <f t="shared" si="12"/>
        <v>0</v>
      </c>
      <c r="H149" s="171"/>
      <c r="I149" s="177"/>
      <c r="J149" s="167"/>
      <c r="K149" s="181"/>
      <c r="L149" s="353"/>
      <c r="M149" s="624"/>
      <c r="N149" s="166"/>
      <c r="O149" s="202"/>
      <c r="P149" s="177"/>
      <c r="Q149" s="177"/>
      <c r="R149" s="248">
        <f t="shared" si="13"/>
        <v>0</v>
      </c>
      <c r="S149" s="171"/>
      <c r="T149" s="529"/>
      <c r="U149" s="167"/>
      <c r="V149" s="181"/>
    </row>
    <row r="150" spans="2:23" ht="31" customHeight="1" x14ac:dyDescent="0.35">
      <c r="B150" s="622" t="s">
        <v>202</v>
      </c>
      <c r="C150" s="166" t="s">
        <v>203</v>
      </c>
      <c r="D150" s="202"/>
      <c r="E150" s="176">
        <v>16000</v>
      </c>
      <c r="F150" s="177"/>
      <c r="G150" s="248">
        <f t="shared" si="12"/>
        <v>16000</v>
      </c>
      <c r="H150" s="171">
        <v>0.4</v>
      </c>
      <c r="I150" s="177"/>
      <c r="J150" s="167" t="s">
        <v>204</v>
      </c>
      <c r="K150" s="181">
        <v>7</v>
      </c>
      <c r="L150" s="353"/>
      <c r="M150" s="622" t="s">
        <v>202</v>
      </c>
      <c r="N150" s="166" t="s">
        <v>203</v>
      </c>
      <c r="O150" s="202"/>
      <c r="P150" s="449">
        <v>10000</v>
      </c>
      <c r="Q150" s="177"/>
      <c r="R150" s="248">
        <f t="shared" si="13"/>
        <v>10000</v>
      </c>
      <c r="S150" s="171">
        <v>0.4</v>
      </c>
      <c r="T150" s="538">
        <v>10000</v>
      </c>
      <c r="U150" s="167" t="s">
        <v>204</v>
      </c>
      <c r="V150" s="181">
        <v>7</v>
      </c>
    </row>
    <row r="151" spans="2:23" ht="29" x14ac:dyDescent="0.35">
      <c r="B151" s="623"/>
      <c r="C151" s="166" t="s">
        <v>205</v>
      </c>
      <c r="D151" s="202"/>
      <c r="E151" s="176">
        <v>2000</v>
      </c>
      <c r="F151" s="177"/>
      <c r="G151" s="248">
        <f t="shared" si="12"/>
        <v>2000</v>
      </c>
      <c r="H151" s="171">
        <v>0.4</v>
      </c>
      <c r="I151" s="177"/>
      <c r="J151" s="167" t="s">
        <v>206</v>
      </c>
      <c r="K151" s="181">
        <v>7</v>
      </c>
      <c r="L151" s="353"/>
      <c r="M151" s="623"/>
      <c r="N151" s="166" t="s">
        <v>205</v>
      </c>
      <c r="O151" s="202"/>
      <c r="P151" s="176">
        <v>2000</v>
      </c>
      <c r="Q151" s="177"/>
      <c r="R151" s="248">
        <f t="shared" si="13"/>
        <v>2000</v>
      </c>
      <c r="S151" s="171">
        <v>0.4</v>
      </c>
      <c r="T151" s="538">
        <v>2000</v>
      </c>
      <c r="U151" s="167" t="s">
        <v>206</v>
      </c>
      <c r="V151" s="181">
        <v>7</v>
      </c>
      <c r="W151" s="540" t="s">
        <v>954</v>
      </c>
    </row>
    <row r="152" spans="2:23" ht="15.5" x14ac:dyDescent="0.35">
      <c r="B152" s="623"/>
      <c r="C152" s="166" t="s">
        <v>207</v>
      </c>
      <c r="D152" s="202"/>
      <c r="E152" s="176">
        <v>2000</v>
      </c>
      <c r="F152" s="177"/>
      <c r="G152" s="248">
        <f t="shared" si="12"/>
        <v>2000</v>
      </c>
      <c r="H152" s="171">
        <v>0.4</v>
      </c>
      <c r="I152" s="177"/>
      <c r="J152" s="167" t="s">
        <v>208</v>
      </c>
      <c r="K152" s="181">
        <v>5</v>
      </c>
      <c r="L152" s="353"/>
      <c r="M152" s="623"/>
      <c r="N152" s="166" t="s">
        <v>207</v>
      </c>
      <c r="O152" s="202"/>
      <c r="P152" s="176">
        <v>2000</v>
      </c>
      <c r="Q152" s="177"/>
      <c r="R152" s="248">
        <f t="shared" si="13"/>
        <v>2000</v>
      </c>
      <c r="S152" s="171">
        <v>0.4</v>
      </c>
      <c r="T152" s="538">
        <v>2000</v>
      </c>
      <c r="U152" s="167" t="s">
        <v>208</v>
      </c>
      <c r="V152" s="181">
        <v>5</v>
      </c>
    </row>
    <row r="153" spans="2:23" ht="15.5" x14ac:dyDescent="0.35">
      <c r="B153" s="623"/>
      <c r="C153" s="166"/>
      <c r="D153" s="202"/>
      <c r="E153" s="177"/>
      <c r="F153" s="177"/>
      <c r="G153" s="248">
        <f t="shared" si="12"/>
        <v>0</v>
      </c>
      <c r="H153" s="171"/>
      <c r="I153" s="177"/>
      <c r="J153" s="167"/>
      <c r="K153" s="181"/>
      <c r="L153" s="353"/>
      <c r="M153" s="623"/>
      <c r="N153" s="166"/>
      <c r="O153" s="202"/>
      <c r="P153" s="177"/>
      <c r="Q153" s="177"/>
      <c r="R153" s="248">
        <f t="shared" si="13"/>
        <v>0</v>
      </c>
      <c r="S153" s="171"/>
      <c r="T153" s="529"/>
      <c r="U153" s="167"/>
      <c r="V153" s="181"/>
    </row>
    <row r="154" spans="2:23" ht="15.5" x14ac:dyDescent="0.35">
      <c r="B154" s="624"/>
      <c r="C154" s="166"/>
      <c r="D154" s="202"/>
      <c r="E154" s="177"/>
      <c r="F154" s="177"/>
      <c r="G154" s="248">
        <f t="shared" si="12"/>
        <v>0</v>
      </c>
      <c r="H154" s="171"/>
      <c r="I154" s="177"/>
      <c r="J154" s="167"/>
      <c r="K154" s="181"/>
      <c r="L154" s="353"/>
      <c r="M154" s="624"/>
      <c r="N154" s="166"/>
      <c r="O154" s="202"/>
      <c r="P154" s="177"/>
      <c r="Q154" s="177"/>
      <c r="R154" s="248">
        <f t="shared" si="13"/>
        <v>0</v>
      </c>
      <c r="S154" s="171"/>
      <c r="T154" s="529"/>
      <c r="U154" s="167"/>
      <c r="V154" s="181"/>
    </row>
    <row r="155" spans="2:23" ht="15.5" x14ac:dyDescent="0.35">
      <c r="B155" s="622" t="s">
        <v>209</v>
      </c>
      <c r="C155" s="166" t="s">
        <v>210</v>
      </c>
      <c r="D155" s="202"/>
      <c r="E155" s="176">
        <v>2500</v>
      </c>
      <c r="F155" s="177"/>
      <c r="G155" s="248">
        <f t="shared" si="12"/>
        <v>2500</v>
      </c>
      <c r="H155" s="171">
        <v>0.4</v>
      </c>
      <c r="I155" s="177"/>
      <c r="J155" s="167" t="s">
        <v>211</v>
      </c>
      <c r="K155" s="181">
        <v>7</v>
      </c>
      <c r="L155" s="353"/>
      <c r="M155" s="622" t="s">
        <v>209</v>
      </c>
      <c r="N155" s="166" t="s">
        <v>210</v>
      </c>
      <c r="O155" s="202"/>
      <c r="P155" s="176">
        <v>2500</v>
      </c>
      <c r="Q155" s="177"/>
      <c r="R155" s="248">
        <f t="shared" si="13"/>
        <v>2500</v>
      </c>
      <c r="S155" s="171">
        <v>0.4</v>
      </c>
      <c r="T155" s="539">
        <v>2500</v>
      </c>
      <c r="U155" s="167" t="s">
        <v>211</v>
      </c>
      <c r="V155" s="181">
        <v>7</v>
      </c>
    </row>
    <row r="156" spans="2:23" ht="31" x14ac:dyDescent="0.35">
      <c r="B156" s="623"/>
      <c r="C156" s="166" t="s">
        <v>212</v>
      </c>
      <c r="D156" s="202"/>
      <c r="E156" s="176">
        <v>14000</v>
      </c>
      <c r="F156" s="177"/>
      <c r="G156" s="248">
        <f t="shared" si="12"/>
        <v>14000</v>
      </c>
      <c r="H156" s="171">
        <v>0.4</v>
      </c>
      <c r="J156" s="167" t="s">
        <v>213</v>
      </c>
      <c r="K156" s="181">
        <v>7</v>
      </c>
      <c r="L156" s="353"/>
      <c r="M156" s="623"/>
      <c r="N156" s="166" t="s">
        <v>212</v>
      </c>
      <c r="O156" s="202"/>
      <c r="P156" s="176">
        <v>10000</v>
      </c>
      <c r="Q156" s="177"/>
      <c r="R156" s="248">
        <f t="shared" si="13"/>
        <v>10000</v>
      </c>
      <c r="S156" s="171">
        <v>0.4</v>
      </c>
      <c r="T156" s="539">
        <v>10000</v>
      </c>
      <c r="U156" s="167" t="s">
        <v>213</v>
      </c>
      <c r="V156" s="181">
        <v>7</v>
      </c>
      <c r="W156" s="540" t="s">
        <v>954</v>
      </c>
    </row>
    <row r="157" spans="2:23" ht="15.5" x14ac:dyDescent="0.35">
      <c r="B157" s="623"/>
      <c r="C157" s="166" t="s">
        <v>207</v>
      </c>
      <c r="D157" s="202"/>
      <c r="E157" s="176">
        <v>1000</v>
      </c>
      <c r="F157" s="177"/>
      <c r="G157" s="248">
        <f t="shared" si="12"/>
        <v>1000</v>
      </c>
      <c r="H157" s="171">
        <v>0.4</v>
      </c>
      <c r="I157" s="177"/>
      <c r="J157" s="167" t="s">
        <v>208</v>
      </c>
      <c r="K157" s="181">
        <v>5</v>
      </c>
      <c r="L157" s="353"/>
      <c r="M157" s="623"/>
      <c r="N157" s="166" t="s">
        <v>207</v>
      </c>
      <c r="O157" s="202"/>
      <c r="P157" s="176">
        <v>1000</v>
      </c>
      <c r="Q157" s="177"/>
      <c r="R157" s="248">
        <f t="shared" si="13"/>
        <v>1000</v>
      </c>
      <c r="S157" s="171">
        <v>0.4</v>
      </c>
      <c r="T157" s="538">
        <v>11315</v>
      </c>
      <c r="U157" s="167" t="s">
        <v>208</v>
      </c>
      <c r="V157" s="181">
        <v>5</v>
      </c>
    </row>
    <row r="158" spans="2:23" ht="15.5" x14ac:dyDescent="0.35">
      <c r="B158" s="623"/>
      <c r="C158" s="166"/>
      <c r="D158" s="202"/>
      <c r="E158" s="177"/>
      <c r="F158" s="177"/>
      <c r="G158" s="248">
        <f t="shared" si="12"/>
        <v>0</v>
      </c>
      <c r="H158" s="171"/>
      <c r="I158" s="177"/>
      <c r="J158" s="167"/>
      <c r="K158" s="181"/>
      <c r="L158" s="353"/>
      <c r="M158" s="623"/>
      <c r="N158" s="166"/>
      <c r="O158" s="202"/>
      <c r="P158" s="177"/>
      <c r="Q158" s="177"/>
      <c r="R158" s="248">
        <f t="shared" si="13"/>
        <v>0</v>
      </c>
      <c r="S158" s="171"/>
      <c r="T158" s="529"/>
      <c r="U158" s="167"/>
      <c r="V158" s="181"/>
    </row>
    <row r="159" spans="2:23" ht="15.5" x14ac:dyDescent="0.35">
      <c r="B159" s="624"/>
      <c r="C159" s="166"/>
      <c r="D159" s="202"/>
      <c r="E159" s="177"/>
      <c r="F159" s="177"/>
      <c r="G159" s="248">
        <f t="shared" si="12"/>
        <v>0</v>
      </c>
      <c r="H159" s="171"/>
      <c r="I159" s="177"/>
      <c r="J159" s="167"/>
      <c r="K159" s="181"/>
      <c r="L159" s="353"/>
      <c r="M159" s="624"/>
      <c r="N159" s="166"/>
      <c r="O159" s="202"/>
      <c r="P159" s="177"/>
      <c r="Q159" s="177"/>
      <c r="R159" s="248">
        <f t="shared" si="13"/>
        <v>0</v>
      </c>
      <c r="S159" s="171"/>
      <c r="T159" s="529"/>
      <c r="U159" s="167"/>
      <c r="V159" s="181"/>
    </row>
    <row r="160" spans="2:23" ht="31" x14ac:dyDescent="0.35">
      <c r="B160" s="622" t="s">
        <v>214</v>
      </c>
      <c r="C160" s="166" t="s">
        <v>215</v>
      </c>
      <c r="D160" s="202"/>
      <c r="E160" s="176">
        <v>14500</v>
      </c>
      <c r="F160" s="177"/>
      <c r="G160" s="248">
        <f t="shared" si="12"/>
        <v>14500</v>
      </c>
      <c r="H160" s="171">
        <v>0.4</v>
      </c>
      <c r="I160" s="177"/>
      <c r="J160" s="167" t="s">
        <v>213</v>
      </c>
      <c r="K160" s="181">
        <v>5</v>
      </c>
      <c r="L160" s="353"/>
      <c r="M160" s="622" t="s">
        <v>214</v>
      </c>
      <c r="N160" s="166" t="s">
        <v>215</v>
      </c>
      <c r="O160" s="202"/>
      <c r="P160" s="176">
        <v>14500</v>
      </c>
      <c r="Q160" s="177"/>
      <c r="R160" s="248">
        <f t="shared" si="13"/>
        <v>14500</v>
      </c>
      <c r="S160" s="171">
        <v>0.4</v>
      </c>
      <c r="T160" s="538">
        <v>14500</v>
      </c>
      <c r="U160" s="167" t="s">
        <v>213</v>
      </c>
      <c r="V160" s="181">
        <v>5</v>
      </c>
      <c r="W160" s="540" t="s">
        <v>954</v>
      </c>
    </row>
    <row r="161" spans="2:23" ht="15.5" x14ac:dyDescent="0.35">
      <c r="B161" s="623"/>
      <c r="C161" s="166" t="s">
        <v>210</v>
      </c>
      <c r="D161" s="202"/>
      <c r="E161" s="176">
        <v>2000</v>
      </c>
      <c r="F161" s="177"/>
      <c r="G161" s="248">
        <f t="shared" si="12"/>
        <v>2000</v>
      </c>
      <c r="H161" s="171">
        <v>0.4</v>
      </c>
      <c r="I161" s="177"/>
      <c r="J161" s="167" t="s">
        <v>211</v>
      </c>
      <c r="K161" s="181">
        <v>7</v>
      </c>
      <c r="L161" s="353"/>
      <c r="M161" s="623"/>
      <c r="N161" s="166" t="s">
        <v>210</v>
      </c>
      <c r="O161" s="202"/>
      <c r="P161" s="176">
        <v>2000</v>
      </c>
      <c r="Q161" s="177"/>
      <c r="R161" s="248">
        <f t="shared" si="13"/>
        <v>2000</v>
      </c>
      <c r="S161" s="171">
        <v>0.4</v>
      </c>
      <c r="T161" s="538">
        <v>2000</v>
      </c>
      <c r="U161" s="167" t="s">
        <v>211</v>
      </c>
      <c r="V161" s="181">
        <v>7</v>
      </c>
    </row>
    <row r="162" spans="2:23" ht="15.5" x14ac:dyDescent="0.35">
      <c r="B162" s="623"/>
      <c r="C162" s="166" t="s">
        <v>207</v>
      </c>
      <c r="D162" s="202"/>
      <c r="E162" s="176">
        <v>1000</v>
      </c>
      <c r="F162" s="177"/>
      <c r="G162" s="248">
        <f t="shared" si="12"/>
        <v>1000</v>
      </c>
      <c r="H162" s="171">
        <v>0.4</v>
      </c>
      <c r="I162" s="177"/>
      <c r="J162" s="167" t="s">
        <v>208</v>
      </c>
      <c r="K162" s="181">
        <v>5</v>
      </c>
      <c r="L162" s="353"/>
      <c r="M162" s="623"/>
      <c r="N162" s="166" t="s">
        <v>207</v>
      </c>
      <c r="O162" s="202"/>
      <c r="P162" s="176">
        <v>1000</v>
      </c>
      <c r="Q162" s="177"/>
      <c r="R162" s="248">
        <f t="shared" si="13"/>
        <v>1000</v>
      </c>
      <c r="S162" s="171">
        <v>0.4</v>
      </c>
      <c r="T162" s="538">
        <v>10196</v>
      </c>
      <c r="U162" s="167" t="s">
        <v>208</v>
      </c>
      <c r="V162" s="181">
        <v>5</v>
      </c>
    </row>
    <row r="163" spans="2:23" ht="15.5" x14ac:dyDescent="0.35">
      <c r="B163" s="623"/>
      <c r="C163" s="166"/>
      <c r="D163" s="202"/>
      <c r="E163" s="177"/>
      <c r="F163" s="177"/>
      <c r="G163" s="248">
        <f t="shared" si="12"/>
        <v>0</v>
      </c>
      <c r="H163" s="171"/>
      <c r="I163" s="177"/>
      <c r="J163" s="167"/>
      <c r="K163" s="181"/>
      <c r="L163" s="353"/>
      <c r="M163" s="623"/>
      <c r="N163" s="166"/>
      <c r="O163" s="202"/>
      <c r="P163" s="177"/>
      <c r="Q163" s="177"/>
      <c r="R163" s="248">
        <f t="shared" si="13"/>
        <v>0</v>
      </c>
      <c r="S163" s="171"/>
      <c r="T163" s="529"/>
      <c r="U163" s="167"/>
      <c r="V163" s="181"/>
    </row>
    <row r="164" spans="2:23" ht="15.5" x14ac:dyDescent="0.35">
      <c r="B164" s="624"/>
      <c r="C164" s="166"/>
      <c r="D164" s="202"/>
      <c r="E164" s="177"/>
      <c r="F164" s="177"/>
      <c r="G164" s="248">
        <f t="shared" si="12"/>
        <v>0</v>
      </c>
      <c r="H164" s="171"/>
      <c r="I164" s="177"/>
      <c r="J164" s="167"/>
      <c r="K164" s="181"/>
      <c r="L164" s="353"/>
      <c r="M164" s="624"/>
      <c r="N164" s="166"/>
      <c r="O164" s="202"/>
      <c r="P164" s="177"/>
      <c r="Q164" s="177"/>
      <c r="R164" s="248">
        <f t="shared" si="13"/>
        <v>0</v>
      </c>
      <c r="S164" s="171"/>
      <c r="T164" s="529"/>
      <c r="U164" s="167"/>
      <c r="V164" s="181"/>
    </row>
    <row r="165" spans="2:23" ht="31.4" customHeight="1" x14ac:dyDescent="0.35">
      <c r="B165" s="622" t="s">
        <v>216</v>
      </c>
      <c r="C165" s="166" t="s">
        <v>217</v>
      </c>
      <c r="D165" s="202"/>
      <c r="E165" s="176">
        <v>77000</v>
      </c>
      <c r="F165" s="177"/>
      <c r="G165" s="248">
        <f t="shared" si="12"/>
        <v>77000</v>
      </c>
      <c r="H165" s="171">
        <v>0.4</v>
      </c>
      <c r="I165" s="177"/>
      <c r="J165" s="167" t="s">
        <v>218</v>
      </c>
      <c r="K165" s="181">
        <v>4</v>
      </c>
      <c r="L165" s="353"/>
      <c r="M165" s="622" t="s">
        <v>216</v>
      </c>
      <c r="N165" s="166" t="s">
        <v>926</v>
      </c>
      <c r="O165" s="202"/>
      <c r="P165" s="445">
        <v>84472</v>
      </c>
      <c r="Q165" s="177"/>
      <c r="R165" s="248">
        <f t="shared" si="13"/>
        <v>84472</v>
      </c>
      <c r="S165" s="171">
        <v>0.4</v>
      </c>
      <c r="T165" s="538">
        <v>87000</v>
      </c>
      <c r="U165" s="167" t="s">
        <v>218</v>
      </c>
      <c r="V165" s="181">
        <v>4</v>
      </c>
    </row>
    <row r="166" spans="2:23" ht="31" x14ac:dyDescent="0.35">
      <c r="B166" s="623"/>
      <c r="C166" s="166" t="s">
        <v>219</v>
      </c>
      <c r="D166" s="202"/>
      <c r="E166" s="176">
        <v>3000</v>
      </c>
      <c r="F166" s="177"/>
      <c r="G166" s="248">
        <f t="shared" si="12"/>
        <v>3000</v>
      </c>
      <c r="H166" s="171">
        <v>0.4</v>
      </c>
      <c r="I166" s="177"/>
      <c r="J166" s="167" t="s">
        <v>220</v>
      </c>
      <c r="K166" s="181">
        <v>4</v>
      </c>
      <c r="L166" s="353"/>
      <c r="M166" s="623"/>
      <c r="N166" s="166" t="s">
        <v>219</v>
      </c>
      <c r="O166" s="202"/>
      <c r="P166" s="176">
        <v>3000</v>
      </c>
      <c r="Q166" s="177"/>
      <c r="R166" s="248">
        <f t="shared" si="13"/>
        <v>3000</v>
      </c>
      <c r="S166" s="171">
        <v>0.4</v>
      </c>
      <c r="T166" s="529"/>
      <c r="U166" s="167" t="s">
        <v>220</v>
      </c>
      <c r="V166" s="181">
        <v>4</v>
      </c>
    </row>
    <row r="167" spans="2:23" ht="15.5" x14ac:dyDescent="0.35">
      <c r="B167" s="623"/>
      <c r="C167" s="166"/>
      <c r="D167" s="202"/>
      <c r="E167" s="177"/>
      <c r="F167" s="177"/>
      <c r="G167" s="248">
        <f t="shared" si="12"/>
        <v>0</v>
      </c>
      <c r="H167" s="171"/>
      <c r="I167" s="177"/>
      <c r="J167" s="167"/>
      <c r="K167" s="181"/>
      <c r="L167" s="353"/>
      <c r="M167" s="623"/>
      <c r="N167" s="166"/>
      <c r="O167" s="202"/>
      <c r="P167" s="177"/>
      <c r="Q167" s="177"/>
      <c r="R167" s="248">
        <f t="shared" si="13"/>
        <v>0</v>
      </c>
      <c r="S167" s="171"/>
      <c r="T167" s="529"/>
      <c r="U167" s="167"/>
      <c r="V167" s="181"/>
    </row>
    <row r="168" spans="2:23" ht="15.5" x14ac:dyDescent="0.35">
      <c r="B168" s="623"/>
      <c r="C168" s="166"/>
      <c r="D168" s="202"/>
      <c r="E168" s="177"/>
      <c r="F168" s="177"/>
      <c r="G168" s="248">
        <f t="shared" si="12"/>
        <v>0</v>
      </c>
      <c r="H168" s="171"/>
      <c r="I168" s="177"/>
      <c r="J168" s="167"/>
      <c r="K168" s="181"/>
      <c r="L168" s="353"/>
      <c r="M168" s="623"/>
      <c r="N168" s="166"/>
      <c r="O168" s="202"/>
      <c r="P168" s="177"/>
      <c r="Q168" s="177"/>
      <c r="R168" s="248">
        <f t="shared" si="13"/>
        <v>0</v>
      </c>
      <c r="S168" s="171"/>
      <c r="T168" s="529"/>
      <c r="U168" s="167"/>
      <c r="V168" s="181"/>
    </row>
    <row r="169" spans="2:23" ht="15.5" x14ac:dyDescent="0.35">
      <c r="B169" s="624"/>
      <c r="C169" s="166"/>
      <c r="D169" s="202"/>
      <c r="E169" s="177"/>
      <c r="F169" s="177"/>
      <c r="G169" s="248">
        <f t="shared" si="12"/>
        <v>0</v>
      </c>
      <c r="H169" s="171"/>
      <c r="I169" s="177"/>
      <c r="J169" s="167"/>
      <c r="K169" s="181"/>
      <c r="L169" s="353"/>
      <c r="M169" s="624"/>
      <c r="N169" s="166"/>
      <c r="O169" s="202"/>
      <c r="P169" s="177"/>
      <c r="Q169" s="177"/>
      <c r="R169" s="248">
        <f t="shared" si="13"/>
        <v>0</v>
      </c>
      <c r="S169" s="171"/>
      <c r="T169" s="529"/>
      <c r="U169" s="167"/>
      <c r="V169" s="181"/>
    </row>
    <row r="170" spans="2:23" ht="15.5" x14ac:dyDescent="0.35">
      <c r="B170" s="622" t="s">
        <v>221</v>
      </c>
      <c r="C170" s="166" t="s">
        <v>222</v>
      </c>
      <c r="D170" s="202"/>
      <c r="E170" s="176">
        <v>5379</v>
      </c>
      <c r="F170" s="177"/>
      <c r="G170" s="248">
        <f t="shared" si="12"/>
        <v>5379</v>
      </c>
      <c r="H170" s="171">
        <v>0.4</v>
      </c>
      <c r="I170" s="177"/>
      <c r="J170" s="167" t="s">
        <v>220</v>
      </c>
      <c r="K170" s="181">
        <v>6</v>
      </c>
      <c r="L170" s="353"/>
      <c r="M170" s="622" t="s">
        <v>221</v>
      </c>
      <c r="N170" s="166" t="s">
        <v>222</v>
      </c>
      <c r="O170" s="202"/>
      <c r="P170" s="176">
        <v>5379</v>
      </c>
      <c r="Q170" s="177"/>
      <c r="R170" s="248">
        <f t="shared" si="13"/>
        <v>5379</v>
      </c>
      <c r="S170" s="171">
        <v>0.4</v>
      </c>
      <c r="T170" s="529">
        <v>5379</v>
      </c>
      <c r="U170" s="167" t="s">
        <v>220</v>
      </c>
      <c r="V170" s="181">
        <v>6</v>
      </c>
    </row>
    <row r="171" spans="2:23" ht="15.5" x14ac:dyDescent="0.35">
      <c r="B171" s="623"/>
      <c r="C171" s="166"/>
      <c r="D171" s="202"/>
      <c r="E171" s="176"/>
      <c r="F171" s="177"/>
      <c r="G171" s="248">
        <f t="shared" si="12"/>
        <v>0</v>
      </c>
      <c r="H171" s="171"/>
      <c r="I171" s="177"/>
      <c r="J171" s="167"/>
      <c r="K171" s="181"/>
      <c r="L171" s="353"/>
      <c r="M171" s="623"/>
      <c r="N171" s="166"/>
      <c r="O171" s="202"/>
      <c r="P171" s="176"/>
      <c r="Q171" s="177"/>
      <c r="R171" s="248">
        <f t="shared" si="13"/>
        <v>0</v>
      </c>
      <c r="S171" s="171"/>
      <c r="T171" s="529"/>
      <c r="U171" s="167"/>
      <c r="V171" s="181"/>
    </row>
    <row r="172" spans="2:23" ht="15.5" x14ac:dyDescent="0.35">
      <c r="B172" s="623"/>
      <c r="C172" s="166"/>
      <c r="D172" s="202"/>
      <c r="E172" s="176"/>
      <c r="F172" s="177"/>
      <c r="G172" s="248">
        <f t="shared" si="12"/>
        <v>0</v>
      </c>
      <c r="H172" s="171"/>
      <c r="I172" s="177"/>
      <c r="J172" s="167"/>
      <c r="K172" s="181"/>
      <c r="L172" s="353"/>
      <c r="M172" s="623"/>
      <c r="N172" s="166"/>
      <c r="O172" s="202"/>
      <c r="P172" s="176"/>
      <c r="Q172" s="177"/>
      <c r="R172" s="248">
        <f t="shared" si="13"/>
        <v>0</v>
      </c>
      <c r="S172" s="171"/>
      <c r="T172" s="529"/>
      <c r="U172" s="167"/>
      <c r="V172" s="181"/>
    </row>
    <row r="173" spans="2:23" ht="15.5" x14ac:dyDescent="0.35">
      <c r="B173" s="623"/>
      <c r="C173" s="166"/>
      <c r="D173" s="202"/>
      <c r="E173" s="176"/>
      <c r="F173" s="177"/>
      <c r="G173" s="248">
        <f t="shared" si="12"/>
        <v>0</v>
      </c>
      <c r="H173" s="171"/>
      <c r="I173" s="177"/>
      <c r="J173" s="167"/>
      <c r="K173" s="181"/>
      <c r="L173" s="353"/>
      <c r="M173" s="623"/>
      <c r="N173" s="166"/>
      <c r="O173" s="202"/>
      <c r="P173" s="176"/>
      <c r="Q173" s="177"/>
      <c r="R173" s="248">
        <f t="shared" si="13"/>
        <v>0</v>
      </c>
      <c r="S173" s="171"/>
      <c r="T173" s="529"/>
      <c r="U173" s="167"/>
      <c r="V173" s="181"/>
    </row>
    <row r="174" spans="2:23" ht="15.5" x14ac:dyDescent="0.35">
      <c r="B174" s="624"/>
      <c r="C174" s="166"/>
      <c r="D174" s="202"/>
      <c r="E174" s="177"/>
      <c r="F174" s="177"/>
      <c r="G174" s="248">
        <f t="shared" si="12"/>
        <v>0</v>
      </c>
      <c r="H174" s="171"/>
      <c r="I174" s="177"/>
      <c r="J174" s="167"/>
      <c r="K174" s="181"/>
      <c r="L174" s="353"/>
      <c r="M174" s="624"/>
      <c r="N174" s="166"/>
      <c r="O174" s="202"/>
      <c r="P174" s="177"/>
      <c r="Q174" s="177"/>
      <c r="R174" s="248">
        <f t="shared" si="13"/>
        <v>0</v>
      </c>
      <c r="S174" s="171"/>
      <c r="T174" s="529"/>
      <c r="U174" s="167"/>
      <c r="V174" s="181"/>
    </row>
    <row r="175" spans="2:23" ht="31" x14ac:dyDescent="0.35">
      <c r="B175" s="622" t="s">
        <v>223</v>
      </c>
      <c r="C175" s="166" t="s">
        <v>224</v>
      </c>
      <c r="D175" s="202"/>
      <c r="E175" s="176">
        <v>8800</v>
      </c>
      <c r="F175" s="177"/>
      <c r="G175" s="248">
        <f t="shared" si="12"/>
        <v>8800</v>
      </c>
      <c r="H175" s="171">
        <v>0.4</v>
      </c>
      <c r="I175" s="177"/>
      <c r="J175" s="167" t="s">
        <v>225</v>
      </c>
      <c r="K175" s="181">
        <v>7</v>
      </c>
      <c r="L175" s="353"/>
      <c r="M175" s="622" t="s">
        <v>223</v>
      </c>
      <c r="N175" s="166" t="s">
        <v>224</v>
      </c>
      <c r="O175" s="202"/>
      <c r="P175" s="445">
        <v>3491.38</v>
      </c>
      <c r="Q175" s="177"/>
      <c r="R175" s="248">
        <f t="shared" si="13"/>
        <v>3491.38</v>
      </c>
      <c r="S175" s="171">
        <v>0.4</v>
      </c>
      <c r="T175" s="538">
        <v>7630</v>
      </c>
      <c r="U175" s="167" t="s">
        <v>225</v>
      </c>
      <c r="V175" s="181">
        <v>7</v>
      </c>
    </row>
    <row r="176" spans="2:23" ht="31" x14ac:dyDescent="0.35">
      <c r="B176" s="623"/>
      <c r="C176" s="166" t="s">
        <v>226</v>
      </c>
      <c r="D176" s="202"/>
      <c r="E176" s="176">
        <v>5000</v>
      </c>
      <c r="F176" s="177"/>
      <c r="G176" s="248">
        <f t="shared" si="12"/>
        <v>5000</v>
      </c>
      <c r="H176" s="171">
        <v>0.4</v>
      </c>
      <c r="I176" s="177"/>
      <c r="J176" s="167" t="s">
        <v>227</v>
      </c>
      <c r="K176" s="181">
        <v>7</v>
      </c>
      <c r="L176" s="353"/>
      <c r="M176" s="623"/>
      <c r="N176" s="166" t="s">
        <v>226</v>
      </c>
      <c r="O176" s="202"/>
      <c r="P176" s="176">
        <v>5000</v>
      </c>
      <c r="Q176" s="177"/>
      <c r="R176" s="248">
        <f t="shared" si="13"/>
        <v>5000</v>
      </c>
      <c r="S176" s="171">
        <v>0.4</v>
      </c>
      <c r="T176" s="529">
        <v>5000</v>
      </c>
      <c r="U176" s="167" t="s">
        <v>227</v>
      </c>
      <c r="V176" s="181">
        <v>7</v>
      </c>
      <c r="W176" s="540" t="s">
        <v>954</v>
      </c>
    </row>
    <row r="177" spans="2:23" ht="29" x14ac:dyDescent="0.35">
      <c r="B177" s="623"/>
      <c r="C177" s="166" t="s">
        <v>228</v>
      </c>
      <c r="D177" s="202"/>
      <c r="E177" s="176">
        <v>700</v>
      </c>
      <c r="F177" s="177"/>
      <c r="G177" s="248">
        <f t="shared" si="12"/>
        <v>700</v>
      </c>
      <c r="H177" s="171">
        <v>0.4</v>
      </c>
      <c r="I177" s="177"/>
      <c r="J177" s="167" t="s">
        <v>229</v>
      </c>
      <c r="K177" s="181">
        <v>7</v>
      </c>
      <c r="L177" s="353"/>
      <c r="M177" s="623"/>
      <c r="N177" s="166" t="s">
        <v>228</v>
      </c>
      <c r="O177" s="202"/>
      <c r="P177" s="176">
        <v>700</v>
      </c>
      <c r="Q177" s="177"/>
      <c r="R177" s="248">
        <f t="shared" si="13"/>
        <v>700</v>
      </c>
      <c r="S177" s="171">
        <v>0.4</v>
      </c>
      <c r="T177" s="529">
        <v>700</v>
      </c>
      <c r="U177" s="167" t="s">
        <v>229</v>
      </c>
      <c r="V177" s="181">
        <v>7</v>
      </c>
      <c r="W177" s="540" t="s">
        <v>954</v>
      </c>
    </row>
    <row r="178" spans="2:23" ht="29" x14ac:dyDescent="0.35">
      <c r="B178" s="623"/>
      <c r="C178" s="166" t="s">
        <v>159</v>
      </c>
      <c r="D178" s="202"/>
      <c r="E178" s="176">
        <v>500</v>
      </c>
      <c r="F178" s="177"/>
      <c r="G178" s="248">
        <f t="shared" si="12"/>
        <v>500</v>
      </c>
      <c r="H178" s="171">
        <v>0.4</v>
      </c>
      <c r="I178" s="177"/>
      <c r="J178" s="167" t="s">
        <v>208</v>
      </c>
      <c r="K178" s="181">
        <v>5</v>
      </c>
      <c r="L178" s="353"/>
      <c r="M178" s="623"/>
      <c r="N178" s="166" t="s">
        <v>159</v>
      </c>
      <c r="O178" s="202"/>
      <c r="P178" s="176">
        <v>500</v>
      </c>
      <c r="Q178" s="177"/>
      <c r="R178" s="248">
        <f t="shared" si="13"/>
        <v>500</v>
      </c>
      <c r="S178" s="171">
        <v>0.4</v>
      </c>
      <c r="T178" s="529">
        <v>500</v>
      </c>
      <c r="U178" s="167" t="s">
        <v>208</v>
      </c>
      <c r="V178" s="181">
        <v>5</v>
      </c>
      <c r="W178" s="540" t="s">
        <v>954</v>
      </c>
    </row>
    <row r="179" spans="2:23" ht="29" x14ac:dyDescent="0.35">
      <c r="B179" s="624"/>
      <c r="C179" s="166"/>
      <c r="D179" s="202"/>
      <c r="E179" s="177"/>
      <c r="F179" s="177"/>
      <c r="G179" s="248">
        <f t="shared" si="12"/>
        <v>0</v>
      </c>
      <c r="H179" s="171"/>
      <c r="I179" s="177"/>
      <c r="J179" s="167"/>
      <c r="K179" s="181"/>
      <c r="L179" s="353"/>
      <c r="M179" s="624"/>
      <c r="N179" s="166"/>
      <c r="O179" s="202"/>
      <c r="P179" s="177"/>
      <c r="Q179" s="177"/>
      <c r="R179" s="248">
        <f t="shared" si="13"/>
        <v>0</v>
      </c>
      <c r="S179" s="171"/>
      <c r="T179" s="529"/>
      <c r="U179" s="167"/>
      <c r="V179" s="181"/>
      <c r="W179" s="540" t="s">
        <v>954</v>
      </c>
    </row>
    <row r="180" spans="2:23" ht="29" x14ac:dyDescent="0.35">
      <c r="B180" s="622" t="s">
        <v>230</v>
      </c>
      <c r="C180" s="166" t="s">
        <v>231</v>
      </c>
      <c r="D180" s="202"/>
      <c r="E180" s="176">
        <v>20000</v>
      </c>
      <c r="F180" s="177"/>
      <c r="G180" s="248">
        <f t="shared" si="12"/>
        <v>20000</v>
      </c>
      <c r="H180" s="171">
        <v>0.3</v>
      </c>
      <c r="I180" s="177"/>
      <c r="J180" s="167"/>
      <c r="K180" s="181">
        <v>6</v>
      </c>
      <c r="L180" s="353"/>
      <c r="M180" s="622" t="s">
        <v>230</v>
      </c>
      <c r="N180" s="166" t="s">
        <v>231</v>
      </c>
      <c r="O180" s="202"/>
      <c r="P180" s="176">
        <v>20000</v>
      </c>
      <c r="Q180" s="177"/>
      <c r="R180" s="248">
        <f t="shared" si="13"/>
        <v>20000</v>
      </c>
      <c r="S180" s="171">
        <v>0.3</v>
      </c>
      <c r="T180" s="529">
        <v>20000</v>
      </c>
      <c r="U180" s="167"/>
      <c r="V180" s="181">
        <v>6</v>
      </c>
      <c r="W180" s="540" t="s">
        <v>954</v>
      </c>
    </row>
    <row r="181" spans="2:23" ht="15.5" x14ac:dyDescent="0.35">
      <c r="B181" s="623"/>
      <c r="C181" s="166"/>
      <c r="D181" s="202"/>
      <c r="E181" s="177"/>
      <c r="F181" s="177"/>
      <c r="G181" s="248">
        <f t="shared" si="12"/>
        <v>0</v>
      </c>
      <c r="H181" s="171"/>
      <c r="I181" s="177"/>
      <c r="J181" s="167"/>
      <c r="K181" s="181"/>
      <c r="L181" s="353"/>
      <c r="M181" s="623"/>
      <c r="N181" s="166"/>
      <c r="O181" s="202"/>
      <c r="P181" s="177"/>
      <c r="Q181" s="177"/>
      <c r="R181" s="248">
        <f t="shared" si="13"/>
        <v>0</v>
      </c>
      <c r="S181" s="171"/>
      <c r="T181" s="529"/>
      <c r="U181" s="167"/>
      <c r="V181" s="181"/>
    </row>
    <row r="182" spans="2:23" ht="15.5" x14ac:dyDescent="0.35">
      <c r="B182" s="623"/>
      <c r="C182" s="166"/>
      <c r="D182" s="202"/>
      <c r="E182" s="177"/>
      <c r="F182" s="177"/>
      <c r="G182" s="248">
        <f t="shared" si="12"/>
        <v>0</v>
      </c>
      <c r="H182" s="171"/>
      <c r="I182" s="177"/>
      <c r="J182" s="167"/>
      <c r="K182" s="181"/>
      <c r="L182" s="353"/>
      <c r="M182" s="623"/>
      <c r="N182" s="166"/>
      <c r="O182" s="202"/>
      <c r="P182" s="177"/>
      <c r="Q182" s="177"/>
      <c r="R182" s="248">
        <f t="shared" si="13"/>
        <v>0</v>
      </c>
      <c r="S182" s="171"/>
      <c r="T182" s="529"/>
      <c r="U182" s="167"/>
      <c r="V182" s="181"/>
    </row>
    <row r="183" spans="2:23" ht="15.5" x14ac:dyDescent="0.35">
      <c r="B183" s="623"/>
      <c r="C183" s="166"/>
      <c r="D183" s="202"/>
      <c r="E183" s="177"/>
      <c r="F183" s="177"/>
      <c r="G183" s="248">
        <f t="shared" si="12"/>
        <v>0</v>
      </c>
      <c r="H183" s="171"/>
      <c r="I183" s="177"/>
      <c r="J183" s="167"/>
      <c r="K183" s="181"/>
      <c r="L183" s="353"/>
      <c r="M183" s="623"/>
      <c r="N183" s="166"/>
      <c r="O183" s="202"/>
      <c r="P183" s="177"/>
      <c r="Q183" s="177"/>
      <c r="R183" s="248">
        <f t="shared" si="13"/>
        <v>0</v>
      </c>
      <c r="S183" s="171"/>
      <c r="T183" s="529"/>
      <c r="U183" s="167"/>
      <c r="V183" s="181"/>
    </row>
    <row r="184" spans="2:23" ht="15.5" x14ac:dyDescent="0.35">
      <c r="B184" s="624"/>
      <c r="C184" s="166"/>
      <c r="D184" s="202"/>
      <c r="E184" s="177"/>
      <c r="F184" s="177"/>
      <c r="G184" s="248">
        <f t="shared" si="12"/>
        <v>0</v>
      </c>
      <c r="H184" s="171"/>
      <c r="I184" s="177"/>
      <c r="J184" s="167"/>
      <c r="K184" s="181"/>
      <c r="L184" s="353"/>
      <c r="M184" s="624"/>
      <c r="N184" s="166"/>
      <c r="O184" s="202"/>
      <c r="P184" s="177"/>
      <c r="Q184" s="177"/>
      <c r="R184" s="248">
        <f t="shared" si="13"/>
        <v>0</v>
      </c>
      <c r="S184" s="171"/>
      <c r="T184" s="529"/>
      <c r="U184" s="167"/>
      <c r="V184" s="181"/>
    </row>
    <row r="185" spans="2:23" ht="31" customHeight="1" x14ac:dyDescent="0.35">
      <c r="B185" s="622" t="s">
        <v>232</v>
      </c>
      <c r="C185" s="232" t="s">
        <v>233</v>
      </c>
      <c r="D185" s="233"/>
      <c r="E185" s="361">
        <f>70000-70000</f>
        <v>0</v>
      </c>
      <c r="F185" s="234"/>
      <c r="G185" s="235">
        <f t="shared" si="12"/>
        <v>0</v>
      </c>
      <c r="H185" s="236">
        <v>0.6</v>
      </c>
      <c r="I185" s="234"/>
      <c r="J185" s="362" t="s">
        <v>234</v>
      </c>
      <c r="K185" s="181"/>
      <c r="L185" s="353"/>
      <c r="M185" s="622" t="s">
        <v>232</v>
      </c>
      <c r="N185" s="232" t="s">
        <v>233</v>
      </c>
      <c r="O185" s="233"/>
      <c r="P185" s="361">
        <f>70000-70000</f>
        <v>0</v>
      </c>
      <c r="Q185" s="234"/>
      <c r="R185" s="235">
        <f t="shared" si="13"/>
        <v>0</v>
      </c>
      <c r="S185" s="236">
        <v>0.6</v>
      </c>
      <c r="T185" s="529"/>
      <c r="U185" s="362" t="s">
        <v>234</v>
      </c>
      <c r="V185" s="181"/>
    </row>
    <row r="186" spans="2:23" ht="31" x14ac:dyDescent="0.35">
      <c r="B186" s="623"/>
      <c r="C186" s="232" t="s">
        <v>423</v>
      </c>
      <c r="D186" s="233"/>
      <c r="E186" s="234">
        <v>30600</v>
      </c>
      <c r="F186" s="234"/>
      <c r="G186" s="235">
        <f t="shared" si="12"/>
        <v>30600</v>
      </c>
      <c r="H186" s="236">
        <v>0.6</v>
      </c>
      <c r="I186" s="234"/>
      <c r="J186" s="237"/>
      <c r="K186" s="181">
        <v>2</v>
      </c>
      <c r="L186" s="353"/>
      <c r="M186" s="623"/>
      <c r="N186" s="232" t="s">
        <v>423</v>
      </c>
      <c r="O186" s="233"/>
      <c r="P186" s="234">
        <v>30600</v>
      </c>
      <c r="Q186" s="234"/>
      <c r="R186" s="235">
        <f t="shared" si="13"/>
        <v>30600</v>
      </c>
      <c r="S186" s="236">
        <v>0.6</v>
      </c>
      <c r="T186" s="538">
        <v>30600</v>
      </c>
      <c r="U186" s="237"/>
      <c r="V186" s="181">
        <v>2</v>
      </c>
    </row>
    <row r="187" spans="2:23" ht="15.5" x14ac:dyDescent="0.35">
      <c r="B187" s="623"/>
      <c r="C187" s="232" t="s">
        <v>424</v>
      </c>
      <c r="D187" s="233"/>
      <c r="E187" s="234">
        <v>1374</v>
      </c>
      <c r="F187" s="234"/>
      <c r="G187" s="235">
        <f t="shared" si="12"/>
        <v>1374</v>
      </c>
      <c r="H187" s="236"/>
      <c r="I187" s="234"/>
      <c r="J187" s="237"/>
      <c r="K187" s="181">
        <v>4</v>
      </c>
      <c r="L187" s="353"/>
      <c r="M187" s="623"/>
      <c r="N187" s="232" t="s">
        <v>424</v>
      </c>
      <c r="O187" s="233"/>
      <c r="P187" s="234">
        <v>1374</v>
      </c>
      <c r="Q187" s="234"/>
      <c r="R187" s="235">
        <f t="shared" si="13"/>
        <v>1374</v>
      </c>
      <c r="S187" s="236"/>
      <c r="T187" s="538">
        <v>1374</v>
      </c>
      <c r="U187" s="237"/>
      <c r="V187" s="181">
        <v>4</v>
      </c>
    </row>
    <row r="188" spans="2:23" ht="15.5" x14ac:dyDescent="0.35">
      <c r="B188" s="623"/>
      <c r="C188" s="232" t="s">
        <v>425</v>
      </c>
      <c r="D188" s="233"/>
      <c r="E188" s="234">
        <v>38026</v>
      </c>
      <c r="F188" s="234"/>
      <c r="G188" s="235">
        <f t="shared" ref="G188" si="14">D188+E188+F188</f>
        <v>38026</v>
      </c>
      <c r="H188" s="236">
        <v>0.6</v>
      </c>
      <c r="I188" s="234"/>
      <c r="J188" s="237"/>
      <c r="K188" s="181">
        <v>6</v>
      </c>
      <c r="L188" s="353"/>
      <c r="M188" s="623"/>
      <c r="N188" s="232" t="s">
        <v>425</v>
      </c>
      <c r="O188" s="233"/>
      <c r="P188" s="226">
        <v>28026</v>
      </c>
      <c r="Q188" s="234"/>
      <c r="R188" s="235">
        <f t="shared" si="13"/>
        <v>28026</v>
      </c>
      <c r="S188" s="236">
        <v>0.6</v>
      </c>
      <c r="T188" s="538">
        <f>28026+8679.72</f>
        <v>36705.72</v>
      </c>
      <c r="U188" s="237"/>
      <c r="V188" s="181">
        <v>6</v>
      </c>
    </row>
    <row r="189" spans="2:23" ht="15.5" x14ac:dyDescent="0.35">
      <c r="B189" s="624"/>
      <c r="C189" s="232"/>
      <c r="D189" s="233"/>
      <c r="E189" s="234"/>
      <c r="F189" s="234"/>
      <c r="G189" s="235">
        <f t="shared" si="12"/>
        <v>0</v>
      </c>
      <c r="H189" s="236"/>
      <c r="I189" s="234"/>
      <c r="J189" s="237"/>
      <c r="K189" s="181"/>
      <c r="L189" s="353"/>
      <c r="M189" s="624"/>
      <c r="N189" s="232"/>
      <c r="O189" s="233"/>
      <c r="P189" s="234"/>
      <c r="Q189" s="234"/>
      <c r="R189" s="235">
        <f t="shared" si="13"/>
        <v>0</v>
      </c>
      <c r="S189" s="236"/>
      <c r="T189" s="529"/>
      <c r="U189" s="237"/>
      <c r="V189" s="181"/>
    </row>
    <row r="190" spans="2:23" ht="31" x14ac:dyDescent="0.35">
      <c r="B190" s="639" t="s">
        <v>235</v>
      </c>
      <c r="C190" s="166" t="s">
        <v>236</v>
      </c>
      <c r="D190" s="202"/>
      <c r="E190" s="176">
        <v>1000</v>
      </c>
      <c r="F190" s="177"/>
      <c r="G190" s="248">
        <f t="shared" si="12"/>
        <v>1000</v>
      </c>
      <c r="H190" s="171">
        <v>0.35</v>
      </c>
      <c r="I190" s="177"/>
      <c r="J190" s="167" t="s">
        <v>237</v>
      </c>
      <c r="K190" s="181">
        <v>5</v>
      </c>
      <c r="L190" s="353"/>
      <c r="M190" s="639" t="s">
        <v>235</v>
      </c>
      <c r="N190" s="166" t="s">
        <v>236</v>
      </c>
      <c r="O190" s="202"/>
      <c r="P190" s="176">
        <v>1000</v>
      </c>
      <c r="Q190" s="177"/>
      <c r="R190" s="248">
        <f t="shared" si="13"/>
        <v>1000</v>
      </c>
      <c r="S190" s="171">
        <v>0.35</v>
      </c>
      <c r="T190" s="538">
        <v>1000</v>
      </c>
      <c r="U190" s="167" t="s">
        <v>237</v>
      </c>
      <c r="V190" s="181">
        <v>5</v>
      </c>
    </row>
    <row r="191" spans="2:23" ht="31" x14ac:dyDescent="0.35">
      <c r="B191" s="639"/>
      <c r="C191" s="166" t="s">
        <v>238</v>
      </c>
      <c r="D191" s="202"/>
      <c r="E191" s="176">
        <v>500</v>
      </c>
      <c r="F191" s="177"/>
      <c r="G191" s="248">
        <f t="shared" si="12"/>
        <v>500</v>
      </c>
      <c r="H191" s="171">
        <v>0.35</v>
      </c>
      <c r="I191" s="177"/>
      <c r="J191" s="167" t="s">
        <v>239</v>
      </c>
      <c r="K191" s="181">
        <v>7</v>
      </c>
      <c r="L191" s="353"/>
      <c r="M191" s="639"/>
      <c r="N191" s="166" t="s">
        <v>238</v>
      </c>
      <c r="O191" s="202"/>
      <c r="P191" s="176">
        <v>500</v>
      </c>
      <c r="Q191" s="177"/>
      <c r="R191" s="248">
        <f t="shared" si="13"/>
        <v>500</v>
      </c>
      <c r="S191" s="171">
        <v>0.35</v>
      </c>
      <c r="T191" s="538">
        <v>500</v>
      </c>
      <c r="U191" s="167" t="s">
        <v>239</v>
      </c>
      <c r="V191" s="181">
        <v>7</v>
      </c>
    </row>
    <row r="192" spans="2:23" ht="15.5" x14ac:dyDescent="0.35">
      <c r="B192" s="639"/>
      <c r="C192" s="166" t="s">
        <v>240</v>
      </c>
      <c r="D192" s="202"/>
      <c r="E192" s="176">
        <v>1000</v>
      </c>
      <c r="F192" s="177"/>
      <c r="G192" s="248">
        <f t="shared" si="12"/>
        <v>1000</v>
      </c>
      <c r="H192" s="171">
        <v>0.35</v>
      </c>
      <c r="I192" s="177"/>
      <c r="J192" s="167" t="s">
        <v>201</v>
      </c>
      <c r="K192" s="181">
        <v>5</v>
      </c>
      <c r="L192" s="353"/>
      <c r="M192" s="639"/>
      <c r="N192" s="166" t="s">
        <v>240</v>
      </c>
      <c r="O192" s="202"/>
      <c r="P192" s="176">
        <v>1000</v>
      </c>
      <c r="Q192" s="177"/>
      <c r="R192" s="248">
        <f t="shared" si="13"/>
        <v>1000</v>
      </c>
      <c r="S192" s="171">
        <v>0.35</v>
      </c>
      <c r="T192" s="538">
        <v>1000</v>
      </c>
      <c r="U192" s="167" t="s">
        <v>201</v>
      </c>
      <c r="V192" s="181">
        <v>5</v>
      </c>
    </row>
    <row r="193" spans="2:23" ht="15.5" x14ac:dyDescent="0.35">
      <c r="B193" s="639"/>
      <c r="C193" s="166" t="s">
        <v>215</v>
      </c>
      <c r="D193" s="202"/>
      <c r="E193" s="176">
        <v>1500</v>
      </c>
      <c r="F193" s="177"/>
      <c r="G193" s="248">
        <f t="shared" si="12"/>
        <v>1500</v>
      </c>
      <c r="H193" s="171">
        <v>0.35</v>
      </c>
      <c r="I193" s="177"/>
      <c r="J193" s="166" t="s">
        <v>241</v>
      </c>
      <c r="K193" s="181">
        <v>7</v>
      </c>
      <c r="L193" s="353"/>
      <c r="M193" s="639"/>
      <c r="N193" s="166" t="s">
        <v>215</v>
      </c>
      <c r="O193" s="202"/>
      <c r="P193" s="176">
        <v>1500</v>
      </c>
      <c r="Q193" s="177"/>
      <c r="R193" s="248">
        <f t="shared" si="13"/>
        <v>1500</v>
      </c>
      <c r="S193" s="171">
        <v>0.35</v>
      </c>
      <c r="T193" s="538">
        <v>1500</v>
      </c>
      <c r="U193" s="166" t="s">
        <v>241</v>
      </c>
      <c r="V193" s="181">
        <v>7</v>
      </c>
    </row>
    <row r="194" spans="2:23" ht="31" x14ac:dyDescent="0.35">
      <c r="B194" s="639"/>
      <c r="C194" s="166" t="s">
        <v>242</v>
      </c>
      <c r="D194" s="202"/>
      <c r="E194" s="176">
        <v>3000</v>
      </c>
      <c r="F194" s="177"/>
      <c r="G194" s="248">
        <f t="shared" si="12"/>
        <v>3000</v>
      </c>
      <c r="H194" s="171">
        <v>0.35</v>
      </c>
      <c r="I194" s="177"/>
      <c r="J194" s="167" t="s">
        <v>227</v>
      </c>
      <c r="K194" s="181">
        <v>2</v>
      </c>
      <c r="L194" s="353"/>
      <c r="M194" s="639"/>
      <c r="N194" s="166" t="s">
        <v>242</v>
      </c>
      <c r="O194" s="202"/>
      <c r="P194" s="176">
        <v>3000</v>
      </c>
      <c r="Q194" s="177"/>
      <c r="R194" s="248">
        <f t="shared" si="13"/>
        <v>3000</v>
      </c>
      <c r="S194" s="171">
        <v>0.35</v>
      </c>
      <c r="T194" s="538">
        <v>3833.11</v>
      </c>
      <c r="U194" s="167" t="s">
        <v>227</v>
      </c>
      <c r="V194" s="181">
        <v>2</v>
      </c>
    </row>
    <row r="195" spans="2:23" ht="46.5" x14ac:dyDescent="0.35">
      <c r="B195" s="622" t="s">
        <v>243</v>
      </c>
      <c r="C195" s="166" t="s">
        <v>244</v>
      </c>
      <c r="D195" s="202"/>
      <c r="E195" s="176">
        <v>2000</v>
      </c>
      <c r="F195" s="177"/>
      <c r="G195" s="248">
        <f t="shared" si="12"/>
        <v>2000</v>
      </c>
      <c r="H195" s="171">
        <v>0.35</v>
      </c>
      <c r="I195" s="177"/>
      <c r="J195" s="167" t="s">
        <v>245</v>
      </c>
      <c r="K195" s="181">
        <v>7</v>
      </c>
      <c r="L195" s="353"/>
      <c r="M195" s="622" t="s">
        <v>243</v>
      </c>
      <c r="N195" s="166" t="s">
        <v>244</v>
      </c>
      <c r="O195" s="202"/>
      <c r="P195" s="176">
        <v>2000</v>
      </c>
      <c r="Q195" s="177"/>
      <c r="R195" s="248">
        <f t="shared" si="13"/>
        <v>2000</v>
      </c>
      <c r="S195" s="171">
        <v>0.35</v>
      </c>
      <c r="T195" s="529">
        <v>10000</v>
      </c>
      <c r="U195" s="167" t="s">
        <v>245</v>
      </c>
      <c r="V195" s="181">
        <v>7</v>
      </c>
    </row>
    <row r="196" spans="2:23" ht="29" x14ac:dyDescent="0.35">
      <c r="B196" s="623"/>
      <c r="C196" s="166" t="s">
        <v>207</v>
      </c>
      <c r="D196" s="202"/>
      <c r="E196" s="176">
        <v>1000</v>
      </c>
      <c r="F196" s="177"/>
      <c r="G196" s="248">
        <f t="shared" si="12"/>
        <v>1000</v>
      </c>
      <c r="H196" s="171">
        <v>0.35</v>
      </c>
      <c r="I196" s="177"/>
      <c r="J196" s="167" t="s">
        <v>240</v>
      </c>
      <c r="K196" s="181">
        <v>5</v>
      </c>
      <c r="L196" s="353"/>
      <c r="M196" s="623"/>
      <c r="N196" s="166" t="s">
        <v>207</v>
      </c>
      <c r="O196" s="202"/>
      <c r="P196" s="176">
        <v>1000</v>
      </c>
      <c r="Q196" s="177"/>
      <c r="R196" s="248">
        <f t="shared" si="13"/>
        <v>1000</v>
      </c>
      <c r="S196" s="171">
        <v>0.35</v>
      </c>
      <c r="T196" s="529">
        <v>1000</v>
      </c>
      <c r="U196" s="167" t="s">
        <v>240</v>
      </c>
      <c r="V196" s="181">
        <v>5</v>
      </c>
      <c r="W196" s="540" t="s">
        <v>954</v>
      </c>
    </row>
    <row r="197" spans="2:23" ht="29" x14ac:dyDescent="0.35">
      <c r="B197" s="623"/>
      <c r="C197" s="166" t="s">
        <v>246</v>
      </c>
      <c r="D197" s="202"/>
      <c r="E197" s="176">
        <v>7000</v>
      </c>
      <c r="F197" s="177"/>
      <c r="G197" s="248">
        <f t="shared" si="12"/>
        <v>7000</v>
      </c>
      <c r="H197" s="171">
        <v>0.35</v>
      </c>
      <c r="I197" s="177"/>
      <c r="J197" s="167" t="s">
        <v>241</v>
      </c>
      <c r="K197" s="181">
        <v>2</v>
      </c>
      <c r="L197" s="353"/>
      <c r="M197" s="623"/>
      <c r="N197" s="166" t="s">
        <v>246</v>
      </c>
      <c r="O197" s="202"/>
      <c r="P197" s="176">
        <v>7000</v>
      </c>
      <c r="Q197" s="177"/>
      <c r="R197" s="248">
        <f t="shared" si="13"/>
        <v>7000</v>
      </c>
      <c r="S197" s="171">
        <v>0.35</v>
      </c>
      <c r="T197" s="529">
        <v>7000</v>
      </c>
      <c r="U197" s="167" t="s">
        <v>241</v>
      </c>
      <c r="V197" s="181">
        <v>2</v>
      </c>
      <c r="W197" s="540" t="s">
        <v>954</v>
      </c>
    </row>
    <row r="198" spans="2:23" ht="31" x14ac:dyDescent="0.35">
      <c r="B198" s="623"/>
      <c r="C198" s="166" t="s">
        <v>247</v>
      </c>
      <c r="D198" s="202"/>
      <c r="E198" s="176">
        <v>40000</v>
      </c>
      <c r="F198" s="177"/>
      <c r="G198" s="248">
        <f t="shared" si="12"/>
        <v>40000</v>
      </c>
      <c r="H198" s="171">
        <v>0.35</v>
      </c>
      <c r="I198" s="177"/>
      <c r="J198" s="167" t="s">
        <v>227</v>
      </c>
      <c r="K198" s="181">
        <v>2</v>
      </c>
      <c r="L198" s="353"/>
      <c r="M198" s="623"/>
      <c r="N198" s="166" t="s">
        <v>247</v>
      </c>
      <c r="O198" s="202"/>
      <c r="P198" s="176">
        <v>40000</v>
      </c>
      <c r="Q198" s="177"/>
      <c r="R198" s="248">
        <f t="shared" si="13"/>
        <v>40000</v>
      </c>
      <c r="S198" s="171">
        <v>0.35</v>
      </c>
      <c r="T198" s="529">
        <v>40000</v>
      </c>
      <c r="U198" s="167" t="s">
        <v>227</v>
      </c>
      <c r="V198" s="181">
        <v>2</v>
      </c>
    </row>
    <row r="199" spans="2:23" ht="15.5" x14ac:dyDescent="0.35">
      <c r="B199" s="624"/>
      <c r="C199" s="166"/>
      <c r="D199" s="202"/>
      <c r="E199" s="177"/>
      <c r="F199" s="177"/>
      <c r="G199" s="248">
        <f t="shared" si="12"/>
        <v>0</v>
      </c>
      <c r="H199" s="171"/>
      <c r="I199" s="177"/>
      <c r="J199" s="167"/>
      <c r="K199" s="181"/>
      <c r="L199" s="353"/>
      <c r="M199" s="624"/>
      <c r="N199" s="166"/>
      <c r="O199" s="202"/>
      <c r="P199" s="177"/>
      <c r="Q199" s="177"/>
      <c r="R199" s="248">
        <f t="shared" si="13"/>
        <v>0</v>
      </c>
      <c r="S199" s="171"/>
      <c r="T199" s="529"/>
      <c r="U199" s="167"/>
      <c r="V199" s="181"/>
    </row>
    <row r="200" spans="2:23" ht="48.65" customHeight="1" x14ac:dyDescent="0.35">
      <c r="B200" s="622" t="s">
        <v>248</v>
      </c>
      <c r="C200" s="166" t="s">
        <v>249</v>
      </c>
      <c r="D200" s="202"/>
      <c r="E200" s="176">
        <v>27500</v>
      </c>
      <c r="F200" s="177"/>
      <c r="G200" s="248">
        <f t="shared" si="12"/>
        <v>27500</v>
      </c>
      <c r="H200" s="171">
        <v>0.6</v>
      </c>
      <c r="I200" s="177"/>
      <c r="J200" s="167" t="s">
        <v>250</v>
      </c>
      <c r="K200" s="181">
        <v>2</v>
      </c>
      <c r="L200" s="353"/>
      <c r="M200" s="622" t="s">
        <v>248</v>
      </c>
      <c r="N200" s="166" t="s">
        <v>249</v>
      </c>
      <c r="O200" s="202"/>
      <c r="P200" s="176">
        <v>27500</v>
      </c>
      <c r="Q200" s="177"/>
      <c r="R200" s="248">
        <f t="shared" si="13"/>
        <v>27500</v>
      </c>
      <c r="S200" s="171">
        <v>0.6</v>
      </c>
      <c r="T200" s="529">
        <v>27500</v>
      </c>
      <c r="U200" s="167" t="s">
        <v>250</v>
      </c>
      <c r="V200" s="181">
        <v>2</v>
      </c>
    </row>
    <row r="201" spans="2:23" ht="18.649999999999999" customHeight="1" x14ac:dyDescent="0.35">
      <c r="B201" s="623"/>
      <c r="C201" s="166" t="s">
        <v>251</v>
      </c>
      <c r="D201" s="202"/>
      <c r="E201" s="176">
        <v>2500</v>
      </c>
      <c r="F201" s="177"/>
      <c r="G201" s="248">
        <f t="shared" si="12"/>
        <v>2500</v>
      </c>
      <c r="H201" s="171"/>
      <c r="I201" s="177"/>
      <c r="J201" s="167"/>
      <c r="K201" s="181">
        <v>2</v>
      </c>
      <c r="L201" s="353"/>
      <c r="M201" s="623"/>
      <c r="N201" s="166" t="s">
        <v>251</v>
      </c>
      <c r="O201" s="202"/>
      <c r="P201" s="176">
        <v>2500</v>
      </c>
      <c r="Q201" s="177"/>
      <c r="R201" s="248">
        <f t="shared" si="13"/>
        <v>2500</v>
      </c>
      <c r="S201" s="171"/>
      <c r="T201" s="529">
        <v>2500</v>
      </c>
      <c r="U201" s="167"/>
      <c r="V201" s="181">
        <v>2</v>
      </c>
    </row>
    <row r="202" spans="2:23" ht="18.649999999999999" customHeight="1" x14ac:dyDescent="0.35">
      <c r="B202" s="623"/>
      <c r="C202" s="166"/>
      <c r="D202" s="202"/>
      <c r="E202" s="177"/>
      <c r="F202" s="177"/>
      <c r="G202" s="248">
        <f t="shared" si="12"/>
        <v>0</v>
      </c>
      <c r="H202" s="171"/>
      <c r="I202" s="177"/>
      <c r="J202" s="167"/>
      <c r="K202" s="181"/>
      <c r="L202" s="353"/>
      <c r="M202" s="623"/>
      <c r="N202" s="166"/>
      <c r="O202" s="202"/>
      <c r="P202" s="177"/>
      <c r="Q202" s="177"/>
      <c r="R202" s="248">
        <f t="shared" si="13"/>
        <v>0</v>
      </c>
      <c r="S202" s="171"/>
      <c r="T202" s="529"/>
      <c r="U202" s="167"/>
      <c r="V202" s="181"/>
    </row>
    <row r="203" spans="2:23" ht="18.649999999999999" customHeight="1" x14ac:dyDescent="0.35">
      <c r="B203" s="623"/>
      <c r="C203" s="166"/>
      <c r="D203" s="202"/>
      <c r="E203" s="177"/>
      <c r="F203" s="177"/>
      <c r="G203" s="248">
        <f t="shared" si="12"/>
        <v>0</v>
      </c>
      <c r="H203" s="171"/>
      <c r="I203" s="177"/>
      <c r="J203" s="167"/>
      <c r="K203" s="181"/>
      <c r="L203" s="353"/>
      <c r="M203" s="623"/>
      <c r="N203" s="166"/>
      <c r="O203" s="202"/>
      <c r="P203" s="177"/>
      <c r="Q203" s="177"/>
      <c r="R203" s="248">
        <f t="shared" si="13"/>
        <v>0</v>
      </c>
      <c r="S203" s="171"/>
      <c r="T203" s="529"/>
      <c r="U203" s="167"/>
      <c r="V203" s="181"/>
    </row>
    <row r="204" spans="2:23" ht="18.649999999999999" customHeight="1" x14ac:dyDescent="0.35">
      <c r="B204" s="624"/>
      <c r="C204" s="166"/>
      <c r="D204" s="202"/>
      <c r="E204" s="177"/>
      <c r="F204" s="177"/>
      <c r="G204" s="248"/>
      <c r="H204" s="171"/>
      <c r="I204" s="177"/>
      <c r="J204" s="167"/>
      <c r="K204" s="181"/>
      <c r="L204" s="353"/>
      <c r="M204" s="624"/>
      <c r="N204" s="166"/>
      <c r="O204" s="202"/>
      <c r="P204" s="177"/>
      <c r="Q204" s="177"/>
      <c r="R204" s="248"/>
      <c r="S204" s="171"/>
      <c r="T204" s="177"/>
      <c r="U204" s="167"/>
      <c r="V204" s="181"/>
    </row>
    <row r="205" spans="2:23" ht="31" customHeight="1" x14ac:dyDescent="0.35">
      <c r="B205" s="657" t="s">
        <v>426</v>
      </c>
      <c r="C205" s="224" t="s">
        <v>268</v>
      </c>
      <c r="D205" s="225">
        <v>25000</v>
      </c>
      <c r="E205" s="226"/>
      <c r="F205" s="226"/>
      <c r="G205" s="227">
        <f t="shared" ref="G205:G209" si="15">D205+E205+F205</f>
        <v>25000</v>
      </c>
      <c r="H205" s="221">
        <v>1</v>
      </c>
      <c r="I205" s="226"/>
      <c r="J205" s="228" t="s">
        <v>269</v>
      </c>
      <c r="K205" s="229">
        <v>6</v>
      </c>
      <c r="L205" s="353"/>
      <c r="M205" s="662" t="s">
        <v>426</v>
      </c>
      <c r="N205" s="232" t="s">
        <v>268</v>
      </c>
      <c r="O205" s="233">
        <v>25000</v>
      </c>
      <c r="P205" s="234"/>
      <c r="Q205" s="234"/>
      <c r="R205" s="235">
        <f t="shared" ref="R205:R250" si="16">O205+P205+Q205</f>
        <v>25000</v>
      </c>
      <c r="S205" s="236">
        <v>1</v>
      </c>
      <c r="T205" s="234"/>
      <c r="U205" s="237" t="s">
        <v>269</v>
      </c>
      <c r="V205" s="181">
        <v>6</v>
      </c>
    </row>
    <row r="206" spans="2:23" ht="15.5" x14ac:dyDescent="0.35">
      <c r="B206" s="655"/>
      <c r="C206" s="166"/>
      <c r="D206" s="202"/>
      <c r="E206" s="177"/>
      <c r="F206" s="177"/>
      <c r="G206" s="248">
        <f t="shared" si="15"/>
        <v>0</v>
      </c>
      <c r="H206" s="171"/>
      <c r="I206" s="177"/>
      <c r="J206" s="167"/>
      <c r="K206" s="181"/>
      <c r="L206" s="353"/>
      <c r="M206" s="663"/>
      <c r="N206" s="232"/>
      <c r="O206" s="233"/>
      <c r="P206" s="234"/>
      <c r="Q206" s="234"/>
      <c r="R206" s="235">
        <f t="shared" si="16"/>
        <v>0</v>
      </c>
      <c r="S206" s="236"/>
      <c r="T206" s="234"/>
      <c r="U206" s="237"/>
      <c r="V206" s="181"/>
    </row>
    <row r="207" spans="2:23" ht="18.649999999999999" customHeight="1" x14ac:dyDescent="0.35">
      <c r="B207" s="655"/>
      <c r="C207" s="166"/>
      <c r="D207" s="202"/>
      <c r="E207" s="177"/>
      <c r="F207" s="177"/>
      <c r="G207" s="248">
        <f t="shared" si="15"/>
        <v>0</v>
      </c>
      <c r="H207" s="171"/>
      <c r="I207" s="177"/>
      <c r="J207" s="167"/>
      <c r="K207" s="181"/>
      <c r="L207" s="353"/>
      <c r="M207" s="663"/>
      <c r="N207" s="232"/>
      <c r="O207" s="233"/>
      <c r="P207" s="234"/>
      <c r="Q207" s="234"/>
      <c r="R207" s="235">
        <f t="shared" si="16"/>
        <v>0</v>
      </c>
      <c r="S207" s="236"/>
      <c r="T207" s="234"/>
      <c r="U207" s="237"/>
      <c r="V207" s="181"/>
    </row>
    <row r="208" spans="2:23" ht="18.649999999999999" customHeight="1" x14ac:dyDescent="0.35">
      <c r="B208" s="655"/>
      <c r="C208" s="166"/>
      <c r="D208" s="202"/>
      <c r="E208" s="177"/>
      <c r="F208" s="177"/>
      <c r="G208" s="248">
        <f t="shared" si="15"/>
        <v>0</v>
      </c>
      <c r="H208" s="171"/>
      <c r="I208" s="177"/>
      <c r="J208" s="167"/>
      <c r="K208" s="181"/>
      <c r="L208" s="353"/>
      <c r="M208" s="663"/>
      <c r="N208" s="232"/>
      <c r="O208" s="233"/>
      <c r="P208" s="234"/>
      <c r="Q208" s="234"/>
      <c r="R208" s="235">
        <f t="shared" si="16"/>
        <v>0</v>
      </c>
      <c r="S208" s="236"/>
      <c r="T208" s="234"/>
      <c r="U208" s="237"/>
      <c r="V208" s="181"/>
    </row>
    <row r="209" spans="2:22" ht="18.649999999999999" customHeight="1" x14ac:dyDescent="0.35">
      <c r="B209" s="656"/>
      <c r="C209" s="166"/>
      <c r="D209" s="202"/>
      <c r="E209" s="177"/>
      <c r="F209" s="177"/>
      <c r="G209" s="248">
        <f t="shared" si="15"/>
        <v>0</v>
      </c>
      <c r="H209" s="171"/>
      <c r="I209" s="177"/>
      <c r="J209" s="167"/>
      <c r="K209" s="181"/>
      <c r="L209" s="353"/>
      <c r="M209" s="664"/>
      <c r="N209" s="232"/>
      <c r="O209" s="233"/>
      <c r="P209" s="234"/>
      <c r="Q209" s="234"/>
      <c r="R209" s="235">
        <f t="shared" si="16"/>
        <v>0</v>
      </c>
      <c r="S209" s="236"/>
      <c r="T209" s="234"/>
      <c r="U209" s="237"/>
      <c r="V209" s="181"/>
    </row>
    <row r="210" spans="2:22" ht="31" x14ac:dyDescent="0.35">
      <c r="B210" s="349"/>
      <c r="C210" s="166"/>
      <c r="D210" s="202"/>
      <c r="E210" s="177"/>
      <c r="F210" s="177"/>
      <c r="G210" s="248"/>
      <c r="H210" s="171"/>
      <c r="I210" s="177"/>
      <c r="J210" s="167"/>
      <c r="K210" s="181"/>
      <c r="L210" s="353"/>
      <c r="M210" s="350" t="s">
        <v>427</v>
      </c>
      <c r="N210" s="224" t="s">
        <v>904</v>
      </c>
      <c r="O210" s="225"/>
      <c r="P210" s="226">
        <v>12000</v>
      </c>
      <c r="Q210" s="226"/>
      <c r="R210" s="227">
        <f t="shared" si="16"/>
        <v>12000</v>
      </c>
      <c r="S210" s="221">
        <v>0.5</v>
      </c>
      <c r="T210" s="449">
        <v>12000</v>
      </c>
      <c r="U210" s="228"/>
      <c r="V210" s="229">
        <v>4</v>
      </c>
    </row>
    <row r="211" spans="2:22" ht="15.5" x14ac:dyDescent="0.35">
      <c r="B211" s="349"/>
      <c r="C211" s="166"/>
      <c r="D211" s="202"/>
      <c r="E211" s="177"/>
      <c r="F211" s="177"/>
      <c r="G211" s="248"/>
      <c r="H211" s="171"/>
      <c r="I211" s="177"/>
      <c r="J211" s="167"/>
      <c r="K211" s="181"/>
      <c r="L211" s="353"/>
      <c r="M211" s="657" t="s">
        <v>945</v>
      </c>
      <c r="N211" s="224" t="s">
        <v>905</v>
      </c>
      <c r="O211" s="225"/>
      <c r="P211" s="226">
        <v>3500</v>
      </c>
      <c r="Q211" s="226"/>
      <c r="R211" s="227">
        <f t="shared" si="16"/>
        <v>3500</v>
      </c>
      <c r="S211" s="221">
        <v>0.5</v>
      </c>
      <c r="T211" s="449">
        <v>3500</v>
      </c>
      <c r="U211" s="228"/>
      <c r="V211" s="229">
        <v>7</v>
      </c>
    </row>
    <row r="212" spans="2:22" ht="15.5" x14ac:dyDescent="0.35">
      <c r="B212" s="349"/>
      <c r="C212" s="166"/>
      <c r="D212" s="202"/>
      <c r="E212" s="177"/>
      <c r="F212" s="177"/>
      <c r="G212" s="248"/>
      <c r="H212" s="171"/>
      <c r="I212" s="177"/>
      <c r="J212" s="167"/>
      <c r="K212" s="181"/>
      <c r="L212" s="353"/>
      <c r="M212" s="655"/>
      <c r="N212" s="224" t="s">
        <v>909</v>
      </c>
      <c r="O212" s="225"/>
      <c r="P212" s="226">
        <v>1000</v>
      </c>
      <c r="Q212" s="226"/>
      <c r="R212" s="227">
        <f t="shared" si="16"/>
        <v>1000</v>
      </c>
      <c r="S212" s="221">
        <v>0.5</v>
      </c>
      <c r="T212" s="449">
        <v>1000</v>
      </c>
      <c r="U212" s="228"/>
      <c r="V212" s="229">
        <v>7</v>
      </c>
    </row>
    <row r="213" spans="2:22" ht="15.5" x14ac:dyDescent="0.35">
      <c r="B213" s="349"/>
      <c r="C213" s="166"/>
      <c r="D213" s="202"/>
      <c r="E213" s="177"/>
      <c r="F213" s="177"/>
      <c r="G213" s="248"/>
      <c r="H213" s="171"/>
      <c r="I213" s="177"/>
      <c r="J213" s="167"/>
      <c r="K213" s="181"/>
      <c r="L213" s="353"/>
      <c r="M213" s="655"/>
      <c r="N213" s="224" t="s">
        <v>906</v>
      </c>
      <c r="O213" s="225"/>
      <c r="P213" s="226">
        <v>5800</v>
      </c>
      <c r="Q213" s="226"/>
      <c r="R213" s="227">
        <f t="shared" si="16"/>
        <v>5800</v>
      </c>
      <c r="S213" s="221">
        <v>0.5</v>
      </c>
      <c r="T213" s="449">
        <v>5800</v>
      </c>
      <c r="U213" s="228"/>
      <c r="V213" s="229">
        <v>5</v>
      </c>
    </row>
    <row r="214" spans="2:22" ht="50.5" customHeight="1" x14ac:dyDescent="0.35">
      <c r="B214" s="349"/>
      <c r="C214" s="166"/>
      <c r="D214" s="202"/>
      <c r="E214" s="177"/>
      <c r="F214" s="177"/>
      <c r="G214" s="248"/>
      <c r="H214" s="171"/>
      <c r="I214" s="177"/>
      <c r="J214" s="167"/>
      <c r="K214" s="181"/>
      <c r="L214" s="353"/>
      <c r="M214" s="657" t="s">
        <v>943</v>
      </c>
      <c r="N214" s="224" t="s">
        <v>905</v>
      </c>
      <c r="O214" s="225"/>
      <c r="P214" s="449">
        <v>2000</v>
      </c>
      <c r="Q214" s="226"/>
      <c r="R214" s="227">
        <f t="shared" si="16"/>
        <v>2000</v>
      </c>
      <c r="S214" s="221">
        <v>0.5</v>
      </c>
      <c r="T214" s="226"/>
      <c r="U214" s="228"/>
      <c r="V214" s="451">
        <v>7</v>
      </c>
    </row>
    <row r="215" spans="2:22" ht="50.5" customHeight="1" x14ac:dyDescent="0.35">
      <c r="B215" s="349"/>
      <c r="C215" s="166"/>
      <c r="D215" s="202"/>
      <c r="E215" s="177"/>
      <c r="F215" s="177"/>
      <c r="G215" s="248"/>
      <c r="H215" s="171"/>
      <c r="I215" s="177"/>
      <c r="J215" s="167"/>
      <c r="K215" s="181"/>
      <c r="L215" s="353"/>
      <c r="M215" s="655"/>
      <c r="N215" s="224" t="s">
        <v>907</v>
      </c>
      <c r="O215" s="225"/>
      <c r="P215" s="226">
        <v>14002</v>
      </c>
      <c r="Q215" s="226"/>
      <c r="R215" s="227">
        <f t="shared" si="16"/>
        <v>14002</v>
      </c>
      <c r="S215" s="221">
        <v>0.5</v>
      </c>
      <c r="T215" s="226"/>
      <c r="U215" s="228"/>
      <c r="V215" s="229">
        <v>2</v>
      </c>
    </row>
    <row r="216" spans="2:22" ht="50.5" customHeight="1" x14ac:dyDescent="0.35">
      <c r="B216" s="349"/>
      <c r="C216" s="166"/>
      <c r="D216" s="202"/>
      <c r="E216" s="177"/>
      <c r="F216" s="177"/>
      <c r="G216" s="248"/>
      <c r="H216" s="171"/>
      <c r="I216" s="177"/>
      <c r="J216" s="167"/>
      <c r="K216" s="181"/>
      <c r="L216" s="353"/>
      <c r="M216" s="655"/>
      <c r="N216" s="224" t="s">
        <v>906</v>
      </c>
      <c r="O216" s="225"/>
      <c r="P216" s="226">
        <v>14000</v>
      </c>
      <c r="Q216" s="226"/>
      <c r="R216" s="227">
        <f t="shared" si="16"/>
        <v>14000</v>
      </c>
      <c r="S216" s="221">
        <v>0.5</v>
      </c>
      <c r="T216" s="226"/>
      <c r="U216" s="228"/>
      <c r="V216" s="229">
        <v>5</v>
      </c>
    </row>
    <row r="217" spans="2:22" ht="15.5" x14ac:dyDescent="0.35">
      <c r="B217" s="349"/>
      <c r="C217" s="166"/>
      <c r="D217" s="202"/>
      <c r="E217" s="177"/>
      <c r="F217" s="177"/>
      <c r="G217" s="248"/>
      <c r="H217" s="171"/>
      <c r="I217" s="177"/>
      <c r="J217" s="167"/>
      <c r="K217" s="181"/>
      <c r="L217" s="353"/>
      <c r="M217" s="656"/>
      <c r="N217" s="224" t="s">
        <v>211</v>
      </c>
      <c r="O217" s="225"/>
      <c r="P217" s="449">
        <v>5000</v>
      </c>
      <c r="Q217" s="226"/>
      <c r="R217" s="227">
        <f t="shared" si="16"/>
        <v>5000</v>
      </c>
      <c r="S217" s="221">
        <v>0.5</v>
      </c>
      <c r="T217" s="226"/>
      <c r="U217" s="228"/>
      <c r="V217" s="229">
        <v>1</v>
      </c>
    </row>
    <row r="218" spans="2:22" ht="15.5" x14ac:dyDescent="0.35">
      <c r="B218" s="349"/>
      <c r="C218" s="166"/>
      <c r="D218" s="202"/>
      <c r="E218" s="177"/>
      <c r="F218" s="177"/>
      <c r="G218" s="248"/>
      <c r="H218" s="171"/>
      <c r="I218" s="177"/>
      <c r="J218" s="167"/>
      <c r="K218" s="181"/>
      <c r="L218" s="353"/>
      <c r="M218" s="657" t="s">
        <v>428</v>
      </c>
      <c r="N218" s="224" t="s">
        <v>908</v>
      </c>
      <c r="O218" s="225"/>
      <c r="P218" s="226">
        <v>1100</v>
      </c>
      <c r="Q218" s="226"/>
      <c r="R218" s="227">
        <f t="shared" si="16"/>
        <v>1100</v>
      </c>
      <c r="S218" s="221"/>
      <c r="T218" s="226"/>
      <c r="U218" s="228"/>
      <c r="V218" s="229">
        <v>7</v>
      </c>
    </row>
    <row r="219" spans="2:22" ht="15.5" x14ac:dyDescent="0.35">
      <c r="B219" s="349"/>
      <c r="C219" s="166"/>
      <c r="D219" s="202"/>
      <c r="E219" s="177"/>
      <c r="F219" s="177"/>
      <c r="G219" s="248"/>
      <c r="H219" s="171"/>
      <c r="I219" s="177"/>
      <c r="J219" s="167"/>
      <c r="K219" s="181"/>
      <c r="L219" s="353"/>
      <c r="M219" s="655"/>
      <c r="N219" s="224" t="s">
        <v>910</v>
      </c>
      <c r="O219" s="225"/>
      <c r="P219" s="226">
        <v>500</v>
      </c>
      <c r="Q219" s="226"/>
      <c r="R219" s="227">
        <f t="shared" si="16"/>
        <v>500</v>
      </c>
      <c r="S219" s="221">
        <v>0.8</v>
      </c>
      <c r="T219" s="226"/>
      <c r="U219" s="228"/>
      <c r="V219" s="229">
        <v>2</v>
      </c>
    </row>
    <row r="220" spans="2:22" ht="15.5" x14ac:dyDescent="0.35">
      <c r="B220" s="349"/>
      <c r="C220" s="166"/>
      <c r="D220" s="202"/>
      <c r="E220" s="177"/>
      <c r="F220" s="177"/>
      <c r="G220" s="248"/>
      <c r="H220" s="171"/>
      <c r="I220" s="177"/>
      <c r="J220" s="167"/>
      <c r="K220" s="181"/>
      <c r="L220" s="353"/>
      <c r="M220" s="656"/>
      <c r="N220" s="224" t="s">
        <v>906</v>
      </c>
      <c r="O220" s="225"/>
      <c r="P220" s="226">
        <v>800</v>
      </c>
      <c r="Q220" s="226"/>
      <c r="R220" s="227">
        <f t="shared" si="16"/>
        <v>800</v>
      </c>
      <c r="S220" s="221">
        <v>0.8</v>
      </c>
      <c r="T220" s="226"/>
      <c r="U220" s="228"/>
      <c r="V220" s="229">
        <v>5</v>
      </c>
    </row>
    <row r="221" spans="2:22" ht="34.5" customHeight="1" x14ac:dyDescent="0.35">
      <c r="B221" s="349"/>
      <c r="C221" s="166"/>
      <c r="D221" s="202"/>
      <c r="E221" s="177"/>
      <c r="F221" s="177"/>
      <c r="G221" s="248"/>
      <c r="H221" s="171"/>
      <c r="I221" s="177"/>
      <c r="J221" s="167"/>
      <c r="K221" s="181"/>
      <c r="L221" s="353"/>
      <c r="M221" s="657" t="s">
        <v>942</v>
      </c>
      <c r="N221" s="224" t="s">
        <v>911</v>
      </c>
      <c r="O221" s="225"/>
      <c r="P221" s="449">
        <v>12000</v>
      </c>
      <c r="Q221" s="226"/>
      <c r="R221" s="227">
        <f t="shared" si="16"/>
        <v>12000</v>
      </c>
      <c r="S221" s="221">
        <v>0.8</v>
      </c>
      <c r="T221" s="449">
        <v>12000</v>
      </c>
      <c r="U221" s="228"/>
      <c r="V221" s="229">
        <v>2</v>
      </c>
    </row>
    <row r="222" spans="2:22" ht="41.5" customHeight="1" x14ac:dyDescent="0.35">
      <c r="B222" s="349"/>
      <c r="C222" s="166"/>
      <c r="D222" s="202"/>
      <c r="E222" s="177"/>
      <c r="F222" s="177"/>
      <c r="G222" s="248"/>
      <c r="H222" s="171"/>
      <c r="I222" s="177"/>
      <c r="J222" s="167"/>
      <c r="K222" s="181"/>
      <c r="L222" s="353"/>
      <c r="M222" s="656"/>
      <c r="N222" s="224" t="s">
        <v>912</v>
      </c>
      <c r="O222" s="225"/>
      <c r="P222" s="226">
        <v>1500</v>
      </c>
      <c r="Q222" s="226"/>
      <c r="R222" s="227">
        <f t="shared" si="16"/>
        <v>1500</v>
      </c>
      <c r="S222" s="221"/>
      <c r="T222" s="226"/>
      <c r="U222" s="228"/>
      <c r="V222" s="451">
        <v>4</v>
      </c>
    </row>
    <row r="223" spans="2:22" s="419" customFormat="1" ht="31" x14ac:dyDescent="0.35">
      <c r="B223" s="350"/>
      <c r="C223" s="224"/>
      <c r="D223" s="225"/>
      <c r="E223" s="226"/>
      <c r="F223" s="226"/>
      <c r="G223" s="227"/>
      <c r="H223" s="221"/>
      <c r="I223" s="226"/>
      <c r="J223" s="228"/>
      <c r="K223" s="229"/>
      <c r="L223" s="420"/>
      <c r="M223" s="657" t="s">
        <v>429</v>
      </c>
      <c r="N223" s="417" t="s">
        <v>430</v>
      </c>
      <c r="O223" s="225">
        <v>2000</v>
      </c>
      <c r="P223" s="226"/>
      <c r="Q223" s="226"/>
      <c r="R223" s="227">
        <f t="shared" si="16"/>
        <v>2000</v>
      </c>
      <c r="S223" s="221">
        <v>0.5</v>
      </c>
      <c r="T223" s="226"/>
      <c r="U223" s="228"/>
      <c r="V223" s="229">
        <v>6</v>
      </c>
    </row>
    <row r="224" spans="2:22" s="419" customFormat="1" ht="31" x14ac:dyDescent="0.35">
      <c r="B224" s="350"/>
      <c r="C224" s="224"/>
      <c r="D224" s="225"/>
      <c r="E224" s="226"/>
      <c r="F224" s="226"/>
      <c r="G224" s="227"/>
      <c r="H224" s="221"/>
      <c r="I224" s="226"/>
      <c r="J224" s="228"/>
      <c r="K224" s="229"/>
      <c r="L224" s="420"/>
      <c r="M224" s="655"/>
      <c r="N224" s="418" t="s">
        <v>431</v>
      </c>
      <c r="O224" s="225">
        <v>5000</v>
      </c>
      <c r="P224" s="226"/>
      <c r="Q224" s="226"/>
      <c r="R224" s="227">
        <f t="shared" si="16"/>
        <v>5000</v>
      </c>
      <c r="S224" s="221">
        <v>0.5</v>
      </c>
      <c r="T224" s="226"/>
      <c r="U224" s="228"/>
      <c r="V224" s="229">
        <v>6</v>
      </c>
    </row>
    <row r="225" spans="2:22" s="419" customFormat="1" ht="31" x14ac:dyDescent="0.35">
      <c r="B225" s="350"/>
      <c r="C225" s="224"/>
      <c r="D225" s="225"/>
      <c r="E225" s="226"/>
      <c r="F225" s="226"/>
      <c r="G225" s="227"/>
      <c r="H225" s="221"/>
      <c r="I225" s="226"/>
      <c r="J225" s="228"/>
      <c r="K225" s="229"/>
      <c r="L225" s="420"/>
      <c r="M225" s="655"/>
      <c r="N225" s="418" t="s">
        <v>432</v>
      </c>
      <c r="O225" s="449">
        <v>52500</v>
      </c>
      <c r="P225" s="226"/>
      <c r="Q225" s="226"/>
      <c r="R225" s="227">
        <f t="shared" si="16"/>
        <v>52500</v>
      </c>
      <c r="S225" s="221">
        <v>0.5</v>
      </c>
      <c r="T225" s="226"/>
      <c r="U225" s="228"/>
      <c r="V225" s="229">
        <v>6</v>
      </c>
    </row>
    <row r="226" spans="2:22" s="419" customFormat="1" ht="15.5" x14ac:dyDescent="0.35">
      <c r="B226" s="350"/>
      <c r="C226" s="224"/>
      <c r="D226" s="225"/>
      <c r="E226" s="226"/>
      <c r="F226" s="226"/>
      <c r="G226" s="227"/>
      <c r="H226" s="221"/>
      <c r="I226" s="226"/>
      <c r="J226" s="228"/>
      <c r="K226" s="229"/>
      <c r="L226" s="420"/>
      <c r="M226" s="655"/>
      <c r="N226" s="418" t="s">
        <v>433</v>
      </c>
      <c r="O226" s="225">
        <v>3000</v>
      </c>
      <c r="P226" s="226"/>
      <c r="Q226" s="226"/>
      <c r="R226" s="227">
        <f t="shared" si="16"/>
        <v>3000</v>
      </c>
      <c r="S226" s="221">
        <v>0.8</v>
      </c>
      <c r="T226" s="226"/>
      <c r="U226" s="228"/>
      <c r="V226" s="229">
        <v>4</v>
      </c>
    </row>
    <row r="227" spans="2:22" s="419" customFormat="1" ht="15.5" x14ac:dyDescent="0.35">
      <c r="B227" s="350"/>
      <c r="C227" s="224"/>
      <c r="D227" s="225"/>
      <c r="E227" s="226"/>
      <c r="F227" s="226"/>
      <c r="G227" s="227"/>
      <c r="H227" s="221"/>
      <c r="I227" s="226"/>
      <c r="J227" s="228"/>
      <c r="K227" s="229"/>
      <c r="L227" s="420"/>
      <c r="M227" s="656"/>
      <c r="N227" s="224"/>
      <c r="O227" s="225"/>
      <c r="P227" s="226"/>
      <c r="Q227" s="226"/>
      <c r="R227" s="227">
        <f t="shared" si="16"/>
        <v>0</v>
      </c>
      <c r="S227" s="221"/>
      <c r="T227" s="226"/>
      <c r="U227" s="228"/>
      <c r="V227" s="229"/>
    </row>
    <row r="228" spans="2:22" s="419" customFormat="1" ht="15.5" x14ac:dyDescent="0.35">
      <c r="B228" s="350"/>
      <c r="C228" s="224"/>
      <c r="D228" s="225"/>
      <c r="E228" s="226"/>
      <c r="F228" s="226"/>
      <c r="G228" s="227"/>
      <c r="H228" s="221"/>
      <c r="I228" s="226"/>
      <c r="J228" s="228"/>
      <c r="K228" s="229"/>
      <c r="L228" s="420"/>
      <c r="M228" s="657" t="s">
        <v>434</v>
      </c>
      <c r="N228" s="417" t="s">
        <v>435</v>
      </c>
      <c r="O228" s="449">
        <v>35000</v>
      </c>
      <c r="P228" s="226"/>
      <c r="Q228" s="226"/>
      <c r="R228" s="227">
        <f t="shared" si="16"/>
        <v>35000</v>
      </c>
      <c r="S228" s="221">
        <v>0.8</v>
      </c>
      <c r="T228" s="226"/>
      <c r="U228" s="228"/>
      <c r="V228" s="229">
        <v>2</v>
      </c>
    </row>
    <row r="229" spans="2:22" s="419" customFormat="1" ht="50.25" customHeight="1" x14ac:dyDescent="0.35">
      <c r="B229" s="350"/>
      <c r="C229" s="224"/>
      <c r="D229" s="225"/>
      <c r="E229" s="226"/>
      <c r="F229" s="226"/>
      <c r="G229" s="227"/>
      <c r="H229" s="221"/>
      <c r="I229" s="226"/>
      <c r="J229" s="228"/>
      <c r="K229" s="229"/>
      <c r="L229" s="420"/>
      <c r="M229" s="656"/>
      <c r="N229" s="418" t="s">
        <v>436</v>
      </c>
      <c r="O229" s="225">
        <v>30000</v>
      </c>
      <c r="P229" s="226"/>
      <c r="Q229" s="226"/>
      <c r="R229" s="227">
        <f t="shared" si="16"/>
        <v>30000</v>
      </c>
      <c r="S229" s="221">
        <v>0.8</v>
      </c>
      <c r="T229" s="226"/>
      <c r="U229" s="228"/>
      <c r="V229" s="229">
        <v>2</v>
      </c>
    </row>
    <row r="230" spans="2:22" s="419" customFormat="1" ht="30.75" customHeight="1" x14ac:dyDescent="0.35">
      <c r="B230" s="350"/>
      <c r="C230" s="224"/>
      <c r="D230" s="225"/>
      <c r="E230" s="226"/>
      <c r="F230" s="226"/>
      <c r="G230" s="227"/>
      <c r="H230" s="221"/>
      <c r="I230" s="226"/>
      <c r="J230" s="228"/>
      <c r="K230" s="229"/>
      <c r="L230" s="420"/>
      <c r="M230" s="657" t="s">
        <v>437</v>
      </c>
      <c r="N230" s="418" t="s">
        <v>438</v>
      </c>
      <c r="O230" s="225">
        <v>3000</v>
      </c>
      <c r="P230" s="226"/>
      <c r="Q230" s="226"/>
      <c r="R230" s="227">
        <f t="shared" si="16"/>
        <v>3000</v>
      </c>
      <c r="S230" s="221">
        <v>0.8</v>
      </c>
      <c r="T230" s="226"/>
      <c r="U230" s="228"/>
      <c r="V230" s="229">
        <v>6</v>
      </c>
    </row>
    <row r="231" spans="2:22" s="419" customFormat="1" ht="31.5" customHeight="1" x14ac:dyDescent="0.35">
      <c r="B231" s="350"/>
      <c r="C231" s="224"/>
      <c r="D231" s="225"/>
      <c r="E231" s="226"/>
      <c r="F231" s="226"/>
      <c r="G231" s="227"/>
      <c r="H231" s="221"/>
      <c r="I231" s="226"/>
      <c r="J231" s="228"/>
      <c r="K231" s="229"/>
      <c r="L231" s="420"/>
      <c r="M231" s="655"/>
      <c r="N231" s="418" t="s">
        <v>439</v>
      </c>
      <c r="O231" s="225">
        <v>50000</v>
      </c>
      <c r="P231" s="226"/>
      <c r="Q231" s="226"/>
      <c r="R231" s="227">
        <f t="shared" si="16"/>
        <v>50000</v>
      </c>
      <c r="S231" s="221">
        <v>0.8</v>
      </c>
      <c r="T231" s="226"/>
      <c r="U231" s="228"/>
      <c r="V231" s="229">
        <v>2</v>
      </c>
    </row>
    <row r="232" spans="2:22" s="419" customFormat="1" ht="46.5" customHeight="1" x14ac:dyDescent="0.35">
      <c r="B232" s="350"/>
      <c r="C232" s="224"/>
      <c r="D232" s="225"/>
      <c r="E232" s="226"/>
      <c r="F232" s="226"/>
      <c r="G232" s="227"/>
      <c r="H232" s="221"/>
      <c r="I232" s="226"/>
      <c r="J232" s="228"/>
      <c r="K232" s="229"/>
      <c r="L232" s="420"/>
      <c r="M232" s="655"/>
      <c r="N232" s="418" t="s">
        <v>440</v>
      </c>
      <c r="O232" s="225">
        <v>5000</v>
      </c>
      <c r="P232" s="226"/>
      <c r="Q232" s="226"/>
      <c r="R232" s="227">
        <f t="shared" si="16"/>
        <v>5000</v>
      </c>
      <c r="S232" s="221">
        <v>0.5</v>
      </c>
      <c r="T232" s="226"/>
      <c r="U232" s="228"/>
      <c r="V232" s="229">
        <v>6</v>
      </c>
    </row>
    <row r="233" spans="2:22" s="419" customFormat="1" ht="15.5" x14ac:dyDescent="0.35">
      <c r="B233" s="350"/>
      <c r="C233" s="224"/>
      <c r="D233" s="225"/>
      <c r="E233" s="226"/>
      <c r="F233" s="226"/>
      <c r="G233" s="227"/>
      <c r="H233" s="221"/>
      <c r="I233" s="226"/>
      <c r="J233" s="228"/>
      <c r="K233" s="229"/>
      <c r="L233" s="420"/>
      <c r="M233" s="656"/>
      <c r="N233" s="418" t="s">
        <v>441</v>
      </c>
      <c r="O233" s="225"/>
      <c r="P233" s="226"/>
      <c r="Q233" s="226"/>
      <c r="R233" s="227">
        <f t="shared" si="16"/>
        <v>0</v>
      </c>
      <c r="S233" s="221"/>
      <c r="T233" s="226"/>
      <c r="U233" s="228"/>
      <c r="V233" s="229"/>
    </row>
    <row r="234" spans="2:22" s="419" customFormat="1" ht="15.5" x14ac:dyDescent="0.35">
      <c r="B234" s="350"/>
      <c r="C234" s="224"/>
      <c r="D234" s="225"/>
      <c r="E234" s="226"/>
      <c r="F234" s="226"/>
      <c r="G234" s="227"/>
      <c r="H234" s="221"/>
      <c r="I234" s="226"/>
      <c r="J234" s="228"/>
      <c r="K234" s="229"/>
      <c r="L234" s="420"/>
      <c r="M234" s="657" t="s">
        <v>939</v>
      </c>
      <c r="N234" s="418" t="s">
        <v>442</v>
      </c>
      <c r="O234" s="225">
        <v>5000</v>
      </c>
      <c r="P234" s="226"/>
      <c r="Q234" s="226"/>
      <c r="R234" s="227">
        <f t="shared" si="16"/>
        <v>5000</v>
      </c>
      <c r="S234" s="221">
        <v>0.5</v>
      </c>
      <c r="T234" s="226"/>
      <c r="U234" s="228"/>
      <c r="V234" s="229">
        <v>6</v>
      </c>
    </row>
    <row r="235" spans="2:22" s="419" customFormat="1" ht="38.25" customHeight="1" x14ac:dyDescent="0.35">
      <c r="B235" s="350"/>
      <c r="C235" s="224"/>
      <c r="D235" s="225"/>
      <c r="E235" s="226"/>
      <c r="F235" s="226"/>
      <c r="G235" s="227"/>
      <c r="H235" s="221"/>
      <c r="I235" s="226"/>
      <c r="J235" s="228"/>
      <c r="K235" s="229"/>
      <c r="L235" s="420"/>
      <c r="M235" s="656"/>
      <c r="N235" s="224" t="s">
        <v>927</v>
      </c>
      <c r="O235" s="225">
        <v>15000</v>
      </c>
      <c r="P235" s="226"/>
      <c r="Q235" s="226"/>
      <c r="R235" s="227">
        <f t="shared" si="16"/>
        <v>15000</v>
      </c>
      <c r="S235" s="221">
        <v>0.8</v>
      </c>
      <c r="T235" s="226"/>
      <c r="U235" s="228"/>
      <c r="V235" s="229">
        <v>7</v>
      </c>
    </row>
    <row r="236" spans="2:22" s="419" customFormat="1" ht="15.5" x14ac:dyDescent="0.35">
      <c r="B236" s="350"/>
      <c r="C236" s="224"/>
      <c r="D236" s="225"/>
      <c r="E236" s="226"/>
      <c r="F236" s="226"/>
      <c r="G236" s="227"/>
      <c r="H236" s="221"/>
      <c r="I236" s="226"/>
      <c r="J236" s="228"/>
      <c r="K236" s="229"/>
      <c r="L236" s="420"/>
      <c r="M236" s="657" t="s">
        <v>443</v>
      </c>
      <c r="N236" s="224" t="s">
        <v>444</v>
      </c>
      <c r="O236" s="225">
        <v>7000</v>
      </c>
      <c r="P236" s="226"/>
      <c r="Q236" s="226"/>
      <c r="R236" s="227">
        <f t="shared" si="16"/>
        <v>7000</v>
      </c>
      <c r="S236" s="221">
        <v>0.5</v>
      </c>
      <c r="T236" s="226"/>
      <c r="U236" s="228"/>
      <c r="V236" s="229">
        <v>6</v>
      </c>
    </row>
    <row r="237" spans="2:22" s="419" customFormat="1" ht="15.5" x14ac:dyDescent="0.35">
      <c r="B237" s="350"/>
      <c r="C237" s="224"/>
      <c r="D237" s="225"/>
      <c r="E237" s="226"/>
      <c r="F237" s="226"/>
      <c r="G237" s="227"/>
      <c r="H237" s="221"/>
      <c r="I237" s="226"/>
      <c r="J237" s="228"/>
      <c r="K237" s="229"/>
      <c r="L237" s="420"/>
      <c r="M237" s="655"/>
      <c r="N237" s="224" t="s">
        <v>445</v>
      </c>
      <c r="O237" s="225">
        <v>45000</v>
      </c>
      <c r="P237" s="226"/>
      <c r="Q237" s="226"/>
      <c r="R237" s="227">
        <f t="shared" si="16"/>
        <v>45000</v>
      </c>
      <c r="S237" s="221">
        <v>0.5</v>
      </c>
      <c r="T237" s="226"/>
      <c r="U237" s="228"/>
      <c r="V237" s="229">
        <v>6</v>
      </c>
    </row>
    <row r="238" spans="2:22" s="419" customFormat="1" ht="15.5" x14ac:dyDescent="0.35">
      <c r="B238" s="350"/>
      <c r="C238" s="224"/>
      <c r="D238" s="225"/>
      <c r="E238" s="226"/>
      <c r="F238" s="226"/>
      <c r="G238" s="227"/>
      <c r="H238" s="221"/>
      <c r="I238" s="226"/>
      <c r="J238" s="228"/>
      <c r="K238" s="229"/>
      <c r="L238" s="420"/>
      <c r="M238" s="655"/>
      <c r="N238" s="224" t="s">
        <v>446</v>
      </c>
      <c r="O238" s="225">
        <v>2000</v>
      </c>
      <c r="P238" s="226"/>
      <c r="Q238" s="226"/>
      <c r="R238" s="227">
        <f t="shared" si="16"/>
        <v>2000</v>
      </c>
      <c r="S238" s="221">
        <v>0.3</v>
      </c>
      <c r="T238" s="226"/>
      <c r="U238" s="228"/>
      <c r="V238" s="229">
        <v>2</v>
      </c>
    </row>
    <row r="239" spans="2:22" s="419" customFormat="1" ht="34.5" customHeight="1" x14ac:dyDescent="0.35">
      <c r="B239" s="350"/>
      <c r="C239" s="224"/>
      <c r="D239" s="225"/>
      <c r="E239" s="226"/>
      <c r="F239" s="226"/>
      <c r="G239" s="227"/>
      <c r="H239" s="221"/>
      <c r="I239" s="226"/>
      <c r="J239" s="228"/>
      <c r="K239" s="229"/>
      <c r="L239" s="420"/>
      <c r="M239" s="656"/>
      <c r="N239" s="224"/>
      <c r="O239" s="225"/>
      <c r="P239" s="226"/>
      <c r="Q239" s="226"/>
      <c r="R239" s="227">
        <f t="shared" si="16"/>
        <v>0</v>
      </c>
      <c r="S239" s="221"/>
      <c r="T239" s="226"/>
      <c r="U239" s="228"/>
      <c r="V239" s="229"/>
    </row>
    <row r="240" spans="2:22" s="419" customFormat="1" ht="15.65" customHeight="1" x14ac:dyDescent="0.35">
      <c r="B240" s="350"/>
      <c r="C240" s="224"/>
      <c r="D240" s="225"/>
      <c r="E240" s="226"/>
      <c r="F240" s="226"/>
      <c r="G240" s="227"/>
      <c r="H240" s="221"/>
      <c r="I240" s="226"/>
      <c r="J240" s="228"/>
      <c r="K240" s="229"/>
      <c r="L240" s="420"/>
      <c r="M240" s="657" t="s">
        <v>941</v>
      </c>
      <c r="N240" s="224" t="s">
        <v>913</v>
      </c>
      <c r="O240" s="225"/>
      <c r="P240" s="449">
        <v>23950</v>
      </c>
      <c r="Q240" s="226"/>
      <c r="R240" s="227">
        <f t="shared" si="16"/>
        <v>23950</v>
      </c>
      <c r="S240" s="221">
        <v>0.8</v>
      </c>
      <c r="T240" s="226"/>
      <c r="U240" s="228"/>
      <c r="V240" s="229">
        <v>2</v>
      </c>
    </row>
    <row r="241" spans="2:22" s="419" customFormat="1" ht="15.5" x14ac:dyDescent="0.35">
      <c r="B241" s="350"/>
      <c r="C241" s="224"/>
      <c r="D241" s="225"/>
      <c r="E241" s="226"/>
      <c r="F241" s="226"/>
      <c r="G241" s="227"/>
      <c r="H241" s="221"/>
      <c r="I241" s="226"/>
      <c r="J241" s="228"/>
      <c r="K241" s="229"/>
      <c r="L241" s="420"/>
      <c r="M241" s="655"/>
      <c r="N241" s="224" t="s">
        <v>914</v>
      </c>
      <c r="O241" s="225"/>
      <c r="P241" s="449">
        <v>2330</v>
      </c>
      <c r="Q241" s="226"/>
      <c r="R241" s="227">
        <f t="shared" si="16"/>
        <v>2330</v>
      </c>
      <c r="S241" s="221">
        <v>0.8</v>
      </c>
      <c r="T241" s="226"/>
      <c r="U241" s="228"/>
      <c r="V241" s="229">
        <v>4</v>
      </c>
    </row>
    <row r="242" spans="2:22" s="419" customFormat="1" ht="62" x14ac:dyDescent="0.35">
      <c r="B242" s="350"/>
      <c r="C242" s="224"/>
      <c r="D242" s="225"/>
      <c r="E242" s="226"/>
      <c r="F242" s="226"/>
      <c r="G242" s="227"/>
      <c r="H242" s="221"/>
      <c r="I242" s="226"/>
      <c r="J242" s="228"/>
      <c r="K242" s="229"/>
      <c r="L242" s="420"/>
      <c r="M242" s="351" t="s">
        <v>928</v>
      </c>
      <c r="N242" s="224" t="s">
        <v>444</v>
      </c>
      <c r="O242" s="225"/>
      <c r="P242" s="449">
        <v>24256</v>
      </c>
      <c r="Q242" s="226"/>
      <c r="R242" s="227">
        <f t="shared" si="16"/>
        <v>24256</v>
      </c>
      <c r="S242" s="221">
        <v>0.8</v>
      </c>
      <c r="T242" s="226"/>
      <c r="U242" s="228"/>
      <c r="V242" s="443">
        <v>4</v>
      </c>
    </row>
    <row r="243" spans="2:22" s="419" customFormat="1" ht="15.65" customHeight="1" x14ac:dyDescent="0.35">
      <c r="B243" s="350"/>
      <c r="C243" s="224"/>
      <c r="D243" s="225"/>
      <c r="E243" s="226"/>
      <c r="F243" s="226"/>
      <c r="G243" s="227"/>
      <c r="H243" s="221"/>
      <c r="I243" s="226"/>
      <c r="J243" s="228"/>
      <c r="K243" s="229"/>
      <c r="L243" s="420"/>
      <c r="M243" s="657" t="s">
        <v>929</v>
      </c>
      <c r="N243" s="224" t="s">
        <v>444</v>
      </c>
      <c r="O243" s="225"/>
      <c r="P243" s="449">
        <v>55000</v>
      </c>
      <c r="Q243" s="226"/>
      <c r="R243" s="227">
        <f t="shared" si="16"/>
        <v>55000</v>
      </c>
      <c r="S243" s="221">
        <v>0.8</v>
      </c>
      <c r="T243" s="226"/>
      <c r="U243" s="228"/>
      <c r="V243" s="443">
        <v>4</v>
      </c>
    </row>
    <row r="244" spans="2:22" s="419" customFormat="1" ht="15.5" x14ac:dyDescent="0.35">
      <c r="B244" s="350"/>
      <c r="C244" s="224"/>
      <c r="D244" s="225"/>
      <c r="E244" s="226"/>
      <c r="F244" s="226"/>
      <c r="G244" s="227"/>
      <c r="H244" s="221"/>
      <c r="I244" s="226"/>
      <c r="J244" s="228"/>
      <c r="K244" s="229"/>
      <c r="L244" s="420"/>
      <c r="M244" s="655"/>
      <c r="N244" s="224" t="s">
        <v>915</v>
      </c>
      <c r="O244" s="225"/>
      <c r="P244" s="226">
        <v>3000</v>
      </c>
      <c r="Q244" s="226"/>
      <c r="R244" s="227">
        <f t="shared" si="16"/>
        <v>3000</v>
      </c>
      <c r="S244" s="221">
        <v>0.8</v>
      </c>
      <c r="T244" s="226"/>
      <c r="U244" s="228"/>
      <c r="V244" s="229">
        <v>2</v>
      </c>
    </row>
    <row r="245" spans="2:22" s="419" customFormat="1" ht="15.65" customHeight="1" x14ac:dyDescent="0.35">
      <c r="B245" s="350"/>
      <c r="C245" s="224"/>
      <c r="D245" s="225"/>
      <c r="E245" s="226"/>
      <c r="F245" s="226"/>
      <c r="G245" s="227"/>
      <c r="H245" s="221"/>
      <c r="I245" s="226"/>
      <c r="J245" s="228"/>
      <c r="K245" s="229"/>
      <c r="L245" s="420"/>
      <c r="M245" s="657" t="s">
        <v>944</v>
      </c>
      <c r="N245" s="224" t="s">
        <v>444</v>
      </c>
      <c r="O245" s="225"/>
      <c r="P245" s="449">
        <v>55000</v>
      </c>
      <c r="Q245" s="226"/>
      <c r="R245" s="227">
        <f t="shared" si="16"/>
        <v>55000</v>
      </c>
      <c r="S245" s="221">
        <v>0.8</v>
      </c>
      <c r="T245" s="226"/>
      <c r="U245" s="228"/>
      <c r="V245" s="229">
        <v>4</v>
      </c>
    </row>
    <row r="246" spans="2:22" s="419" customFormat="1" ht="15.5" x14ac:dyDescent="0.35">
      <c r="B246" s="350"/>
      <c r="C246" s="224"/>
      <c r="D246" s="225"/>
      <c r="E246" s="226"/>
      <c r="F246" s="226"/>
      <c r="G246" s="227"/>
      <c r="H246" s="221"/>
      <c r="I246" s="226"/>
      <c r="J246" s="228"/>
      <c r="K246" s="229"/>
      <c r="L246" s="420"/>
      <c r="M246" s="655"/>
      <c r="N246" s="224" t="s">
        <v>915</v>
      </c>
      <c r="O246" s="225"/>
      <c r="P246" s="226">
        <v>2963</v>
      </c>
      <c r="Q246" s="226"/>
      <c r="R246" s="227">
        <f t="shared" si="16"/>
        <v>2963</v>
      </c>
      <c r="S246" s="221">
        <v>0.8</v>
      </c>
      <c r="T246" s="226"/>
      <c r="U246" s="228"/>
      <c r="V246" s="229">
        <v>2</v>
      </c>
    </row>
    <row r="247" spans="2:22" s="419" customFormat="1" ht="15.5" x14ac:dyDescent="0.35">
      <c r="B247" s="350"/>
      <c r="C247" s="224"/>
      <c r="D247" s="225"/>
      <c r="E247" s="226"/>
      <c r="F247" s="226"/>
      <c r="G247" s="227"/>
      <c r="H247" s="221"/>
      <c r="I247" s="226"/>
      <c r="J247" s="228"/>
      <c r="K247" s="229"/>
      <c r="L247" s="420"/>
      <c r="M247" s="656"/>
      <c r="N247" s="224" t="s">
        <v>918</v>
      </c>
      <c r="O247" s="225"/>
      <c r="P247" s="226">
        <v>2500</v>
      </c>
      <c r="Q247" s="226"/>
      <c r="R247" s="227">
        <f t="shared" si="16"/>
        <v>2500</v>
      </c>
      <c r="S247" s="221">
        <v>0.8</v>
      </c>
      <c r="T247" s="226"/>
      <c r="U247" s="228"/>
      <c r="V247" s="229">
        <v>7</v>
      </c>
    </row>
    <row r="248" spans="2:22" s="419" customFormat="1" ht="15.5" x14ac:dyDescent="0.35">
      <c r="B248" s="350"/>
      <c r="C248" s="224"/>
      <c r="D248" s="225"/>
      <c r="E248" s="226"/>
      <c r="F248" s="226"/>
      <c r="G248" s="227"/>
      <c r="H248" s="221"/>
      <c r="I248" s="226"/>
      <c r="J248" s="228"/>
      <c r="K248" s="229"/>
      <c r="L248" s="420"/>
      <c r="M248" s="657" t="s">
        <v>930</v>
      </c>
      <c r="N248" s="418" t="s">
        <v>442</v>
      </c>
      <c r="O248" s="225">
        <v>5000</v>
      </c>
      <c r="P248" s="226"/>
      <c r="Q248" s="226"/>
      <c r="R248" s="227">
        <f t="shared" si="16"/>
        <v>5000</v>
      </c>
      <c r="S248" s="221">
        <v>0.5</v>
      </c>
      <c r="T248" s="226"/>
      <c r="U248" s="228"/>
      <c r="V248" s="229">
        <v>4</v>
      </c>
    </row>
    <row r="249" spans="2:22" s="419" customFormat="1" ht="62" x14ac:dyDescent="0.35">
      <c r="B249" s="350"/>
      <c r="C249" s="224"/>
      <c r="D249" s="225"/>
      <c r="E249" s="226"/>
      <c r="F249" s="226"/>
      <c r="G249" s="227"/>
      <c r="H249" s="221"/>
      <c r="I249" s="226"/>
      <c r="J249" s="228"/>
      <c r="K249" s="229"/>
      <c r="L249" s="420"/>
      <c r="M249" s="656"/>
      <c r="N249" s="224" t="s">
        <v>931</v>
      </c>
      <c r="O249" s="225">
        <v>20000</v>
      </c>
      <c r="P249" s="226"/>
      <c r="Q249" s="226"/>
      <c r="R249" s="227">
        <f t="shared" si="16"/>
        <v>20000</v>
      </c>
      <c r="S249" s="221">
        <v>0.8</v>
      </c>
      <c r="T249" s="226"/>
      <c r="U249" s="228"/>
      <c r="V249" s="229">
        <v>7</v>
      </c>
    </row>
    <row r="250" spans="2:22" s="419" customFormat="1" ht="18.649999999999999" customHeight="1" x14ac:dyDescent="0.35">
      <c r="B250" s="350"/>
      <c r="C250" s="224"/>
      <c r="D250" s="225"/>
      <c r="E250" s="226"/>
      <c r="F250" s="226"/>
      <c r="G250" s="227"/>
      <c r="H250" s="221"/>
      <c r="I250" s="226"/>
      <c r="J250" s="228"/>
      <c r="K250" s="229"/>
      <c r="L250" s="420"/>
      <c r="M250" s="350"/>
      <c r="N250" s="224"/>
      <c r="O250" s="225"/>
      <c r="P250" s="226"/>
      <c r="Q250" s="226"/>
      <c r="R250" s="227">
        <f t="shared" si="16"/>
        <v>0</v>
      </c>
      <c r="S250" s="221"/>
      <c r="T250" s="226"/>
      <c r="U250" s="228"/>
      <c r="V250" s="229"/>
    </row>
    <row r="251" spans="2:22" s="419" customFormat="1" ht="15.5" x14ac:dyDescent="0.35">
      <c r="B251" s="355"/>
      <c r="C251" s="224"/>
      <c r="D251" s="225"/>
      <c r="E251" s="226"/>
      <c r="F251" s="226"/>
      <c r="G251" s="227">
        <f t="shared" si="12"/>
        <v>0</v>
      </c>
      <c r="H251" s="221"/>
      <c r="I251" s="226"/>
      <c r="J251" s="228"/>
      <c r="K251" s="229"/>
      <c r="L251" s="420"/>
      <c r="M251" s="355"/>
      <c r="N251" s="224"/>
      <c r="O251" s="225"/>
      <c r="P251" s="226"/>
      <c r="Q251" s="226"/>
      <c r="R251" s="227">
        <f t="shared" ref="R251:R256" si="17">O251+P251+Q251</f>
        <v>0</v>
      </c>
      <c r="S251" s="221"/>
      <c r="T251" s="226"/>
      <c r="U251" s="228"/>
      <c r="V251" s="229"/>
    </row>
    <row r="252" spans="2:22" s="419" customFormat="1" ht="15.5" x14ac:dyDescent="0.35">
      <c r="B252" s="657"/>
      <c r="C252" s="224"/>
      <c r="D252" s="225"/>
      <c r="E252" s="226"/>
      <c r="F252" s="226"/>
      <c r="G252" s="227">
        <f t="shared" si="12"/>
        <v>0</v>
      </c>
      <c r="H252" s="221"/>
      <c r="I252" s="226"/>
      <c r="J252" s="228"/>
      <c r="K252" s="229"/>
      <c r="L252" s="420"/>
      <c r="M252" s="657"/>
      <c r="N252" s="224"/>
      <c r="O252" s="225"/>
      <c r="P252" s="226"/>
      <c r="Q252" s="226"/>
      <c r="R252" s="227">
        <f t="shared" si="17"/>
        <v>0</v>
      </c>
      <c r="S252" s="221"/>
      <c r="T252" s="226"/>
      <c r="U252" s="228"/>
      <c r="V252" s="229"/>
    </row>
    <row r="253" spans="2:22" s="419" customFormat="1" ht="15.5" x14ac:dyDescent="0.35">
      <c r="B253" s="655"/>
      <c r="C253" s="224"/>
      <c r="D253" s="225"/>
      <c r="E253" s="226"/>
      <c r="F253" s="226"/>
      <c r="G253" s="227">
        <f t="shared" si="12"/>
        <v>0</v>
      </c>
      <c r="H253" s="221"/>
      <c r="I253" s="226"/>
      <c r="J253" s="228"/>
      <c r="K253" s="229"/>
      <c r="L253" s="420"/>
      <c r="M253" s="655"/>
      <c r="N253" s="224"/>
      <c r="O253" s="225"/>
      <c r="P253" s="226"/>
      <c r="Q253" s="226"/>
      <c r="R253" s="227">
        <f t="shared" si="17"/>
        <v>0</v>
      </c>
      <c r="S253" s="221"/>
      <c r="T253" s="226"/>
      <c r="U253" s="228"/>
      <c r="V253" s="229"/>
    </row>
    <row r="254" spans="2:22" s="419" customFormat="1" ht="15.5" x14ac:dyDescent="0.35">
      <c r="B254" s="655"/>
      <c r="C254" s="224"/>
      <c r="D254" s="225"/>
      <c r="E254" s="226"/>
      <c r="F254" s="226"/>
      <c r="G254" s="227">
        <f t="shared" si="12"/>
        <v>0</v>
      </c>
      <c r="H254" s="221"/>
      <c r="I254" s="226"/>
      <c r="J254" s="228"/>
      <c r="K254" s="229"/>
      <c r="L254" s="420"/>
      <c r="M254" s="655"/>
      <c r="N254" s="224"/>
      <c r="O254" s="225"/>
      <c r="P254" s="226"/>
      <c r="Q254" s="226"/>
      <c r="R254" s="227">
        <f t="shared" si="17"/>
        <v>0</v>
      </c>
      <c r="S254" s="221"/>
      <c r="T254" s="226"/>
      <c r="U254" s="228"/>
      <c r="V254" s="229"/>
    </row>
    <row r="255" spans="2:22" s="419" customFormat="1" ht="15.5" x14ac:dyDescent="0.35">
      <c r="B255" s="655"/>
      <c r="C255" s="224"/>
      <c r="D255" s="225"/>
      <c r="E255" s="226"/>
      <c r="F255" s="226"/>
      <c r="G255" s="227">
        <f t="shared" si="12"/>
        <v>0</v>
      </c>
      <c r="H255" s="221"/>
      <c r="I255" s="226"/>
      <c r="J255" s="228"/>
      <c r="K255" s="229"/>
      <c r="L255" s="420"/>
      <c r="M255" s="655"/>
      <c r="N255" s="224"/>
      <c r="O255" s="225"/>
      <c r="P255" s="226"/>
      <c r="Q255" s="226"/>
      <c r="R255" s="227">
        <f t="shared" si="17"/>
        <v>0</v>
      </c>
      <c r="S255" s="221"/>
      <c r="T255" s="226"/>
      <c r="U255" s="228"/>
      <c r="V255" s="229"/>
    </row>
    <row r="256" spans="2:22" s="419" customFormat="1" ht="15.5" x14ac:dyDescent="0.35">
      <c r="B256" s="656"/>
      <c r="C256" s="224"/>
      <c r="D256" s="225"/>
      <c r="E256" s="226"/>
      <c r="F256" s="226"/>
      <c r="G256" s="227">
        <f t="shared" si="12"/>
        <v>0</v>
      </c>
      <c r="H256" s="221"/>
      <c r="I256" s="226"/>
      <c r="J256" s="228"/>
      <c r="K256" s="229"/>
      <c r="L256" s="420"/>
      <c r="M256" s="656"/>
      <c r="N256" s="224"/>
      <c r="O256" s="225"/>
      <c r="P256" s="226"/>
      <c r="Q256" s="226"/>
      <c r="R256" s="227">
        <f t="shared" si="17"/>
        <v>0</v>
      </c>
      <c r="S256" s="221"/>
      <c r="T256" s="226"/>
      <c r="U256" s="228"/>
      <c r="V256" s="229"/>
    </row>
    <row r="257" spans="1:22" s="422" customFormat="1" ht="15.5" x14ac:dyDescent="0.35">
      <c r="A257" s="419"/>
      <c r="B257" s="419"/>
      <c r="C257" s="239" t="s">
        <v>253</v>
      </c>
      <c r="D257" s="240">
        <f>SUM(D119:D256)</f>
        <v>25000</v>
      </c>
      <c r="E257" s="231">
        <f>SUM(E119:E256)</f>
        <v>614999</v>
      </c>
      <c r="F257" s="231">
        <f>SUM(F119:F256)</f>
        <v>0</v>
      </c>
      <c r="G257" s="231">
        <f>SUM(G119:G256)</f>
        <v>639999</v>
      </c>
      <c r="H257" s="241">
        <f>(H119*G119)+(H120*G120)+(H121*G121)+(H122*G122)+(H123*G123)+(H124*G124)+(H125*G125)+(H126*G126)+(H127*G127)+(H128*G128)+(H129*G129)+(H130*G130)+(H131*G131)+(H132*G132)+(H133*G133)+(H134*G134)+(H135*G135)+(H136*G136)+(H137*G137)+(H138*G138)+(H139*G139)+(H140*G140)+(H141*G141)+(H142*G142)+(H143*G143)+(H144*G144)+(H146*G146)+(H147*G147)+(H148*G148)+(H149*G149)+(H150*G150)+(H151*G151)+(H152*G152)+(H153*G153)+(H154*G154)+(H155*G155)+(H156*G156)+(H157*G157)+(H158*G158)+(H159*G159)+(H160*G160)+(H161*G161)+(H162*G162)+(H163*G163)+(H164*G164)+(H165*G165)+(H166*G166)+(H167*G167)+(H168*G168)+(H169*G169)+(H170*G170)+(H171*G171)+(H172*G172)+(H173*G173)+(H174*G174)+(H175*G175)+(H176*G176)+(H177*G177)+(H178*G178)+(H179*G179)+(H180*G180)+(H181*G181)+(H182*G182)+(H183*G183)+(H184*G184)+(H185*G185)+(H186*G186)+(H187*G187)+(H188*G188)+(H189*G189)+(H190*G190)+(H191*G191)+(H192*G192)+(H193*G193)+(H194*G194)+(H195*G195)+(H196*G196)+(H197*G197)+(H198*G198)+(H199*G199)+(H200*G200)+(H201*G201)+(H202*G202)+(H203*G203)+(G204*H204)++(G205*H205)+(G206*H206)+(G207*H207)+(G208*H208)+(G209*H209)+(G210*H210)+(G217*H217)+(G220*H220)+(G222*H222)+(G227*H227)+(G229*H229)+(G233*H233)+(G235*H235)+(G239*H239)+(G241*H241)+(G242*H242)+(G244*H244)+(G246*H246)+(G248*H248)+(G249*H249)+(G250*H250)+(H251*G251)+(H252*G252)+(H253*G253)+(H254*G254)+(H255*G255)+(H256*G256)</f>
        <v>283637.2</v>
      </c>
      <c r="I257" s="231">
        <f>SUM(I119:I256)</f>
        <v>0</v>
      </c>
      <c r="J257" s="368"/>
      <c r="K257" s="421"/>
      <c r="L257" s="420"/>
      <c r="M257" s="419"/>
      <c r="N257" s="239" t="s">
        <v>253</v>
      </c>
      <c r="O257" s="240">
        <f>SUM(O119:O256)</f>
        <v>309500</v>
      </c>
      <c r="P257" s="231">
        <f>SUM(P119:P256)</f>
        <v>985363.38</v>
      </c>
      <c r="Q257" s="231">
        <f>SUM(Q119:Q256)</f>
        <v>0</v>
      </c>
      <c r="R257" s="231">
        <f>SUM(R119:R256)</f>
        <v>1294863.3799999999</v>
      </c>
      <c r="S257" s="241">
        <f>(S119*R119)+(S120*R120)+(S121*R121)+(S122*R122)+(S123*R123)+(S124*R124)+(S125*R125)+(S126*R126)+(S127*R127)+(S128*R128)+(S129*R129)+(S130*R130)+(S131*R131)+(S132*R132)+(S133*R133)+(S134*R134)+(S135*R135)+(S136*R136)+(S137*R137)+(S138*R138)+(S139*R139)+(S140*R140)+(S141*R141)+(S142*R142)+(S143*R143)+(S144*R144)+(S146*R146)+(S147*R147)+(S148*R148)+(S149*R149)+(S150*R150)+(S151*R151)+(S152*R152)+(S153*R153)+(S154*R154)+(S155*R155)+(S156*R156)+(S157*R157)+(S158*R158)+(S159*R159)+(S160*R160)+(S161*R161)+(S162*R162)+(S163*R163)+(S164*R164)+(S165*R165)+(S166*R166)+(S167*R167)+(S168*R168)+(S169*R169)+(S170*R170)+(S171*R171)+(S172*R172)+(S173*R173)+(S174*R174)+(S175*R175)+(S176*R176)+(S177*R177)+(S178*R178)+(S179*R179)+(S180*R180)+(S181*R181)+(S182*R182)+(S183*R183)+(S184*R184)+(S185*R185)+(S186*R186)+(S187*R187)+(S188*R188)+(S189*R189)+(S190*R190)+(S191*R191)+(S192*R192)+(S193*R193)+(S194*R194)+(S195*R195)+(S196*R196)+(S197*R197)+(S198*R198)+(S199*R199)+(S200*R200)+(S201*R201)+(S202*R202)+(S203*R203)+(R204*S204)++(R205*S205)+(R206*S206)+(R207*S207)+(R208*S208)+(R209*S209)+(R210*S210)+(R217*S217)+(R220*S220)+(R229*S229)+(R233*S233)+(R235*S235)+(R239*S239)+(R241*S241)+(R242*S242)+(R244*S244)+(R246*S246)+(R248*S248)+(R249*S249)+(R211*S211)+(R212*S212)+(R213*S213)+(R214*S214)+(R215*S215)+(R216*S216)+(R218*S218)+(R219*S219)+(R221*S221)+(R223*S223)+(R224*S224)+(R225*S225)+(R226*S226)+(R230*S230)+(R231*S231)+(R232*S232)+(R234*S234)+(R236*S236)+(R237*S237)+(R238*S238)+(R240*S240)+(R243*S243)+(R245*S245)+(R247*S247)</f>
        <v>665342.75199999998</v>
      </c>
      <c r="T257" s="231">
        <f>SUM(T119:T256)</f>
        <v>818152.83</v>
      </c>
      <c r="U257" s="368"/>
      <c r="V257" s="421"/>
    </row>
    <row r="258" spans="1:22" s="419" customFormat="1" ht="15.5" x14ac:dyDescent="0.35">
      <c r="B258" s="423" t="s">
        <v>254</v>
      </c>
      <c r="C258" s="665" t="s">
        <v>255</v>
      </c>
      <c r="D258" s="665"/>
      <c r="E258" s="665"/>
      <c r="F258" s="665"/>
      <c r="G258" s="665"/>
      <c r="H258" s="665"/>
      <c r="I258" s="666"/>
      <c r="J258" s="665"/>
      <c r="K258" s="424"/>
      <c r="L258" s="420"/>
      <c r="M258" s="423" t="s">
        <v>254</v>
      </c>
      <c r="N258" s="665" t="s">
        <v>255</v>
      </c>
      <c r="O258" s="665"/>
      <c r="P258" s="665"/>
      <c r="Q258" s="665"/>
      <c r="R258" s="665"/>
      <c r="S258" s="665"/>
      <c r="T258" s="666"/>
      <c r="U258" s="665"/>
      <c r="V258" s="424"/>
    </row>
    <row r="259" spans="1:22" s="24" customFormat="1" ht="31" customHeight="1" x14ac:dyDescent="0.35">
      <c r="B259" s="622" t="s">
        <v>256</v>
      </c>
      <c r="C259" s="245" t="s">
        <v>257</v>
      </c>
      <c r="D259" s="251">
        <v>12000</v>
      </c>
      <c r="E259" s="251"/>
      <c r="F259" s="251"/>
      <c r="G259" s="347">
        <f>D259+E259+F259</f>
        <v>12000</v>
      </c>
      <c r="H259" s="250">
        <v>0.3</v>
      </c>
      <c r="I259" s="251"/>
      <c r="J259" s="170" t="s">
        <v>213</v>
      </c>
      <c r="K259" s="345">
        <v>7</v>
      </c>
      <c r="L259" s="353"/>
      <c r="M259" s="622" t="s">
        <v>256</v>
      </c>
      <c r="N259" s="245" t="s">
        <v>257</v>
      </c>
      <c r="O259" s="251">
        <v>12000</v>
      </c>
      <c r="P259" s="251"/>
      <c r="Q259" s="251"/>
      <c r="R259" s="347">
        <f>O259+P259+Q259</f>
        <v>12000</v>
      </c>
      <c r="S259" s="250">
        <v>0.3</v>
      </c>
      <c r="T259" s="527">
        <v>12000</v>
      </c>
      <c r="U259" s="170" t="s">
        <v>213</v>
      </c>
      <c r="V259" s="345">
        <v>7</v>
      </c>
    </row>
    <row r="260" spans="1:22" s="24" customFormat="1" ht="15.5" x14ac:dyDescent="0.35">
      <c r="B260" s="623"/>
      <c r="C260" s="245" t="s">
        <v>207</v>
      </c>
      <c r="D260" s="251">
        <v>1500</v>
      </c>
      <c r="E260" s="251"/>
      <c r="F260" s="251"/>
      <c r="G260" s="347">
        <f t="shared" ref="G260:G312" si="18">D260+E260+F260</f>
        <v>1500</v>
      </c>
      <c r="H260" s="250">
        <v>0.3</v>
      </c>
      <c r="I260" s="251"/>
      <c r="J260" s="170" t="s">
        <v>201</v>
      </c>
      <c r="K260" s="345">
        <v>5</v>
      </c>
      <c r="L260" s="353"/>
      <c r="M260" s="623"/>
      <c r="N260" s="245" t="s">
        <v>207</v>
      </c>
      <c r="O260" s="251">
        <v>1500</v>
      </c>
      <c r="P260" s="251"/>
      <c r="Q260" s="251"/>
      <c r="R260" s="347">
        <f t="shared" ref="R260:R283" si="19">O260+P260+Q260</f>
        <v>1500</v>
      </c>
      <c r="S260" s="250">
        <v>0.3</v>
      </c>
      <c r="T260" s="527">
        <v>1500</v>
      </c>
      <c r="U260" s="170" t="s">
        <v>201</v>
      </c>
      <c r="V260" s="345">
        <v>5</v>
      </c>
    </row>
    <row r="261" spans="1:22" s="24" customFormat="1" ht="31" x14ac:dyDescent="0.35">
      <c r="B261" s="623"/>
      <c r="C261" s="245" t="s">
        <v>258</v>
      </c>
      <c r="D261" s="251">
        <v>2000</v>
      </c>
      <c r="E261" s="251"/>
      <c r="F261" s="251"/>
      <c r="G261" s="347">
        <f t="shared" si="18"/>
        <v>2000</v>
      </c>
      <c r="H261" s="250">
        <v>0.3</v>
      </c>
      <c r="I261" s="251"/>
      <c r="J261" s="170" t="s">
        <v>259</v>
      </c>
      <c r="K261" s="345">
        <v>5</v>
      </c>
      <c r="L261" s="353"/>
      <c r="M261" s="623"/>
      <c r="N261" s="245" t="s">
        <v>258</v>
      </c>
      <c r="O261" s="251">
        <v>2000</v>
      </c>
      <c r="P261" s="251"/>
      <c r="Q261" s="251"/>
      <c r="R261" s="347">
        <f t="shared" si="19"/>
        <v>2000</v>
      </c>
      <c r="S261" s="250">
        <v>0.3</v>
      </c>
      <c r="T261" s="527">
        <v>2000</v>
      </c>
      <c r="U261" s="170" t="s">
        <v>259</v>
      </c>
      <c r="V261" s="345">
        <v>5</v>
      </c>
    </row>
    <row r="262" spans="1:22" s="24" customFormat="1" ht="31" x14ac:dyDescent="0.35">
      <c r="B262" s="623"/>
      <c r="C262" s="245" t="s">
        <v>260</v>
      </c>
      <c r="D262" s="251">
        <v>2000</v>
      </c>
      <c r="E262" s="251"/>
      <c r="F262" s="251"/>
      <c r="G262" s="347">
        <f t="shared" si="18"/>
        <v>2000</v>
      </c>
      <c r="H262" s="250">
        <v>0.3</v>
      </c>
      <c r="I262" s="251"/>
      <c r="J262" s="170" t="s">
        <v>261</v>
      </c>
      <c r="K262" s="345">
        <v>4</v>
      </c>
      <c r="L262" s="353"/>
      <c r="M262" s="623"/>
      <c r="N262" s="245" t="s">
        <v>260</v>
      </c>
      <c r="O262" s="251">
        <v>2000</v>
      </c>
      <c r="P262" s="251"/>
      <c r="Q262" s="251"/>
      <c r="R262" s="347">
        <f t="shared" si="19"/>
        <v>2000</v>
      </c>
      <c r="S262" s="250">
        <v>0.3</v>
      </c>
      <c r="T262" s="527">
        <v>2000</v>
      </c>
      <c r="U262" s="170" t="s">
        <v>261</v>
      </c>
      <c r="V262" s="345">
        <v>4</v>
      </c>
    </row>
    <row r="263" spans="1:22" ht="15.5" x14ac:dyDescent="0.35">
      <c r="B263" s="624"/>
      <c r="C263" s="166"/>
      <c r="D263" s="202"/>
      <c r="E263" s="177"/>
      <c r="F263" s="177"/>
      <c r="G263" s="248">
        <f t="shared" si="18"/>
        <v>0</v>
      </c>
      <c r="H263" s="171"/>
      <c r="I263" s="177"/>
      <c r="J263" s="167"/>
      <c r="K263" s="181"/>
      <c r="L263" s="353"/>
      <c r="M263" s="624"/>
      <c r="N263" s="166"/>
      <c r="O263" s="202"/>
      <c r="P263" s="177"/>
      <c r="Q263" s="177"/>
      <c r="R263" s="248">
        <f t="shared" si="19"/>
        <v>0</v>
      </c>
      <c r="S263" s="171"/>
      <c r="T263" s="527"/>
      <c r="U263" s="167"/>
      <c r="V263" s="181"/>
    </row>
    <row r="264" spans="1:22" ht="31" x14ac:dyDescent="0.35">
      <c r="B264" s="622" t="s">
        <v>262</v>
      </c>
      <c r="C264" s="166" t="s">
        <v>257</v>
      </c>
      <c r="D264" s="225">
        <v>11000</v>
      </c>
      <c r="E264" s="177"/>
      <c r="F264" s="177"/>
      <c r="G264" s="227">
        <f t="shared" si="18"/>
        <v>11000</v>
      </c>
      <c r="H264" s="171">
        <v>0.3</v>
      </c>
      <c r="I264" s="177"/>
      <c r="J264" s="167" t="s">
        <v>213</v>
      </c>
      <c r="K264" s="181">
        <v>7</v>
      </c>
      <c r="L264" s="353"/>
      <c r="M264" s="622" t="s">
        <v>262</v>
      </c>
      <c r="N264" s="166" t="s">
        <v>257</v>
      </c>
      <c r="O264" s="202">
        <v>11000</v>
      </c>
      <c r="P264" s="177"/>
      <c r="Q264" s="177"/>
      <c r="R264" s="248">
        <f t="shared" si="19"/>
        <v>11000</v>
      </c>
      <c r="S264" s="171">
        <v>0.3</v>
      </c>
      <c r="T264" s="527">
        <v>11000</v>
      </c>
      <c r="U264" s="167" t="s">
        <v>213</v>
      </c>
      <c r="V264" s="181">
        <v>7</v>
      </c>
    </row>
    <row r="265" spans="1:22" ht="15.5" x14ac:dyDescent="0.35">
      <c r="B265" s="623"/>
      <c r="C265" s="166" t="s">
        <v>207</v>
      </c>
      <c r="D265" s="202">
        <v>1500</v>
      </c>
      <c r="E265" s="177"/>
      <c r="F265" s="177"/>
      <c r="G265" s="248">
        <f t="shared" si="18"/>
        <v>1500</v>
      </c>
      <c r="H265" s="171">
        <v>0.3</v>
      </c>
      <c r="I265" s="177"/>
      <c r="J265" s="167" t="s">
        <v>201</v>
      </c>
      <c r="K265" s="181">
        <v>5</v>
      </c>
      <c r="L265" s="353"/>
      <c r="M265" s="623"/>
      <c r="N265" s="166" t="s">
        <v>207</v>
      </c>
      <c r="O265" s="202">
        <v>1500</v>
      </c>
      <c r="P265" s="177"/>
      <c r="Q265" s="177"/>
      <c r="R265" s="248">
        <f t="shared" si="19"/>
        <v>1500</v>
      </c>
      <c r="S265" s="171">
        <v>0.3</v>
      </c>
      <c r="T265" s="527">
        <v>1500</v>
      </c>
      <c r="U265" s="167" t="s">
        <v>201</v>
      </c>
      <c r="V265" s="181">
        <v>5</v>
      </c>
    </row>
    <row r="266" spans="1:22" ht="31" x14ac:dyDescent="0.35">
      <c r="B266" s="623"/>
      <c r="C266" s="166" t="s">
        <v>258</v>
      </c>
      <c r="D266" s="202">
        <v>2000</v>
      </c>
      <c r="E266" s="177"/>
      <c r="F266" s="177"/>
      <c r="G266" s="248">
        <f t="shared" si="18"/>
        <v>2000</v>
      </c>
      <c r="H266" s="171">
        <v>0.3</v>
      </c>
      <c r="I266" s="177"/>
      <c r="J266" s="167" t="s">
        <v>259</v>
      </c>
      <c r="K266" s="181">
        <v>5</v>
      </c>
      <c r="L266" s="353"/>
      <c r="M266" s="623"/>
      <c r="N266" s="166" t="s">
        <v>258</v>
      </c>
      <c r="O266" s="202">
        <v>2000</v>
      </c>
      <c r="P266" s="177"/>
      <c r="Q266" s="177"/>
      <c r="R266" s="248">
        <f t="shared" si="19"/>
        <v>2000</v>
      </c>
      <c r="S266" s="171">
        <v>0.3</v>
      </c>
      <c r="T266" s="527">
        <v>2000</v>
      </c>
      <c r="U266" s="167" t="s">
        <v>259</v>
      </c>
      <c r="V266" s="181">
        <v>5</v>
      </c>
    </row>
    <row r="267" spans="1:22" ht="31" x14ac:dyDescent="0.35">
      <c r="B267" s="623"/>
      <c r="C267" s="166" t="s">
        <v>260</v>
      </c>
      <c r="D267" s="202">
        <v>2000</v>
      </c>
      <c r="E267" s="177"/>
      <c r="F267" s="177"/>
      <c r="G267" s="248">
        <f t="shared" si="18"/>
        <v>2000</v>
      </c>
      <c r="H267" s="171">
        <v>0.3</v>
      </c>
      <c r="I267" s="177"/>
      <c r="J267" s="167" t="s">
        <v>263</v>
      </c>
      <c r="K267" s="181">
        <v>4</v>
      </c>
      <c r="L267" s="353"/>
      <c r="M267" s="623"/>
      <c r="N267" s="166" t="s">
        <v>260</v>
      </c>
      <c r="O267" s="202">
        <v>2000</v>
      </c>
      <c r="P267" s="177"/>
      <c r="Q267" s="177"/>
      <c r="R267" s="248">
        <f t="shared" si="19"/>
        <v>2000</v>
      </c>
      <c r="S267" s="171">
        <v>0.3</v>
      </c>
      <c r="T267" s="527">
        <v>2000</v>
      </c>
      <c r="U267" s="167" t="s">
        <v>263</v>
      </c>
      <c r="V267" s="181">
        <v>4</v>
      </c>
    </row>
    <row r="268" spans="1:22" ht="26.15" customHeight="1" x14ac:dyDescent="0.35">
      <c r="B268" s="624"/>
      <c r="C268" s="166"/>
      <c r="D268" s="202"/>
      <c r="E268" s="177"/>
      <c r="F268" s="177"/>
      <c r="G268" s="248">
        <f t="shared" si="18"/>
        <v>0</v>
      </c>
      <c r="H268" s="171"/>
      <c r="I268" s="177"/>
      <c r="J268" s="167"/>
      <c r="K268" s="181"/>
      <c r="L268" s="353"/>
      <c r="M268" s="624"/>
      <c r="N268" s="166"/>
      <c r="O268" s="202"/>
      <c r="P268" s="177"/>
      <c r="Q268" s="177"/>
      <c r="R268" s="248">
        <f t="shared" si="19"/>
        <v>0</v>
      </c>
      <c r="S268" s="171"/>
      <c r="T268" s="527"/>
      <c r="U268" s="167"/>
      <c r="V268" s="181"/>
    </row>
    <row r="269" spans="1:22" ht="31" x14ac:dyDescent="0.35">
      <c r="B269" s="622" t="s">
        <v>264</v>
      </c>
      <c r="C269" s="166" t="s">
        <v>260</v>
      </c>
      <c r="D269" s="202">
        <v>3000</v>
      </c>
      <c r="E269" s="177"/>
      <c r="F269" s="177"/>
      <c r="G269" s="248">
        <f t="shared" si="18"/>
        <v>3000</v>
      </c>
      <c r="H269" s="171">
        <v>0.3</v>
      </c>
      <c r="I269" s="177"/>
      <c r="J269" s="167" t="s">
        <v>265</v>
      </c>
      <c r="K269" s="181">
        <v>4</v>
      </c>
      <c r="L269" s="353"/>
      <c r="M269" s="622" t="s">
        <v>264</v>
      </c>
      <c r="N269" s="166" t="s">
        <v>260</v>
      </c>
      <c r="O269" s="202">
        <v>3000</v>
      </c>
      <c r="P269" s="177"/>
      <c r="Q269" s="177"/>
      <c r="R269" s="248">
        <f t="shared" si="19"/>
        <v>3000</v>
      </c>
      <c r="S269" s="171">
        <v>0.3</v>
      </c>
      <c r="T269" s="527">
        <v>3000</v>
      </c>
      <c r="U269" s="167" t="s">
        <v>265</v>
      </c>
      <c r="V269" s="181">
        <v>4</v>
      </c>
    </row>
    <row r="270" spans="1:22" ht="15.5" x14ac:dyDescent="0.35">
      <c r="B270" s="623"/>
      <c r="C270" s="166" t="s">
        <v>207</v>
      </c>
      <c r="D270" s="202">
        <f>2500-500+500</f>
        <v>2500</v>
      </c>
      <c r="E270" s="177"/>
      <c r="F270" s="177"/>
      <c r="G270" s="248">
        <f t="shared" si="18"/>
        <v>2500</v>
      </c>
      <c r="H270" s="171">
        <v>0.3</v>
      </c>
      <c r="I270" s="177"/>
      <c r="J270" s="167" t="s">
        <v>201</v>
      </c>
      <c r="K270" s="181">
        <v>5</v>
      </c>
      <c r="L270" s="353"/>
      <c r="M270" s="623"/>
      <c r="N270" s="166" t="s">
        <v>207</v>
      </c>
      <c r="O270" s="202">
        <f>2500-500+500</f>
        <v>2500</v>
      </c>
      <c r="P270" s="177"/>
      <c r="Q270" s="177"/>
      <c r="R270" s="248">
        <f t="shared" si="19"/>
        <v>2500</v>
      </c>
      <c r="S270" s="171">
        <v>0.3</v>
      </c>
      <c r="T270" s="527">
        <v>2500</v>
      </c>
      <c r="U270" s="167" t="s">
        <v>201</v>
      </c>
      <c r="V270" s="181">
        <v>5</v>
      </c>
    </row>
    <row r="271" spans="1:22" ht="31" x14ac:dyDescent="0.35">
      <c r="B271" s="623"/>
      <c r="C271" s="166" t="s">
        <v>266</v>
      </c>
      <c r="D271" s="202">
        <v>12000</v>
      </c>
      <c r="E271" s="177"/>
      <c r="F271" s="177"/>
      <c r="G271" s="248">
        <f t="shared" si="18"/>
        <v>12000</v>
      </c>
      <c r="H271" s="171">
        <v>0.3</v>
      </c>
      <c r="I271" s="177"/>
      <c r="J271" s="167" t="s">
        <v>213</v>
      </c>
      <c r="K271" s="181">
        <v>7</v>
      </c>
      <c r="L271" s="353"/>
      <c r="M271" s="623"/>
      <c r="N271" s="166" t="s">
        <v>266</v>
      </c>
      <c r="O271" s="202">
        <v>12000</v>
      </c>
      <c r="P271" s="177"/>
      <c r="Q271" s="177"/>
      <c r="R271" s="248">
        <f t="shared" si="19"/>
        <v>12000</v>
      </c>
      <c r="S271" s="171">
        <v>0.3</v>
      </c>
      <c r="T271" s="527">
        <v>12000</v>
      </c>
      <c r="U271" s="167" t="s">
        <v>213</v>
      </c>
      <c r="V271" s="181">
        <v>7</v>
      </c>
    </row>
    <row r="272" spans="1:22" ht="15.5" x14ac:dyDescent="0.35">
      <c r="B272" s="623"/>
      <c r="C272" s="166"/>
      <c r="D272" s="202"/>
      <c r="E272" s="177"/>
      <c r="F272" s="177"/>
      <c r="G272" s="248">
        <f t="shared" si="18"/>
        <v>0</v>
      </c>
      <c r="H272" s="171"/>
      <c r="I272" s="177"/>
      <c r="J272" s="167"/>
      <c r="K272" s="181"/>
      <c r="L272" s="353"/>
      <c r="M272" s="623"/>
      <c r="N272" s="166"/>
      <c r="O272" s="202"/>
      <c r="P272" s="177"/>
      <c r="Q272" s="177"/>
      <c r="R272" s="248">
        <f t="shared" si="19"/>
        <v>0</v>
      </c>
      <c r="S272" s="171"/>
      <c r="T272" s="527"/>
      <c r="U272" s="167"/>
      <c r="V272" s="181"/>
    </row>
    <row r="273" spans="2:23" ht="15.65" customHeight="1" x14ac:dyDescent="0.35">
      <c r="B273" s="624"/>
      <c r="C273" s="166"/>
      <c r="D273" s="202"/>
      <c r="E273" s="177"/>
      <c r="F273" s="177"/>
      <c r="G273" s="248">
        <f t="shared" si="18"/>
        <v>0</v>
      </c>
      <c r="H273" s="171"/>
      <c r="I273" s="177"/>
      <c r="J273" s="167"/>
      <c r="K273" s="181"/>
      <c r="L273" s="353"/>
      <c r="M273" s="624"/>
      <c r="N273" s="166"/>
      <c r="O273" s="202"/>
      <c r="P273" s="177"/>
      <c r="Q273" s="177"/>
      <c r="R273" s="248">
        <f t="shared" si="19"/>
        <v>0</v>
      </c>
      <c r="S273" s="171"/>
      <c r="T273" s="527"/>
      <c r="U273" s="167"/>
      <c r="V273" s="181"/>
    </row>
    <row r="274" spans="2:23" ht="31.4" customHeight="1" x14ac:dyDescent="0.35">
      <c r="B274" s="662" t="s">
        <v>267</v>
      </c>
      <c r="C274" s="232" t="s">
        <v>268</v>
      </c>
      <c r="D274" s="233">
        <v>10000</v>
      </c>
      <c r="E274" s="234"/>
      <c r="F274" s="234"/>
      <c r="G274" s="235">
        <f t="shared" si="18"/>
        <v>10000</v>
      </c>
      <c r="H274" s="236">
        <v>0.3</v>
      </c>
      <c r="I274" s="234"/>
      <c r="J274" s="237" t="s">
        <v>269</v>
      </c>
      <c r="K274" s="181">
        <v>2</v>
      </c>
      <c r="L274" s="353"/>
      <c r="M274" s="662" t="s">
        <v>267</v>
      </c>
      <c r="N274" s="232" t="s">
        <v>268</v>
      </c>
      <c r="O274" s="233">
        <v>10000</v>
      </c>
      <c r="P274" s="234"/>
      <c r="Q274" s="234"/>
      <c r="R274" s="235">
        <f t="shared" si="19"/>
        <v>10000</v>
      </c>
      <c r="S274" s="236">
        <v>0.3</v>
      </c>
      <c r="T274" s="527">
        <v>10000</v>
      </c>
      <c r="U274" s="237" t="s">
        <v>269</v>
      </c>
      <c r="V274" s="181">
        <v>2</v>
      </c>
    </row>
    <row r="275" spans="2:23" ht="15.5" x14ac:dyDescent="0.35">
      <c r="B275" s="663"/>
      <c r="C275" s="166"/>
      <c r="D275" s="202"/>
      <c r="E275" s="177"/>
      <c r="F275" s="177"/>
      <c r="G275" s="248">
        <f t="shared" si="18"/>
        <v>0</v>
      </c>
      <c r="H275" s="171"/>
      <c r="I275" s="177"/>
      <c r="J275" s="167"/>
      <c r="K275" s="181"/>
      <c r="L275" s="353"/>
      <c r="M275" s="663"/>
      <c r="N275" s="166"/>
      <c r="O275" s="202"/>
      <c r="P275" s="177"/>
      <c r="Q275" s="177"/>
      <c r="R275" s="248">
        <f t="shared" si="19"/>
        <v>0</v>
      </c>
      <c r="S275" s="171"/>
      <c r="T275" s="527"/>
      <c r="U275" s="167"/>
      <c r="V275" s="181"/>
    </row>
    <row r="276" spans="2:23" ht="23.15" customHeight="1" x14ac:dyDescent="0.35">
      <c r="B276" s="663"/>
      <c r="C276" s="166"/>
      <c r="D276" s="202"/>
      <c r="E276" s="177"/>
      <c r="F276" s="177"/>
      <c r="G276" s="248">
        <f t="shared" si="18"/>
        <v>0</v>
      </c>
      <c r="H276" s="171"/>
      <c r="I276" s="177"/>
      <c r="J276" s="167"/>
      <c r="K276" s="181"/>
      <c r="L276" s="353"/>
      <c r="M276" s="663"/>
      <c r="N276" s="166"/>
      <c r="O276" s="202"/>
      <c r="P276" s="177"/>
      <c r="Q276" s="177"/>
      <c r="R276" s="248">
        <f t="shared" si="19"/>
        <v>0</v>
      </c>
      <c r="S276" s="171"/>
      <c r="T276" s="527"/>
      <c r="U276" s="167"/>
      <c r="V276" s="181"/>
    </row>
    <row r="277" spans="2:23" ht="23.15" customHeight="1" x14ac:dyDescent="0.35">
      <c r="B277" s="663"/>
      <c r="C277" s="166"/>
      <c r="D277" s="202"/>
      <c r="E277" s="177"/>
      <c r="F277" s="177"/>
      <c r="G277" s="248">
        <f t="shared" si="18"/>
        <v>0</v>
      </c>
      <c r="H277" s="171"/>
      <c r="I277" s="177"/>
      <c r="J277" s="167"/>
      <c r="K277" s="181"/>
      <c r="L277" s="353"/>
      <c r="M277" s="663"/>
      <c r="N277" s="166"/>
      <c r="O277" s="202"/>
      <c r="P277" s="177"/>
      <c r="Q277" s="177"/>
      <c r="R277" s="248">
        <f t="shared" si="19"/>
        <v>0</v>
      </c>
      <c r="S277" s="171"/>
      <c r="T277" s="527"/>
      <c r="U277" s="167"/>
      <c r="V277" s="181"/>
    </row>
    <row r="278" spans="2:23" ht="23.15" customHeight="1" x14ac:dyDescent="0.35">
      <c r="B278" s="664"/>
      <c r="C278" s="166"/>
      <c r="D278" s="202"/>
      <c r="E278" s="177"/>
      <c r="F278" s="177"/>
      <c r="G278" s="248">
        <f t="shared" si="18"/>
        <v>0</v>
      </c>
      <c r="H278" s="171"/>
      <c r="I278" s="177"/>
      <c r="J278" s="167"/>
      <c r="K278" s="181"/>
      <c r="L278" s="353"/>
      <c r="M278" s="664"/>
      <c r="N278" s="166"/>
      <c r="O278" s="202"/>
      <c r="P278" s="177"/>
      <c r="Q278" s="177"/>
      <c r="R278" s="248">
        <f t="shared" si="19"/>
        <v>0</v>
      </c>
      <c r="S278" s="171"/>
      <c r="T278" s="527"/>
      <c r="U278" s="167"/>
      <c r="V278" s="181"/>
    </row>
    <row r="279" spans="2:23" ht="31" x14ac:dyDescent="0.35">
      <c r="B279" s="622" t="s">
        <v>270</v>
      </c>
      <c r="C279" s="166" t="s">
        <v>271</v>
      </c>
      <c r="D279" s="202">
        <v>19116.769999999997</v>
      </c>
      <c r="E279" s="177"/>
      <c r="F279" s="177"/>
      <c r="G279" s="248">
        <f t="shared" si="18"/>
        <v>19116.769999999997</v>
      </c>
      <c r="H279" s="171">
        <v>0.3</v>
      </c>
      <c r="I279" s="177"/>
      <c r="J279" s="167" t="s">
        <v>272</v>
      </c>
      <c r="K279" s="181">
        <v>6</v>
      </c>
      <c r="L279" s="353"/>
      <c r="M279" s="622" t="s">
        <v>270</v>
      </c>
      <c r="N279" s="166" t="s">
        <v>271</v>
      </c>
      <c r="O279" s="202"/>
      <c r="P279" s="251">
        <v>19116.769999999997</v>
      </c>
      <c r="Q279" s="177"/>
      <c r="R279" s="248">
        <f t="shared" si="19"/>
        <v>19116.769999999997</v>
      </c>
      <c r="S279" s="171">
        <v>0.3</v>
      </c>
      <c r="T279" s="530">
        <v>19116.77</v>
      </c>
      <c r="U279" s="167" t="s">
        <v>272</v>
      </c>
      <c r="V279" s="181">
        <v>6</v>
      </c>
      <c r="W279" s="540" t="s">
        <v>954</v>
      </c>
    </row>
    <row r="280" spans="2:23" ht="35.5" customHeight="1" x14ac:dyDescent="0.35">
      <c r="B280" s="623"/>
      <c r="C280" s="166" t="s">
        <v>273</v>
      </c>
      <c r="D280" s="202">
        <v>5000</v>
      </c>
      <c r="E280" s="177"/>
      <c r="F280" s="177"/>
      <c r="G280" s="248">
        <f t="shared" si="18"/>
        <v>5000</v>
      </c>
      <c r="H280" s="171">
        <v>0.3</v>
      </c>
      <c r="I280" s="177"/>
      <c r="J280" s="167" t="s">
        <v>272</v>
      </c>
      <c r="K280" s="181">
        <v>6</v>
      </c>
      <c r="L280" s="353"/>
      <c r="M280" s="623"/>
      <c r="N280" s="166" t="s">
        <v>273</v>
      </c>
      <c r="O280" s="202"/>
      <c r="P280" s="251">
        <v>5000</v>
      </c>
      <c r="Q280" s="177"/>
      <c r="R280" s="248">
        <f t="shared" si="19"/>
        <v>5000</v>
      </c>
      <c r="S280" s="171">
        <v>0.3</v>
      </c>
      <c r="T280" s="530">
        <v>5000</v>
      </c>
      <c r="U280" s="167" t="s">
        <v>272</v>
      </c>
      <c r="V280" s="181">
        <v>6</v>
      </c>
      <c r="W280" s="540" t="s">
        <v>954</v>
      </c>
    </row>
    <row r="281" spans="2:23" ht="46.5" x14ac:dyDescent="0.35">
      <c r="B281" s="623"/>
      <c r="C281" s="166" t="s">
        <v>249</v>
      </c>
      <c r="D281" s="202">
        <v>20000</v>
      </c>
      <c r="E281" s="177"/>
      <c r="F281" s="177"/>
      <c r="G281" s="248">
        <f t="shared" si="18"/>
        <v>20000</v>
      </c>
      <c r="H281" s="171">
        <v>0.3</v>
      </c>
      <c r="I281" s="177"/>
      <c r="J281" s="167" t="s">
        <v>272</v>
      </c>
      <c r="K281" s="181">
        <v>6</v>
      </c>
      <c r="L281" s="353"/>
      <c r="M281" s="623"/>
      <c r="N281" s="166" t="s">
        <v>249</v>
      </c>
      <c r="O281" s="202"/>
      <c r="P281" s="251">
        <v>20000</v>
      </c>
      <c r="Q281" s="177"/>
      <c r="R281" s="248">
        <f t="shared" si="19"/>
        <v>20000</v>
      </c>
      <c r="S281" s="171">
        <v>0.3</v>
      </c>
      <c r="T281" s="530">
        <v>20000</v>
      </c>
      <c r="U281" s="167" t="s">
        <v>272</v>
      </c>
      <c r="V281" s="181">
        <v>6</v>
      </c>
      <c r="W281" s="540" t="s">
        <v>954</v>
      </c>
    </row>
    <row r="282" spans="2:23" ht="15.5" x14ac:dyDescent="0.35">
      <c r="B282" s="623"/>
      <c r="C282" s="166"/>
      <c r="D282" s="202"/>
      <c r="E282" s="177"/>
      <c r="F282" s="177"/>
      <c r="G282" s="248">
        <f t="shared" si="18"/>
        <v>0</v>
      </c>
      <c r="H282" s="171"/>
      <c r="I282" s="177"/>
      <c r="J282" s="167"/>
      <c r="K282" s="181"/>
      <c r="L282" s="353"/>
      <c r="M282" s="623"/>
      <c r="N282" s="166"/>
      <c r="O282" s="202"/>
      <c r="P282" s="177"/>
      <c r="Q282" s="177"/>
      <c r="R282" s="248">
        <f t="shared" si="19"/>
        <v>0</v>
      </c>
      <c r="S282" s="171"/>
      <c r="T282" s="527"/>
      <c r="U282" s="167"/>
      <c r="V282" s="181"/>
    </row>
    <row r="283" spans="2:23" ht="15.5" x14ac:dyDescent="0.35">
      <c r="B283" s="624"/>
      <c r="C283" s="166"/>
      <c r="D283" s="202"/>
      <c r="E283" s="177"/>
      <c r="F283" s="177"/>
      <c r="G283" s="248">
        <f t="shared" si="18"/>
        <v>0</v>
      </c>
      <c r="H283" s="171"/>
      <c r="I283" s="177"/>
      <c r="J283" s="167"/>
      <c r="K283" s="181"/>
      <c r="L283" s="353"/>
      <c r="M283" s="624"/>
      <c r="N283" s="166"/>
      <c r="O283" s="202"/>
      <c r="P283" s="177"/>
      <c r="Q283" s="177"/>
      <c r="R283" s="248">
        <f t="shared" si="19"/>
        <v>0</v>
      </c>
      <c r="S283" s="171"/>
      <c r="T283" s="527"/>
      <c r="U283" s="167"/>
      <c r="V283" s="181"/>
    </row>
    <row r="284" spans="2:23" ht="77.5" customHeight="1" x14ac:dyDescent="0.35">
      <c r="B284" s="351" t="s">
        <v>447</v>
      </c>
      <c r="C284" s="224"/>
      <c r="D284" s="225"/>
      <c r="E284" s="226"/>
      <c r="F284" s="226"/>
      <c r="G284" s="227">
        <f t="shared" ref="G284" si="20">D284+E284+F284</f>
        <v>0</v>
      </c>
      <c r="H284" s="221"/>
      <c r="I284" s="226"/>
      <c r="J284" s="228"/>
      <c r="K284" s="229"/>
      <c r="L284" s="353"/>
      <c r="M284" s="659" t="s">
        <v>448</v>
      </c>
      <c r="N284" s="224" t="s">
        <v>936</v>
      </c>
      <c r="O284" s="225"/>
      <c r="P284" s="226">
        <v>1000</v>
      </c>
      <c r="Q284" s="226"/>
      <c r="R284" s="227">
        <f t="shared" ref="R284:R312" si="21">O284+P284+Q284</f>
        <v>1000</v>
      </c>
      <c r="S284" s="221">
        <v>0.3</v>
      </c>
      <c r="T284" s="449">
        <v>1000</v>
      </c>
      <c r="U284" s="228" t="s">
        <v>269</v>
      </c>
      <c r="V284" s="229">
        <v>6</v>
      </c>
    </row>
    <row r="285" spans="2:23" ht="15.5" x14ac:dyDescent="0.35">
      <c r="B285" s="351"/>
      <c r="C285" s="224"/>
      <c r="D285" s="225"/>
      <c r="E285" s="226"/>
      <c r="F285" s="226"/>
      <c r="G285" s="227"/>
      <c r="H285" s="221"/>
      <c r="I285" s="226"/>
      <c r="J285" s="228"/>
      <c r="K285" s="229"/>
      <c r="L285" s="353"/>
      <c r="M285" s="660"/>
      <c r="N285" s="224" t="s">
        <v>937</v>
      </c>
      <c r="O285" s="225"/>
      <c r="P285" s="226">
        <v>3000</v>
      </c>
      <c r="Q285" s="226"/>
      <c r="R285" s="227">
        <f t="shared" si="21"/>
        <v>3000</v>
      </c>
      <c r="S285" s="221">
        <v>0.3</v>
      </c>
      <c r="T285" s="449">
        <v>3000</v>
      </c>
      <c r="U285" s="228"/>
      <c r="V285" s="229">
        <v>6</v>
      </c>
    </row>
    <row r="286" spans="2:23" ht="15.5" x14ac:dyDescent="0.35">
      <c r="B286" s="351"/>
      <c r="C286" s="224"/>
      <c r="D286" s="225"/>
      <c r="E286" s="226"/>
      <c r="F286" s="226"/>
      <c r="G286" s="227"/>
      <c r="H286" s="221"/>
      <c r="I286" s="226"/>
      <c r="J286" s="228"/>
      <c r="K286" s="229"/>
      <c r="L286" s="353"/>
      <c r="M286" s="661"/>
      <c r="N286" s="224" t="s">
        <v>938</v>
      </c>
      <c r="O286" s="225"/>
      <c r="P286" s="226">
        <v>6000</v>
      </c>
      <c r="Q286" s="226"/>
      <c r="R286" s="227">
        <f t="shared" si="21"/>
        <v>6000</v>
      </c>
      <c r="S286" s="221">
        <v>0.5</v>
      </c>
      <c r="T286" s="449">
        <v>6000</v>
      </c>
      <c r="U286" s="228"/>
      <c r="V286" s="229">
        <v>6</v>
      </c>
    </row>
    <row r="287" spans="2:23" ht="15.5" x14ac:dyDescent="0.35">
      <c r="B287" s="355"/>
      <c r="C287" s="166"/>
      <c r="D287" s="202"/>
      <c r="E287" s="177"/>
      <c r="F287" s="177"/>
      <c r="G287" s="248">
        <f t="shared" si="18"/>
        <v>0</v>
      </c>
      <c r="H287" s="171"/>
      <c r="I287" s="177"/>
      <c r="J287" s="167"/>
      <c r="K287" s="181"/>
      <c r="L287" s="353"/>
      <c r="M287" s="657" t="s">
        <v>449</v>
      </c>
      <c r="N287" s="418" t="s">
        <v>442</v>
      </c>
      <c r="O287" s="225">
        <v>5000</v>
      </c>
      <c r="P287" s="177"/>
      <c r="Q287" s="177"/>
      <c r="R287" s="227">
        <f t="shared" si="21"/>
        <v>5000</v>
      </c>
      <c r="S287" s="171">
        <v>0.5</v>
      </c>
      <c r="T287" s="177"/>
      <c r="U287" s="167"/>
      <c r="V287" s="181">
        <v>4</v>
      </c>
    </row>
    <row r="288" spans="2:23" ht="15.5" x14ac:dyDescent="0.35">
      <c r="B288" s="355"/>
      <c r="C288" s="166"/>
      <c r="D288" s="202"/>
      <c r="E288" s="177"/>
      <c r="F288" s="177"/>
      <c r="G288" s="248"/>
      <c r="H288" s="171"/>
      <c r="I288" s="177"/>
      <c r="J288" s="167"/>
      <c r="K288" s="181"/>
      <c r="L288" s="353"/>
      <c r="M288" s="656"/>
      <c r="N288" s="224" t="s">
        <v>932</v>
      </c>
      <c r="O288" s="225">
        <v>13000</v>
      </c>
      <c r="P288" s="177"/>
      <c r="Q288" s="177"/>
      <c r="R288" s="227">
        <f t="shared" si="21"/>
        <v>13000</v>
      </c>
      <c r="S288" s="171">
        <v>0.5</v>
      </c>
      <c r="T288" s="177"/>
      <c r="U288" s="167"/>
      <c r="V288" s="181">
        <v>7</v>
      </c>
    </row>
    <row r="289" spans="2:22" ht="15.65" customHeight="1" x14ac:dyDescent="0.35">
      <c r="B289" s="355"/>
      <c r="C289" s="166"/>
      <c r="D289" s="202"/>
      <c r="E289" s="177"/>
      <c r="F289" s="177"/>
      <c r="G289" s="248"/>
      <c r="H289" s="171"/>
      <c r="I289" s="177"/>
      <c r="J289" s="167"/>
      <c r="K289" s="181"/>
      <c r="L289" s="353"/>
      <c r="M289" s="657" t="s">
        <v>450</v>
      </c>
      <c r="N289" s="418" t="s">
        <v>933</v>
      </c>
      <c r="O289" s="225">
        <v>6000</v>
      </c>
      <c r="P289" s="177"/>
      <c r="Q289" s="177"/>
      <c r="R289" s="227">
        <f t="shared" si="21"/>
        <v>6000</v>
      </c>
      <c r="S289" s="171">
        <v>0.75</v>
      </c>
      <c r="T289" s="177"/>
      <c r="U289" s="167"/>
      <c r="V289" s="181">
        <v>7</v>
      </c>
    </row>
    <row r="290" spans="2:22" ht="47.5" hidden="1" customHeight="1" x14ac:dyDescent="0.35">
      <c r="B290" s="355"/>
      <c r="C290" s="166"/>
      <c r="D290" s="202"/>
      <c r="E290" s="177"/>
      <c r="F290" s="177"/>
      <c r="G290" s="248"/>
      <c r="H290" s="171"/>
      <c r="I290" s="177"/>
      <c r="J290" s="167"/>
      <c r="K290" s="181"/>
      <c r="L290" s="353"/>
      <c r="M290" s="656"/>
      <c r="N290" s="224"/>
      <c r="O290" s="225"/>
      <c r="P290" s="177"/>
      <c r="Q290" s="177"/>
      <c r="R290" s="227">
        <f t="shared" si="21"/>
        <v>0</v>
      </c>
      <c r="S290" s="171"/>
      <c r="T290" s="177"/>
      <c r="U290" s="167"/>
      <c r="V290" s="181"/>
    </row>
    <row r="291" spans="2:22" ht="15.5" hidden="1" x14ac:dyDescent="0.35">
      <c r="B291" s="355"/>
      <c r="C291" s="166"/>
      <c r="D291" s="202"/>
      <c r="E291" s="177"/>
      <c r="F291" s="177"/>
      <c r="G291" s="248"/>
      <c r="H291" s="171"/>
      <c r="I291" s="177"/>
      <c r="J291" s="167"/>
      <c r="K291" s="181"/>
      <c r="L291" s="353"/>
      <c r="M291" s="355"/>
      <c r="N291" s="166"/>
      <c r="O291" s="202"/>
      <c r="P291" s="177"/>
      <c r="Q291" s="177"/>
      <c r="R291" s="227">
        <f t="shared" si="21"/>
        <v>0</v>
      </c>
      <c r="S291" s="171"/>
      <c r="T291" s="177"/>
      <c r="U291" s="167"/>
      <c r="V291" s="181"/>
    </row>
    <row r="292" spans="2:22" ht="15.5" hidden="1" x14ac:dyDescent="0.35">
      <c r="B292" s="355"/>
      <c r="C292" s="166"/>
      <c r="D292" s="202"/>
      <c r="E292" s="177"/>
      <c r="F292" s="177"/>
      <c r="G292" s="248"/>
      <c r="H292" s="171"/>
      <c r="I292" s="177"/>
      <c r="J292" s="167"/>
      <c r="K292" s="181"/>
      <c r="L292" s="353"/>
      <c r="M292" s="355"/>
      <c r="N292" s="166"/>
      <c r="O292" s="202"/>
      <c r="P292" s="177"/>
      <c r="Q292" s="177"/>
      <c r="R292" s="227">
        <f t="shared" si="21"/>
        <v>0</v>
      </c>
      <c r="S292" s="171"/>
      <c r="T292" s="177"/>
      <c r="U292" s="167"/>
      <c r="V292" s="181"/>
    </row>
    <row r="293" spans="2:22" ht="15.5" hidden="1" x14ac:dyDescent="0.35">
      <c r="B293" s="355"/>
      <c r="C293" s="166"/>
      <c r="D293" s="202"/>
      <c r="E293" s="177"/>
      <c r="F293" s="177"/>
      <c r="G293" s="248"/>
      <c r="H293" s="171"/>
      <c r="I293" s="177"/>
      <c r="J293" s="167"/>
      <c r="K293" s="181"/>
      <c r="L293" s="353"/>
      <c r="M293" s="355"/>
      <c r="N293" s="166"/>
      <c r="O293" s="202"/>
      <c r="P293" s="177"/>
      <c r="Q293" s="177"/>
      <c r="R293" s="227">
        <f t="shared" si="21"/>
        <v>0</v>
      </c>
      <c r="S293" s="171"/>
      <c r="T293" s="177"/>
      <c r="U293" s="167"/>
      <c r="V293" s="181"/>
    </row>
    <row r="294" spans="2:22" ht="15.5" hidden="1" x14ac:dyDescent="0.35">
      <c r="B294" s="355"/>
      <c r="C294" s="166"/>
      <c r="D294" s="202"/>
      <c r="E294" s="177"/>
      <c r="F294" s="177"/>
      <c r="G294" s="248"/>
      <c r="H294" s="171"/>
      <c r="I294" s="177"/>
      <c r="J294" s="167"/>
      <c r="K294" s="181"/>
      <c r="L294" s="353"/>
      <c r="M294" s="355"/>
      <c r="N294" s="166"/>
      <c r="O294" s="202"/>
      <c r="P294" s="177"/>
      <c r="Q294" s="177"/>
      <c r="R294" s="227">
        <f t="shared" si="21"/>
        <v>0</v>
      </c>
      <c r="S294" s="171"/>
      <c r="T294" s="177"/>
      <c r="U294" s="167"/>
      <c r="V294" s="181"/>
    </row>
    <row r="295" spans="2:22" ht="20.149999999999999" hidden="1" customHeight="1" x14ac:dyDescent="0.35">
      <c r="B295" s="355"/>
      <c r="C295" s="166"/>
      <c r="D295" s="202"/>
      <c r="E295" s="177"/>
      <c r="F295" s="177"/>
      <c r="G295" s="248">
        <f t="shared" si="18"/>
        <v>0</v>
      </c>
      <c r="H295" s="171"/>
      <c r="I295" s="177"/>
      <c r="J295" s="167"/>
      <c r="K295" s="181"/>
      <c r="L295" s="353"/>
      <c r="M295" s="355"/>
      <c r="N295" s="166"/>
      <c r="O295" s="202"/>
      <c r="P295" s="177"/>
      <c r="Q295" s="177"/>
      <c r="R295" s="227">
        <f t="shared" si="21"/>
        <v>0</v>
      </c>
      <c r="S295" s="171"/>
      <c r="T295" s="177"/>
      <c r="U295" s="167"/>
      <c r="V295" s="181"/>
    </row>
    <row r="296" spans="2:22" ht="20.149999999999999" hidden="1" customHeight="1" x14ac:dyDescent="0.35">
      <c r="B296" s="355"/>
      <c r="C296" s="166"/>
      <c r="D296" s="202"/>
      <c r="E296" s="177"/>
      <c r="F296" s="177"/>
      <c r="G296" s="248">
        <f t="shared" si="18"/>
        <v>0</v>
      </c>
      <c r="H296" s="171"/>
      <c r="I296" s="177"/>
      <c r="J296" s="167"/>
      <c r="K296" s="181"/>
      <c r="L296" s="353"/>
      <c r="M296" s="355"/>
      <c r="N296" s="166"/>
      <c r="O296" s="202"/>
      <c r="P296" s="177"/>
      <c r="Q296" s="177"/>
      <c r="R296" s="227">
        <f t="shared" si="21"/>
        <v>0</v>
      </c>
      <c r="S296" s="171"/>
      <c r="T296" s="177"/>
      <c r="U296" s="167"/>
      <c r="V296" s="181"/>
    </row>
    <row r="297" spans="2:22" ht="20.149999999999999" hidden="1" customHeight="1" x14ac:dyDescent="0.35">
      <c r="B297" s="355"/>
      <c r="C297" s="166"/>
      <c r="D297" s="202"/>
      <c r="E297" s="177"/>
      <c r="F297" s="177"/>
      <c r="G297" s="248">
        <f t="shared" si="18"/>
        <v>0</v>
      </c>
      <c r="H297" s="171"/>
      <c r="I297" s="177"/>
      <c r="J297" s="167"/>
      <c r="K297" s="467"/>
      <c r="L297" s="353"/>
      <c r="M297" s="355"/>
      <c r="N297" s="166"/>
      <c r="O297" s="202"/>
      <c r="P297" s="177"/>
      <c r="Q297" s="177"/>
      <c r="R297" s="227">
        <f t="shared" si="21"/>
        <v>0</v>
      </c>
      <c r="S297" s="171"/>
      <c r="T297" s="177"/>
      <c r="U297" s="167"/>
      <c r="V297" s="181"/>
    </row>
    <row r="298" spans="2:22" ht="34.4" hidden="1" customHeight="1" x14ac:dyDescent="0.35">
      <c r="B298" s="622"/>
      <c r="C298" s="166"/>
      <c r="D298" s="202"/>
      <c r="E298" s="177"/>
      <c r="F298" s="177"/>
      <c r="G298" s="248">
        <f t="shared" si="18"/>
        <v>0</v>
      </c>
      <c r="H298" s="171"/>
      <c r="I298" s="177"/>
      <c r="J298" s="167"/>
      <c r="K298" s="181"/>
      <c r="L298" s="353"/>
      <c r="M298" s="639"/>
      <c r="N298" s="166"/>
      <c r="O298" s="202"/>
      <c r="P298" s="177"/>
      <c r="Q298" s="177"/>
      <c r="R298" s="227">
        <f t="shared" si="21"/>
        <v>0</v>
      </c>
      <c r="S298" s="171"/>
      <c r="T298" s="177"/>
      <c r="U298" s="167"/>
      <c r="V298" s="181"/>
    </row>
    <row r="299" spans="2:22" ht="22.4" hidden="1" customHeight="1" x14ac:dyDescent="0.35">
      <c r="B299" s="623"/>
      <c r="C299" s="166"/>
      <c r="D299" s="202"/>
      <c r="E299" s="177"/>
      <c r="F299" s="177"/>
      <c r="G299" s="248">
        <f t="shared" si="18"/>
        <v>0</v>
      </c>
      <c r="H299" s="171"/>
      <c r="I299" s="177"/>
      <c r="J299" s="167"/>
      <c r="K299" s="181"/>
      <c r="L299" s="353"/>
      <c r="M299" s="639"/>
      <c r="N299" s="166"/>
      <c r="O299" s="202"/>
      <c r="P299" s="177"/>
      <c r="Q299" s="177"/>
      <c r="R299" s="227">
        <f t="shared" si="21"/>
        <v>0</v>
      </c>
      <c r="S299" s="171"/>
      <c r="T299" s="177"/>
      <c r="U299" s="167"/>
      <c r="V299" s="181"/>
    </row>
    <row r="300" spans="2:22" ht="22.4" hidden="1" customHeight="1" x14ac:dyDescent="0.35">
      <c r="B300" s="623"/>
      <c r="C300" s="166"/>
      <c r="D300" s="202"/>
      <c r="E300" s="177"/>
      <c r="F300" s="177"/>
      <c r="G300" s="248">
        <f t="shared" si="18"/>
        <v>0</v>
      </c>
      <c r="H300" s="171"/>
      <c r="I300" s="177"/>
      <c r="J300" s="167"/>
      <c r="K300" s="181"/>
      <c r="L300" s="353"/>
      <c r="M300" s="639"/>
      <c r="N300" s="166"/>
      <c r="O300" s="202"/>
      <c r="P300" s="177"/>
      <c r="Q300" s="177"/>
      <c r="R300" s="227">
        <f t="shared" si="21"/>
        <v>0</v>
      </c>
      <c r="S300" s="171"/>
      <c r="T300" s="177"/>
      <c r="U300" s="167"/>
      <c r="V300" s="181"/>
    </row>
    <row r="301" spans="2:22" ht="22.4" hidden="1" customHeight="1" x14ac:dyDescent="0.35">
      <c r="B301" s="623"/>
      <c r="C301" s="166"/>
      <c r="D301" s="202"/>
      <c r="E301" s="177"/>
      <c r="F301" s="177"/>
      <c r="G301" s="248">
        <f t="shared" si="18"/>
        <v>0</v>
      </c>
      <c r="H301" s="171"/>
      <c r="I301" s="177"/>
      <c r="J301" s="167"/>
      <c r="K301" s="181"/>
      <c r="L301" s="353"/>
      <c r="M301" s="639"/>
      <c r="N301" s="166"/>
      <c r="O301" s="202"/>
      <c r="P301" s="177"/>
      <c r="Q301" s="177"/>
      <c r="R301" s="227">
        <f t="shared" si="21"/>
        <v>0</v>
      </c>
      <c r="S301" s="171"/>
      <c r="T301" s="177"/>
      <c r="U301" s="167"/>
      <c r="V301" s="181"/>
    </row>
    <row r="302" spans="2:22" ht="22.4" hidden="1" customHeight="1" x14ac:dyDescent="0.35">
      <c r="B302" s="624"/>
      <c r="C302" s="166"/>
      <c r="D302" s="202"/>
      <c r="E302" s="177"/>
      <c r="F302" s="177"/>
      <c r="G302" s="248">
        <f t="shared" si="18"/>
        <v>0</v>
      </c>
      <c r="H302" s="171"/>
      <c r="I302" s="177"/>
      <c r="J302" s="167"/>
      <c r="K302" s="181"/>
      <c r="L302" s="353"/>
      <c r="M302" s="639"/>
      <c r="N302" s="166"/>
      <c r="O302" s="202"/>
      <c r="P302" s="177"/>
      <c r="Q302" s="177"/>
      <c r="R302" s="227">
        <f t="shared" si="21"/>
        <v>0</v>
      </c>
      <c r="S302" s="171"/>
      <c r="T302" s="177"/>
      <c r="U302" s="167"/>
      <c r="V302" s="181"/>
    </row>
    <row r="303" spans="2:22" ht="15.5" hidden="1" x14ac:dyDescent="0.35">
      <c r="B303" s="622"/>
      <c r="C303" s="166"/>
      <c r="D303" s="202"/>
      <c r="E303" s="177"/>
      <c r="F303" s="177"/>
      <c r="G303" s="248">
        <f t="shared" si="18"/>
        <v>0</v>
      </c>
      <c r="H303" s="171"/>
      <c r="I303" s="177"/>
      <c r="J303" s="167"/>
      <c r="K303" s="181"/>
      <c r="L303" s="353"/>
      <c r="M303" s="639"/>
      <c r="N303" s="166"/>
      <c r="O303" s="202"/>
      <c r="P303" s="177"/>
      <c r="Q303" s="177"/>
      <c r="R303" s="227">
        <f t="shared" si="21"/>
        <v>0</v>
      </c>
      <c r="S303" s="171"/>
      <c r="T303" s="177"/>
      <c r="U303" s="167"/>
      <c r="V303" s="181"/>
    </row>
    <row r="304" spans="2:22" ht="15.5" hidden="1" x14ac:dyDescent="0.35">
      <c r="B304" s="623"/>
      <c r="C304" s="166"/>
      <c r="D304" s="202"/>
      <c r="E304" s="177"/>
      <c r="F304" s="177"/>
      <c r="G304" s="248">
        <f t="shared" si="18"/>
        <v>0</v>
      </c>
      <c r="H304" s="171"/>
      <c r="I304" s="177"/>
      <c r="J304" s="167"/>
      <c r="K304" s="181"/>
      <c r="L304" s="353"/>
      <c r="M304" s="639"/>
      <c r="N304" s="166"/>
      <c r="O304" s="202"/>
      <c r="P304" s="177"/>
      <c r="Q304" s="177"/>
      <c r="R304" s="227">
        <f t="shared" si="21"/>
        <v>0</v>
      </c>
      <c r="S304" s="171"/>
      <c r="T304" s="177"/>
      <c r="U304" s="167"/>
      <c r="V304" s="181"/>
    </row>
    <row r="305" spans="2:22" ht="19.399999999999999" hidden="1" customHeight="1" x14ac:dyDescent="0.35">
      <c r="B305" s="623"/>
      <c r="C305" s="166"/>
      <c r="D305" s="202"/>
      <c r="E305" s="177"/>
      <c r="F305" s="177"/>
      <c r="G305" s="248">
        <f t="shared" si="18"/>
        <v>0</v>
      </c>
      <c r="H305" s="171"/>
      <c r="I305" s="177"/>
      <c r="J305" s="167"/>
      <c r="K305" s="181"/>
      <c r="L305" s="353"/>
      <c r="M305" s="639"/>
      <c r="N305" s="166"/>
      <c r="O305" s="202"/>
      <c r="P305" s="177"/>
      <c r="Q305" s="177"/>
      <c r="R305" s="227">
        <f t="shared" si="21"/>
        <v>0</v>
      </c>
      <c r="S305" s="171"/>
      <c r="T305" s="177"/>
      <c r="U305" s="167"/>
      <c r="V305" s="181"/>
    </row>
    <row r="306" spans="2:22" ht="19.399999999999999" hidden="1" customHeight="1" x14ac:dyDescent="0.35">
      <c r="B306" s="623"/>
      <c r="C306" s="166"/>
      <c r="D306" s="202"/>
      <c r="E306" s="177"/>
      <c r="F306" s="177"/>
      <c r="G306" s="248">
        <f t="shared" si="18"/>
        <v>0</v>
      </c>
      <c r="H306" s="171"/>
      <c r="I306" s="177"/>
      <c r="J306" s="167"/>
      <c r="K306" s="181"/>
      <c r="L306" s="353"/>
      <c r="M306" s="639"/>
      <c r="N306" s="166"/>
      <c r="O306" s="202"/>
      <c r="P306" s="177"/>
      <c r="Q306" s="177"/>
      <c r="R306" s="227">
        <f t="shared" si="21"/>
        <v>0</v>
      </c>
      <c r="S306" s="171"/>
      <c r="T306" s="177"/>
      <c r="U306" s="167"/>
      <c r="V306" s="181"/>
    </row>
    <row r="307" spans="2:22" ht="19.399999999999999" hidden="1" customHeight="1" x14ac:dyDescent="0.35">
      <c r="B307" s="624"/>
      <c r="C307" s="166"/>
      <c r="D307" s="202"/>
      <c r="E307" s="177"/>
      <c r="F307" s="177"/>
      <c r="G307" s="248">
        <f t="shared" si="18"/>
        <v>0</v>
      </c>
      <c r="H307" s="171"/>
      <c r="I307" s="177"/>
      <c r="J307" s="167"/>
      <c r="K307" s="181"/>
      <c r="L307" s="353"/>
      <c r="M307" s="639"/>
      <c r="N307" s="166"/>
      <c r="O307" s="202"/>
      <c r="P307" s="177"/>
      <c r="Q307" s="177"/>
      <c r="R307" s="227">
        <f t="shared" si="21"/>
        <v>0</v>
      </c>
      <c r="S307" s="171"/>
      <c r="T307" s="177"/>
      <c r="U307" s="167"/>
      <c r="V307" s="181"/>
    </row>
    <row r="308" spans="2:22" ht="15.5" hidden="1" x14ac:dyDescent="0.35">
      <c r="B308" s="622"/>
      <c r="C308" s="166"/>
      <c r="D308" s="202"/>
      <c r="E308" s="177"/>
      <c r="F308" s="177"/>
      <c r="G308" s="248">
        <f t="shared" si="18"/>
        <v>0</v>
      </c>
      <c r="H308" s="171"/>
      <c r="I308" s="177"/>
      <c r="J308" s="167"/>
      <c r="K308" s="181"/>
      <c r="L308" s="353"/>
      <c r="M308" s="639"/>
      <c r="N308" s="166"/>
      <c r="O308" s="202"/>
      <c r="P308" s="177"/>
      <c r="Q308" s="177"/>
      <c r="R308" s="227">
        <f t="shared" si="21"/>
        <v>0</v>
      </c>
      <c r="S308" s="171"/>
      <c r="T308" s="177"/>
      <c r="U308" s="167"/>
      <c r="V308" s="181"/>
    </row>
    <row r="309" spans="2:22" ht="15.5" hidden="1" x14ac:dyDescent="0.35">
      <c r="B309" s="623"/>
      <c r="C309" s="166"/>
      <c r="D309" s="202"/>
      <c r="E309" s="177"/>
      <c r="F309" s="177"/>
      <c r="G309" s="248">
        <f t="shared" si="18"/>
        <v>0</v>
      </c>
      <c r="H309" s="171"/>
      <c r="I309" s="177"/>
      <c r="J309" s="167"/>
      <c r="K309" s="181"/>
      <c r="L309" s="353"/>
      <c r="M309" s="639"/>
      <c r="N309" s="166"/>
      <c r="O309" s="202"/>
      <c r="P309" s="177"/>
      <c r="Q309" s="177"/>
      <c r="R309" s="227">
        <f t="shared" si="21"/>
        <v>0</v>
      </c>
      <c r="S309" s="171"/>
      <c r="T309" s="177"/>
      <c r="U309" s="167"/>
      <c r="V309" s="181"/>
    </row>
    <row r="310" spans="2:22" ht="15.5" hidden="1" x14ac:dyDescent="0.35">
      <c r="B310" s="623"/>
      <c r="C310" s="166"/>
      <c r="D310" s="202"/>
      <c r="E310" s="177"/>
      <c r="F310" s="177"/>
      <c r="G310" s="248">
        <f t="shared" si="18"/>
        <v>0</v>
      </c>
      <c r="H310" s="171"/>
      <c r="I310" s="177"/>
      <c r="J310" s="167"/>
      <c r="K310" s="181"/>
      <c r="L310" s="353"/>
      <c r="M310" s="639"/>
      <c r="N310" s="166"/>
      <c r="O310" s="202"/>
      <c r="P310" s="177"/>
      <c r="Q310" s="177"/>
      <c r="R310" s="227">
        <f t="shared" si="21"/>
        <v>0</v>
      </c>
      <c r="S310" s="171"/>
      <c r="T310" s="177"/>
      <c r="U310" s="167"/>
      <c r="V310" s="181"/>
    </row>
    <row r="311" spans="2:22" ht="15.5" hidden="1" x14ac:dyDescent="0.35">
      <c r="B311" s="623"/>
      <c r="C311" s="166"/>
      <c r="D311" s="202"/>
      <c r="E311" s="177"/>
      <c r="F311" s="177"/>
      <c r="G311" s="248">
        <f t="shared" si="18"/>
        <v>0</v>
      </c>
      <c r="H311" s="171"/>
      <c r="I311" s="177"/>
      <c r="J311" s="167"/>
      <c r="K311" s="181"/>
      <c r="L311" s="353"/>
      <c r="M311" s="639"/>
      <c r="N311" s="166"/>
      <c r="O311" s="202"/>
      <c r="P311" s="177"/>
      <c r="Q311" s="177"/>
      <c r="R311" s="227">
        <f t="shared" si="21"/>
        <v>0</v>
      </c>
      <c r="S311" s="171"/>
      <c r="T311" s="177"/>
      <c r="U311" s="167"/>
      <c r="V311" s="181"/>
    </row>
    <row r="312" spans="2:22" ht="15.5" hidden="1" x14ac:dyDescent="0.35">
      <c r="B312" s="624"/>
      <c r="C312" s="166"/>
      <c r="D312" s="202"/>
      <c r="E312" s="177"/>
      <c r="F312" s="177"/>
      <c r="G312" s="248">
        <f t="shared" si="18"/>
        <v>0</v>
      </c>
      <c r="H312" s="171"/>
      <c r="I312" s="177"/>
      <c r="J312" s="167"/>
      <c r="K312" s="181"/>
      <c r="L312" s="353"/>
      <c r="M312" s="639"/>
      <c r="N312" s="166"/>
      <c r="O312" s="202"/>
      <c r="P312" s="177"/>
      <c r="Q312" s="177"/>
      <c r="R312" s="227">
        <f t="shared" si="21"/>
        <v>0</v>
      </c>
      <c r="S312" s="171"/>
      <c r="T312" s="177"/>
      <c r="U312" s="167"/>
      <c r="V312" s="181"/>
    </row>
    <row r="313" spans="2:22" ht="15.5" x14ac:dyDescent="0.35">
      <c r="C313" s="73" t="s">
        <v>275</v>
      </c>
      <c r="D313" s="364">
        <f>SUM(D259:D312)</f>
        <v>105616.76999999999</v>
      </c>
      <c r="E313" s="365">
        <f>SUM(E259:E312)</f>
        <v>0</v>
      </c>
      <c r="F313" s="365">
        <f>SUM(F259:F312)</f>
        <v>0</v>
      </c>
      <c r="G313" s="366">
        <f>SUM(G259:G312)</f>
        <v>105616.76999999999</v>
      </c>
      <c r="H313" s="366">
        <f>(H259*G259)+(H260*G260)+(H261*G261)+(H262*G262)+(H263*G263)+(H264*G264)+(H265*G265)+(H266*G266)+(H267*G267)+(H268*G268)+(H269*G269)+(H270*G270)+(H271*G271)+(H272*G272)+(H273*G273)+(H274*G274)+(H275*G275)+(H276*G276)+(H277*G277)+(H278*G278)+(H279*G279)+(H280*G280)+(H281*G281)+(H282*G282)+(H283*G283)+(H284*G284)+(H287*G287)+(H295*G295)+(H296*G296)+(H297*G297)+(H298*G298)+(H299*G299)+(H300*G300)+(H301*G301)+(H302*G302)+(H303*G303)+(H304*G304)+(H305*G305)+(H306*G306)+(H307*G307)+(H308*G308)+(H309*G309)+(H310*G310)+(H311*G311)+(H312*G312)</f>
        <v>31685.030999999999</v>
      </c>
      <c r="I313" s="366">
        <f>SUM(I259:I312)</f>
        <v>0</v>
      </c>
      <c r="J313" s="170"/>
      <c r="K313" s="182"/>
      <c r="L313" s="353"/>
      <c r="M313" s="363"/>
      <c r="N313" s="73" t="s">
        <v>275</v>
      </c>
      <c r="O313" s="230">
        <f>SUM(O259:O312)</f>
        <v>85500</v>
      </c>
      <c r="P313" s="230">
        <f>SUM(P259:P312)</f>
        <v>54116.77</v>
      </c>
      <c r="Q313" s="238">
        <f>SUM(Q259:Q312)</f>
        <v>0</v>
      </c>
      <c r="R313" s="231">
        <f>SUM(R259:R312)</f>
        <v>139616.76999999999</v>
      </c>
      <c r="S313" s="231">
        <f>(S259*R259)+(S260*R260)+(S261*R261)+(S262*R262)+(S263*R263)+(S264*R264)+(S265*R265)+(S266*R266)+(S267*R267)+(S268*R268)+(S269*R269)+(S270*R270)+(S271*R271)+(S272*R272)+(S273*R273)+(S274*R274)+(S275*R275)+(S276*R276)+(S277*R277)+(S278*R278)+(S279*R279)+(S280*R280)+(S281*R281)+(S282*R282)+(S283*R283)+(S284*R284)+(S287*R287)+(R289*S289)+(R290*S290)+(R291*S291)+(R292*S292)+(R293*S293)+(R294*S294)+(S295*R295)+(S296*R296)+(S297*R297)+(S298*R298)+(S299*R299)+(S300*R300)+(S301*R301)+(S302*R302)+(S303*R303)+(S304*R304)+(S305*R305)+(S306*R306)+(S307*R307)+(S308*R308)+(S309*R309)+(S310*R310)+(S311*R311)+(S312*R312)+(R285*S285)+(R286*S286)+(R288*S288)</f>
        <v>49385.031000000003</v>
      </c>
      <c r="T313" s="231">
        <f>SUM(T259:T312)</f>
        <v>115616.77</v>
      </c>
      <c r="U313" s="170"/>
      <c r="V313" s="182"/>
    </row>
    <row r="314" spans="2:22" ht="27.65" hidden="1" customHeight="1" x14ac:dyDescent="0.35">
      <c r="B314" s="72" t="s">
        <v>276</v>
      </c>
      <c r="C314" s="630"/>
      <c r="D314" s="630"/>
      <c r="E314" s="630"/>
      <c r="F314" s="630"/>
      <c r="G314" s="630"/>
      <c r="H314" s="630"/>
      <c r="I314" s="631"/>
      <c r="J314" s="630"/>
      <c r="K314" s="183"/>
      <c r="L314" s="353"/>
      <c r="M314" s="72" t="s">
        <v>276</v>
      </c>
      <c r="N314" s="630"/>
      <c r="O314" s="630"/>
      <c r="P314" s="630"/>
      <c r="Q314" s="630"/>
      <c r="R314" s="630"/>
      <c r="S314" s="630"/>
      <c r="T314" s="631"/>
      <c r="U314" s="630"/>
      <c r="V314" s="183"/>
    </row>
    <row r="315" spans="2:22" ht="15.5" hidden="1" x14ac:dyDescent="0.35">
      <c r="B315" s="622" t="s">
        <v>277</v>
      </c>
      <c r="C315" s="166"/>
      <c r="D315" s="202"/>
      <c r="E315" s="177"/>
      <c r="F315" s="177"/>
      <c r="G315" s="248">
        <f>D315+E315+F315</f>
        <v>0</v>
      </c>
      <c r="H315" s="171"/>
      <c r="I315" s="177"/>
      <c r="J315" s="167"/>
      <c r="K315" s="181"/>
      <c r="L315" s="353"/>
      <c r="M315" s="622" t="s">
        <v>277</v>
      </c>
      <c r="N315" s="166"/>
      <c r="O315" s="202"/>
      <c r="P315" s="177"/>
      <c r="Q315" s="177"/>
      <c r="R315" s="248">
        <f>O315+P315+Q315</f>
        <v>0</v>
      </c>
      <c r="S315" s="171"/>
      <c r="T315" s="177"/>
      <c r="U315" s="167"/>
      <c r="V315" s="181"/>
    </row>
    <row r="316" spans="2:22" ht="15.5" hidden="1" x14ac:dyDescent="0.35">
      <c r="B316" s="623"/>
      <c r="C316" s="166"/>
      <c r="D316" s="202"/>
      <c r="E316" s="177"/>
      <c r="F316" s="177"/>
      <c r="G316" s="248">
        <f t="shared" ref="G316:G324" si="22">D316+E316+F316</f>
        <v>0</v>
      </c>
      <c r="H316" s="171"/>
      <c r="I316" s="177"/>
      <c r="J316" s="167"/>
      <c r="K316" s="181"/>
      <c r="L316" s="353"/>
      <c r="M316" s="623"/>
      <c r="N316" s="166"/>
      <c r="O316" s="202"/>
      <c r="P316" s="177"/>
      <c r="Q316" s="177"/>
      <c r="R316" s="248">
        <f t="shared" ref="R316:R324" si="23">O316+P316+Q316</f>
        <v>0</v>
      </c>
      <c r="S316" s="171"/>
      <c r="T316" s="177"/>
      <c r="U316" s="167"/>
      <c r="V316" s="181"/>
    </row>
    <row r="317" spans="2:22" ht="15.5" hidden="1" x14ac:dyDescent="0.35">
      <c r="B317" s="623"/>
      <c r="C317" s="166"/>
      <c r="D317" s="202"/>
      <c r="E317" s="177"/>
      <c r="F317" s="177"/>
      <c r="G317" s="248">
        <f t="shared" si="22"/>
        <v>0</v>
      </c>
      <c r="H317" s="171"/>
      <c r="I317" s="177"/>
      <c r="J317" s="167"/>
      <c r="K317" s="181"/>
      <c r="L317" s="353"/>
      <c r="M317" s="623"/>
      <c r="N317" s="166"/>
      <c r="O317" s="202"/>
      <c r="P317" s="177"/>
      <c r="Q317" s="177"/>
      <c r="R317" s="248">
        <f t="shared" si="23"/>
        <v>0</v>
      </c>
      <c r="S317" s="171"/>
      <c r="T317" s="177"/>
      <c r="U317" s="167"/>
      <c r="V317" s="181"/>
    </row>
    <row r="318" spans="2:22" ht="15.5" hidden="1" x14ac:dyDescent="0.35">
      <c r="B318" s="623"/>
      <c r="C318" s="166"/>
      <c r="D318" s="202"/>
      <c r="E318" s="177"/>
      <c r="F318" s="177"/>
      <c r="G318" s="248">
        <f t="shared" si="22"/>
        <v>0</v>
      </c>
      <c r="H318" s="171"/>
      <c r="I318" s="177"/>
      <c r="J318" s="167"/>
      <c r="K318" s="181"/>
      <c r="L318" s="353"/>
      <c r="M318" s="623"/>
      <c r="N318" s="166"/>
      <c r="O318" s="202"/>
      <c r="P318" s="177"/>
      <c r="Q318" s="177"/>
      <c r="R318" s="248">
        <f t="shared" si="23"/>
        <v>0</v>
      </c>
      <c r="S318" s="171"/>
      <c r="T318" s="177"/>
      <c r="U318" s="167"/>
      <c r="V318" s="181"/>
    </row>
    <row r="319" spans="2:22" ht="15.5" hidden="1" x14ac:dyDescent="0.35">
      <c r="B319" s="624"/>
      <c r="C319" s="166"/>
      <c r="D319" s="202"/>
      <c r="E319" s="177"/>
      <c r="F319" s="177"/>
      <c r="G319" s="248">
        <f t="shared" si="22"/>
        <v>0</v>
      </c>
      <c r="H319" s="171"/>
      <c r="I319" s="177"/>
      <c r="J319" s="167"/>
      <c r="K319" s="181"/>
      <c r="L319" s="353"/>
      <c r="M319" s="624"/>
      <c r="N319" s="166"/>
      <c r="O319" s="202"/>
      <c r="P319" s="177"/>
      <c r="Q319" s="177"/>
      <c r="R319" s="248">
        <f t="shared" si="23"/>
        <v>0</v>
      </c>
      <c r="S319" s="171"/>
      <c r="T319" s="177"/>
      <c r="U319" s="167"/>
      <c r="V319" s="181"/>
    </row>
    <row r="320" spans="2:22" ht="15.5" hidden="1" x14ac:dyDescent="0.35">
      <c r="B320" s="622" t="s">
        <v>278</v>
      </c>
      <c r="C320" s="166"/>
      <c r="D320" s="202"/>
      <c r="E320" s="177"/>
      <c r="F320" s="177"/>
      <c r="G320" s="248">
        <f t="shared" si="22"/>
        <v>0</v>
      </c>
      <c r="H320" s="171"/>
      <c r="I320" s="177"/>
      <c r="J320" s="167"/>
      <c r="K320" s="181"/>
      <c r="L320" s="353"/>
      <c r="M320" s="622" t="s">
        <v>278</v>
      </c>
      <c r="N320" s="166"/>
      <c r="O320" s="202"/>
      <c r="P320" s="177"/>
      <c r="Q320" s="177"/>
      <c r="R320" s="248">
        <f t="shared" si="23"/>
        <v>0</v>
      </c>
      <c r="S320" s="171"/>
      <c r="T320" s="177"/>
      <c r="U320" s="167"/>
      <c r="V320" s="181"/>
    </row>
    <row r="321" spans="2:22" ht="15.5" hidden="1" x14ac:dyDescent="0.35">
      <c r="B321" s="623"/>
      <c r="C321" s="166"/>
      <c r="D321" s="202"/>
      <c r="E321" s="177"/>
      <c r="F321" s="177"/>
      <c r="G321" s="248">
        <f t="shared" si="22"/>
        <v>0</v>
      </c>
      <c r="H321" s="171"/>
      <c r="I321" s="177"/>
      <c r="J321" s="167"/>
      <c r="K321" s="181"/>
      <c r="L321" s="353"/>
      <c r="M321" s="623"/>
      <c r="N321" s="166"/>
      <c r="O321" s="202"/>
      <c r="P321" s="177"/>
      <c r="Q321" s="177"/>
      <c r="R321" s="248">
        <f t="shared" si="23"/>
        <v>0</v>
      </c>
      <c r="S321" s="171"/>
      <c r="T321" s="177"/>
      <c r="U321" s="167"/>
      <c r="V321" s="181"/>
    </row>
    <row r="322" spans="2:22" ht="15.5" hidden="1" x14ac:dyDescent="0.35">
      <c r="B322" s="623"/>
      <c r="C322" s="166"/>
      <c r="D322" s="202"/>
      <c r="E322" s="177"/>
      <c r="F322" s="177"/>
      <c r="G322" s="248">
        <f t="shared" si="22"/>
        <v>0</v>
      </c>
      <c r="H322" s="171"/>
      <c r="I322" s="177"/>
      <c r="J322" s="167"/>
      <c r="K322" s="181"/>
      <c r="L322" s="353"/>
      <c r="M322" s="623"/>
      <c r="N322" s="166"/>
      <c r="O322" s="202"/>
      <c r="P322" s="177"/>
      <c r="Q322" s="177"/>
      <c r="R322" s="248">
        <f t="shared" si="23"/>
        <v>0</v>
      </c>
      <c r="S322" s="171"/>
      <c r="T322" s="177"/>
      <c r="U322" s="167"/>
      <c r="V322" s="181"/>
    </row>
    <row r="323" spans="2:22" ht="15.5" hidden="1" x14ac:dyDescent="0.35">
      <c r="B323" s="623"/>
      <c r="C323" s="166"/>
      <c r="D323" s="202"/>
      <c r="E323" s="177"/>
      <c r="F323" s="177"/>
      <c r="G323" s="248">
        <f t="shared" si="22"/>
        <v>0</v>
      </c>
      <c r="H323" s="171"/>
      <c r="I323" s="177"/>
      <c r="J323" s="167"/>
      <c r="K323" s="181"/>
      <c r="L323" s="353"/>
      <c r="M323" s="623"/>
      <c r="N323" s="166"/>
      <c r="O323" s="202"/>
      <c r="P323" s="177"/>
      <c r="Q323" s="177"/>
      <c r="R323" s="248">
        <f t="shared" si="23"/>
        <v>0</v>
      </c>
      <c r="S323" s="171"/>
      <c r="T323" s="177"/>
      <c r="U323" s="167"/>
      <c r="V323" s="181"/>
    </row>
    <row r="324" spans="2:22" ht="15.5" hidden="1" x14ac:dyDescent="0.35">
      <c r="B324" s="624"/>
      <c r="C324" s="166"/>
      <c r="D324" s="202"/>
      <c r="E324" s="177"/>
      <c r="F324" s="177"/>
      <c r="G324" s="248">
        <f t="shared" si="22"/>
        <v>0</v>
      </c>
      <c r="H324" s="171"/>
      <c r="I324" s="177"/>
      <c r="J324" s="167"/>
      <c r="K324" s="181"/>
      <c r="L324" s="353"/>
      <c r="M324" s="624"/>
      <c r="N324" s="166"/>
      <c r="O324" s="202"/>
      <c r="P324" s="177"/>
      <c r="Q324" s="177"/>
      <c r="R324" s="248">
        <f t="shared" si="23"/>
        <v>0</v>
      </c>
      <c r="S324" s="171"/>
      <c r="T324" s="177"/>
      <c r="U324" s="167"/>
      <c r="V324" s="181"/>
    </row>
    <row r="325" spans="2:22" ht="15.5" hidden="1" x14ac:dyDescent="0.35">
      <c r="C325" s="73" t="s">
        <v>279</v>
      </c>
      <c r="D325" s="203">
        <f>SUM(D315:D324)</f>
        <v>0</v>
      </c>
      <c r="E325" s="12">
        <f>SUM(E315:E324)</f>
        <v>0</v>
      </c>
      <c r="F325" s="12">
        <f>SUM(F315:F324)</f>
        <v>0</v>
      </c>
      <c r="G325" s="10">
        <f>SUM(G315:G324)</f>
        <v>0</v>
      </c>
      <c r="H325" s="10">
        <f>(H315*G315)+(H316*G316)+(H317*G317)+(H318*G318)+(H319*G319)+(H320*G320)+(H321*G321)+(H322*G322)+(H323*G323)+(H324*G324)</f>
        <v>0</v>
      </c>
      <c r="I325" s="10">
        <f>SUM(I315:I324)</f>
        <v>0</v>
      </c>
      <c r="J325" s="170"/>
      <c r="K325" s="182"/>
      <c r="L325" s="353"/>
      <c r="N325" s="73" t="s">
        <v>279</v>
      </c>
      <c r="O325" s="203">
        <f>SUM(O315:O324)</f>
        <v>0</v>
      </c>
      <c r="P325" s="12">
        <f>SUM(P315:P324)</f>
        <v>0</v>
      </c>
      <c r="Q325" s="12">
        <f>SUM(Q315:Q324)</f>
        <v>0</v>
      </c>
      <c r="R325" s="10">
        <f>SUM(R315:R324)</f>
        <v>0</v>
      </c>
      <c r="S325" s="10">
        <f>(S315*R315)+(S316*R316)+(S317*R317)+(S318*R318)+(S319*R319)+(S320*R320)+(S321*R321)+(S322*R322)+(S323*R323)+(S324*R324)</f>
        <v>0</v>
      </c>
      <c r="T325" s="10">
        <f>SUM(T315:T324)</f>
        <v>0</v>
      </c>
      <c r="U325" s="170"/>
      <c r="V325" s="182"/>
    </row>
    <row r="326" spans="2:22" ht="15.5" hidden="1" x14ac:dyDescent="0.35">
      <c r="C326" s="636"/>
      <c r="D326" s="637"/>
      <c r="E326" s="637"/>
      <c r="F326" s="637"/>
      <c r="G326" s="637"/>
      <c r="H326" s="637"/>
      <c r="I326" s="637"/>
      <c r="J326" s="638"/>
      <c r="K326" s="182"/>
      <c r="L326" s="353"/>
      <c r="N326" s="636"/>
      <c r="O326" s="637"/>
      <c r="P326" s="637"/>
      <c r="Q326" s="637"/>
      <c r="R326" s="637"/>
      <c r="S326" s="637"/>
      <c r="T326" s="637"/>
      <c r="U326" s="638"/>
      <c r="V326" s="182"/>
    </row>
    <row r="327" spans="2:22" ht="15.5" x14ac:dyDescent="0.35">
      <c r="B327" s="73" t="s">
        <v>280</v>
      </c>
      <c r="C327" s="634" t="s">
        <v>281</v>
      </c>
      <c r="D327" s="634"/>
      <c r="E327" s="634"/>
      <c r="F327" s="634"/>
      <c r="G327" s="634"/>
      <c r="H327" s="634"/>
      <c r="I327" s="635"/>
      <c r="J327" s="634"/>
      <c r="K327" s="185"/>
      <c r="L327" s="353"/>
      <c r="M327" s="73" t="s">
        <v>280</v>
      </c>
      <c r="N327" s="634" t="s">
        <v>281</v>
      </c>
      <c r="O327" s="634"/>
      <c r="P327" s="634"/>
      <c r="Q327" s="634"/>
      <c r="R327" s="634"/>
      <c r="S327" s="634"/>
      <c r="T327" s="635"/>
      <c r="U327" s="634"/>
      <c r="V327" s="185"/>
    </row>
    <row r="328" spans="2:22" ht="30" customHeight="1" x14ac:dyDescent="0.35">
      <c r="B328" s="72" t="s">
        <v>282</v>
      </c>
      <c r="C328" s="630" t="s">
        <v>283</v>
      </c>
      <c r="D328" s="630"/>
      <c r="E328" s="630"/>
      <c r="F328" s="630"/>
      <c r="G328" s="630"/>
      <c r="H328" s="630"/>
      <c r="I328" s="631"/>
      <c r="J328" s="630"/>
      <c r="K328" s="183"/>
      <c r="L328" s="353"/>
      <c r="M328" s="72" t="s">
        <v>282</v>
      </c>
      <c r="N328" s="630" t="s">
        <v>283</v>
      </c>
      <c r="O328" s="630"/>
      <c r="P328" s="630"/>
      <c r="Q328" s="630"/>
      <c r="R328" s="630"/>
      <c r="S328" s="630"/>
      <c r="T328" s="631"/>
      <c r="U328" s="630"/>
      <c r="V328" s="183"/>
    </row>
    <row r="329" spans="2:22" ht="46.5" x14ac:dyDescent="0.35">
      <c r="B329" s="622" t="s">
        <v>284</v>
      </c>
      <c r="C329" s="169" t="s">
        <v>285</v>
      </c>
      <c r="D329" s="202">
        <v>15000</v>
      </c>
      <c r="E329" s="177"/>
      <c r="F329" s="177"/>
      <c r="G329" s="248">
        <f>D329+E329+F329</f>
        <v>15000</v>
      </c>
      <c r="H329" s="171">
        <v>0.3</v>
      </c>
      <c r="I329" s="177"/>
      <c r="J329" s="167" t="s">
        <v>286</v>
      </c>
      <c r="K329" s="181">
        <v>4</v>
      </c>
      <c r="L329" s="353"/>
      <c r="M329" s="622" t="s">
        <v>284</v>
      </c>
      <c r="N329" s="169" t="s">
        <v>285</v>
      </c>
      <c r="O329" s="202">
        <v>15000</v>
      </c>
      <c r="P329" s="177"/>
      <c r="Q329" s="177"/>
      <c r="R329" s="248">
        <f>O329+P329+Q329</f>
        <v>15000</v>
      </c>
      <c r="S329" s="171">
        <v>0.3</v>
      </c>
      <c r="T329" s="527">
        <v>15000</v>
      </c>
      <c r="U329" s="167" t="s">
        <v>286</v>
      </c>
      <c r="V329" s="181">
        <v>4</v>
      </c>
    </row>
    <row r="330" spans="2:22" ht="18.649999999999999" customHeight="1" x14ac:dyDescent="0.35">
      <c r="B330" s="623"/>
      <c r="C330" s="177"/>
      <c r="D330" s="202"/>
      <c r="E330" s="177"/>
      <c r="F330" s="177"/>
      <c r="G330" s="248">
        <f t="shared" ref="G330:G353" si="24">D330+E330+F330</f>
        <v>0</v>
      </c>
      <c r="H330" s="171"/>
      <c r="I330" s="177"/>
      <c r="J330" s="167"/>
      <c r="K330" s="181"/>
      <c r="L330" s="353"/>
      <c r="M330" s="623"/>
      <c r="N330" s="177"/>
      <c r="O330" s="202"/>
      <c r="P330" s="177"/>
      <c r="Q330" s="177"/>
      <c r="R330" s="248">
        <f t="shared" ref="R330:R357" si="25">O330+P330+Q330</f>
        <v>0</v>
      </c>
      <c r="S330" s="171"/>
      <c r="T330" s="527"/>
      <c r="U330" s="167"/>
      <c r="V330" s="181"/>
    </row>
    <row r="331" spans="2:22" ht="18.649999999999999" customHeight="1" x14ac:dyDescent="0.35">
      <c r="B331" s="623"/>
      <c r="C331" s="177"/>
      <c r="D331" s="202"/>
      <c r="E331" s="177"/>
      <c r="F331" s="177"/>
      <c r="G331" s="248">
        <f t="shared" si="24"/>
        <v>0</v>
      </c>
      <c r="H331" s="171"/>
      <c r="I331" s="177"/>
      <c r="J331" s="167"/>
      <c r="K331" s="181"/>
      <c r="L331" s="353"/>
      <c r="M331" s="623"/>
      <c r="N331" s="177"/>
      <c r="O331" s="202"/>
      <c r="P331" s="177"/>
      <c r="Q331" s="177"/>
      <c r="R331" s="248">
        <f t="shared" si="25"/>
        <v>0</v>
      </c>
      <c r="S331" s="171"/>
      <c r="T331" s="527"/>
      <c r="U331" s="167"/>
      <c r="V331" s="181"/>
    </row>
    <row r="332" spans="2:22" ht="18.649999999999999" customHeight="1" x14ac:dyDescent="0.35">
      <c r="B332" s="623"/>
      <c r="C332" s="177"/>
      <c r="D332" s="202"/>
      <c r="E332" s="177"/>
      <c r="F332" s="177"/>
      <c r="G332" s="248">
        <f t="shared" si="24"/>
        <v>0</v>
      </c>
      <c r="H332" s="171"/>
      <c r="I332" s="177"/>
      <c r="J332" s="167"/>
      <c r="K332" s="181"/>
      <c r="L332" s="353"/>
      <c r="M332" s="623"/>
      <c r="N332" s="177"/>
      <c r="O332" s="202"/>
      <c r="P332" s="177"/>
      <c r="Q332" s="177"/>
      <c r="R332" s="248">
        <f t="shared" si="25"/>
        <v>0</v>
      </c>
      <c r="S332" s="171"/>
      <c r="T332" s="527"/>
      <c r="U332" s="167"/>
      <c r="V332" s="181"/>
    </row>
    <row r="333" spans="2:22" ht="18.649999999999999" customHeight="1" x14ac:dyDescent="0.35">
      <c r="B333" s="624"/>
      <c r="C333" s="177"/>
      <c r="D333" s="202"/>
      <c r="E333" s="177"/>
      <c r="F333" s="177"/>
      <c r="G333" s="248">
        <f t="shared" si="24"/>
        <v>0</v>
      </c>
      <c r="H333" s="171"/>
      <c r="I333" s="177"/>
      <c r="J333" s="167"/>
      <c r="K333" s="181"/>
      <c r="L333" s="353"/>
      <c r="M333" s="624"/>
      <c r="N333" s="177"/>
      <c r="O333" s="202"/>
      <c r="P333" s="177"/>
      <c r="Q333" s="177"/>
      <c r="R333" s="248">
        <f t="shared" si="25"/>
        <v>0</v>
      </c>
      <c r="S333" s="171"/>
      <c r="T333" s="527"/>
      <c r="U333" s="167"/>
      <c r="V333" s="181"/>
    </row>
    <row r="334" spans="2:22" ht="46.5" x14ac:dyDescent="0.35">
      <c r="B334" s="622" t="s">
        <v>287</v>
      </c>
      <c r="C334" s="169" t="s">
        <v>288</v>
      </c>
      <c r="D334" s="202">
        <v>15000</v>
      </c>
      <c r="E334" s="177"/>
      <c r="F334" s="177"/>
      <c r="G334" s="248">
        <f t="shared" si="24"/>
        <v>15000</v>
      </c>
      <c r="H334" s="171">
        <v>0.3</v>
      </c>
      <c r="I334" s="177"/>
      <c r="J334" s="167" t="s">
        <v>286</v>
      </c>
      <c r="K334" s="181">
        <v>4</v>
      </c>
      <c r="L334" s="353"/>
      <c r="M334" s="622" t="s">
        <v>287</v>
      </c>
      <c r="N334" s="169" t="s">
        <v>288</v>
      </c>
      <c r="O334" s="202">
        <v>15000</v>
      </c>
      <c r="P334" s="177"/>
      <c r="Q334" s="177"/>
      <c r="R334" s="248">
        <f t="shared" si="25"/>
        <v>15000</v>
      </c>
      <c r="S334" s="171">
        <v>0.3</v>
      </c>
      <c r="T334" s="527">
        <v>15000</v>
      </c>
      <c r="U334" s="167" t="s">
        <v>286</v>
      </c>
      <c r="V334" s="181">
        <v>4</v>
      </c>
    </row>
    <row r="335" spans="2:22" ht="23.15" customHeight="1" x14ac:dyDescent="0.35">
      <c r="B335" s="623"/>
      <c r="C335" s="177"/>
      <c r="D335" s="202"/>
      <c r="E335" s="177"/>
      <c r="F335" s="177"/>
      <c r="G335" s="248">
        <f t="shared" si="24"/>
        <v>0</v>
      </c>
      <c r="H335" s="171"/>
      <c r="I335" s="177"/>
      <c r="J335" s="167"/>
      <c r="K335" s="181"/>
      <c r="L335" s="353"/>
      <c r="M335" s="623"/>
      <c r="N335" s="177"/>
      <c r="O335" s="202"/>
      <c r="P335" s="177"/>
      <c r="Q335" s="177"/>
      <c r="R335" s="248">
        <f t="shared" si="25"/>
        <v>0</v>
      </c>
      <c r="S335" s="171"/>
      <c r="T335" s="527"/>
      <c r="U335" s="167"/>
      <c r="V335" s="181"/>
    </row>
    <row r="336" spans="2:22" ht="23.15" customHeight="1" x14ac:dyDescent="0.35">
      <c r="B336" s="623"/>
      <c r="C336" s="177"/>
      <c r="D336" s="202"/>
      <c r="E336" s="177"/>
      <c r="F336" s="177"/>
      <c r="G336" s="248">
        <f t="shared" si="24"/>
        <v>0</v>
      </c>
      <c r="H336" s="171"/>
      <c r="I336" s="177"/>
      <c r="J336" s="167"/>
      <c r="K336" s="181"/>
      <c r="L336" s="353"/>
      <c r="M336" s="623"/>
      <c r="N336" s="177"/>
      <c r="O336" s="202"/>
      <c r="P336" s="177"/>
      <c r="Q336" s="177"/>
      <c r="R336" s="248">
        <f t="shared" si="25"/>
        <v>0</v>
      </c>
      <c r="S336" s="171"/>
      <c r="T336" s="527"/>
      <c r="U336" s="167"/>
      <c r="V336" s="181"/>
    </row>
    <row r="337" spans="2:22" ht="23.15" customHeight="1" x14ac:dyDescent="0.35">
      <c r="B337" s="623"/>
      <c r="C337" s="177"/>
      <c r="D337" s="202"/>
      <c r="E337" s="177"/>
      <c r="F337" s="177"/>
      <c r="G337" s="248">
        <f t="shared" si="24"/>
        <v>0</v>
      </c>
      <c r="H337" s="171"/>
      <c r="I337" s="177"/>
      <c r="J337" s="167"/>
      <c r="K337" s="181"/>
      <c r="L337" s="353"/>
      <c r="M337" s="623"/>
      <c r="N337" s="177"/>
      <c r="O337" s="202"/>
      <c r="P337" s="177"/>
      <c r="Q337" s="177"/>
      <c r="R337" s="248">
        <f t="shared" si="25"/>
        <v>0</v>
      </c>
      <c r="S337" s="171"/>
      <c r="T337" s="527"/>
      <c r="U337" s="167"/>
      <c r="V337" s="181"/>
    </row>
    <row r="338" spans="2:22" ht="23.15" customHeight="1" x14ac:dyDescent="0.35">
      <c r="B338" s="624"/>
      <c r="C338" s="177"/>
      <c r="D338" s="202"/>
      <c r="E338" s="177"/>
      <c r="F338" s="177"/>
      <c r="G338" s="248">
        <f t="shared" si="24"/>
        <v>0</v>
      </c>
      <c r="H338" s="171"/>
      <c r="I338" s="177"/>
      <c r="J338" s="167"/>
      <c r="K338" s="181"/>
      <c r="L338" s="353"/>
      <c r="M338" s="624"/>
      <c r="N338" s="177"/>
      <c r="O338" s="202"/>
      <c r="P338" s="177"/>
      <c r="Q338" s="177"/>
      <c r="R338" s="248">
        <f t="shared" si="25"/>
        <v>0</v>
      </c>
      <c r="S338" s="171"/>
      <c r="T338" s="527"/>
      <c r="U338" s="167"/>
      <c r="V338" s="181"/>
    </row>
    <row r="339" spans="2:22" ht="31" x14ac:dyDescent="0.35">
      <c r="B339" s="622" t="s">
        <v>289</v>
      </c>
      <c r="C339" s="169" t="s">
        <v>290</v>
      </c>
      <c r="D339" s="202">
        <v>10000</v>
      </c>
      <c r="E339" s="177"/>
      <c r="F339" s="177"/>
      <c r="G339" s="248">
        <f t="shared" si="24"/>
        <v>10000</v>
      </c>
      <c r="H339" s="171">
        <v>0.3</v>
      </c>
      <c r="I339" s="177"/>
      <c r="J339" s="167" t="s">
        <v>291</v>
      </c>
      <c r="K339" s="181">
        <v>4</v>
      </c>
      <c r="L339" s="353"/>
      <c r="M339" s="622" t="s">
        <v>289</v>
      </c>
      <c r="N339" s="169" t="s">
        <v>290</v>
      </c>
      <c r="O339" s="202">
        <v>10000</v>
      </c>
      <c r="P339" s="177"/>
      <c r="Q339" s="177"/>
      <c r="R339" s="248">
        <f t="shared" si="25"/>
        <v>10000</v>
      </c>
      <c r="S339" s="171">
        <v>0.3</v>
      </c>
      <c r="T339" s="527">
        <v>10000</v>
      </c>
      <c r="U339" s="167" t="s">
        <v>291</v>
      </c>
      <c r="V339" s="181">
        <v>4</v>
      </c>
    </row>
    <row r="340" spans="2:22" ht="15.5" x14ac:dyDescent="0.35">
      <c r="B340" s="623"/>
      <c r="C340" s="177"/>
      <c r="D340" s="202"/>
      <c r="E340" s="177"/>
      <c r="F340" s="177"/>
      <c r="G340" s="248">
        <f t="shared" si="24"/>
        <v>0</v>
      </c>
      <c r="H340" s="171"/>
      <c r="I340" s="177"/>
      <c r="J340" s="167"/>
      <c r="K340" s="181"/>
      <c r="L340" s="353"/>
      <c r="M340" s="623"/>
      <c r="N340" s="177"/>
      <c r="O340" s="202"/>
      <c r="P340" s="177"/>
      <c r="Q340" s="177"/>
      <c r="R340" s="248">
        <f t="shared" si="25"/>
        <v>0</v>
      </c>
      <c r="S340" s="171"/>
      <c r="T340" s="527"/>
      <c r="U340" s="167"/>
      <c r="V340" s="181"/>
    </row>
    <row r="341" spans="2:22" ht="15.5" x14ac:dyDescent="0.35">
      <c r="B341" s="623"/>
      <c r="C341" s="177"/>
      <c r="D341" s="202"/>
      <c r="E341" s="177"/>
      <c r="F341" s="177"/>
      <c r="G341" s="248">
        <f t="shared" si="24"/>
        <v>0</v>
      </c>
      <c r="H341" s="171"/>
      <c r="I341" s="177"/>
      <c r="J341" s="167"/>
      <c r="K341" s="181"/>
      <c r="L341" s="353"/>
      <c r="M341" s="623"/>
      <c r="N341" s="177"/>
      <c r="O341" s="202"/>
      <c r="P341" s="177"/>
      <c r="Q341" s="177"/>
      <c r="R341" s="248">
        <f t="shared" si="25"/>
        <v>0</v>
      </c>
      <c r="S341" s="171"/>
      <c r="T341" s="527"/>
      <c r="U341" s="167"/>
      <c r="V341" s="181"/>
    </row>
    <row r="342" spans="2:22" ht="15.5" x14ac:dyDescent="0.35">
      <c r="B342" s="623"/>
      <c r="C342" s="177"/>
      <c r="D342" s="202"/>
      <c r="E342" s="177"/>
      <c r="F342" s="177"/>
      <c r="G342" s="248">
        <f t="shared" si="24"/>
        <v>0</v>
      </c>
      <c r="H342" s="171"/>
      <c r="I342" s="177"/>
      <c r="J342" s="167"/>
      <c r="K342" s="181"/>
      <c r="L342" s="353"/>
      <c r="M342" s="623"/>
      <c r="N342" s="177"/>
      <c r="O342" s="202"/>
      <c r="P342" s="177"/>
      <c r="Q342" s="177"/>
      <c r="R342" s="248">
        <f t="shared" si="25"/>
        <v>0</v>
      </c>
      <c r="S342" s="171"/>
      <c r="T342" s="527"/>
      <c r="U342" s="167"/>
      <c r="V342" s="181"/>
    </row>
    <row r="343" spans="2:22" ht="15.5" x14ac:dyDescent="0.35">
      <c r="B343" s="624"/>
      <c r="C343" s="177"/>
      <c r="D343" s="202"/>
      <c r="E343" s="177"/>
      <c r="F343" s="177"/>
      <c r="G343" s="248">
        <f t="shared" si="24"/>
        <v>0</v>
      </c>
      <c r="H343" s="171"/>
      <c r="I343" s="177"/>
      <c r="J343" s="167"/>
      <c r="K343" s="181"/>
      <c r="L343" s="353"/>
      <c r="M343" s="624"/>
      <c r="N343" s="177"/>
      <c r="O343" s="202"/>
      <c r="P343" s="177"/>
      <c r="Q343" s="177"/>
      <c r="R343" s="248">
        <f t="shared" si="25"/>
        <v>0</v>
      </c>
      <c r="S343" s="171"/>
      <c r="T343" s="527"/>
      <c r="U343" s="167"/>
      <c r="V343" s="181"/>
    </row>
    <row r="344" spans="2:22" ht="31" x14ac:dyDescent="0.35">
      <c r="B344" s="622" t="s">
        <v>292</v>
      </c>
      <c r="C344" s="169" t="s">
        <v>293</v>
      </c>
      <c r="D344" s="202">
        <v>10000</v>
      </c>
      <c r="E344" s="177"/>
      <c r="F344" s="177"/>
      <c r="G344" s="248">
        <f t="shared" si="24"/>
        <v>10000</v>
      </c>
      <c r="H344" s="171">
        <v>0.3</v>
      </c>
      <c r="I344" s="177"/>
      <c r="J344" s="167" t="s">
        <v>294</v>
      </c>
      <c r="K344" s="181">
        <v>6</v>
      </c>
      <c r="L344" s="353"/>
      <c r="M344" s="622" t="s">
        <v>292</v>
      </c>
      <c r="N344" s="169" t="s">
        <v>293</v>
      </c>
      <c r="O344" s="202">
        <v>10000</v>
      </c>
      <c r="P344" s="177"/>
      <c r="Q344" s="177"/>
      <c r="R344" s="248">
        <f t="shared" si="25"/>
        <v>10000</v>
      </c>
      <c r="S344" s="171">
        <v>0.3</v>
      </c>
      <c r="T344" s="527">
        <v>10000</v>
      </c>
      <c r="U344" s="167" t="s">
        <v>294</v>
      </c>
      <c r="V344" s="181">
        <v>6</v>
      </c>
    </row>
    <row r="345" spans="2:22" ht="31" x14ac:dyDescent="0.35">
      <c r="B345" s="623"/>
      <c r="C345" s="169" t="s">
        <v>295</v>
      </c>
      <c r="D345" s="202">
        <v>5000</v>
      </c>
      <c r="E345" s="177"/>
      <c r="F345" s="177"/>
      <c r="G345" s="248">
        <f t="shared" si="24"/>
        <v>5000</v>
      </c>
      <c r="H345" s="171">
        <v>0.3</v>
      </c>
      <c r="I345" s="177"/>
      <c r="J345" s="167" t="s">
        <v>296</v>
      </c>
      <c r="K345" s="181">
        <v>6</v>
      </c>
      <c r="L345" s="353"/>
      <c r="M345" s="623"/>
      <c r="N345" s="169" t="s">
        <v>295</v>
      </c>
      <c r="O345" s="202">
        <v>5000</v>
      </c>
      <c r="P345" s="177"/>
      <c r="Q345" s="177"/>
      <c r="R345" s="248">
        <f t="shared" si="25"/>
        <v>5000</v>
      </c>
      <c r="S345" s="171">
        <v>0.3</v>
      </c>
      <c r="T345" s="527">
        <v>5000</v>
      </c>
      <c r="U345" s="167" t="s">
        <v>296</v>
      </c>
      <c r="V345" s="181">
        <v>6</v>
      </c>
    </row>
    <row r="346" spans="2:22" ht="24.65" customHeight="1" x14ac:dyDescent="0.35">
      <c r="B346" s="623"/>
      <c r="C346" s="177"/>
      <c r="D346" s="202"/>
      <c r="E346" s="177"/>
      <c r="F346" s="177"/>
      <c r="G346" s="248">
        <f t="shared" si="24"/>
        <v>0</v>
      </c>
      <c r="H346" s="171"/>
      <c r="I346" s="177"/>
      <c r="J346" s="167"/>
      <c r="K346" s="181"/>
      <c r="L346" s="353"/>
      <c r="M346" s="623"/>
      <c r="N346" s="177"/>
      <c r="O346" s="202"/>
      <c r="P346" s="177"/>
      <c r="Q346" s="177"/>
      <c r="R346" s="248">
        <f t="shared" si="25"/>
        <v>0</v>
      </c>
      <c r="S346" s="171"/>
      <c r="T346" s="527"/>
      <c r="U346" s="167"/>
      <c r="V346" s="181"/>
    </row>
    <row r="347" spans="2:22" ht="24.65" customHeight="1" x14ac:dyDescent="0.35">
      <c r="B347" s="623"/>
      <c r="C347" s="177"/>
      <c r="D347" s="202"/>
      <c r="E347" s="177"/>
      <c r="F347" s="177"/>
      <c r="G347" s="248">
        <f t="shared" si="24"/>
        <v>0</v>
      </c>
      <c r="H347" s="171"/>
      <c r="I347" s="177"/>
      <c r="J347" s="167"/>
      <c r="K347" s="181"/>
      <c r="L347" s="353"/>
      <c r="M347" s="623"/>
      <c r="N347" s="177"/>
      <c r="O347" s="202"/>
      <c r="P347" s="177"/>
      <c r="Q347" s="177"/>
      <c r="R347" s="248">
        <f t="shared" si="25"/>
        <v>0</v>
      </c>
      <c r="S347" s="171"/>
      <c r="T347" s="527"/>
      <c r="U347" s="167"/>
      <c r="V347" s="181"/>
    </row>
    <row r="348" spans="2:22" ht="24.65" customHeight="1" x14ac:dyDescent="0.35">
      <c r="B348" s="624"/>
      <c r="C348" s="177"/>
      <c r="D348" s="202"/>
      <c r="E348" s="177"/>
      <c r="F348" s="177"/>
      <c r="G348" s="248">
        <f t="shared" si="24"/>
        <v>0</v>
      </c>
      <c r="H348" s="171"/>
      <c r="I348" s="177"/>
      <c r="J348" s="167"/>
      <c r="K348" s="181"/>
      <c r="L348" s="353"/>
      <c r="M348" s="624"/>
      <c r="N348" s="177"/>
      <c r="O348" s="202"/>
      <c r="P348" s="177"/>
      <c r="Q348" s="177"/>
      <c r="R348" s="248">
        <f t="shared" si="25"/>
        <v>0</v>
      </c>
      <c r="S348" s="171"/>
      <c r="T348" s="527"/>
      <c r="U348" s="167"/>
      <c r="V348" s="181"/>
    </row>
    <row r="349" spans="2:22" ht="31" customHeight="1" x14ac:dyDescent="0.35">
      <c r="B349" s="622" t="s">
        <v>297</v>
      </c>
      <c r="C349" s="166" t="s">
        <v>257</v>
      </c>
      <c r="D349" s="202">
        <v>10000</v>
      </c>
      <c r="E349" s="177"/>
      <c r="F349" s="177"/>
      <c r="G349" s="248">
        <f t="shared" si="24"/>
        <v>10000</v>
      </c>
      <c r="H349" s="171">
        <v>0.3</v>
      </c>
      <c r="I349" s="177"/>
      <c r="J349" s="167" t="s">
        <v>298</v>
      </c>
      <c r="K349" s="181">
        <v>7</v>
      </c>
      <c r="L349" s="353"/>
      <c r="M349" s="622" t="s">
        <v>297</v>
      </c>
      <c r="N349" s="166" t="s">
        <v>257</v>
      </c>
      <c r="O349" s="202">
        <v>10000</v>
      </c>
      <c r="P349" s="177"/>
      <c r="Q349" s="177"/>
      <c r="R349" s="248">
        <f t="shared" si="25"/>
        <v>10000</v>
      </c>
      <c r="S349" s="171">
        <v>0.3</v>
      </c>
      <c r="T349" s="527">
        <v>10000</v>
      </c>
      <c r="U349" s="167" t="s">
        <v>298</v>
      </c>
      <c r="V349" s="181">
        <v>7</v>
      </c>
    </row>
    <row r="350" spans="2:22" ht="15.5" x14ac:dyDescent="0.35">
      <c r="B350" s="623"/>
      <c r="C350" s="166" t="s">
        <v>207</v>
      </c>
      <c r="D350" s="202">
        <v>5000</v>
      </c>
      <c r="E350" s="177"/>
      <c r="F350" s="177"/>
      <c r="G350" s="248">
        <f t="shared" si="24"/>
        <v>5000</v>
      </c>
      <c r="H350" s="171">
        <v>0.3</v>
      </c>
      <c r="I350" s="177"/>
      <c r="J350" s="167" t="s">
        <v>201</v>
      </c>
      <c r="K350" s="181">
        <v>5</v>
      </c>
      <c r="L350" s="353"/>
      <c r="M350" s="623"/>
      <c r="N350" s="166" t="s">
        <v>207</v>
      </c>
      <c r="O350" s="202">
        <v>5000</v>
      </c>
      <c r="P350" s="177"/>
      <c r="Q350" s="177"/>
      <c r="R350" s="248">
        <f t="shared" si="25"/>
        <v>5000</v>
      </c>
      <c r="S350" s="171">
        <v>0.3</v>
      </c>
      <c r="T350" s="527">
        <v>5000</v>
      </c>
      <c r="U350" s="167" t="s">
        <v>201</v>
      </c>
      <c r="V350" s="181">
        <v>5</v>
      </c>
    </row>
    <row r="351" spans="2:22" ht="31" x14ac:dyDescent="0.35">
      <c r="B351" s="623"/>
      <c r="C351" s="166" t="s">
        <v>258</v>
      </c>
      <c r="D351" s="202">
        <v>2000</v>
      </c>
      <c r="E351" s="177"/>
      <c r="F351" s="177"/>
      <c r="G351" s="248">
        <f t="shared" si="24"/>
        <v>2000</v>
      </c>
      <c r="H351" s="171">
        <v>0.3</v>
      </c>
      <c r="I351" s="177"/>
      <c r="J351" s="167" t="s">
        <v>299</v>
      </c>
      <c r="K351" s="181">
        <v>5</v>
      </c>
      <c r="L351" s="353"/>
      <c r="M351" s="623"/>
      <c r="N351" s="166" t="s">
        <v>258</v>
      </c>
      <c r="O351" s="202">
        <v>2000</v>
      </c>
      <c r="P351" s="177"/>
      <c r="Q351" s="177"/>
      <c r="R351" s="248">
        <f t="shared" si="25"/>
        <v>2000</v>
      </c>
      <c r="S351" s="171">
        <v>0.3</v>
      </c>
      <c r="T351" s="527">
        <v>2000</v>
      </c>
      <c r="U351" s="167" t="s">
        <v>299</v>
      </c>
      <c r="V351" s="181">
        <v>5</v>
      </c>
    </row>
    <row r="352" spans="2:22" ht="31" x14ac:dyDescent="0.35">
      <c r="B352" s="623"/>
      <c r="C352" s="166" t="s">
        <v>260</v>
      </c>
      <c r="D352" s="202">
        <v>5000</v>
      </c>
      <c r="E352" s="251"/>
      <c r="F352" s="251"/>
      <c r="G352" s="248">
        <f t="shared" si="24"/>
        <v>5000</v>
      </c>
      <c r="H352" s="250">
        <v>0.3</v>
      </c>
      <c r="I352" s="251"/>
      <c r="J352" s="170" t="s">
        <v>300</v>
      </c>
      <c r="K352" s="181">
        <v>4</v>
      </c>
      <c r="L352" s="353"/>
      <c r="M352" s="623"/>
      <c r="N352" s="166" t="s">
        <v>260</v>
      </c>
      <c r="O352" s="202">
        <v>5000</v>
      </c>
      <c r="P352" s="251"/>
      <c r="Q352" s="251"/>
      <c r="R352" s="248">
        <f t="shared" si="25"/>
        <v>5000</v>
      </c>
      <c r="S352" s="250">
        <v>0.3</v>
      </c>
      <c r="T352" s="527">
        <v>5000</v>
      </c>
      <c r="U352" s="170" t="s">
        <v>300</v>
      </c>
      <c r="V352" s="181">
        <v>4</v>
      </c>
    </row>
    <row r="353" spans="2:23" ht="86.5" customHeight="1" x14ac:dyDescent="0.35">
      <c r="B353" s="624"/>
      <c r="C353" s="245"/>
      <c r="D353" s="202"/>
      <c r="E353" s="251"/>
      <c r="F353" s="251"/>
      <c r="G353" s="248">
        <f t="shared" si="24"/>
        <v>0</v>
      </c>
      <c r="H353" s="250"/>
      <c r="I353" s="251"/>
      <c r="J353" s="170"/>
      <c r="K353" s="181"/>
      <c r="L353" s="353"/>
      <c r="M353" s="624"/>
      <c r="N353" s="245"/>
      <c r="O353" s="202"/>
      <c r="P353" s="251"/>
      <c r="Q353" s="251"/>
      <c r="R353" s="248">
        <f t="shared" si="25"/>
        <v>0</v>
      </c>
      <c r="S353" s="250"/>
      <c r="T353" s="527"/>
      <c r="U353" s="438"/>
      <c r="V353" s="181"/>
    </row>
    <row r="354" spans="2:23" ht="31" x14ac:dyDescent="0.35">
      <c r="B354" s="394"/>
      <c r="C354" s="245"/>
      <c r="D354" s="202"/>
      <c r="E354" s="251"/>
      <c r="F354" s="251"/>
      <c r="G354" s="248"/>
      <c r="H354" s="250"/>
      <c r="I354" s="251"/>
      <c r="J354" s="170"/>
      <c r="K354" s="184"/>
      <c r="L354" s="353"/>
      <c r="M354" s="658" t="s">
        <v>451</v>
      </c>
      <c r="N354" s="224" t="s">
        <v>452</v>
      </c>
      <c r="O354" s="225">
        <v>5000</v>
      </c>
      <c r="P354" s="357"/>
      <c r="Q354" s="357"/>
      <c r="R354" s="227">
        <f t="shared" si="25"/>
        <v>5000</v>
      </c>
      <c r="S354" s="367">
        <v>0.5</v>
      </c>
      <c r="T354" s="437"/>
      <c r="U354" s="435" t="s">
        <v>453</v>
      </c>
      <c r="V354" s="181">
        <v>4</v>
      </c>
    </row>
    <row r="355" spans="2:23" ht="29" x14ac:dyDescent="0.35">
      <c r="B355" s="394"/>
      <c r="C355" s="245"/>
      <c r="D355" s="202"/>
      <c r="E355" s="251"/>
      <c r="F355" s="251"/>
      <c r="G355" s="248"/>
      <c r="H355" s="250"/>
      <c r="I355" s="251"/>
      <c r="J355" s="170"/>
      <c r="K355" s="184"/>
      <c r="L355" s="353"/>
      <c r="M355" s="658"/>
      <c r="N355" s="224" t="s">
        <v>454</v>
      </c>
      <c r="O355" s="225">
        <v>12000</v>
      </c>
      <c r="P355" s="357"/>
      <c r="Q355" s="357"/>
      <c r="R355" s="227">
        <f t="shared" si="25"/>
        <v>12000</v>
      </c>
      <c r="S355" s="367">
        <v>0.3</v>
      </c>
      <c r="T355" s="437"/>
      <c r="U355" s="436" t="s">
        <v>298</v>
      </c>
      <c r="V355" s="181">
        <v>7</v>
      </c>
    </row>
    <row r="356" spans="2:23" ht="15.5" x14ac:dyDescent="0.35">
      <c r="B356" s="394"/>
      <c r="C356" s="245"/>
      <c r="D356" s="202"/>
      <c r="E356" s="251"/>
      <c r="F356" s="251"/>
      <c r="G356" s="248"/>
      <c r="H356" s="250"/>
      <c r="I356" s="251"/>
      <c r="J356" s="170"/>
      <c r="K356" s="184"/>
      <c r="L356" s="353"/>
      <c r="M356" s="658"/>
      <c r="N356" s="224" t="s">
        <v>207</v>
      </c>
      <c r="O356" s="225">
        <v>7000</v>
      </c>
      <c r="P356" s="357"/>
      <c r="Q356" s="357"/>
      <c r="R356" s="227">
        <f t="shared" si="25"/>
        <v>7000</v>
      </c>
      <c r="S356" s="367">
        <v>0.3</v>
      </c>
      <c r="T356" s="437"/>
      <c r="U356" s="435" t="s">
        <v>455</v>
      </c>
      <c r="V356" s="181">
        <v>5</v>
      </c>
    </row>
    <row r="357" spans="2:23" ht="33" customHeight="1" x14ac:dyDescent="0.35">
      <c r="B357" s="394"/>
      <c r="C357" s="245"/>
      <c r="D357" s="202"/>
      <c r="E357" s="251"/>
      <c r="F357" s="251"/>
      <c r="G357" s="248"/>
      <c r="H357" s="250"/>
      <c r="I357" s="251"/>
      <c r="J357" s="170"/>
      <c r="K357" s="184"/>
      <c r="L357" s="353"/>
      <c r="M357" s="658"/>
      <c r="N357" s="224" t="s">
        <v>456</v>
      </c>
      <c r="O357" s="225">
        <v>0</v>
      </c>
      <c r="P357" s="357"/>
      <c r="Q357" s="357"/>
      <c r="R357" s="227">
        <f t="shared" si="25"/>
        <v>0</v>
      </c>
      <c r="S357" s="367"/>
      <c r="T357" s="437"/>
      <c r="U357" s="435" t="s">
        <v>457</v>
      </c>
      <c r="V357" s="181">
        <v>7</v>
      </c>
    </row>
    <row r="358" spans="2:23" ht="15.5" x14ac:dyDescent="0.35">
      <c r="C358" s="73" t="s">
        <v>301</v>
      </c>
      <c r="D358" s="201">
        <f>SUM(D329:D357)</f>
        <v>77000</v>
      </c>
      <c r="E358" s="10">
        <f>SUM(E329:E357)</f>
        <v>0</v>
      </c>
      <c r="F358" s="10">
        <f>SUM(F329:F357)</f>
        <v>0</v>
      </c>
      <c r="G358" s="10">
        <f>SUM(G329:G357)</f>
        <v>77000</v>
      </c>
      <c r="H358" s="10" t="e">
        <f>(G329*H329)+(G330*H330)+(G331*H331)+(G332*H332)+(G333*H333)+(G334*H334)+(G335*H335)+(G336*H336)+(G337*H337)+(G338*H338)+(G339*H339)+(G340*H340)+(G341*H341)+(G342*H342)+(G343*H343)+(G344*H344)+(G345*H345)+(G346*H346)+(G347*H347)+(G348*H348)+(G349*H349)+(G350*H350)+(G351*H351)+(G352*H352)+(G353*H353)+(G354*H354)+(G355*H355)+(G356*H356)+(G357*H357)+(#REF!*#REF!)+(#REF!*#REF!)+(#REF!*#REF!)+(#REF!*#REF!)</f>
        <v>#REF!</v>
      </c>
      <c r="I358" s="10">
        <f>SUM(I329:I357)</f>
        <v>0</v>
      </c>
      <c r="J358" s="170"/>
      <c r="K358" s="182"/>
      <c r="L358" s="353"/>
      <c r="M358" s="419"/>
      <c r="N358" s="372" t="s">
        <v>301</v>
      </c>
      <c r="O358" s="240">
        <f>SUM(O329:O357)</f>
        <v>101000</v>
      </c>
      <c r="P358" s="231">
        <f>SUM(P329:P357)</f>
        <v>0</v>
      </c>
      <c r="Q358" s="231">
        <f>SUM(Q329:Q357)</f>
        <v>0</v>
      </c>
      <c r="R358" s="231">
        <f>SUM(R329:R357)</f>
        <v>101000</v>
      </c>
      <c r="S358" s="231">
        <f>(R329*S329)+(R330*S330)+(R331*S331)+(R332*S332)+(R333*S333)+(R334*S334)+(R335*S335)+(R336*S336)+(R337*S337)+(R338*S338)+(R339*S339)+(R340*S340)+(R341*S341)+(R342*S342)+(R343*S343)+(R344*S344)+(R345*S345)+(R346*S346)+(R347*S347)+(R348*S348)+(R349*S349)+(R350*S350)+(R351*S351)+(R352*S352)+(R353*S353)+(R354*S354)+(R355*S355)+(R356*S356)+(R357*S357)</f>
        <v>31300</v>
      </c>
      <c r="T358" s="231">
        <f>SUM(T329:T357)</f>
        <v>77000</v>
      </c>
      <c r="U358" s="439"/>
      <c r="V358" s="421"/>
    </row>
    <row r="359" spans="2:23" ht="32.5" customHeight="1" x14ac:dyDescent="0.35">
      <c r="B359" s="72" t="s">
        <v>302</v>
      </c>
      <c r="C359" s="630" t="s">
        <v>303</v>
      </c>
      <c r="D359" s="630"/>
      <c r="E359" s="630"/>
      <c r="F359" s="630"/>
      <c r="G359" s="630"/>
      <c r="H359" s="630"/>
      <c r="I359" s="631"/>
      <c r="J359" s="630"/>
      <c r="K359" s="183"/>
      <c r="L359" s="353"/>
      <c r="M359" s="72" t="s">
        <v>302</v>
      </c>
      <c r="N359" s="630" t="s">
        <v>303</v>
      </c>
      <c r="O359" s="630"/>
      <c r="P359" s="630"/>
      <c r="Q359" s="630"/>
      <c r="R359" s="630"/>
      <c r="S359" s="630"/>
      <c r="T359" s="631"/>
      <c r="U359" s="630"/>
      <c r="V359" s="183"/>
    </row>
    <row r="360" spans="2:23" ht="81" customHeight="1" x14ac:dyDescent="0.35">
      <c r="B360" s="622" t="s">
        <v>304</v>
      </c>
      <c r="C360" s="166" t="s">
        <v>305</v>
      </c>
      <c r="D360" s="202"/>
      <c r="E360" s="177">
        <v>5000</v>
      </c>
      <c r="F360" s="177"/>
      <c r="G360" s="248">
        <f>D360+E360+F360</f>
        <v>5000</v>
      </c>
      <c r="H360" s="171">
        <v>0.3</v>
      </c>
      <c r="I360" s="177"/>
      <c r="J360" s="167" t="s">
        <v>306</v>
      </c>
      <c r="K360" s="181">
        <v>7</v>
      </c>
      <c r="L360" s="353"/>
      <c r="M360" s="622" t="s">
        <v>304</v>
      </c>
      <c r="N360" s="166" t="s">
        <v>305</v>
      </c>
      <c r="O360" s="202"/>
      <c r="P360" s="177">
        <v>5000</v>
      </c>
      <c r="Q360" s="177"/>
      <c r="R360" s="248">
        <f>O360+P360+Q360</f>
        <v>5000</v>
      </c>
      <c r="S360" s="171">
        <v>0.3</v>
      </c>
      <c r="T360" s="527">
        <v>17107</v>
      </c>
      <c r="U360" s="167" t="s">
        <v>306</v>
      </c>
      <c r="V360" s="181">
        <v>7</v>
      </c>
    </row>
    <row r="361" spans="2:23" ht="37.4" customHeight="1" x14ac:dyDescent="0.35">
      <c r="B361" s="623"/>
      <c r="C361" s="166" t="s">
        <v>307</v>
      </c>
      <c r="D361" s="202"/>
      <c r="E361" s="177">
        <v>20000</v>
      </c>
      <c r="F361" s="177"/>
      <c r="G361" s="248">
        <f t="shared" ref="G361:G375" si="26">D361+E361+F361</f>
        <v>20000</v>
      </c>
      <c r="H361" s="171">
        <v>0.3</v>
      </c>
      <c r="I361" s="177"/>
      <c r="J361" s="167" t="s">
        <v>308</v>
      </c>
      <c r="K361" s="181">
        <v>7</v>
      </c>
      <c r="L361" s="353"/>
      <c r="M361" s="623"/>
      <c r="N361" s="166" t="s">
        <v>307</v>
      </c>
      <c r="O361" s="202"/>
      <c r="P361" s="177">
        <v>20000</v>
      </c>
      <c r="Q361" s="177"/>
      <c r="R361" s="248">
        <f t="shared" ref="R361:R368" si="27">O361+P361+Q361</f>
        <v>20000</v>
      </c>
      <c r="S361" s="171">
        <v>0.3</v>
      </c>
      <c r="T361" s="527">
        <v>20000</v>
      </c>
      <c r="U361" s="167" t="s">
        <v>308</v>
      </c>
      <c r="V361" s="181">
        <v>7</v>
      </c>
      <c r="W361" s="540" t="s">
        <v>954</v>
      </c>
    </row>
    <row r="362" spans="2:23" ht="15.5" x14ac:dyDescent="0.35">
      <c r="B362" s="623"/>
      <c r="C362" s="166"/>
      <c r="D362" s="202"/>
      <c r="E362" s="177"/>
      <c r="F362" s="177"/>
      <c r="G362" s="248">
        <f t="shared" si="26"/>
        <v>0</v>
      </c>
      <c r="H362" s="171"/>
      <c r="I362" s="177"/>
      <c r="J362" s="167"/>
      <c r="K362" s="181"/>
      <c r="L362" s="353"/>
      <c r="M362" s="623"/>
      <c r="N362" s="166"/>
      <c r="O362" s="202"/>
      <c r="P362" s="177"/>
      <c r="Q362" s="177"/>
      <c r="R362" s="248">
        <f t="shared" si="27"/>
        <v>0</v>
      </c>
      <c r="S362" s="171"/>
      <c r="T362" s="527"/>
      <c r="U362" s="167"/>
      <c r="V362" s="181"/>
    </row>
    <row r="363" spans="2:23" ht="15.5" x14ac:dyDescent="0.35">
      <c r="B363" s="623"/>
      <c r="C363" s="166"/>
      <c r="D363" s="202"/>
      <c r="E363" s="177"/>
      <c r="F363" s="177"/>
      <c r="G363" s="248">
        <f t="shared" si="26"/>
        <v>0</v>
      </c>
      <c r="H363" s="171"/>
      <c r="I363" s="177"/>
      <c r="J363" s="167"/>
      <c r="K363" s="181"/>
      <c r="L363" s="353"/>
      <c r="M363" s="623"/>
      <c r="N363" s="166"/>
      <c r="O363" s="202"/>
      <c r="P363" s="177"/>
      <c r="Q363" s="177"/>
      <c r="R363" s="248">
        <f t="shared" si="27"/>
        <v>0</v>
      </c>
      <c r="S363" s="171"/>
      <c r="T363" s="527"/>
      <c r="U363" s="167"/>
      <c r="V363" s="181"/>
    </row>
    <row r="364" spans="2:23" ht="15.5" x14ac:dyDescent="0.35">
      <c r="B364" s="624"/>
      <c r="C364" s="166"/>
      <c r="D364" s="202"/>
      <c r="E364" s="177"/>
      <c r="F364" s="177"/>
      <c r="G364" s="248">
        <f t="shared" si="26"/>
        <v>0</v>
      </c>
      <c r="H364" s="171"/>
      <c r="I364" s="177"/>
      <c r="J364" s="167"/>
      <c r="K364" s="181"/>
      <c r="L364" s="353"/>
      <c r="M364" s="624"/>
      <c r="N364" s="166"/>
      <c r="O364" s="202"/>
      <c r="P364" s="177"/>
      <c r="Q364" s="177"/>
      <c r="R364" s="248">
        <f t="shared" si="27"/>
        <v>0</v>
      </c>
      <c r="S364" s="171"/>
      <c r="T364" s="527"/>
      <c r="U364" s="167"/>
      <c r="V364" s="181"/>
    </row>
    <row r="365" spans="2:23" ht="15.5" x14ac:dyDescent="0.35">
      <c r="B365" s="622" t="s">
        <v>309</v>
      </c>
      <c r="C365" s="166" t="s">
        <v>257</v>
      </c>
      <c r="D365" s="202"/>
      <c r="E365" s="177">
        <v>10000</v>
      </c>
      <c r="F365" s="177"/>
      <c r="G365" s="248">
        <f t="shared" si="26"/>
        <v>10000</v>
      </c>
      <c r="H365" s="171">
        <v>0.3</v>
      </c>
      <c r="I365" s="177"/>
      <c r="J365" s="167" t="s">
        <v>310</v>
      </c>
      <c r="K365" s="181">
        <v>7</v>
      </c>
      <c r="L365" s="353"/>
      <c r="M365" s="622" t="s">
        <v>309</v>
      </c>
      <c r="N365" s="166" t="s">
        <v>257</v>
      </c>
      <c r="O365" s="202"/>
      <c r="P365" s="177">
        <v>10000</v>
      </c>
      <c r="Q365" s="177"/>
      <c r="R365" s="248">
        <f t="shared" si="27"/>
        <v>10000</v>
      </c>
      <c r="S365" s="171">
        <v>0.3</v>
      </c>
      <c r="T365" s="527">
        <v>12442</v>
      </c>
      <c r="U365" s="167" t="s">
        <v>310</v>
      </c>
      <c r="V365" s="181">
        <v>7</v>
      </c>
    </row>
    <row r="366" spans="2:23" ht="15.5" x14ac:dyDescent="0.35">
      <c r="B366" s="623"/>
      <c r="C366" s="166"/>
      <c r="D366" s="202"/>
      <c r="E366" s="177"/>
      <c r="F366" s="177"/>
      <c r="G366" s="248">
        <f t="shared" si="26"/>
        <v>0</v>
      </c>
      <c r="H366" s="171"/>
      <c r="I366" s="177"/>
      <c r="J366" s="167"/>
      <c r="K366" s="181"/>
      <c r="L366" s="353"/>
      <c r="M366" s="623"/>
      <c r="N366" s="166"/>
      <c r="O366" s="202"/>
      <c r="P366" s="177"/>
      <c r="Q366" s="177"/>
      <c r="R366" s="248">
        <f t="shared" si="27"/>
        <v>0</v>
      </c>
      <c r="S366" s="171"/>
      <c r="T366" s="527"/>
      <c r="U366" s="167"/>
      <c r="V366" s="181"/>
    </row>
    <row r="367" spans="2:23" ht="15.5" x14ac:dyDescent="0.35">
      <c r="B367" s="623"/>
      <c r="C367" s="166"/>
      <c r="D367" s="202"/>
      <c r="E367" s="177"/>
      <c r="F367" s="177"/>
      <c r="G367" s="248">
        <f t="shared" si="26"/>
        <v>0</v>
      </c>
      <c r="H367" s="171"/>
      <c r="I367" s="177"/>
      <c r="J367" s="167"/>
      <c r="K367" s="181"/>
      <c r="L367" s="353"/>
      <c r="M367" s="623"/>
      <c r="N367" s="166"/>
      <c r="O367" s="202"/>
      <c r="P367" s="177"/>
      <c r="Q367" s="177"/>
      <c r="R367" s="248">
        <f t="shared" si="27"/>
        <v>0</v>
      </c>
      <c r="S367" s="171"/>
      <c r="T367" s="527"/>
      <c r="U367" s="167"/>
      <c r="V367" s="181"/>
    </row>
    <row r="368" spans="2:23" ht="15.5" x14ac:dyDescent="0.35">
      <c r="B368" s="623"/>
      <c r="C368" s="166"/>
      <c r="D368" s="202"/>
      <c r="E368" s="251"/>
      <c r="F368" s="251"/>
      <c r="G368" s="248">
        <f t="shared" si="26"/>
        <v>0</v>
      </c>
      <c r="H368" s="171"/>
      <c r="I368" s="177"/>
      <c r="J368" s="170"/>
      <c r="K368" s="181"/>
      <c r="L368" s="353"/>
      <c r="M368" s="623"/>
      <c r="N368" s="166"/>
      <c r="O368" s="202"/>
      <c r="P368" s="251"/>
      <c r="Q368" s="251"/>
      <c r="R368" s="248">
        <f t="shared" si="27"/>
        <v>0</v>
      </c>
      <c r="S368" s="171"/>
      <c r="T368" s="527"/>
      <c r="U368" s="170"/>
      <c r="V368" s="181"/>
    </row>
    <row r="369" spans="2:22" ht="15.5" x14ac:dyDescent="0.35">
      <c r="B369" s="624"/>
      <c r="C369" s="166"/>
      <c r="D369" s="202"/>
      <c r="G369" s="248"/>
      <c r="H369" s="171"/>
      <c r="I369" s="177"/>
      <c r="J369" s="167"/>
      <c r="K369" s="181"/>
      <c r="L369" s="353"/>
      <c r="M369" s="624"/>
      <c r="N369" s="166"/>
      <c r="O369" s="202"/>
      <c r="R369" s="248"/>
      <c r="S369" s="171"/>
      <c r="T369" s="527"/>
      <c r="U369" s="167"/>
      <c r="V369" s="181"/>
    </row>
    <row r="370" spans="2:22" ht="15.65" customHeight="1" x14ac:dyDescent="0.35">
      <c r="B370" s="622" t="s">
        <v>311</v>
      </c>
      <c r="C370" s="166" t="s">
        <v>312</v>
      </c>
      <c r="D370" s="202"/>
      <c r="E370" s="177">
        <v>36891.800000000003</v>
      </c>
      <c r="F370" s="177"/>
      <c r="G370" s="248">
        <f>D370+E370+F370</f>
        <v>36891.800000000003</v>
      </c>
      <c r="H370" s="171">
        <v>0.4</v>
      </c>
      <c r="I370" s="177"/>
      <c r="J370" s="167" t="s">
        <v>107</v>
      </c>
      <c r="K370" s="181">
        <v>7</v>
      </c>
      <c r="L370" s="353"/>
      <c r="M370" s="657" t="s">
        <v>311</v>
      </c>
      <c r="N370" s="166" t="s">
        <v>312</v>
      </c>
      <c r="O370" s="202"/>
      <c r="P370" s="449">
        <f>25891.8-13791.8-1500</f>
        <v>10600</v>
      </c>
      <c r="Q370" s="177"/>
      <c r="R370" s="227">
        <f>O370+P370+Q370</f>
        <v>10600</v>
      </c>
      <c r="S370" s="171">
        <v>0.4</v>
      </c>
      <c r="T370" s="449">
        <v>11000</v>
      </c>
      <c r="U370" s="167" t="s">
        <v>107</v>
      </c>
      <c r="V370" s="229">
        <v>6</v>
      </c>
    </row>
    <row r="371" spans="2:22" ht="31" x14ac:dyDescent="0.35">
      <c r="B371" s="623"/>
      <c r="C371" s="166" t="s">
        <v>313</v>
      </c>
      <c r="D371" s="202"/>
      <c r="E371" s="177">
        <v>2000</v>
      </c>
      <c r="F371" s="177"/>
      <c r="G371" s="248">
        <f>D371+E371+F371</f>
        <v>2000</v>
      </c>
      <c r="H371" s="171">
        <v>0.4</v>
      </c>
      <c r="I371" s="177"/>
      <c r="J371" s="167" t="s">
        <v>314</v>
      </c>
      <c r="K371" s="181">
        <v>7</v>
      </c>
      <c r="L371" s="353"/>
      <c r="M371" s="655"/>
      <c r="N371" s="166" t="s">
        <v>313</v>
      </c>
      <c r="O371" s="202"/>
      <c r="P371" s="226">
        <v>5636</v>
      </c>
      <c r="Q371" s="177"/>
      <c r="R371" s="227">
        <f>O371+P371+Q371</f>
        <v>5636</v>
      </c>
      <c r="S371" s="171">
        <v>0.4</v>
      </c>
      <c r="T371" s="449">
        <v>5600</v>
      </c>
      <c r="U371" s="167" t="s">
        <v>920</v>
      </c>
      <c r="V371" s="229">
        <v>2</v>
      </c>
    </row>
    <row r="372" spans="2:22" ht="15.5" x14ac:dyDescent="0.35">
      <c r="B372" s="348"/>
      <c r="C372" s="166"/>
      <c r="D372" s="202"/>
      <c r="E372" s="177"/>
      <c r="F372" s="177"/>
      <c r="G372" s="248"/>
      <c r="H372" s="171"/>
      <c r="I372" s="177"/>
      <c r="J372" s="167"/>
      <c r="K372" s="181"/>
      <c r="L372" s="353"/>
      <c r="M372" s="452"/>
      <c r="N372" s="224" t="s">
        <v>919</v>
      </c>
      <c r="O372" s="202"/>
      <c r="P372" s="449">
        <v>9342.09</v>
      </c>
      <c r="Q372" s="177"/>
      <c r="R372" s="227">
        <f t="shared" ref="R372:R373" si="28">O372+P372+Q372</f>
        <v>9342.09</v>
      </c>
      <c r="S372" s="171">
        <v>0.4</v>
      </c>
      <c r="T372" s="449">
        <v>9400</v>
      </c>
      <c r="U372" s="167" t="s">
        <v>310</v>
      </c>
      <c r="V372" s="229">
        <v>7</v>
      </c>
    </row>
    <row r="373" spans="2:22" ht="31" x14ac:dyDescent="0.35">
      <c r="B373" s="348"/>
      <c r="C373" s="166"/>
      <c r="D373" s="202"/>
      <c r="E373" s="177"/>
      <c r="F373" s="177"/>
      <c r="G373" s="248"/>
      <c r="H373" s="171"/>
      <c r="I373" s="177"/>
      <c r="J373" s="167"/>
      <c r="K373" s="181"/>
      <c r="L373" s="353"/>
      <c r="M373" s="452"/>
      <c r="N373" s="224" t="s">
        <v>921</v>
      </c>
      <c r="O373" s="202"/>
      <c r="P373" s="226">
        <v>14000</v>
      </c>
      <c r="Q373" s="177"/>
      <c r="R373" s="227">
        <f t="shared" si="28"/>
        <v>14000</v>
      </c>
      <c r="S373" s="171">
        <v>0.4</v>
      </c>
      <c r="T373" s="527"/>
      <c r="U373" s="167" t="s">
        <v>922</v>
      </c>
      <c r="V373" s="229">
        <v>5</v>
      </c>
    </row>
    <row r="374" spans="2:22" ht="62.15" customHeight="1" x14ac:dyDescent="0.35">
      <c r="B374" s="395"/>
      <c r="C374" s="166"/>
      <c r="D374" s="202"/>
      <c r="E374" s="177"/>
      <c r="F374" s="177"/>
      <c r="G374" s="248">
        <f t="shared" ref="G374:G387" si="29">D374+E374+F374</f>
        <v>0</v>
      </c>
      <c r="H374" s="171"/>
      <c r="I374" s="177"/>
      <c r="J374" s="167"/>
      <c r="K374" s="181"/>
      <c r="L374" s="353"/>
      <c r="M374" s="657" t="s">
        <v>935</v>
      </c>
      <c r="N374" s="224" t="s">
        <v>934</v>
      </c>
      <c r="O374" s="225">
        <v>5000</v>
      </c>
      <c r="P374" s="226"/>
      <c r="Q374" s="226"/>
      <c r="R374" s="227">
        <f t="shared" ref="R374:R375" si="30">O374+P374+Q374</f>
        <v>5000</v>
      </c>
      <c r="S374" s="221">
        <v>0.5</v>
      </c>
      <c r="T374" s="527"/>
      <c r="U374" s="228"/>
      <c r="V374" s="229">
        <v>7</v>
      </c>
    </row>
    <row r="375" spans="2:22" ht="15.5" hidden="1" x14ac:dyDescent="0.35">
      <c r="B375" s="395"/>
      <c r="C375" s="166"/>
      <c r="D375" s="202"/>
      <c r="E375" s="177"/>
      <c r="F375" s="177"/>
      <c r="G375" s="248">
        <f t="shared" si="26"/>
        <v>0</v>
      </c>
      <c r="H375" s="171"/>
      <c r="I375" s="177"/>
      <c r="J375" s="167"/>
      <c r="K375" s="181"/>
      <c r="L375" s="353"/>
      <c r="M375" s="655"/>
      <c r="N375" s="224"/>
      <c r="O375" s="225"/>
      <c r="P375" s="226"/>
      <c r="Q375" s="226"/>
      <c r="R375" s="227">
        <f t="shared" si="30"/>
        <v>0</v>
      </c>
      <c r="S375" s="221"/>
      <c r="T375" s="226"/>
      <c r="U375" s="228"/>
      <c r="V375" s="229"/>
    </row>
    <row r="376" spans="2:22" ht="15.5" hidden="1" x14ac:dyDescent="0.35">
      <c r="B376" s="395"/>
      <c r="C376" s="166"/>
      <c r="D376" s="202"/>
      <c r="E376" s="177"/>
      <c r="F376" s="177"/>
      <c r="G376" s="248"/>
      <c r="H376" s="171"/>
      <c r="I376" s="177"/>
      <c r="J376" s="167"/>
      <c r="K376" s="181"/>
      <c r="L376" s="353"/>
      <c r="M376" s="356"/>
      <c r="N376" s="166"/>
      <c r="O376" s="202"/>
      <c r="P376" s="177"/>
      <c r="Q376" s="177"/>
      <c r="R376" s="248"/>
      <c r="S376" s="171"/>
      <c r="T376" s="177"/>
      <c r="U376" s="167"/>
      <c r="V376" s="181"/>
    </row>
    <row r="377" spans="2:22" ht="15.5" hidden="1" x14ac:dyDescent="0.35">
      <c r="B377" s="396"/>
      <c r="C377" s="166"/>
      <c r="D377" s="202"/>
      <c r="E377" s="177"/>
      <c r="F377" s="177"/>
      <c r="G377" s="248">
        <f>D377+E377+F377</f>
        <v>0</v>
      </c>
      <c r="H377" s="171"/>
      <c r="I377" s="177"/>
      <c r="J377" s="167"/>
      <c r="K377" s="181"/>
      <c r="L377" s="353"/>
      <c r="M377" s="356"/>
      <c r="N377" s="166"/>
      <c r="O377" s="202"/>
      <c r="P377" s="177"/>
      <c r="Q377" s="177"/>
      <c r="R377" s="248">
        <f>O377+P377+Q377</f>
        <v>0</v>
      </c>
      <c r="S377" s="171"/>
      <c r="T377" s="177"/>
      <c r="U377" s="167"/>
      <c r="V377" s="181"/>
    </row>
    <row r="378" spans="2:22" ht="15.5" hidden="1" x14ac:dyDescent="0.35">
      <c r="B378" s="622" t="s">
        <v>315</v>
      </c>
      <c r="C378" s="166"/>
      <c r="D378" s="202"/>
      <c r="E378" s="177"/>
      <c r="F378" s="177"/>
      <c r="G378" s="248">
        <f t="shared" si="29"/>
        <v>0</v>
      </c>
      <c r="H378" s="171"/>
      <c r="I378" s="177"/>
      <c r="J378" s="167"/>
      <c r="K378" s="181"/>
      <c r="L378" s="353"/>
      <c r="M378" s="622" t="s">
        <v>315</v>
      </c>
      <c r="N378" s="166"/>
      <c r="O378" s="202"/>
      <c r="P378" s="177"/>
      <c r="Q378" s="177"/>
      <c r="R378" s="248">
        <f t="shared" ref="R378:R387" si="31">O378+P378+Q378</f>
        <v>0</v>
      </c>
      <c r="S378" s="171"/>
      <c r="T378" s="177"/>
      <c r="U378" s="167"/>
      <c r="V378" s="181"/>
    </row>
    <row r="379" spans="2:22" ht="15.5" hidden="1" x14ac:dyDescent="0.35">
      <c r="B379" s="623"/>
      <c r="C379" s="166"/>
      <c r="D379" s="202"/>
      <c r="E379" s="177"/>
      <c r="F379" s="177"/>
      <c r="G379" s="248">
        <f t="shared" si="29"/>
        <v>0</v>
      </c>
      <c r="H379" s="171"/>
      <c r="I379" s="177"/>
      <c r="J379" s="167"/>
      <c r="K379" s="181"/>
      <c r="L379" s="353"/>
      <c r="M379" s="623"/>
      <c r="N379" s="166"/>
      <c r="O379" s="202"/>
      <c r="P379" s="177"/>
      <c r="Q379" s="177"/>
      <c r="R379" s="248">
        <f t="shared" si="31"/>
        <v>0</v>
      </c>
      <c r="S379" s="171"/>
      <c r="T379" s="177"/>
      <c r="U379" s="167"/>
      <c r="V379" s="181"/>
    </row>
    <row r="380" spans="2:22" ht="15.5" hidden="1" x14ac:dyDescent="0.35">
      <c r="B380" s="623"/>
      <c r="C380" s="166"/>
      <c r="D380" s="202"/>
      <c r="E380" s="177"/>
      <c r="F380" s="177"/>
      <c r="G380" s="248">
        <f t="shared" si="29"/>
        <v>0</v>
      </c>
      <c r="H380" s="171"/>
      <c r="I380" s="177"/>
      <c r="J380" s="167"/>
      <c r="K380" s="181"/>
      <c r="L380" s="353"/>
      <c r="M380" s="623"/>
      <c r="N380" s="166"/>
      <c r="O380" s="202"/>
      <c r="P380" s="177"/>
      <c r="Q380" s="177"/>
      <c r="R380" s="248">
        <f t="shared" si="31"/>
        <v>0</v>
      </c>
      <c r="S380" s="171"/>
      <c r="T380" s="177"/>
      <c r="U380" s="167"/>
      <c r="V380" s="181"/>
    </row>
    <row r="381" spans="2:22" ht="15.5" hidden="1" x14ac:dyDescent="0.35">
      <c r="B381" s="623"/>
      <c r="C381" s="166"/>
      <c r="D381" s="202"/>
      <c r="E381" s="177"/>
      <c r="F381" s="177"/>
      <c r="G381" s="248">
        <f t="shared" si="29"/>
        <v>0</v>
      </c>
      <c r="H381" s="171"/>
      <c r="I381" s="177"/>
      <c r="J381" s="167"/>
      <c r="K381" s="181"/>
      <c r="L381" s="353"/>
      <c r="M381" s="623"/>
      <c r="N381" s="166"/>
      <c r="O381" s="202"/>
      <c r="P381" s="177"/>
      <c r="Q381" s="177"/>
      <c r="R381" s="248">
        <f t="shared" si="31"/>
        <v>0</v>
      </c>
      <c r="S381" s="171"/>
      <c r="T381" s="177"/>
      <c r="U381" s="167"/>
      <c r="V381" s="181"/>
    </row>
    <row r="382" spans="2:22" ht="15.5" hidden="1" x14ac:dyDescent="0.35">
      <c r="B382" s="624"/>
      <c r="C382" s="166"/>
      <c r="D382" s="202"/>
      <c r="E382" s="177"/>
      <c r="F382" s="177"/>
      <c r="G382" s="248">
        <f t="shared" si="29"/>
        <v>0</v>
      </c>
      <c r="H382" s="171"/>
      <c r="I382" s="177"/>
      <c r="J382" s="167"/>
      <c r="K382" s="181"/>
      <c r="L382" s="353"/>
      <c r="M382" s="624"/>
      <c r="N382" s="166"/>
      <c r="O382" s="202"/>
      <c r="P382" s="177"/>
      <c r="Q382" s="177"/>
      <c r="R382" s="248">
        <f t="shared" si="31"/>
        <v>0</v>
      </c>
      <c r="S382" s="171"/>
      <c r="T382" s="177"/>
      <c r="U382" s="167"/>
      <c r="V382" s="181"/>
    </row>
    <row r="383" spans="2:22" ht="15.5" hidden="1" x14ac:dyDescent="0.35">
      <c r="B383" s="622" t="s">
        <v>316</v>
      </c>
      <c r="C383" s="166"/>
      <c r="D383" s="202"/>
      <c r="E383" s="177"/>
      <c r="F383" s="177"/>
      <c r="G383" s="248">
        <f t="shared" si="29"/>
        <v>0</v>
      </c>
      <c r="H383" s="171"/>
      <c r="I383" s="177"/>
      <c r="J383" s="167"/>
      <c r="K383" s="181"/>
      <c r="L383" s="353"/>
      <c r="M383" s="622" t="s">
        <v>316</v>
      </c>
      <c r="N383" s="166"/>
      <c r="O383" s="202"/>
      <c r="P383" s="177"/>
      <c r="Q383" s="177"/>
      <c r="R383" s="248">
        <f t="shared" si="31"/>
        <v>0</v>
      </c>
      <c r="S383" s="171"/>
      <c r="T383" s="177"/>
      <c r="U383" s="167"/>
      <c r="V383" s="181"/>
    </row>
    <row r="384" spans="2:22" ht="15.5" hidden="1" x14ac:dyDescent="0.35">
      <c r="B384" s="623"/>
      <c r="C384" s="166"/>
      <c r="D384" s="202"/>
      <c r="E384" s="177"/>
      <c r="F384" s="177"/>
      <c r="G384" s="248">
        <f t="shared" si="29"/>
        <v>0</v>
      </c>
      <c r="H384" s="171"/>
      <c r="I384" s="177"/>
      <c r="J384" s="167"/>
      <c r="K384" s="181"/>
      <c r="L384" s="353"/>
      <c r="M384" s="623"/>
      <c r="N384" s="166"/>
      <c r="O384" s="202"/>
      <c r="P384" s="177"/>
      <c r="Q384" s="177"/>
      <c r="R384" s="248">
        <f t="shared" si="31"/>
        <v>0</v>
      </c>
      <c r="S384" s="171"/>
      <c r="T384" s="177"/>
      <c r="U384" s="167"/>
      <c r="V384" s="181"/>
    </row>
    <row r="385" spans="2:22" ht="15.5" hidden="1" x14ac:dyDescent="0.35">
      <c r="B385" s="623"/>
      <c r="C385" s="166"/>
      <c r="D385" s="202"/>
      <c r="E385" s="177"/>
      <c r="F385" s="177"/>
      <c r="G385" s="248">
        <f t="shared" si="29"/>
        <v>0</v>
      </c>
      <c r="H385" s="171"/>
      <c r="I385" s="177"/>
      <c r="J385" s="167"/>
      <c r="K385" s="181"/>
      <c r="L385" s="353"/>
      <c r="M385" s="623"/>
      <c r="N385" s="166"/>
      <c r="O385" s="202"/>
      <c r="P385" s="177"/>
      <c r="Q385" s="177"/>
      <c r="R385" s="248">
        <f t="shared" si="31"/>
        <v>0</v>
      </c>
      <c r="S385" s="171"/>
      <c r="T385" s="177"/>
      <c r="U385" s="167"/>
      <c r="V385" s="181"/>
    </row>
    <row r="386" spans="2:22" ht="15.5" hidden="1" x14ac:dyDescent="0.35">
      <c r="B386" s="623"/>
      <c r="C386" s="245"/>
      <c r="D386" s="202"/>
      <c r="E386" s="251"/>
      <c r="F386" s="251"/>
      <c r="G386" s="248">
        <f t="shared" si="29"/>
        <v>0</v>
      </c>
      <c r="H386" s="250"/>
      <c r="I386" s="251"/>
      <c r="J386" s="170"/>
      <c r="K386" s="181"/>
      <c r="L386" s="353"/>
      <c r="M386" s="623"/>
      <c r="N386" s="245"/>
      <c r="O386" s="202"/>
      <c r="P386" s="251"/>
      <c r="Q386" s="251"/>
      <c r="R386" s="248">
        <f t="shared" si="31"/>
        <v>0</v>
      </c>
      <c r="S386" s="250"/>
      <c r="T386" s="251"/>
      <c r="U386" s="170"/>
      <c r="V386" s="181"/>
    </row>
    <row r="387" spans="2:22" ht="15.5" hidden="1" x14ac:dyDescent="0.35">
      <c r="B387" s="624"/>
      <c r="C387" s="245"/>
      <c r="D387" s="202"/>
      <c r="E387" s="251"/>
      <c r="F387" s="251"/>
      <c r="G387" s="248">
        <f t="shared" si="29"/>
        <v>0</v>
      </c>
      <c r="H387" s="250"/>
      <c r="I387" s="251"/>
      <c r="J387" s="170"/>
      <c r="K387" s="181"/>
      <c r="L387" s="353"/>
      <c r="M387" s="624"/>
      <c r="N387" s="245"/>
      <c r="O387" s="202"/>
      <c r="P387" s="251"/>
      <c r="Q387" s="251"/>
      <c r="R387" s="248">
        <f t="shared" si="31"/>
        <v>0</v>
      </c>
      <c r="S387" s="250"/>
      <c r="T387" s="251"/>
      <c r="U387" s="170"/>
      <c r="V387" s="181"/>
    </row>
    <row r="388" spans="2:22" ht="15.5" x14ac:dyDescent="0.35">
      <c r="C388" s="73" t="s">
        <v>317</v>
      </c>
      <c r="D388" s="203">
        <f>SUM(D360:D387)</f>
        <v>0</v>
      </c>
      <c r="E388" s="12">
        <f>SUM(E360:E387)</f>
        <v>73891.8</v>
      </c>
      <c r="F388" s="12">
        <f>SUM(F360:F387)</f>
        <v>0</v>
      </c>
      <c r="G388" s="10">
        <f>SUM(G360:G387)</f>
        <v>73891.8</v>
      </c>
      <c r="H388" s="10">
        <f>(H360*G360)+(H361*G361)+(H362*G362)+(H363*G363)+(H364*G364)+(H365*G365)+(H366*G366)+(H367*G367)+(H368*G368)+(H369*G369)+(H370*G370)+(H371*G371)+(G372*H372)+(H374*G374)+(H375*G375)+(H377*G377)+(H378*G378)+(H379*G379)+(H380*G380)+(H381*G381)+(H382*G382)+(H383*G383)+(H384*G384)+(H385*G385)+(H386*G386)+(H387*G387)</f>
        <v>26056.720000000001</v>
      </c>
      <c r="I388" s="10">
        <f>SUM(I360:I387)</f>
        <v>0</v>
      </c>
      <c r="J388" s="170"/>
      <c r="K388" s="182"/>
      <c r="L388" s="353"/>
      <c r="N388" s="73" t="s">
        <v>317</v>
      </c>
      <c r="O388" s="203">
        <f>SUM(O360:O387)</f>
        <v>5000</v>
      </c>
      <c r="P388" s="12">
        <f>SUM(P360:P387)</f>
        <v>74578.09</v>
      </c>
      <c r="Q388" s="12">
        <f>SUM(Q360:Q387)</f>
        <v>0</v>
      </c>
      <c r="R388" s="10">
        <f>SUM(R360:R387)</f>
        <v>79578.09</v>
      </c>
      <c r="S388" s="10">
        <f>(S360*R360)+(S361*R361)+(S362*R362)+(S363*R363)+(S364*R364)+(S365*R365)+(S366*R366)+(S367*R367)+(S368*R368)+(S369*R369)+(S370*R370)+(S371*R371)+(R372*S372)+(S374*R374)+(S375*R375)+(S377*R377)+(S378*R378)+(S379*R379)+(S380*R380)+(S381*R381)+(S382*R382)+(S383*R383)+(S384*R384)+(S385*R385)+(S386*R386)+(S387*R387)</f>
        <v>23231.236000000001</v>
      </c>
      <c r="T388" s="10">
        <f>SUM(T360:T387)</f>
        <v>75549</v>
      </c>
      <c r="U388" s="170"/>
      <c r="V388" s="182"/>
    </row>
    <row r="389" spans="2:22" ht="15.5" hidden="1" x14ac:dyDescent="0.35">
      <c r="B389" s="73" t="s">
        <v>318</v>
      </c>
      <c r="C389" s="630"/>
      <c r="D389" s="630"/>
      <c r="E389" s="630"/>
      <c r="F389" s="630"/>
      <c r="G389" s="630"/>
      <c r="H389" s="630"/>
      <c r="I389" s="631"/>
      <c r="J389" s="630"/>
      <c r="K389" s="183"/>
      <c r="L389" s="353"/>
      <c r="M389" s="73" t="s">
        <v>318</v>
      </c>
      <c r="N389" s="630"/>
      <c r="O389" s="630"/>
      <c r="P389" s="630"/>
      <c r="Q389" s="630"/>
      <c r="R389" s="630"/>
      <c r="S389" s="630"/>
      <c r="T389" s="631"/>
      <c r="U389" s="630"/>
      <c r="V389" s="183"/>
    </row>
    <row r="390" spans="2:22" ht="15.5" hidden="1" x14ac:dyDescent="0.35">
      <c r="B390" s="622" t="s">
        <v>319</v>
      </c>
      <c r="C390" s="166"/>
      <c r="D390" s="202"/>
      <c r="E390" s="177"/>
      <c r="F390" s="177"/>
      <c r="G390" s="248">
        <f>D390+E390+F390</f>
        <v>0</v>
      </c>
      <c r="H390" s="171"/>
      <c r="I390" s="177"/>
      <c r="J390" s="167"/>
      <c r="K390" s="181"/>
      <c r="L390" s="353"/>
      <c r="M390" s="622" t="s">
        <v>319</v>
      </c>
      <c r="N390" s="166"/>
      <c r="O390" s="202"/>
      <c r="P390" s="177"/>
      <c r="Q390" s="177"/>
      <c r="R390" s="248">
        <f>O390+P390+Q390</f>
        <v>0</v>
      </c>
      <c r="S390" s="171"/>
      <c r="T390" s="177"/>
      <c r="U390" s="167"/>
      <c r="V390" s="181"/>
    </row>
    <row r="391" spans="2:22" ht="15.5" hidden="1" x14ac:dyDescent="0.35">
      <c r="B391" s="623"/>
      <c r="C391" s="166"/>
      <c r="D391" s="202"/>
      <c r="E391" s="177"/>
      <c r="F391" s="177"/>
      <c r="G391" s="248">
        <f t="shared" ref="G391:G399" si="32">D391+E391+F391</f>
        <v>0</v>
      </c>
      <c r="H391" s="171"/>
      <c r="I391" s="177"/>
      <c r="J391" s="167"/>
      <c r="K391" s="181"/>
      <c r="L391" s="353"/>
      <c r="M391" s="623"/>
      <c r="N391" s="166"/>
      <c r="O391" s="202"/>
      <c r="P391" s="177"/>
      <c r="Q391" s="177"/>
      <c r="R391" s="248">
        <f t="shared" ref="R391:R399" si="33">O391+P391+Q391</f>
        <v>0</v>
      </c>
      <c r="S391" s="171"/>
      <c r="T391" s="177"/>
      <c r="U391" s="167"/>
      <c r="V391" s="181"/>
    </row>
    <row r="392" spans="2:22" ht="15.5" hidden="1" x14ac:dyDescent="0.35">
      <c r="B392" s="623"/>
      <c r="C392" s="166"/>
      <c r="D392" s="202"/>
      <c r="E392" s="177"/>
      <c r="F392" s="177"/>
      <c r="G392" s="248">
        <f t="shared" si="32"/>
        <v>0</v>
      </c>
      <c r="H392" s="171"/>
      <c r="I392" s="177"/>
      <c r="J392" s="167"/>
      <c r="K392" s="181"/>
      <c r="L392" s="353"/>
      <c r="M392" s="623"/>
      <c r="N392" s="166"/>
      <c r="O392" s="202"/>
      <c r="P392" s="177"/>
      <c r="Q392" s="177"/>
      <c r="R392" s="248">
        <f t="shared" si="33"/>
        <v>0</v>
      </c>
      <c r="S392" s="171"/>
      <c r="T392" s="177"/>
      <c r="U392" s="167"/>
      <c r="V392" s="181"/>
    </row>
    <row r="393" spans="2:22" ht="15.5" hidden="1" x14ac:dyDescent="0.35">
      <c r="B393" s="623"/>
      <c r="C393" s="166"/>
      <c r="D393" s="202"/>
      <c r="E393" s="177"/>
      <c r="F393" s="177"/>
      <c r="G393" s="248">
        <f t="shared" si="32"/>
        <v>0</v>
      </c>
      <c r="H393" s="171"/>
      <c r="I393" s="177"/>
      <c r="J393" s="167"/>
      <c r="K393" s="181"/>
      <c r="L393" s="353"/>
      <c r="M393" s="623"/>
      <c r="N393" s="166"/>
      <c r="O393" s="202"/>
      <c r="P393" s="177"/>
      <c r="Q393" s="177"/>
      <c r="R393" s="248">
        <f t="shared" si="33"/>
        <v>0</v>
      </c>
      <c r="S393" s="171"/>
      <c r="T393" s="177"/>
      <c r="U393" s="167"/>
      <c r="V393" s="181"/>
    </row>
    <row r="394" spans="2:22" ht="15.5" hidden="1" x14ac:dyDescent="0.35">
      <c r="B394" s="624"/>
      <c r="C394" s="166"/>
      <c r="D394" s="202"/>
      <c r="E394" s="177"/>
      <c r="F394" s="177"/>
      <c r="G394" s="248">
        <f t="shared" si="32"/>
        <v>0</v>
      </c>
      <c r="H394" s="171"/>
      <c r="I394" s="177"/>
      <c r="J394" s="167"/>
      <c r="K394" s="181"/>
      <c r="L394" s="353"/>
      <c r="M394" s="624"/>
      <c r="N394" s="166"/>
      <c r="O394" s="202"/>
      <c r="P394" s="177"/>
      <c r="Q394" s="177"/>
      <c r="R394" s="248">
        <f t="shared" si="33"/>
        <v>0</v>
      </c>
      <c r="S394" s="171"/>
      <c r="T394" s="177"/>
      <c r="U394" s="167"/>
      <c r="V394" s="181"/>
    </row>
    <row r="395" spans="2:22" ht="15.5" hidden="1" x14ac:dyDescent="0.35">
      <c r="B395" s="622" t="s">
        <v>320</v>
      </c>
      <c r="C395" s="166"/>
      <c r="D395" s="202"/>
      <c r="E395" s="177"/>
      <c r="F395" s="177"/>
      <c r="G395" s="248">
        <f t="shared" si="32"/>
        <v>0</v>
      </c>
      <c r="H395" s="171"/>
      <c r="I395" s="177"/>
      <c r="J395" s="167"/>
      <c r="K395" s="181"/>
      <c r="L395" s="353"/>
      <c r="M395" s="622" t="s">
        <v>320</v>
      </c>
      <c r="N395" s="166"/>
      <c r="O395" s="202"/>
      <c r="P395" s="177"/>
      <c r="Q395" s="177"/>
      <c r="R395" s="248">
        <f t="shared" si="33"/>
        <v>0</v>
      </c>
      <c r="S395" s="171"/>
      <c r="T395" s="177"/>
      <c r="U395" s="167"/>
      <c r="V395" s="181"/>
    </row>
    <row r="396" spans="2:22" ht="15.5" hidden="1" x14ac:dyDescent="0.35">
      <c r="B396" s="623"/>
      <c r="C396" s="166"/>
      <c r="D396" s="202"/>
      <c r="E396" s="177"/>
      <c r="F396" s="177"/>
      <c r="G396" s="248">
        <f t="shared" si="32"/>
        <v>0</v>
      </c>
      <c r="H396" s="171"/>
      <c r="I396" s="177"/>
      <c r="J396" s="167"/>
      <c r="K396" s="181"/>
      <c r="L396" s="353"/>
      <c r="M396" s="623"/>
      <c r="N396" s="166"/>
      <c r="O396" s="202"/>
      <c r="P396" s="177"/>
      <c r="Q396" s="177"/>
      <c r="R396" s="248">
        <f t="shared" si="33"/>
        <v>0</v>
      </c>
      <c r="S396" s="171"/>
      <c r="T396" s="177"/>
      <c r="U396" s="167"/>
      <c r="V396" s="181"/>
    </row>
    <row r="397" spans="2:22" ht="15.5" hidden="1" x14ac:dyDescent="0.35">
      <c r="B397" s="623"/>
      <c r="C397" s="166"/>
      <c r="D397" s="202"/>
      <c r="E397" s="177"/>
      <c r="F397" s="177"/>
      <c r="G397" s="248">
        <f t="shared" si="32"/>
        <v>0</v>
      </c>
      <c r="H397" s="171"/>
      <c r="I397" s="177"/>
      <c r="J397" s="167"/>
      <c r="K397" s="181"/>
      <c r="L397" s="353"/>
      <c r="M397" s="623"/>
      <c r="N397" s="166"/>
      <c r="O397" s="202"/>
      <c r="P397" s="177"/>
      <c r="Q397" s="177"/>
      <c r="R397" s="248">
        <f t="shared" si="33"/>
        <v>0</v>
      </c>
      <c r="S397" s="171"/>
      <c r="T397" s="177"/>
      <c r="U397" s="167"/>
      <c r="V397" s="181"/>
    </row>
    <row r="398" spans="2:22" ht="15.5" hidden="1" x14ac:dyDescent="0.35">
      <c r="B398" s="623"/>
      <c r="C398" s="166"/>
      <c r="D398" s="202"/>
      <c r="E398" s="177"/>
      <c r="F398" s="177"/>
      <c r="G398" s="248">
        <f t="shared" si="32"/>
        <v>0</v>
      </c>
      <c r="H398" s="171"/>
      <c r="I398" s="177"/>
      <c r="J398" s="167"/>
      <c r="K398" s="181"/>
      <c r="L398" s="353"/>
      <c r="M398" s="623"/>
      <c r="N398" s="166"/>
      <c r="O398" s="202"/>
      <c r="P398" s="177"/>
      <c r="Q398" s="177"/>
      <c r="R398" s="248">
        <f t="shared" si="33"/>
        <v>0</v>
      </c>
      <c r="S398" s="171"/>
      <c r="T398" s="177"/>
      <c r="U398" s="167"/>
      <c r="V398" s="181"/>
    </row>
    <row r="399" spans="2:22" ht="15.5" hidden="1" x14ac:dyDescent="0.35">
      <c r="B399" s="624"/>
      <c r="C399" s="166"/>
      <c r="D399" s="202"/>
      <c r="E399" s="177"/>
      <c r="F399" s="177"/>
      <c r="G399" s="248">
        <f t="shared" si="32"/>
        <v>0</v>
      </c>
      <c r="H399" s="171"/>
      <c r="I399" s="177"/>
      <c r="J399" s="167"/>
      <c r="K399" s="181"/>
      <c r="L399" s="353"/>
      <c r="M399" s="624"/>
      <c r="N399" s="166"/>
      <c r="O399" s="202"/>
      <c r="P399" s="177"/>
      <c r="Q399" s="177"/>
      <c r="R399" s="248">
        <f t="shared" si="33"/>
        <v>0</v>
      </c>
      <c r="S399" s="171"/>
      <c r="T399" s="177"/>
      <c r="U399" s="167"/>
      <c r="V399" s="181"/>
    </row>
    <row r="400" spans="2:22" ht="15.5" hidden="1" x14ac:dyDescent="0.35">
      <c r="C400" s="73" t="s">
        <v>321</v>
      </c>
      <c r="D400" s="201">
        <f>SUM(D390:D399)</f>
        <v>0</v>
      </c>
      <c r="E400" s="10">
        <f>SUM(E390:E399)</f>
        <v>0</v>
      </c>
      <c r="F400" s="10">
        <f>SUM(F390:F399)</f>
        <v>0</v>
      </c>
      <c r="G400" s="10">
        <f>SUM(G390:G399)</f>
        <v>0</v>
      </c>
      <c r="H400" s="10">
        <f>(H390*G390)+(H391*G391)+(H392*G392)+(H393*G393)+(H394*G394)+(H395*G395)+(H396*G396)+(H397*G397)+(H398*G398)+(H399*G399)</f>
        <v>0</v>
      </c>
      <c r="I400" s="10">
        <f>SUM(I390:I399)</f>
        <v>0</v>
      </c>
      <c r="J400" s="170"/>
      <c r="K400" s="182"/>
      <c r="L400" s="353"/>
      <c r="N400" s="73" t="s">
        <v>321</v>
      </c>
      <c r="O400" s="201">
        <f>SUM(O390:O399)</f>
        <v>0</v>
      </c>
      <c r="P400" s="10">
        <f>SUM(P390:P399)</f>
        <v>0</v>
      </c>
      <c r="Q400" s="10">
        <f>SUM(Q390:Q399)</f>
        <v>0</v>
      </c>
      <c r="R400" s="10">
        <f>SUM(R390:R399)</f>
        <v>0</v>
      </c>
      <c r="S400" s="10">
        <f>(S390*R390)+(S391*R391)+(S392*R392)+(S393*R393)+(S394*R394)+(S395*R395)+(S396*R396)+(S397*R397)+(S398*R398)+(S399*R399)</f>
        <v>0</v>
      </c>
      <c r="T400" s="10">
        <f>SUM(T390:T399)</f>
        <v>0</v>
      </c>
      <c r="U400" s="170"/>
      <c r="V400" s="182"/>
    </row>
    <row r="401" spans="2:22" ht="15.75" hidden="1" customHeight="1" x14ac:dyDescent="0.35">
      <c r="B401" s="4"/>
      <c r="C401" s="252"/>
      <c r="D401" s="258"/>
      <c r="E401" s="259"/>
      <c r="F401" s="259"/>
      <c r="G401" s="259"/>
      <c r="H401" s="259"/>
      <c r="I401" s="259"/>
      <c r="J401" s="260"/>
      <c r="K401" s="186"/>
      <c r="L401" s="353"/>
      <c r="M401" s="4"/>
      <c r="N401" s="252"/>
      <c r="O401" s="258"/>
      <c r="P401" s="259"/>
      <c r="Q401" s="259"/>
      <c r="R401" s="259"/>
      <c r="S401" s="259"/>
      <c r="T401" s="259"/>
      <c r="U401" s="260"/>
      <c r="V401" s="186"/>
    </row>
    <row r="402" spans="2:22" ht="15.5" x14ac:dyDescent="0.35">
      <c r="B402" s="73" t="s">
        <v>322</v>
      </c>
      <c r="C402" s="634" t="s">
        <v>323</v>
      </c>
      <c r="D402" s="634"/>
      <c r="E402" s="634"/>
      <c r="F402" s="634"/>
      <c r="G402" s="634"/>
      <c r="H402" s="634"/>
      <c r="I402" s="635"/>
      <c r="J402" s="634"/>
      <c r="K402" s="185"/>
      <c r="L402" s="353"/>
      <c r="M402" s="73" t="s">
        <v>322</v>
      </c>
      <c r="N402" s="634" t="s">
        <v>323</v>
      </c>
      <c r="O402" s="634"/>
      <c r="P402" s="634"/>
      <c r="Q402" s="634"/>
      <c r="R402" s="634"/>
      <c r="S402" s="634"/>
      <c r="T402" s="635"/>
      <c r="U402" s="634"/>
      <c r="V402" s="185"/>
    </row>
    <row r="403" spans="2:22" ht="29.5" customHeight="1" x14ac:dyDescent="0.35">
      <c r="B403" s="72" t="s">
        <v>24</v>
      </c>
      <c r="C403" s="630" t="s">
        <v>324</v>
      </c>
      <c r="D403" s="630"/>
      <c r="E403" s="630"/>
      <c r="F403" s="630"/>
      <c r="G403" s="630"/>
      <c r="H403" s="630"/>
      <c r="I403" s="631"/>
      <c r="J403" s="630"/>
      <c r="K403" s="183"/>
      <c r="L403" s="353"/>
      <c r="M403" s="72" t="s">
        <v>24</v>
      </c>
      <c r="N403" s="630" t="s">
        <v>324</v>
      </c>
      <c r="O403" s="630"/>
      <c r="P403" s="630"/>
      <c r="Q403" s="630"/>
      <c r="R403" s="630"/>
      <c r="S403" s="630"/>
      <c r="T403" s="631"/>
      <c r="U403" s="630"/>
      <c r="V403" s="183"/>
    </row>
    <row r="404" spans="2:22" ht="33" customHeight="1" x14ac:dyDescent="0.35">
      <c r="B404" s="622" t="s">
        <v>325</v>
      </c>
      <c r="C404" s="166" t="s">
        <v>326</v>
      </c>
      <c r="D404" s="202">
        <v>9000</v>
      </c>
      <c r="E404" s="177"/>
      <c r="F404" s="177"/>
      <c r="G404" s="248">
        <f>D404+E404+F404</f>
        <v>9000</v>
      </c>
      <c r="H404" s="171">
        <v>0.4</v>
      </c>
      <c r="I404" s="177"/>
      <c r="J404" s="167" t="s">
        <v>327</v>
      </c>
      <c r="K404" s="181">
        <v>4</v>
      </c>
      <c r="L404" s="353"/>
      <c r="M404" s="622" t="s">
        <v>325</v>
      </c>
      <c r="N404" s="166" t="s">
        <v>326</v>
      </c>
      <c r="O404" s="202">
        <v>9000</v>
      </c>
      <c r="P404" s="177"/>
      <c r="Q404" s="177"/>
      <c r="R404" s="248">
        <f>O404+P404+Q404</f>
        <v>9000</v>
      </c>
      <c r="S404" s="171">
        <v>0.4</v>
      </c>
      <c r="T404" s="527">
        <v>9000</v>
      </c>
      <c r="U404" s="167" t="s">
        <v>327</v>
      </c>
      <c r="V404" s="181">
        <v>4</v>
      </c>
    </row>
    <row r="405" spans="2:22" ht="15.5" x14ac:dyDescent="0.35">
      <c r="B405" s="623"/>
      <c r="C405" s="166"/>
      <c r="D405" s="202"/>
      <c r="E405" s="177"/>
      <c r="F405" s="177"/>
      <c r="G405" s="248">
        <f t="shared" ref="G405:G419" si="34">D405+E405+F405</f>
        <v>0</v>
      </c>
      <c r="H405" s="171"/>
      <c r="I405" s="177"/>
      <c r="J405" s="167"/>
      <c r="K405" s="181"/>
      <c r="L405" s="353"/>
      <c r="M405" s="623"/>
      <c r="N405" s="166"/>
      <c r="O405" s="202"/>
      <c r="P405" s="177"/>
      <c r="Q405" s="177"/>
      <c r="R405" s="248">
        <f t="shared" ref="R405:R408" si="35">O405+P405+Q405</f>
        <v>0</v>
      </c>
      <c r="S405" s="171"/>
      <c r="T405" s="527"/>
      <c r="U405" s="167"/>
      <c r="V405" s="181"/>
    </row>
    <row r="406" spans="2:22" ht="15.5" x14ac:dyDescent="0.35">
      <c r="B406" s="623"/>
      <c r="C406" s="166"/>
      <c r="D406" s="202"/>
      <c r="E406" s="177"/>
      <c r="F406" s="177"/>
      <c r="G406" s="248">
        <f t="shared" si="34"/>
        <v>0</v>
      </c>
      <c r="H406" s="171"/>
      <c r="I406" s="177"/>
      <c r="J406" s="167"/>
      <c r="K406" s="181"/>
      <c r="L406" s="353"/>
      <c r="M406" s="623"/>
      <c r="N406" s="166"/>
      <c r="O406" s="202"/>
      <c r="P406" s="177"/>
      <c r="Q406" s="177"/>
      <c r="R406" s="248">
        <f t="shared" si="35"/>
        <v>0</v>
      </c>
      <c r="S406" s="171"/>
      <c r="T406" s="527"/>
      <c r="U406" s="167"/>
      <c r="V406" s="181"/>
    </row>
    <row r="407" spans="2:22" ht="15.5" x14ac:dyDescent="0.35">
      <c r="B407" s="623"/>
      <c r="C407" s="166"/>
      <c r="D407" s="202"/>
      <c r="E407" s="177"/>
      <c r="F407" s="177"/>
      <c r="G407" s="248">
        <f t="shared" si="34"/>
        <v>0</v>
      </c>
      <c r="H407" s="171"/>
      <c r="I407" s="177"/>
      <c r="J407" s="167"/>
      <c r="K407" s="181"/>
      <c r="L407" s="353"/>
      <c r="M407" s="623"/>
      <c r="N407" s="166"/>
      <c r="O407" s="202"/>
      <c r="P407" s="177"/>
      <c r="Q407" s="177"/>
      <c r="R407" s="248">
        <f t="shared" si="35"/>
        <v>0</v>
      </c>
      <c r="S407" s="171"/>
      <c r="T407" s="527"/>
      <c r="U407" s="167"/>
      <c r="V407" s="181"/>
    </row>
    <row r="408" spans="2:22" ht="15.5" x14ac:dyDescent="0.35">
      <c r="B408" s="624"/>
      <c r="C408" s="166"/>
      <c r="D408" s="202"/>
      <c r="E408" s="177"/>
      <c r="F408" s="177"/>
      <c r="G408" s="248">
        <f t="shared" si="34"/>
        <v>0</v>
      </c>
      <c r="H408" s="171"/>
      <c r="I408" s="177"/>
      <c r="J408" s="167"/>
      <c r="K408" s="181"/>
      <c r="L408" s="353"/>
      <c r="M408" s="624"/>
      <c r="N408" s="166"/>
      <c r="O408" s="202"/>
      <c r="P408" s="177"/>
      <c r="Q408" s="177"/>
      <c r="R408" s="248">
        <f t="shared" si="35"/>
        <v>0</v>
      </c>
      <c r="S408" s="171"/>
      <c r="T408" s="527"/>
      <c r="U408" s="167"/>
      <c r="V408" s="181"/>
    </row>
    <row r="409" spans="2:22" ht="31" x14ac:dyDescent="0.35">
      <c r="B409" s="622" t="s">
        <v>328</v>
      </c>
      <c r="C409" s="166" t="s">
        <v>329</v>
      </c>
      <c r="D409" s="202">
        <v>498.93</v>
      </c>
      <c r="E409" s="177"/>
      <c r="F409" s="177"/>
      <c r="G409" s="248">
        <f t="shared" si="34"/>
        <v>498.93</v>
      </c>
      <c r="H409" s="171"/>
      <c r="I409" s="177"/>
      <c r="J409" s="167" t="s">
        <v>330</v>
      </c>
      <c r="K409" s="181">
        <v>4</v>
      </c>
      <c r="L409" s="353"/>
      <c r="M409" s="622" t="s">
        <v>328</v>
      </c>
      <c r="N409" s="166" t="s">
        <v>329</v>
      </c>
      <c r="O409" s="202">
        <v>498.93</v>
      </c>
      <c r="P409" s="177"/>
      <c r="Q409" s="177"/>
      <c r="R409" s="248">
        <f t="shared" ref="R409:R428" si="36">O409+P409+Q409</f>
        <v>498.93</v>
      </c>
      <c r="S409" s="171"/>
      <c r="T409" s="527">
        <v>498.93</v>
      </c>
      <c r="U409" s="167" t="s">
        <v>330</v>
      </c>
      <c r="V409" s="181">
        <v>4</v>
      </c>
    </row>
    <row r="410" spans="2:22" ht="33" customHeight="1" x14ac:dyDescent="0.35">
      <c r="B410" s="623"/>
      <c r="C410" s="166" t="s">
        <v>331</v>
      </c>
      <c r="D410" s="202">
        <v>4445</v>
      </c>
      <c r="E410" s="177"/>
      <c r="F410" s="177"/>
      <c r="G410" s="248">
        <f t="shared" si="34"/>
        <v>4445</v>
      </c>
      <c r="H410" s="171">
        <v>0.3</v>
      </c>
      <c r="I410" s="177"/>
      <c r="J410" s="167" t="s">
        <v>330</v>
      </c>
      <c r="K410" s="181">
        <v>4</v>
      </c>
      <c r="L410" s="353"/>
      <c r="M410" s="623"/>
      <c r="N410" s="166" t="s">
        <v>331</v>
      </c>
      <c r="O410" s="202">
        <v>4445</v>
      </c>
      <c r="P410" s="177"/>
      <c r="Q410" s="177"/>
      <c r="R410" s="248">
        <f t="shared" si="36"/>
        <v>4445</v>
      </c>
      <c r="S410" s="171">
        <v>0.3</v>
      </c>
      <c r="T410" s="527">
        <v>4445</v>
      </c>
      <c r="U410" s="167" t="s">
        <v>330</v>
      </c>
      <c r="V410" s="181">
        <v>4</v>
      </c>
    </row>
    <row r="411" spans="2:22" ht="31" x14ac:dyDescent="0.35">
      <c r="B411" s="623"/>
      <c r="C411" s="166" t="s">
        <v>332</v>
      </c>
      <c r="D411" s="202">
        <v>2500</v>
      </c>
      <c r="E411" s="177"/>
      <c r="F411" s="177"/>
      <c r="G411" s="248">
        <f t="shared" si="34"/>
        <v>2500</v>
      </c>
      <c r="H411" s="171">
        <v>0.3</v>
      </c>
      <c r="I411" s="177"/>
      <c r="J411" s="167" t="s">
        <v>333</v>
      </c>
      <c r="K411" s="181">
        <v>7</v>
      </c>
      <c r="L411" s="353"/>
      <c r="M411" s="623"/>
      <c r="N411" s="166" t="s">
        <v>332</v>
      </c>
      <c r="O411" s="202">
        <v>2500</v>
      </c>
      <c r="P411" s="177"/>
      <c r="Q411" s="177"/>
      <c r="R411" s="248">
        <f t="shared" si="36"/>
        <v>2500</v>
      </c>
      <c r="S411" s="171">
        <v>0.3</v>
      </c>
      <c r="T411" s="527">
        <v>2500</v>
      </c>
      <c r="U411" s="167" t="s">
        <v>333</v>
      </c>
      <c r="V411" s="181">
        <v>7</v>
      </c>
    </row>
    <row r="412" spans="2:22" ht="15.5" x14ac:dyDescent="0.35">
      <c r="B412" s="623"/>
      <c r="C412" s="166"/>
      <c r="D412" s="202"/>
      <c r="E412" s="177"/>
      <c r="F412" s="177"/>
      <c r="G412" s="248">
        <f t="shared" si="34"/>
        <v>0</v>
      </c>
      <c r="H412" s="171"/>
      <c r="I412" s="177"/>
      <c r="J412" s="167"/>
      <c r="K412" s="181"/>
      <c r="L412" s="353"/>
      <c r="M412" s="623"/>
      <c r="N412" s="166"/>
      <c r="O412" s="202"/>
      <c r="P412" s="177"/>
      <c r="Q412" s="177"/>
      <c r="R412" s="248">
        <f t="shared" si="36"/>
        <v>0</v>
      </c>
      <c r="S412" s="171"/>
      <c r="T412" s="527"/>
      <c r="U412" s="167"/>
      <c r="V412" s="181"/>
    </row>
    <row r="413" spans="2:22" ht="15.5" x14ac:dyDescent="0.35">
      <c r="B413" s="624"/>
      <c r="C413" s="166"/>
      <c r="D413" s="202"/>
      <c r="E413" s="177"/>
      <c r="F413" s="177"/>
      <c r="G413" s="248">
        <f t="shared" si="34"/>
        <v>0</v>
      </c>
      <c r="H413" s="171"/>
      <c r="I413" s="177"/>
      <c r="J413" s="167"/>
      <c r="K413" s="181"/>
      <c r="L413" s="353"/>
      <c r="M413" s="624"/>
      <c r="N413" s="166"/>
      <c r="O413" s="202"/>
      <c r="P413" s="177"/>
      <c r="Q413" s="177"/>
      <c r="R413" s="248">
        <f t="shared" si="36"/>
        <v>0</v>
      </c>
      <c r="S413" s="171"/>
      <c r="T413" s="527"/>
      <c r="U413" s="167"/>
      <c r="V413" s="181"/>
    </row>
    <row r="414" spans="2:22" ht="31" x14ac:dyDescent="0.35">
      <c r="B414" s="622" t="s">
        <v>334</v>
      </c>
      <c r="C414" s="166" t="s">
        <v>335</v>
      </c>
      <c r="D414" s="202">
        <v>10212.978999999999</v>
      </c>
      <c r="E414" s="177"/>
      <c r="F414" s="177"/>
      <c r="G414" s="248">
        <f t="shared" si="34"/>
        <v>10212.978999999999</v>
      </c>
      <c r="H414" s="171">
        <v>0.3</v>
      </c>
      <c r="I414" s="177"/>
      <c r="J414" s="167" t="s">
        <v>336</v>
      </c>
      <c r="K414" s="181">
        <v>6</v>
      </c>
      <c r="L414" s="353"/>
      <c r="M414" s="622" t="s">
        <v>334</v>
      </c>
      <c r="N414" s="166" t="s">
        <v>335</v>
      </c>
      <c r="O414" s="202">
        <v>10212.978999999999</v>
      </c>
      <c r="P414" s="177"/>
      <c r="Q414" s="177"/>
      <c r="R414" s="248">
        <f t="shared" si="36"/>
        <v>10212.978999999999</v>
      </c>
      <c r="S414" s="171">
        <v>0.3</v>
      </c>
      <c r="T414" s="527">
        <v>10212.98</v>
      </c>
      <c r="U414" s="167" t="s">
        <v>336</v>
      </c>
      <c r="V414" s="181">
        <v>6</v>
      </c>
    </row>
    <row r="415" spans="2:22" ht="15.5" hidden="1" x14ac:dyDescent="0.35">
      <c r="B415" s="623"/>
      <c r="C415" s="166"/>
      <c r="D415" s="202"/>
      <c r="E415" s="177"/>
      <c r="F415" s="177"/>
      <c r="G415" s="248">
        <f t="shared" si="34"/>
        <v>0</v>
      </c>
      <c r="H415" s="171"/>
      <c r="I415" s="177"/>
      <c r="J415" s="167"/>
      <c r="K415" s="181"/>
      <c r="L415" s="353"/>
      <c r="M415" s="623"/>
      <c r="N415" s="166"/>
      <c r="O415" s="202"/>
      <c r="P415" s="177"/>
      <c r="Q415" s="177"/>
      <c r="R415" s="248">
        <f t="shared" si="36"/>
        <v>0</v>
      </c>
      <c r="S415" s="171"/>
      <c r="T415" s="527"/>
      <c r="U415" s="167"/>
      <c r="V415" s="181"/>
    </row>
    <row r="416" spans="2:22" ht="15.5" hidden="1" x14ac:dyDescent="0.35">
      <c r="B416" s="623"/>
      <c r="C416" s="166"/>
      <c r="D416" s="202"/>
      <c r="E416" s="177"/>
      <c r="F416" s="177"/>
      <c r="G416" s="248">
        <f t="shared" si="34"/>
        <v>0</v>
      </c>
      <c r="H416" s="171"/>
      <c r="I416" s="177"/>
      <c r="J416" s="167"/>
      <c r="K416" s="181"/>
      <c r="L416" s="353"/>
      <c r="M416" s="623"/>
      <c r="N416" s="166"/>
      <c r="O416" s="202"/>
      <c r="P416" s="177"/>
      <c r="Q416" s="177"/>
      <c r="R416" s="248">
        <f t="shared" si="36"/>
        <v>0</v>
      </c>
      <c r="S416" s="171"/>
      <c r="T416" s="527"/>
      <c r="U416" s="167"/>
      <c r="V416" s="181"/>
    </row>
    <row r="417" spans="2:22" ht="15.5" hidden="1" x14ac:dyDescent="0.35">
      <c r="B417" s="623"/>
      <c r="C417" s="166"/>
      <c r="D417" s="202"/>
      <c r="E417" s="177"/>
      <c r="F417" s="177"/>
      <c r="G417" s="248">
        <f t="shared" si="34"/>
        <v>0</v>
      </c>
      <c r="H417" s="171"/>
      <c r="I417" s="177"/>
      <c r="J417" s="167"/>
      <c r="K417" s="181"/>
      <c r="L417" s="353"/>
      <c r="M417" s="623"/>
      <c r="N417" s="166"/>
      <c r="O417" s="202"/>
      <c r="P417" s="177"/>
      <c r="Q417" s="177"/>
      <c r="R417" s="248">
        <f t="shared" si="36"/>
        <v>0</v>
      </c>
      <c r="S417" s="171"/>
      <c r="T417" s="527"/>
      <c r="U417" s="167"/>
      <c r="V417" s="181"/>
    </row>
    <row r="418" spans="2:22" ht="15.5" hidden="1" x14ac:dyDescent="0.35">
      <c r="B418" s="624"/>
      <c r="C418" s="166"/>
      <c r="D418" s="202"/>
      <c r="E418" s="177"/>
      <c r="F418" s="177"/>
      <c r="G418" s="248">
        <f t="shared" si="34"/>
        <v>0</v>
      </c>
      <c r="H418" s="171"/>
      <c r="I418" s="177"/>
      <c r="J418" s="167"/>
      <c r="K418" s="181"/>
      <c r="L418" s="353"/>
      <c r="M418" s="624"/>
      <c r="N418" s="166"/>
      <c r="O418" s="202"/>
      <c r="P418" s="177"/>
      <c r="Q418" s="177"/>
      <c r="R418" s="248">
        <f t="shared" si="36"/>
        <v>0</v>
      </c>
      <c r="S418" s="171"/>
      <c r="T418" s="527"/>
      <c r="U418" s="167"/>
      <c r="V418" s="181"/>
    </row>
    <row r="419" spans="2:22" ht="15.5" hidden="1" x14ac:dyDescent="0.35">
      <c r="B419" s="622" t="s">
        <v>337</v>
      </c>
      <c r="C419" s="166"/>
      <c r="D419" s="202"/>
      <c r="E419" s="177"/>
      <c r="F419" s="177"/>
      <c r="G419" s="248">
        <f t="shared" si="34"/>
        <v>0</v>
      </c>
      <c r="H419" s="171"/>
      <c r="I419" s="177"/>
      <c r="J419" s="167"/>
      <c r="K419" s="181"/>
      <c r="L419" s="353"/>
      <c r="M419" s="622" t="s">
        <v>337</v>
      </c>
      <c r="N419" s="166"/>
      <c r="O419" s="202"/>
      <c r="P419" s="177"/>
      <c r="Q419" s="177"/>
      <c r="R419" s="248">
        <f t="shared" si="36"/>
        <v>0</v>
      </c>
      <c r="S419" s="171"/>
      <c r="T419" s="177"/>
      <c r="U419" s="167"/>
      <c r="V419" s="181"/>
    </row>
    <row r="420" spans="2:22" ht="15.5" hidden="1" x14ac:dyDescent="0.35">
      <c r="B420" s="623"/>
      <c r="C420" s="166"/>
      <c r="D420" s="202"/>
      <c r="E420" s="177"/>
      <c r="F420" s="177"/>
      <c r="G420" s="248">
        <f t="shared" ref="G420:G428" si="37">D420+E420+F420</f>
        <v>0</v>
      </c>
      <c r="H420" s="171"/>
      <c r="I420" s="177"/>
      <c r="J420" s="167"/>
      <c r="K420" s="181"/>
      <c r="L420" s="353"/>
      <c r="M420" s="623"/>
      <c r="N420" s="166"/>
      <c r="O420" s="202"/>
      <c r="P420" s="177"/>
      <c r="Q420" s="177"/>
      <c r="R420" s="248">
        <f t="shared" si="36"/>
        <v>0</v>
      </c>
      <c r="S420" s="171"/>
      <c r="T420" s="177"/>
      <c r="U420" s="167"/>
      <c r="V420" s="181"/>
    </row>
    <row r="421" spans="2:22" ht="15.5" hidden="1" x14ac:dyDescent="0.35">
      <c r="B421" s="623"/>
      <c r="C421" s="166"/>
      <c r="D421" s="202"/>
      <c r="E421" s="177"/>
      <c r="F421" s="177"/>
      <c r="G421" s="248">
        <f t="shared" si="37"/>
        <v>0</v>
      </c>
      <c r="H421" s="171"/>
      <c r="I421" s="177"/>
      <c r="J421" s="167"/>
      <c r="K421" s="181"/>
      <c r="L421" s="353"/>
      <c r="M421" s="623"/>
      <c r="N421" s="166"/>
      <c r="O421" s="202"/>
      <c r="P421" s="177"/>
      <c r="Q421" s="177"/>
      <c r="R421" s="248">
        <f t="shared" si="36"/>
        <v>0</v>
      </c>
      <c r="S421" s="171"/>
      <c r="T421" s="177"/>
      <c r="U421" s="167"/>
      <c r="V421" s="181"/>
    </row>
    <row r="422" spans="2:22" ht="15.5" hidden="1" x14ac:dyDescent="0.35">
      <c r="B422" s="623"/>
      <c r="C422" s="166"/>
      <c r="D422" s="202"/>
      <c r="E422" s="177"/>
      <c r="F422" s="177"/>
      <c r="G422" s="248">
        <f t="shared" si="37"/>
        <v>0</v>
      </c>
      <c r="H422" s="171"/>
      <c r="I422" s="177"/>
      <c r="J422" s="167"/>
      <c r="K422" s="181"/>
      <c r="L422" s="353"/>
      <c r="M422" s="623"/>
      <c r="N422" s="166"/>
      <c r="O422" s="202"/>
      <c r="P422" s="177"/>
      <c r="Q422" s="177"/>
      <c r="R422" s="248">
        <f t="shared" si="36"/>
        <v>0</v>
      </c>
      <c r="S422" s="171"/>
      <c r="T422" s="177"/>
      <c r="U422" s="167"/>
      <c r="V422" s="181"/>
    </row>
    <row r="423" spans="2:22" ht="15.5" hidden="1" x14ac:dyDescent="0.35">
      <c r="B423" s="624"/>
      <c r="C423" s="166"/>
      <c r="D423" s="202"/>
      <c r="E423" s="177"/>
      <c r="F423" s="177"/>
      <c r="G423" s="248">
        <f t="shared" si="37"/>
        <v>0</v>
      </c>
      <c r="H423" s="171"/>
      <c r="I423" s="177"/>
      <c r="J423" s="167"/>
      <c r="K423" s="181"/>
      <c r="L423" s="353"/>
      <c r="M423" s="624"/>
      <c r="N423" s="166"/>
      <c r="O423" s="202"/>
      <c r="P423" s="177"/>
      <c r="Q423" s="177"/>
      <c r="R423" s="248">
        <f t="shared" si="36"/>
        <v>0</v>
      </c>
      <c r="S423" s="171"/>
      <c r="T423" s="177"/>
      <c r="U423" s="167"/>
      <c r="V423" s="181"/>
    </row>
    <row r="424" spans="2:22" ht="15.5" hidden="1" x14ac:dyDescent="0.35">
      <c r="B424" s="622" t="s">
        <v>338</v>
      </c>
      <c r="C424" s="166"/>
      <c r="D424" s="202"/>
      <c r="E424" s="177"/>
      <c r="F424" s="177"/>
      <c r="G424" s="248">
        <f t="shared" si="37"/>
        <v>0</v>
      </c>
      <c r="H424" s="171"/>
      <c r="I424" s="177"/>
      <c r="J424" s="167"/>
      <c r="K424" s="181"/>
      <c r="L424" s="353"/>
      <c r="M424" s="622" t="s">
        <v>338</v>
      </c>
      <c r="N424" s="166"/>
      <c r="O424" s="202"/>
      <c r="P424" s="177"/>
      <c r="Q424" s="177"/>
      <c r="R424" s="248">
        <f t="shared" si="36"/>
        <v>0</v>
      </c>
      <c r="S424" s="171"/>
      <c r="T424" s="177"/>
      <c r="U424" s="167"/>
      <c r="V424" s="181"/>
    </row>
    <row r="425" spans="2:22" ht="15.5" hidden="1" x14ac:dyDescent="0.35">
      <c r="B425" s="623"/>
      <c r="C425" s="166"/>
      <c r="D425" s="202"/>
      <c r="E425" s="177"/>
      <c r="F425" s="177"/>
      <c r="G425" s="248">
        <f t="shared" si="37"/>
        <v>0</v>
      </c>
      <c r="H425" s="171"/>
      <c r="I425" s="177"/>
      <c r="J425" s="167"/>
      <c r="K425" s="181"/>
      <c r="L425" s="353"/>
      <c r="M425" s="623"/>
      <c r="N425" s="166"/>
      <c r="O425" s="202"/>
      <c r="P425" s="177"/>
      <c r="Q425" s="177"/>
      <c r="R425" s="248">
        <f t="shared" si="36"/>
        <v>0</v>
      </c>
      <c r="S425" s="171"/>
      <c r="T425" s="177"/>
      <c r="U425" s="167"/>
      <c r="V425" s="181"/>
    </row>
    <row r="426" spans="2:22" ht="15.5" hidden="1" x14ac:dyDescent="0.35">
      <c r="B426" s="623"/>
      <c r="C426" s="166"/>
      <c r="D426" s="202"/>
      <c r="E426" s="177"/>
      <c r="F426" s="177"/>
      <c r="G426" s="248">
        <f t="shared" si="37"/>
        <v>0</v>
      </c>
      <c r="H426" s="171"/>
      <c r="I426" s="177"/>
      <c r="J426" s="167"/>
      <c r="K426" s="181"/>
      <c r="L426" s="353"/>
      <c r="M426" s="623"/>
      <c r="N426" s="166"/>
      <c r="O426" s="202"/>
      <c r="P426" s="177"/>
      <c r="Q426" s="177"/>
      <c r="R426" s="248">
        <f t="shared" si="36"/>
        <v>0</v>
      </c>
      <c r="S426" s="171"/>
      <c r="T426" s="177"/>
      <c r="U426" s="167"/>
      <c r="V426" s="181"/>
    </row>
    <row r="427" spans="2:22" ht="15.5" hidden="1" x14ac:dyDescent="0.35">
      <c r="B427" s="623"/>
      <c r="C427" s="245"/>
      <c r="D427" s="202"/>
      <c r="E427" s="251"/>
      <c r="F427" s="251"/>
      <c r="G427" s="248">
        <f t="shared" si="37"/>
        <v>0</v>
      </c>
      <c r="H427" s="250"/>
      <c r="I427" s="251"/>
      <c r="J427" s="170"/>
      <c r="K427" s="181"/>
      <c r="L427" s="353"/>
      <c r="M427" s="623"/>
      <c r="N427" s="245"/>
      <c r="O427" s="202"/>
      <c r="P427" s="251"/>
      <c r="Q427" s="251"/>
      <c r="R427" s="248">
        <f t="shared" si="36"/>
        <v>0</v>
      </c>
      <c r="S427" s="250"/>
      <c r="T427" s="251"/>
      <c r="U427" s="170"/>
      <c r="V427" s="181"/>
    </row>
    <row r="428" spans="2:22" ht="15.5" hidden="1" x14ac:dyDescent="0.35">
      <c r="B428" s="624"/>
      <c r="C428" s="245"/>
      <c r="D428" s="202"/>
      <c r="E428" s="251"/>
      <c r="F428" s="251"/>
      <c r="G428" s="248">
        <f t="shared" si="37"/>
        <v>0</v>
      </c>
      <c r="H428" s="250"/>
      <c r="I428" s="251"/>
      <c r="J428" s="170"/>
      <c r="K428" s="181"/>
      <c r="L428" s="353"/>
      <c r="M428" s="624"/>
      <c r="N428" s="245"/>
      <c r="O428" s="202"/>
      <c r="P428" s="251"/>
      <c r="Q428" s="251"/>
      <c r="R428" s="248">
        <f t="shared" si="36"/>
        <v>0</v>
      </c>
      <c r="S428" s="250"/>
      <c r="T428" s="251"/>
      <c r="U428" s="170"/>
      <c r="V428" s="181"/>
    </row>
    <row r="429" spans="2:22" ht="15.5" x14ac:dyDescent="0.35">
      <c r="C429" s="73" t="s">
        <v>339</v>
      </c>
      <c r="D429" s="201">
        <f>SUM(D404:D428)</f>
        <v>26656.909</v>
      </c>
      <c r="E429" s="10">
        <f t="shared" ref="E429:F429" si="38">SUM(E404:E428)</f>
        <v>0</v>
      </c>
      <c r="F429" s="10">
        <f t="shared" si="38"/>
        <v>0</v>
      </c>
      <c r="G429" s="10">
        <f>SUM(G404:G428)</f>
        <v>26656.909</v>
      </c>
      <c r="H429" s="10">
        <f>(H404*G404)+(H405*G405)+(H406*G406)+(H407*G407)+(H408*G408)+(H409*G409)+(H410*G410)+(H411*G411)+(H412*G412)+(H413*G413)+(H414*G414)+(H415*G415)+(H416*G416)+(H417*G417)+(H418*G418)+(H419*G419)+(H420*G420)+(H421*G421)+(H422*G422)+(H423*G423)+(H424*G424)+(H425*G425)+(H426*G426)+(H427*G427)+(H428*G428)</f>
        <v>8747.3937000000005</v>
      </c>
      <c r="I429" s="10">
        <f>SUM(I404:I428)</f>
        <v>0</v>
      </c>
      <c r="J429" s="170"/>
      <c r="K429" s="182"/>
      <c r="L429" s="353"/>
      <c r="N429" s="73" t="s">
        <v>339</v>
      </c>
      <c r="O429" s="201">
        <f>SUM(O404:O428)</f>
        <v>26656.909</v>
      </c>
      <c r="P429" s="10">
        <f t="shared" ref="P429:Q429" si="39">SUM(P404:P428)</f>
        <v>0</v>
      </c>
      <c r="Q429" s="10">
        <f t="shared" si="39"/>
        <v>0</v>
      </c>
      <c r="R429" s="10">
        <f>SUM(R404:R428)</f>
        <v>26656.909</v>
      </c>
      <c r="S429" s="10">
        <f>(S404*R404)+(S405*R405)+(S406*R406)+(S407*R407)+(S408*R408)+(S409*R409)+(S410*R410)+(S411*R411)+(S412*R412)+(S413*R413)+(S414*R414)+(S415*R415)+(S416*R416)+(S417*R417)+(S418*R418)+(S419*R419)+(S420*R420)+(S421*R421)+(S422*R422)+(S423*R423)+(S424*R424)+(S425*R425)+(S426*R426)+(S427*R427)+(S428*R428)</f>
        <v>8747.3937000000005</v>
      </c>
      <c r="T429" s="10">
        <f>SUM(T404:T428)</f>
        <v>26656.91</v>
      </c>
      <c r="U429" s="170"/>
      <c r="V429" s="182"/>
    </row>
    <row r="430" spans="2:22" ht="36" customHeight="1" x14ac:dyDescent="0.35">
      <c r="B430" s="72" t="s">
        <v>25</v>
      </c>
      <c r="C430" s="630" t="s">
        <v>340</v>
      </c>
      <c r="D430" s="630"/>
      <c r="E430" s="630"/>
      <c r="F430" s="630"/>
      <c r="G430" s="630"/>
      <c r="H430" s="630"/>
      <c r="I430" s="631"/>
      <c r="J430" s="630"/>
      <c r="K430" s="183"/>
      <c r="L430" s="353"/>
      <c r="M430" s="72" t="s">
        <v>25</v>
      </c>
      <c r="N430" s="630" t="s">
        <v>340</v>
      </c>
      <c r="O430" s="630"/>
      <c r="P430" s="630"/>
      <c r="Q430" s="630"/>
      <c r="R430" s="630"/>
      <c r="S430" s="630"/>
      <c r="T430" s="631"/>
      <c r="U430" s="630"/>
      <c r="V430" s="183"/>
    </row>
    <row r="431" spans="2:22" ht="15.5" x14ac:dyDescent="0.35">
      <c r="B431" s="622" t="s">
        <v>341</v>
      </c>
      <c r="C431" s="166" t="s">
        <v>342</v>
      </c>
      <c r="D431" s="202">
        <v>2000</v>
      </c>
      <c r="E431" s="177"/>
      <c r="F431" s="177"/>
      <c r="G431" s="248">
        <f>D431+E431+F431</f>
        <v>2000</v>
      </c>
      <c r="H431" s="171"/>
      <c r="I431" s="177"/>
      <c r="J431" s="167" t="s">
        <v>336</v>
      </c>
      <c r="K431" s="181">
        <v>6</v>
      </c>
      <c r="L431" s="353"/>
      <c r="M431" s="622" t="s">
        <v>341</v>
      </c>
      <c r="N431" s="166" t="s">
        <v>342</v>
      </c>
      <c r="O431" s="202">
        <v>2000</v>
      </c>
      <c r="P431" s="177"/>
      <c r="Q431" s="177"/>
      <c r="R431" s="248">
        <f>O431+P431+Q431</f>
        <v>2000</v>
      </c>
      <c r="S431" s="171"/>
      <c r="T431" s="527">
        <v>2000</v>
      </c>
      <c r="U431" s="167" t="s">
        <v>336</v>
      </c>
      <c r="V431" s="181">
        <v>6</v>
      </c>
    </row>
    <row r="432" spans="2:22" ht="31" x14ac:dyDescent="0.35">
      <c r="B432" s="623"/>
      <c r="C432" s="166" t="s">
        <v>343</v>
      </c>
      <c r="D432" s="202">
        <v>6000</v>
      </c>
      <c r="E432" s="177"/>
      <c r="F432" s="177"/>
      <c r="G432" s="248">
        <f t="shared" ref="G432:G450" si="40">D432+E432+F432</f>
        <v>6000</v>
      </c>
      <c r="H432" s="171">
        <v>0.3</v>
      </c>
      <c r="I432" s="177"/>
      <c r="J432" s="167" t="s">
        <v>336</v>
      </c>
      <c r="K432" s="181">
        <v>6</v>
      </c>
      <c r="L432" s="353"/>
      <c r="M432" s="623"/>
      <c r="N432" s="166" t="s">
        <v>343</v>
      </c>
      <c r="O432" s="202">
        <v>6000</v>
      </c>
      <c r="P432" s="177"/>
      <c r="Q432" s="177"/>
      <c r="R432" s="248">
        <f t="shared" ref="R432:R475" si="41">O432+P432+Q432</f>
        <v>6000</v>
      </c>
      <c r="S432" s="171">
        <v>0.3</v>
      </c>
      <c r="T432" s="527">
        <v>6000</v>
      </c>
      <c r="U432" s="167" t="s">
        <v>336</v>
      </c>
      <c r="V432" s="181">
        <v>6</v>
      </c>
    </row>
    <row r="433" spans="2:22" ht="15.5" x14ac:dyDescent="0.35">
      <c r="B433" s="623"/>
      <c r="C433" s="166" t="s">
        <v>344</v>
      </c>
      <c r="D433" s="202">
        <v>2000</v>
      </c>
      <c r="E433" s="177"/>
      <c r="F433" s="177"/>
      <c r="G433" s="248">
        <f t="shared" si="40"/>
        <v>2000</v>
      </c>
      <c r="H433" s="171"/>
      <c r="I433" s="177"/>
      <c r="J433" s="167" t="s">
        <v>336</v>
      </c>
      <c r="K433" s="181">
        <v>6</v>
      </c>
      <c r="L433" s="353"/>
      <c r="M433" s="623"/>
      <c r="N433" s="166" t="s">
        <v>344</v>
      </c>
      <c r="O433" s="202">
        <v>2000</v>
      </c>
      <c r="P433" s="177"/>
      <c r="Q433" s="177"/>
      <c r="R433" s="248">
        <f t="shared" si="41"/>
        <v>2000</v>
      </c>
      <c r="S433" s="171"/>
      <c r="T433" s="527">
        <v>2000</v>
      </c>
      <c r="U433" s="167" t="s">
        <v>336</v>
      </c>
      <c r="V433" s="181">
        <v>6</v>
      </c>
    </row>
    <row r="434" spans="2:22" ht="15.5" x14ac:dyDescent="0.35">
      <c r="B434" s="623"/>
      <c r="C434" s="166"/>
      <c r="D434" s="202"/>
      <c r="E434" s="177"/>
      <c r="F434" s="177"/>
      <c r="G434" s="248">
        <f t="shared" si="40"/>
        <v>0</v>
      </c>
      <c r="H434" s="171"/>
      <c r="I434" s="177"/>
      <c r="J434" s="167"/>
      <c r="K434" s="181"/>
      <c r="L434" s="353"/>
      <c r="M434" s="623"/>
      <c r="N434" s="166"/>
      <c r="O434" s="202"/>
      <c r="P434" s="177"/>
      <c r="Q434" s="177"/>
      <c r="R434" s="248">
        <f t="shared" si="41"/>
        <v>0</v>
      </c>
      <c r="S434" s="171"/>
      <c r="T434" s="527"/>
      <c r="U434" s="167"/>
      <c r="V434" s="181"/>
    </row>
    <row r="435" spans="2:22" ht="15.5" x14ac:dyDescent="0.35">
      <c r="B435" s="624"/>
      <c r="C435" s="166"/>
      <c r="D435" s="202"/>
      <c r="E435" s="177"/>
      <c r="F435" s="177"/>
      <c r="G435" s="248">
        <f t="shared" si="40"/>
        <v>0</v>
      </c>
      <c r="H435" s="171"/>
      <c r="I435" s="177"/>
      <c r="J435" s="167"/>
      <c r="K435" s="181"/>
      <c r="L435" s="353"/>
      <c r="M435" s="624"/>
      <c r="N435" s="166"/>
      <c r="O435" s="202"/>
      <c r="P435" s="177"/>
      <c r="Q435" s="177"/>
      <c r="R435" s="248">
        <f t="shared" si="41"/>
        <v>0</v>
      </c>
      <c r="S435" s="171"/>
      <c r="T435" s="527"/>
      <c r="U435" s="167"/>
      <c r="V435" s="181"/>
    </row>
    <row r="436" spans="2:22" ht="15.5" x14ac:dyDescent="0.35">
      <c r="B436" s="622" t="s">
        <v>345</v>
      </c>
      <c r="C436" s="166" t="s">
        <v>346</v>
      </c>
      <c r="D436" s="202">
        <v>10000</v>
      </c>
      <c r="E436" s="177"/>
      <c r="F436" s="177"/>
      <c r="G436" s="248">
        <f t="shared" si="40"/>
        <v>10000</v>
      </c>
      <c r="H436" s="171">
        <v>0.3</v>
      </c>
      <c r="I436" s="177"/>
      <c r="J436" s="167" t="s">
        <v>347</v>
      </c>
      <c r="K436" s="181">
        <v>4</v>
      </c>
      <c r="L436" s="353"/>
      <c r="M436" s="622" t="s">
        <v>345</v>
      </c>
      <c r="N436" s="166" t="s">
        <v>346</v>
      </c>
      <c r="O436" s="202">
        <v>10000</v>
      </c>
      <c r="P436" s="177"/>
      <c r="Q436" s="177"/>
      <c r="R436" s="248">
        <f t="shared" si="41"/>
        <v>10000</v>
      </c>
      <c r="S436" s="171">
        <v>0.3</v>
      </c>
      <c r="T436" s="527">
        <v>10000</v>
      </c>
      <c r="U436" s="167" t="s">
        <v>347</v>
      </c>
      <c r="V436" s="181">
        <v>4</v>
      </c>
    </row>
    <row r="437" spans="2:22" ht="15.5" x14ac:dyDescent="0.35">
      <c r="B437" s="623"/>
      <c r="C437" s="166"/>
      <c r="D437" s="202"/>
      <c r="E437" s="177"/>
      <c r="F437" s="177"/>
      <c r="G437" s="248">
        <f t="shared" si="40"/>
        <v>0</v>
      </c>
      <c r="H437" s="171"/>
      <c r="I437" s="177"/>
      <c r="J437" s="167"/>
      <c r="K437" s="181"/>
      <c r="L437" s="353"/>
      <c r="M437" s="623"/>
      <c r="N437" s="166"/>
      <c r="O437" s="202"/>
      <c r="P437" s="177"/>
      <c r="Q437" s="177"/>
      <c r="R437" s="248">
        <f t="shared" si="41"/>
        <v>0</v>
      </c>
      <c r="S437" s="171"/>
      <c r="T437" s="527"/>
      <c r="U437" s="167"/>
      <c r="V437" s="181"/>
    </row>
    <row r="438" spans="2:22" ht="15.5" x14ac:dyDescent="0.35">
      <c r="B438" s="623"/>
      <c r="C438" s="166"/>
      <c r="D438" s="202"/>
      <c r="E438" s="177"/>
      <c r="F438" s="177"/>
      <c r="G438" s="248">
        <f t="shared" si="40"/>
        <v>0</v>
      </c>
      <c r="H438" s="171"/>
      <c r="I438" s="177"/>
      <c r="J438" s="167"/>
      <c r="K438" s="181"/>
      <c r="L438" s="353"/>
      <c r="M438" s="623"/>
      <c r="N438" s="166"/>
      <c r="O438" s="202"/>
      <c r="P438" s="177"/>
      <c r="Q438" s="177"/>
      <c r="R438" s="248">
        <f t="shared" si="41"/>
        <v>0</v>
      </c>
      <c r="S438" s="171"/>
      <c r="T438" s="527"/>
      <c r="U438" s="167"/>
      <c r="V438" s="181"/>
    </row>
    <row r="439" spans="2:22" ht="15.5" x14ac:dyDescent="0.35">
      <c r="B439" s="623"/>
      <c r="C439" s="166"/>
      <c r="D439" s="202"/>
      <c r="E439" s="177"/>
      <c r="F439" s="177"/>
      <c r="G439" s="248">
        <f t="shared" si="40"/>
        <v>0</v>
      </c>
      <c r="H439" s="171"/>
      <c r="I439" s="177"/>
      <c r="J439" s="167"/>
      <c r="K439" s="181"/>
      <c r="L439" s="353"/>
      <c r="M439" s="623"/>
      <c r="N439" s="166"/>
      <c r="O439" s="202"/>
      <c r="P439" s="177"/>
      <c r="Q439" s="177"/>
      <c r="R439" s="248">
        <f t="shared" si="41"/>
        <v>0</v>
      </c>
      <c r="S439" s="171"/>
      <c r="T439" s="527"/>
      <c r="U439" s="167"/>
      <c r="V439" s="181"/>
    </row>
    <row r="440" spans="2:22" ht="15.5" x14ac:dyDescent="0.35">
      <c r="B440" s="624"/>
      <c r="C440" s="166"/>
      <c r="D440" s="202"/>
      <c r="E440" s="177"/>
      <c r="F440" s="177"/>
      <c r="G440" s="248">
        <f t="shared" si="40"/>
        <v>0</v>
      </c>
      <c r="H440" s="171"/>
      <c r="I440" s="177"/>
      <c r="J440" s="167"/>
      <c r="K440" s="181"/>
      <c r="L440" s="353"/>
      <c r="M440" s="624"/>
      <c r="N440" s="166"/>
      <c r="O440" s="202"/>
      <c r="P440" s="177"/>
      <c r="Q440" s="177"/>
      <c r="R440" s="248">
        <f t="shared" si="41"/>
        <v>0</v>
      </c>
      <c r="S440" s="171"/>
      <c r="T440" s="527"/>
      <c r="U440" s="167"/>
      <c r="V440" s="181"/>
    </row>
    <row r="441" spans="2:22" ht="31" x14ac:dyDescent="0.35">
      <c r="B441" s="622" t="s">
        <v>348</v>
      </c>
      <c r="C441" s="166" t="s">
        <v>349</v>
      </c>
      <c r="D441" s="202">
        <v>2000</v>
      </c>
      <c r="E441" s="177"/>
      <c r="F441" s="177"/>
      <c r="G441" s="248">
        <f t="shared" si="40"/>
        <v>2000</v>
      </c>
      <c r="H441" s="171">
        <v>0.3</v>
      </c>
      <c r="I441" s="177"/>
      <c r="J441" s="167" t="s">
        <v>350</v>
      </c>
      <c r="K441" s="181">
        <v>4</v>
      </c>
      <c r="L441" s="353"/>
      <c r="M441" s="622" t="s">
        <v>348</v>
      </c>
      <c r="N441" s="166" t="s">
        <v>349</v>
      </c>
      <c r="O441" s="202">
        <v>2000</v>
      </c>
      <c r="P441" s="177"/>
      <c r="Q441" s="177"/>
      <c r="R441" s="248">
        <f t="shared" si="41"/>
        <v>2000</v>
      </c>
      <c r="S441" s="171">
        <v>0.3</v>
      </c>
      <c r="T441" s="527">
        <v>2000</v>
      </c>
      <c r="U441" s="167" t="s">
        <v>350</v>
      </c>
      <c r="V441" s="181">
        <v>4</v>
      </c>
    </row>
    <row r="442" spans="2:22" ht="15.5" x14ac:dyDescent="0.35">
      <c r="B442" s="623"/>
      <c r="C442" s="166" t="s">
        <v>97</v>
      </c>
      <c r="D442" s="202">
        <v>1000</v>
      </c>
      <c r="E442" s="177"/>
      <c r="F442" s="177"/>
      <c r="G442" s="248">
        <f t="shared" si="40"/>
        <v>1000</v>
      </c>
      <c r="H442" s="171">
        <v>0.3</v>
      </c>
      <c r="I442" s="177"/>
      <c r="J442" s="167" t="s">
        <v>201</v>
      </c>
      <c r="K442" s="181">
        <v>5</v>
      </c>
      <c r="L442" s="353"/>
      <c r="M442" s="623"/>
      <c r="N442" s="166" t="s">
        <v>97</v>
      </c>
      <c r="O442" s="202">
        <v>1000</v>
      </c>
      <c r="P442" s="177"/>
      <c r="Q442" s="177"/>
      <c r="R442" s="248">
        <f t="shared" si="41"/>
        <v>1000</v>
      </c>
      <c r="S442" s="171">
        <v>0.3</v>
      </c>
      <c r="T442" s="527">
        <v>1000</v>
      </c>
      <c r="U442" s="167" t="s">
        <v>201</v>
      </c>
      <c r="V442" s="181">
        <v>5</v>
      </c>
    </row>
    <row r="443" spans="2:22" ht="31" x14ac:dyDescent="0.35">
      <c r="B443" s="623"/>
      <c r="C443" s="166" t="s">
        <v>266</v>
      </c>
      <c r="D443" s="202">
        <v>8000</v>
      </c>
      <c r="E443" s="177"/>
      <c r="F443" s="177"/>
      <c r="G443" s="248">
        <f t="shared" si="40"/>
        <v>8000</v>
      </c>
      <c r="H443" s="171">
        <v>0.3</v>
      </c>
      <c r="I443" s="177"/>
      <c r="J443" s="167" t="s">
        <v>213</v>
      </c>
      <c r="K443" s="181">
        <v>7</v>
      </c>
      <c r="L443" s="353"/>
      <c r="M443" s="623"/>
      <c r="N443" s="166" t="s">
        <v>266</v>
      </c>
      <c r="O443" s="202">
        <v>8000</v>
      </c>
      <c r="P443" s="177"/>
      <c r="Q443" s="177"/>
      <c r="R443" s="248">
        <f t="shared" si="41"/>
        <v>8000</v>
      </c>
      <c r="S443" s="171">
        <v>0.3</v>
      </c>
      <c r="T443" s="527">
        <v>8000</v>
      </c>
      <c r="U443" s="167" t="s">
        <v>213</v>
      </c>
      <c r="V443" s="181">
        <v>7</v>
      </c>
    </row>
    <row r="444" spans="2:22" ht="15.5" x14ac:dyDescent="0.35">
      <c r="B444" s="623"/>
      <c r="C444" s="166"/>
      <c r="D444" s="202"/>
      <c r="E444" s="177"/>
      <c r="F444" s="177"/>
      <c r="G444" s="248">
        <f t="shared" si="40"/>
        <v>0</v>
      </c>
      <c r="H444" s="171"/>
      <c r="I444" s="177"/>
      <c r="J444" s="167"/>
      <c r="K444" s="181"/>
      <c r="L444" s="353"/>
      <c r="M444" s="623"/>
      <c r="N444" s="166"/>
      <c r="O444" s="202"/>
      <c r="P444" s="177"/>
      <c r="Q444" s="177"/>
      <c r="R444" s="248">
        <f t="shared" si="41"/>
        <v>0</v>
      </c>
      <c r="S444" s="171"/>
      <c r="T444" s="527"/>
      <c r="U444" s="167"/>
      <c r="V444" s="181"/>
    </row>
    <row r="445" spans="2:22" ht="15.5" x14ac:dyDescent="0.35">
      <c r="B445" s="624"/>
      <c r="C445" s="166"/>
      <c r="D445" s="202"/>
      <c r="E445" s="177"/>
      <c r="F445" s="177"/>
      <c r="G445" s="248">
        <f t="shared" si="40"/>
        <v>0</v>
      </c>
      <c r="H445" s="171"/>
      <c r="I445" s="177"/>
      <c r="J445" s="167"/>
      <c r="K445" s="181"/>
      <c r="L445" s="353"/>
      <c r="M445" s="624"/>
      <c r="N445" s="166"/>
      <c r="O445" s="202"/>
      <c r="P445" s="177"/>
      <c r="Q445" s="177"/>
      <c r="R445" s="248">
        <f t="shared" si="41"/>
        <v>0</v>
      </c>
      <c r="S445" s="171"/>
      <c r="T445" s="527"/>
      <c r="U445" s="167"/>
      <c r="V445" s="181"/>
    </row>
    <row r="446" spans="2:22" ht="31" x14ac:dyDescent="0.35">
      <c r="B446" s="622" t="s">
        <v>351</v>
      </c>
      <c r="C446" s="166" t="s">
        <v>352</v>
      </c>
      <c r="D446" s="202">
        <v>10000</v>
      </c>
      <c r="E446" s="177"/>
      <c r="F446" s="177"/>
      <c r="G446" s="248">
        <f t="shared" si="40"/>
        <v>10000</v>
      </c>
      <c r="H446" s="171">
        <v>0.3</v>
      </c>
      <c r="I446" s="177"/>
      <c r="J446" s="167" t="s">
        <v>310</v>
      </c>
      <c r="K446" s="181">
        <v>7</v>
      </c>
      <c r="L446" s="353"/>
      <c r="M446" s="622" t="s">
        <v>351</v>
      </c>
      <c r="N446" s="166" t="s">
        <v>352</v>
      </c>
      <c r="O446" s="202">
        <v>10000</v>
      </c>
      <c r="P446" s="177"/>
      <c r="Q446" s="177"/>
      <c r="R446" s="248">
        <f t="shared" si="41"/>
        <v>10000</v>
      </c>
      <c r="S446" s="171">
        <v>0.3</v>
      </c>
      <c r="T446" s="527">
        <v>10000</v>
      </c>
      <c r="U446" s="167" t="s">
        <v>310</v>
      </c>
      <c r="V446" s="181">
        <v>7</v>
      </c>
    </row>
    <row r="447" spans="2:22" ht="15.5" x14ac:dyDescent="0.35">
      <c r="B447" s="623"/>
      <c r="C447" s="166" t="s">
        <v>353</v>
      </c>
      <c r="D447" s="202">
        <v>5000</v>
      </c>
      <c r="E447" s="177"/>
      <c r="F447" s="177"/>
      <c r="G447" s="248">
        <f t="shared" si="40"/>
        <v>5000</v>
      </c>
      <c r="H447" s="171">
        <v>0.3</v>
      </c>
      <c r="I447" s="177"/>
      <c r="J447" s="167" t="s">
        <v>354</v>
      </c>
      <c r="K447" s="181">
        <v>5</v>
      </c>
      <c r="L447" s="353"/>
      <c r="M447" s="623"/>
      <c r="N447" s="166" t="s">
        <v>353</v>
      </c>
      <c r="O447" s="202">
        <v>5000</v>
      </c>
      <c r="P447" s="177"/>
      <c r="Q447" s="177"/>
      <c r="R447" s="248">
        <f t="shared" si="41"/>
        <v>5000</v>
      </c>
      <c r="S447" s="171">
        <v>0.3</v>
      </c>
      <c r="T447" s="527">
        <v>5000</v>
      </c>
      <c r="U447" s="167" t="s">
        <v>354</v>
      </c>
      <c r="V447" s="181">
        <v>5</v>
      </c>
    </row>
    <row r="448" spans="2:22" ht="15.5" x14ac:dyDescent="0.35">
      <c r="B448" s="623"/>
      <c r="C448" s="166"/>
      <c r="D448" s="202"/>
      <c r="E448" s="177"/>
      <c r="F448" s="177"/>
      <c r="G448" s="248">
        <f t="shared" si="40"/>
        <v>0</v>
      </c>
      <c r="H448" s="171"/>
      <c r="I448" s="177"/>
      <c r="J448" s="167"/>
      <c r="K448" s="181"/>
      <c r="L448" s="353"/>
      <c r="M448" s="623"/>
      <c r="N448" s="166"/>
      <c r="O448" s="202"/>
      <c r="P448" s="177"/>
      <c r="Q448" s="177"/>
      <c r="R448" s="248">
        <f t="shared" si="41"/>
        <v>0</v>
      </c>
      <c r="S448" s="171"/>
      <c r="T448" s="527"/>
      <c r="U448" s="167"/>
      <c r="V448" s="181"/>
    </row>
    <row r="449" spans="2:23" ht="15.5" x14ac:dyDescent="0.35">
      <c r="B449" s="623"/>
      <c r="C449" s="166"/>
      <c r="D449" s="202"/>
      <c r="E449" s="177"/>
      <c r="F449" s="177"/>
      <c r="G449" s="248">
        <f t="shared" si="40"/>
        <v>0</v>
      </c>
      <c r="H449" s="171"/>
      <c r="I449" s="177"/>
      <c r="J449" s="167"/>
      <c r="K449" s="181"/>
      <c r="L449" s="353"/>
      <c r="M449" s="623"/>
      <c r="N449" s="166"/>
      <c r="O449" s="202"/>
      <c r="P449" s="177"/>
      <c r="Q449" s="177"/>
      <c r="R449" s="248">
        <f t="shared" si="41"/>
        <v>0</v>
      </c>
      <c r="S449" s="171"/>
      <c r="T449" s="527"/>
      <c r="U449" s="167"/>
      <c r="V449" s="181"/>
    </row>
    <row r="450" spans="2:23" ht="15.5" x14ac:dyDescent="0.35">
      <c r="B450" s="624"/>
      <c r="C450" s="166"/>
      <c r="D450" s="202"/>
      <c r="E450" s="177"/>
      <c r="F450" s="177"/>
      <c r="G450" s="248">
        <f t="shared" si="40"/>
        <v>0</v>
      </c>
      <c r="H450" s="171"/>
      <c r="I450" s="177"/>
      <c r="J450" s="167"/>
      <c r="K450" s="181"/>
      <c r="L450" s="353"/>
      <c r="M450" s="624"/>
      <c r="N450" s="166"/>
      <c r="O450" s="202"/>
      <c r="P450" s="177"/>
      <c r="Q450" s="177"/>
      <c r="R450" s="248">
        <f t="shared" si="41"/>
        <v>0</v>
      </c>
      <c r="S450" s="171"/>
      <c r="T450" s="527"/>
      <c r="U450" s="167"/>
      <c r="V450" s="181"/>
    </row>
    <row r="451" spans="2:23" ht="31" x14ac:dyDescent="0.35">
      <c r="B451" s="622"/>
      <c r="C451" s="166"/>
      <c r="D451" s="202"/>
      <c r="E451" s="177"/>
      <c r="F451" s="177"/>
      <c r="G451" s="248"/>
      <c r="H451" s="171"/>
      <c r="I451" s="177"/>
      <c r="J451" s="167"/>
      <c r="K451" s="181"/>
      <c r="L451" s="353"/>
      <c r="M451" s="658" t="s">
        <v>458</v>
      </c>
      <c r="N451" s="224" t="s">
        <v>459</v>
      </c>
      <c r="O451" s="225">
        <v>2000</v>
      </c>
      <c r="P451" s="226"/>
      <c r="Q451" s="226"/>
      <c r="R451" s="227">
        <f t="shared" si="41"/>
        <v>2000</v>
      </c>
      <c r="S451" s="221">
        <v>0.5</v>
      </c>
      <c r="T451" s="226"/>
      <c r="U451" s="228" t="s">
        <v>460</v>
      </c>
      <c r="V451" s="229">
        <v>7</v>
      </c>
      <c r="W451" s="419"/>
    </row>
    <row r="452" spans="2:23" ht="15.5" x14ac:dyDescent="0.35">
      <c r="B452" s="623"/>
      <c r="C452" s="166"/>
      <c r="D452" s="202"/>
      <c r="E452" s="177"/>
      <c r="F452" s="177"/>
      <c r="G452" s="248"/>
      <c r="H452" s="171"/>
      <c r="I452" s="177"/>
      <c r="J452" s="167"/>
      <c r="K452" s="181"/>
      <c r="L452" s="353"/>
      <c r="M452" s="658"/>
      <c r="N452" s="224" t="s">
        <v>461</v>
      </c>
      <c r="O452" s="225">
        <v>5000</v>
      </c>
      <c r="P452" s="226"/>
      <c r="Q452" s="226"/>
      <c r="R452" s="227">
        <f t="shared" si="41"/>
        <v>5000</v>
      </c>
      <c r="S452" s="221">
        <v>0.3</v>
      </c>
      <c r="T452" s="226"/>
      <c r="U452" s="426" t="s">
        <v>462</v>
      </c>
      <c r="V452" s="229">
        <v>6</v>
      </c>
      <c r="W452" s="419"/>
    </row>
    <row r="453" spans="2:23" ht="15.5" x14ac:dyDescent="0.35">
      <c r="B453" s="623"/>
      <c r="C453" s="166"/>
      <c r="D453" s="202"/>
      <c r="E453" s="177"/>
      <c r="F453" s="177"/>
      <c r="G453" s="248"/>
      <c r="H453" s="171"/>
      <c r="I453" s="177"/>
      <c r="J453" s="167"/>
      <c r="K453" s="181"/>
      <c r="L453" s="353"/>
      <c r="M453" s="658"/>
      <c r="N453" s="224" t="s">
        <v>463</v>
      </c>
      <c r="O453" s="225">
        <v>7000</v>
      </c>
      <c r="P453" s="226"/>
      <c r="Q453" s="226"/>
      <c r="R453" s="227">
        <f t="shared" si="41"/>
        <v>7000</v>
      </c>
      <c r="S453" s="221">
        <v>0.3</v>
      </c>
      <c r="T453" s="226"/>
      <c r="U453" s="228" t="s">
        <v>464</v>
      </c>
      <c r="V453" s="229">
        <v>2</v>
      </c>
      <c r="W453" s="419"/>
    </row>
    <row r="454" spans="2:23" ht="15.5" x14ac:dyDescent="0.35">
      <c r="B454" s="623"/>
      <c r="C454" s="166"/>
      <c r="D454" s="202"/>
      <c r="E454" s="177"/>
      <c r="F454" s="177"/>
      <c r="G454" s="248"/>
      <c r="H454" s="171"/>
      <c r="I454" s="177"/>
      <c r="J454" s="167"/>
      <c r="K454" s="181"/>
      <c r="L454" s="353"/>
      <c r="M454" s="658"/>
      <c r="N454" s="224"/>
      <c r="O454" s="225"/>
      <c r="P454" s="226"/>
      <c r="Q454" s="226"/>
      <c r="R454" s="227">
        <f t="shared" si="41"/>
        <v>0</v>
      </c>
      <c r="S454" s="221"/>
      <c r="T454" s="226"/>
      <c r="U454" s="228"/>
      <c r="V454" s="229"/>
      <c r="W454" s="419"/>
    </row>
    <row r="455" spans="2:23" ht="15.5" x14ac:dyDescent="0.35">
      <c r="B455" s="623"/>
      <c r="C455" s="166"/>
      <c r="D455" s="202"/>
      <c r="E455" s="177"/>
      <c r="F455" s="177"/>
      <c r="G455" s="248"/>
      <c r="H455" s="171"/>
      <c r="I455" s="177"/>
      <c r="J455" s="167"/>
      <c r="K455" s="181"/>
      <c r="L455" s="353"/>
      <c r="M455" s="658"/>
      <c r="N455" s="224"/>
      <c r="O455" s="225"/>
      <c r="P455" s="226"/>
      <c r="Q455" s="226"/>
      <c r="R455" s="227">
        <f t="shared" si="41"/>
        <v>0</v>
      </c>
      <c r="S455" s="221"/>
      <c r="T455" s="226"/>
      <c r="U455" s="228"/>
      <c r="V455" s="229"/>
      <c r="W455" s="419"/>
    </row>
    <row r="456" spans="2:23" ht="32.25" customHeight="1" x14ac:dyDescent="0.35">
      <c r="B456" s="624"/>
      <c r="C456" s="166"/>
      <c r="D456" s="202"/>
      <c r="E456" s="177"/>
      <c r="F456" s="177"/>
      <c r="G456" s="248"/>
      <c r="H456" s="171"/>
      <c r="I456" s="177"/>
      <c r="J456" s="167"/>
      <c r="K456" s="181"/>
      <c r="L456" s="353"/>
      <c r="M456" s="658" t="s">
        <v>465</v>
      </c>
      <c r="N456" s="224" t="s">
        <v>466</v>
      </c>
      <c r="O456" s="225">
        <v>5000</v>
      </c>
      <c r="P456" s="226"/>
      <c r="Q456" s="226"/>
      <c r="R456" s="227">
        <f t="shared" si="41"/>
        <v>5000</v>
      </c>
      <c r="S456" s="221">
        <v>0.5</v>
      </c>
      <c r="T456" s="226"/>
      <c r="U456" s="228" t="s">
        <v>467</v>
      </c>
      <c r="V456" s="229">
        <v>7</v>
      </c>
      <c r="W456" s="419"/>
    </row>
    <row r="457" spans="2:23" ht="31" x14ac:dyDescent="0.35">
      <c r="B457" s="348"/>
      <c r="C457" s="166"/>
      <c r="D457" s="202"/>
      <c r="E457" s="177"/>
      <c r="F457" s="177"/>
      <c r="G457" s="248"/>
      <c r="H457" s="171"/>
      <c r="I457" s="177"/>
      <c r="J457" s="167"/>
      <c r="K457" s="181"/>
      <c r="L457" s="353"/>
      <c r="M457" s="658"/>
      <c r="N457" s="224" t="s">
        <v>468</v>
      </c>
      <c r="O457" s="225">
        <v>5000</v>
      </c>
      <c r="P457" s="226"/>
      <c r="Q457" s="226"/>
      <c r="R457" s="227">
        <f t="shared" si="41"/>
        <v>5000</v>
      </c>
      <c r="S457" s="221">
        <v>0.5</v>
      </c>
      <c r="T457" s="226"/>
      <c r="U457" s="228" t="s">
        <v>469</v>
      </c>
      <c r="V457" s="229">
        <v>2</v>
      </c>
      <c r="W457" s="419"/>
    </row>
    <row r="458" spans="2:23" ht="15.5" x14ac:dyDescent="0.35">
      <c r="B458" s="348"/>
      <c r="C458" s="166"/>
      <c r="D458" s="202"/>
      <c r="E458" s="177"/>
      <c r="F458" s="177"/>
      <c r="G458" s="248"/>
      <c r="H458" s="171"/>
      <c r="I458" s="177"/>
      <c r="J458" s="167"/>
      <c r="K458" s="181"/>
      <c r="L458" s="353"/>
      <c r="M458" s="658"/>
      <c r="N458" s="224"/>
      <c r="O458" s="225"/>
      <c r="P458" s="226"/>
      <c r="Q458" s="226"/>
      <c r="R458" s="227">
        <f t="shared" si="41"/>
        <v>0</v>
      </c>
      <c r="S458" s="221"/>
      <c r="T458" s="226"/>
      <c r="U458" s="228"/>
      <c r="V458" s="229"/>
      <c r="W458" s="419"/>
    </row>
    <row r="459" spans="2:23" ht="15.5" x14ac:dyDescent="0.35">
      <c r="B459" s="348"/>
      <c r="C459" s="166"/>
      <c r="D459" s="202"/>
      <c r="E459" s="177"/>
      <c r="F459" s="177"/>
      <c r="G459" s="248"/>
      <c r="H459" s="171"/>
      <c r="I459" s="177"/>
      <c r="J459" s="167"/>
      <c r="K459" s="181"/>
      <c r="L459" s="353"/>
      <c r="M459" s="658"/>
      <c r="N459" s="224"/>
      <c r="O459" s="225"/>
      <c r="P459" s="226"/>
      <c r="Q459" s="226"/>
      <c r="R459" s="227">
        <f t="shared" si="41"/>
        <v>0</v>
      </c>
      <c r="S459" s="221"/>
      <c r="T459" s="226"/>
      <c r="U459" s="228"/>
      <c r="V459" s="229"/>
      <c r="W459" s="419"/>
    </row>
    <row r="460" spans="2:23" ht="63" customHeight="1" x14ac:dyDescent="0.35">
      <c r="B460" s="348"/>
      <c r="C460" s="166"/>
      <c r="D460" s="202"/>
      <c r="E460" s="177"/>
      <c r="F460" s="177"/>
      <c r="G460" s="248"/>
      <c r="H460" s="171"/>
      <c r="I460" s="177"/>
      <c r="J460" s="167"/>
      <c r="K460" s="181"/>
      <c r="L460" s="353"/>
      <c r="M460" s="658"/>
      <c r="N460" s="224"/>
      <c r="O460" s="225"/>
      <c r="P460" s="226"/>
      <c r="Q460" s="226"/>
      <c r="R460" s="227">
        <f t="shared" si="41"/>
        <v>0</v>
      </c>
      <c r="S460" s="221"/>
      <c r="T460" s="226"/>
      <c r="U460" s="228"/>
      <c r="V460" s="229"/>
      <c r="W460" s="419"/>
    </row>
    <row r="461" spans="2:23" ht="43.5" customHeight="1" x14ac:dyDescent="0.35">
      <c r="B461" s="348"/>
      <c r="C461" s="166"/>
      <c r="D461" s="202"/>
      <c r="E461" s="177"/>
      <c r="F461" s="177"/>
      <c r="G461" s="248"/>
      <c r="H461" s="171"/>
      <c r="I461" s="177"/>
      <c r="J461" s="167"/>
      <c r="K461" s="181"/>
      <c r="L461" s="353"/>
      <c r="M461" s="658" t="s">
        <v>470</v>
      </c>
      <c r="N461" s="224" t="s">
        <v>471</v>
      </c>
      <c r="O461" s="225">
        <v>10000</v>
      </c>
      <c r="P461" s="226"/>
      <c r="Q461" s="226"/>
      <c r="R461" s="227">
        <f t="shared" si="41"/>
        <v>10000</v>
      </c>
      <c r="S461" s="221">
        <v>0.5</v>
      </c>
      <c r="T461" s="226"/>
      <c r="U461" s="228" t="s">
        <v>467</v>
      </c>
      <c r="V461" s="229">
        <v>7</v>
      </c>
      <c r="W461" s="419"/>
    </row>
    <row r="462" spans="2:23" ht="31" x14ac:dyDescent="0.35">
      <c r="B462" s="348"/>
      <c r="C462" s="166"/>
      <c r="D462" s="202"/>
      <c r="E462" s="177"/>
      <c r="F462" s="177"/>
      <c r="G462" s="248"/>
      <c r="H462" s="171"/>
      <c r="I462" s="177"/>
      <c r="J462" s="167"/>
      <c r="K462" s="181"/>
      <c r="L462" s="353"/>
      <c r="M462" s="658"/>
      <c r="N462" s="224" t="s">
        <v>468</v>
      </c>
      <c r="O462" s="225">
        <v>7000</v>
      </c>
      <c r="P462" s="226"/>
      <c r="Q462" s="226"/>
      <c r="R462" s="227">
        <f t="shared" si="41"/>
        <v>7000</v>
      </c>
      <c r="S462" s="221">
        <v>0.5</v>
      </c>
      <c r="T462" s="226"/>
      <c r="U462" s="228" t="s">
        <v>469</v>
      </c>
      <c r="V462" s="229">
        <v>2</v>
      </c>
      <c r="W462" s="419"/>
    </row>
    <row r="463" spans="2:23" ht="15.5" x14ac:dyDescent="0.35">
      <c r="B463" s="348"/>
      <c r="C463" s="166"/>
      <c r="D463" s="202"/>
      <c r="E463" s="177"/>
      <c r="F463" s="177"/>
      <c r="G463" s="248"/>
      <c r="H463" s="171"/>
      <c r="I463" s="177"/>
      <c r="J463" s="167"/>
      <c r="K463" s="181"/>
      <c r="L463" s="353"/>
      <c r="M463" s="658"/>
      <c r="N463" s="224"/>
      <c r="O463" s="225"/>
      <c r="P463" s="226"/>
      <c r="Q463" s="226"/>
      <c r="R463" s="227">
        <f t="shared" si="41"/>
        <v>0</v>
      </c>
      <c r="S463" s="221"/>
      <c r="T463" s="226"/>
      <c r="V463" s="229"/>
      <c r="W463" s="419"/>
    </row>
    <row r="464" spans="2:23" ht="15.5" x14ac:dyDescent="0.35">
      <c r="B464" s="348"/>
      <c r="C464" s="166"/>
      <c r="D464" s="202"/>
      <c r="E464" s="177"/>
      <c r="F464" s="177"/>
      <c r="G464" s="248"/>
      <c r="H464" s="171"/>
      <c r="I464" s="177"/>
      <c r="J464" s="167"/>
      <c r="K464" s="181"/>
      <c r="L464" s="353"/>
      <c r="M464" s="658"/>
      <c r="N464" s="224"/>
      <c r="O464" s="225"/>
      <c r="P464" s="226"/>
      <c r="Q464" s="226"/>
      <c r="R464" s="227">
        <f t="shared" si="41"/>
        <v>0</v>
      </c>
      <c r="S464" s="221"/>
      <c r="T464" s="226"/>
      <c r="U464" s="228"/>
      <c r="V464" s="229"/>
      <c r="W464" s="419"/>
    </row>
    <row r="465" spans="2:23" ht="52.5" customHeight="1" x14ac:dyDescent="0.35">
      <c r="B465" s="348"/>
      <c r="C465" s="166"/>
      <c r="D465" s="202"/>
      <c r="E465" s="177"/>
      <c r="F465" s="177"/>
      <c r="G465" s="248"/>
      <c r="H465" s="171"/>
      <c r="I465" s="177"/>
      <c r="J465" s="167"/>
      <c r="K465" s="181"/>
      <c r="L465" s="353"/>
      <c r="M465" s="658"/>
      <c r="N465" s="224"/>
      <c r="O465" s="225"/>
      <c r="P465" s="226"/>
      <c r="Q465" s="226"/>
      <c r="R465" s="227">
        <f t="shared" si="41"/>
        <v>0</v>
      </c>
      <c r="S465" s="221"/>
      <c r="T465" s="226"/>
      <c r="U465" s="228"/>
      <c r="V465" s="229"/>
      <c r="W465" s="419"/>
    </row>
    <row r="466" spans="2:23" ht="31" x14ac:dyDescent="0.35">
      <c r="B466" s="348"/>
      <c r="C466" s="166"/>
      <c r="D466" s="202"/>
      <c r="E466" s="177"/>
      <c r="F466" s="177"/>
      <c r="G466" s="248"/>
      <c r="H466" s="171"/>
      <c r="I466" s="177"/>
      <c r="J466" s="167"/>
      <c r="K466" s="181"/>
      <c r="L466" s="353"/>
      <c r="M466" s="655" t="s">
        <v>472</v>
      </c>
      <c r="N466" s="224" t="s">
        <v>473</v>
      </c>
      <c r="O466" s="225">
        <v>5000</v>
      </c>
      <c r="P466" s="226"/>
      <c r="Q466" s="226"/>
      <c r="R466" s="227">
        <f t="shared" si="41"/>
        <v>5000</v>
      </c>
      <c r="S466" s="221">
        <v>0.5</v>
      </c>
      <c r="T466" s="226"/>
      <c r="U466" s="228" t="s">
        <v>467</v>
      </c>
      <c r="V466" s="229">
        <v>7</v>
      </c>
      <c r="W466" s="419"/>
    </row>
    <row r="467" spans="2:23" ht="31" x14ac:dyDescent="0.35">
      <c r="B467" s="348"/>
      <c r="C467" s="166"/>
      <c r="D467" s="202"/>
      <c r="E467" s="177"/>
      <c r="F467" s="177"/>
      <c r="G467" s="248"/>
      <c r="H467" s="171"/>
      <c r="I467" s="177"/>
      <c r="J467" s="167"/>
      <c r="K467" s="181"/>
      <c r="L467" s="353"/>
      <c r="M467" s="655"/>
      <c r="N467" s="224" t="s">
        <v>474</v>
      </c>
      <c r="O467" s="225">
        <v>10000</v>
      </c>
      <c r="P467" s="226"/>
      <c r="Q467" s="226"/>
      <c r="R467" s="227">
        <f t="shared" si="41"/>
        <v>10000</v>
      </c>
      <c r="S467" s="221">
        <v>0.5</v>
      </c>
      <c r="T467" s="226"/>
      <c r="U467" s="228" t="s">
        <v>469</v>
      </c>
      <c r="V467" s="229">
        <v>2</v>
      </c>
      <c r="W467" s="419"/>
    </row>
    <row r="468" spans="2:23" ht="15.5" x14ac:dyDescent="0.35">
      <c r="B468" s="348"/>
      <c r="C468" s="166"/>
      <c r="D468" s="202"/>
      <c r="E468" s="177"/>
      <c r="F468" s="177"/>
      <c r="G468" s="248"/>
      <c r="H468" s="171"/>
      <c r="I468" s="177"/>
      <c r="J468" s="167"/>
      <c r="K468" s="181"/>
      <c r="L468" s="353"/>
      <c r="M468" s="655"/>
      <c r="N468" s="224"/>
      <c r="O468" s="225"/>
      <c r="P468" s="226"/>
      <c r="Q468" s="226"/>
      <c r="R468" s="227">
        <f t="shared" si="41"/>
        <v>0</v>
      </c>
      <c r="S468" s="221"/>
      <c r="T468" s="226"/>
      <c r="U468" s="228"/>
      <c r="V468" s="229"/>
      <c r="W468" s="419"/>
    </row>
    <row r="469" spans="2:23" ht="15.5" x14ac:dyDescent="0.35">
      <c r="B469" s="348"/>
      <c r="C469" s="166"/>
      <c r="D469" s="202"/>
      <c r="E469" s="177"/>
      <c r="F469" s="177"/>
      <c r="G469" s="248"/>
      <c r="H469" s="171"/>
      <c r="I469" s="177"/>
      <c r="J469" s="167"/>
      <c r="K469" s="181"/>
      <c r="L469" s="353"/>
      <c r="M469" s="655"/>
      <c r="N469" s="224"/>
      <c r="O469" s="225"/>
      <c r="P469" s="226"/>
      <c r="Q469" s="226"/>
      <c r="R469" s="227">
        <f t="shared" si="41"/>
        <v>0</v>
      </c>
      <c r="S469" s="221"/>
      <c r="T469" s="226"/>
      <c r="U469" s="228"/>
      <c r="V469" s="229"/>
      <c r="W469" s="419"/>
    </row>
    <row r="470" spans="2:23" ht="60" customHeight="1" x14ac:dyDescent="0.35">
      <c r="B470" s="348"/>
      <c r="C470" s="166"/>
      <c r="D470" s="202"/>
      <c r="E470" s="177"/>
      <c r="F470" s="177"/>
      <c r="G470" s="248"/>
      <c r="H470" s="171"/>
      <c r="I470" s="177"/>
      <c r="J470" s="167"/>
      <c r="K470" s="181"/>
      <c r="L470" s="353"/>
      <c r="M470" s="656"/>
      <c r="N470" s="224"/>
      <c r="O470" s="225"/>
      <c r="P470" s="226"/>
      <c r="Q470" s="226"/>
      <c r="R470" s="227">
        <f t="shared" si="41"/>
        <v>0</v>
      </c>
      <c r="S470" s="221"/>
      <c r="T470" s="226"/>
      <c r="U470" s="228"/>
      <c r="V470" s="229"/>
      <c r="W470" s="419"/>
    </row>
    <row r="471" spans="2:23" ht="31" x14ac:dyDescent="0.35">
      <c r="B471" s="622"/>
      <c r="C471" s="166"/>
      <c r="D471" s="202"/>
      <c r="E471" s="177"/>
      <c r="F471" s="177"/>
      <c r="G471" s="248">
        <f t="shared" ref="G471:G475" si="42">D471+E471+F471</f>
        <v>0</v>
      </c>
      <c r="H471" s="171"/>
      <c r="I471" s="177"/>
      <c r="J471" s="167"/>
      <c r="K471" s="181"/>
      <c r="L471" s="353"/>
      <c r="M471" s="657" t="s">
        <v>475</v>
      </c>
      <c r="N471" s="224" t="s">
        <v>476</v>
      </c>
      <c r="O471" s="225">
        <v>5000</v>
      </c>
      <c r="P471" s="226"/>
      <c r="Q471" s="226"/>
      <c r="R471" s="227">
        <f t="shared" si="41"/>
        <v>5000</v>
      </c>
      <c r="S471" s="221">
        <v>0.5</v>
      </c>
      <c r="T471" s="226"/>
      <c r="U471" s="228" t="s">
        <v>477</v>
      </c>
      <c r="V471" s="229">
        <v>7</v>
      </c>
      <c r="W471" s="419"/>
    </row>
    <row r="472" spans="2:23" ht="31" x14ac:dyDescent="0.35">
      <c r="B472" s="623"/>
      <c r="C472" s="166"/>
      <c r="D472" s="202"/>
      <c r="E472" s="177"/>
      <c r="F472" s="177"/>
      <c r="G472" s="248">
        <f t="shared" si="42"/>
        <v>0</v>
      </c>
      <c r="H472" s="171"/>
      <c r="I472" s="177"/>
      <c r="J472" s="167"/>
      <c r="K472" s="181"/>
      <c r="L472" s="353"/>
      <c r="M472" s="655"/>
      <c r="N472" s="224" t="s">
        <v>478</v>
      </c>
      <c r="O472" s="449">
        <v>20000</v>
      </c>
      <c r="P472" s="226"/>
      <c r="Q472" s="226"/>
      <c r="R472" s="227">
        <f t="shared" si="41"/>
        <v>20000</v>
      </c>
      <c r="S472" s="221">
        <v>0.3</v>
      </c>
      <c r="T472" s="226"/>
      <c r="U472" s="228" t="s">
        <v>479</v>
      </c>
      <c r="V472" s="229">
        <v>7</v>
      </c>
      <c r="W472" s="419"/>
    </row>
    <row r="473" spans="2:23" ht="29" x14ac:dyDescent="0.35">
      <c r="B473" s="623"/>
      <c r="C473" s="166"/>
      <c r="D473" s="202"/>
      <c r="E473" s="177"/>
      <c r="F473" s="177"/>
      <c r="G473" s="248">
        <f t="shared" si="42"/>
        <v>0</v>
      </c>
      <c r="H473" s="171"/>
      <c r="I473" s="177"/>
      <c r="J473" s="167"/>
      <c r="K473" s="181"/>
      <c r="L473" s="353"/>
      <c r="M473" s="655"/>
      <c r="N473" s="224" t="s">
        <v>480</v>
      </c>
      <c r="O473" s="225">
        <v>15000</v>
      </c>
      <c r="P473" s="226"/>
      <c r="Q473" s="226"/>
      <c r="R473" s="227">
        <f t="shared" si="41"/>
        <v>15000</v>
      </c>
      <c r="S473" s="221">
        <v>0.3</v>
      </c>
      <c r="T473" s="226"/>
      <c r="U473" s="425" t="s">
        <v>481</v>
      </c>
      <c r="V473" s="229">
        <v>7</v>
      </c>
      <c r="W473" s="419"/>
    </row>
    <row r="474" spans="2:23" ht="15.5" x14ac:dyDescent="0.35">
      <c r="B474" s="623"/>
      <c r="C474" s="245"/>
      <c r="D474" s="202"/>
      <c r="E474" s="251"/>
      <c r="F474" s="251"/>
      <c r="G474" s="248">
        <f t="shared" si="42"/>
        <v>0</v>
      </c>
      <c r="H474" s="250"/>
      <c r="I474" s="251"/>
      <c r="J474" s="170"/>
      <c r="K474" s="181"/>
      <c r="L474" s="353"/>
      <c r="M474" s="655"/>
      <c r="N474" s="352" t="s">
        <v>482</v>
      </c>
      <c r="O474" s="225">
        <v>0</v>
      </c>
      <c r="P474" s="357"/>
      <c r="Q474" s="357"/>
      <c r="R474" s="227">
        <f t="shared" si="41"/>
        <v>0</v>
      </c>
      <c r="S474" s="367">
        <v>0.3</v>
      </c>
      <c r="T474" s="357"/>
      <c r="U474" s="368" t="s">
        <v>483</v>
      </c>
      <c r="V474" s="229">
        <v>7</v>
      </c>
      <c r="W474" s="419"/>
    </row>
    <row r="475" spans="2:23" ht="231.75" hidden="1" customHeight="1" x14ac:dyDescent="0.35">
      <c r="B475" s="624"/>
      <c r="C475" s="245"/>
      <c r="D475" s="202"/>
      <c r="E475" s="251"/>
      <c r="F475" s="251"/>
      <c r="G475" s="248">
        <f t="shared" si="42"/>
        <v>0</v>
      </c>
      <c r="H475" s="250"/>
      <c r="I475" s="251"/>
      <c r="J475" s="170"/>
      <c r="K475" s="181"/>
      <c r="L475" s="353"/>
      <c r="M475" s="656"/>
      <c r="N475" s="352"/>
      <c r="O475" s="225"/>
      <c r="P475" s="357"/>
      <c r="Q475" s="357"/>
      <c r="R475" s="227">
        <f t="shared" si="41"/>
        <v>0</v>
      </c>
      <c r="S475" s="367"/>
      <c r="T475" s="357"/>
      <c r="U475" s="368"/>
      <c r="V475" s="229"/>
      <c r="W475" s="419"/>
    </row>
    <row r="476" spans="2:23" ht="15.5" x14ac:dyDescent="0.35">
      <c r="C476" s="73" t="s">
        <v>356</v>
      </c>
      <c r="D476" s="203">
        <f>SUM(D431:D475)</f>
        <v>46000</v>
      </c>
      <c r="E476" s="12">
        <f>SUM(E431:E475)</f>
        <v>0</v>
      </c>
      <c r="F476" s="12">
        <f>SUM(F431:F475)</f>
        <v>0</v>
      </c>
      <c r="G476" s="10">
        <f>SUM(G431:G475)</f>
        <v>46000</v>
      </c>
      <c r="H476" s="10">
        <f>(H431*G431)+(H432*G432)+(H433*G433)+(H434*G434)+(H435*G435)+(H436*G436)+(H437*G437)+(H438*G438)+(H439*G439)+(H440*G440)+(H441*G441)+(H442*G442)+(H443*G443)+(H444*G444)+(H445*G445)+(H446*G446)+(H447*G447)+(H448*G448)+(H449*G449)+(H450*G450)+(G451*H451)+(G452*H452)+(G453*H453)+(G454*H454)+(G455*H455)+(G456*H456)+(G457*H457)+(G458*H458)+(G459*H459)+(G460*H460)+(G461*H461)+(G462*H462)+(G463*H463)+(G464*H464)+(G465*H465)+(G466*H466)+(G467*H467)+(G468*H468)+(G469*H469)+(G470*H470)+(H471*G471)+(H472*G472)+(H473*G473)+(H474*G474)+(H475*G475)</f>
        <v>12600</v>
      </c>
      <c r="I476" s="10">
        <f>SUM(I431:I475)</f>
        <v>0</v>
      </c>
      <c r="J476" s="170"/>
      <c r="K476" s="182"/>
      <c r="L476" s="353"/>
      <c r="N476" s="73" t="s">
        <v>356</v>
      </c>
      <c r="O476" s="203">
        <f>SUM(O431:O475)</f>
        <v>142000</v>
      </c>
      <c r="P476" s="12">
        <f>SUM(P431:P475)</f>
        <v>0</v>
      </c>
      <c r="Q476" s="12">
        <f>SUM(Q431:Q475)</f>
        <v>0</v>
      </c>
      <c r="R476" s="10">
        <f>SUM(R431:R475)</f>
        <v>142000</v>
      </c>
      <c r="S476" s="10">
        <f>(S431*R431)+(S432*R432)+(S433*R433)+(S434*R434)+(S435*R435)+(S436*R436)+(S437*R437)+(S438*R438)+(S439*R439)+(S440*R440)+(S441*R441)+(S442*R442)+(S443*R443)+(S444*R444)+(S445*R445)+(S446*R446)+(S447*R447)+(S448*R448)+(S449*R449)+(S450*R450)+(R451*S451)+(R452*S452)+(R453*S453)+(R454*S454)+(R455*S455)+(R456*S456)+(R457*S457)+(R458*S458)+(R459*S459)+(R460*S460)+(R461*S461)+(R462*S462)+(R463*S463)+(R464*S464)+(R465*S465)+(R466*S466)+(R467*S467)+(R468*S468)+(R469*S469)+(R470*S470)+(S471*R471)+(S472*R472)+(S473*R473)+(S474*R474)+(S475*R475)</f>
        <v>51200</v>
      </c>
      <c r="T476" s="10">
        <f>SUM(T431:T475)</f>
        <v>46000</v>
      </c>
      <c r="U476" s="170"/>
      <c r="V476" s="182"/>
    </row>
    <row r="477" spans="2:23" ht="15.5" x14ac:dyDescent="0.35">
      <c r="B477" s="72" t="s">
        <v>26</v>
      </c>
      <c r="C477" s="632" t="s">
        <v>357</v>
      </c>
      <c r="D477" s="632"/>
      <c r="E477" s="632"/>
      <c r="F477" s="632"/>
      <c r="G477" s="632"/>
      <c r="H477" s="632"/>
      <c r="I477" s="633"/>
      <c r="J477" s="632"/>
      <c r="K477" s="183"/>
      <c r="L477" s="353"/>
      <c r="M477" s="72" t="s">
        <v>26</v>
      </c>
      <c r="N477" s="632" t="s">
        <v>357</v>
      </c>
      <c r="O477" s="632"/>
      <c r="P477" s="632"/>
      <c r="Q477" s="632"/>
      <c r="R477" s="632"/>
      <c r="S477" s="632"/>
      <c r="T477" s="633"/>
      <c r="U477" s="632"/>
      <c r="V477" s="183"/>
    </row>
    <row r="478" spans="2:23" ht="31" x14ac:dyDescent="0.35">
      <c r="B478" s="622" t="s">
        <v>358</v>
      </c>
      <c r="C478" s="166" t="s">
        <v>359</v>
      </c>
      <c r="D478" s="202">
        <v>15000</v>
      </c>
      <c r="E478" s="177"/>
      <c r="F478" s="177"/>
      <c r="G478" s="248">
        <f>D478+E478+F478</f>
        <v>15000</v>
      </c>
      <c r="H478" s="171">
        <v>0.3</v>
      </c>
      <c r="I478" s="177"/>
      <c r="J478" s="167" t="s">
        <v>250</v>
      </c>
      <c r="K478" s="181">
        <v>4</v>
      </c>
      <c r="L478" s="353"/>
      <c r="M478" s="622" t="s">
        <v>358</v>
      </c>
      <c r="N478" s="166" t="s">
        <v>359</v>
      </c>
      <c r="O478" s="202">
        <v>15000</v>
      </c>
      <c r="P478" s="177"/>
      <c r="Q478" s="177"/>
      <c r="R478" s="248">
        <f>O478+P478+Q478</f>
        <v>15000</v>
      </c>
      <c r="S478" s="171">
        <v>0.3</v>
      </c>
      <c r="T478" s="527">
        <v>15000</v>
      </c>
      <c r="U478" s="167" t="s">
        <v>250</v>
      </c>
      <c r="V478" s="181">
        <v>4</v>
      </c>
    </row>
    <row r="479" spans="2:23" ht="31" x14ac:dyDescent="0.35">
      <c r="B479" s="623"/>
      <c r="C479" s="166" t="s">
        <v>360</v>
      </c>
      <c r="D479" s="202">
        <v>10000</v>
      </c>
      <c r="E479" s="177"/>
      <c r="F479" s="177"/>
      <c r="G479" s="248">
        <f t="shared" ref="G479:G501" si="43">D479+E479+F479</f>
        <v>10000</v>
      </c>
      <c r="H479" s="171">
        <v>0.4</v>
      </c>
      <c r="I479" s="177"/>
      <c r="J479" s="167" t="s">
        <v>361</v>
      </c>
      <c r="K479" s="181">
        <v>4</v>
      </c>
      <c r="L479" s="353"/>
      <c r="M479" s="623"/>
      <c r="N479" s="166" t="s">
        <v>360</v>
      </c>
      <c r="O479" s="202">
        <v>10000</v>
      </c>
      <c r="P479" s="177"/>
      <c r="Q479" s="177"/>
      <c r="R479" s="248">
        <f t="shared" ref="R479:R503" si="44">O479+P479+Q479</f>
        <v>10000</v>
      </c>
      <c r="S479" s="171">
        <v>0.4</v>
      </c>
      <c r="T479" s="527">
        <v>10000</v>
      </c>
      <c r="U479" s="167" t="s">
        <v>361</v>
      </c>
      <c r="V479" s="181">
        <v>4</v>
      </c>
    </row>
    <row r="480" spans="2:23" ht="15.5" x14ac:dyDescent="0.35">
      <c r="B480" s="623"/>
      <c r="C480" s="169" t="s">
        <v>362</v>
      </c>
      <c r="D480" s="202">
        <v>5000</v>
      </c>
      <c r="E480" s="177"/>
      <c r="F480" s="177"/>
      <c r="G480" s="248">
        <f t="shared" si="43"/>
        <v>5000</v>
      </c>
      <c r="H480" s="171">
        <v>0.4</v>
      </c>
      <c r="I480" s="177"/>
      <c r="J480" s="167" t="s">
        <v>363</v>
      </c>
      <c r="K480" s="181">
        <v>7</v>
      </c>
      <c r="L480" s="353"/>
      <c r="M480" s="623"/>
      <c r="N480" s="169" t="s">
        <v>362</v>
      </c>
      <c r="O480" s="202">
        <v>5000</v>
      </c>
      <c r="P480" s="177"/>
      <c r="Q480" s="177"/>
      <c r="R480" s="248">
        <f t="shared" si="44"/>
        <v>5000</v>
      </c>
      <c r="S480" s="171">
        <v>0.4</v>
      </c>
      <c r="T480" s="527">
        <v>5000</v>
      </c>
      <c r="U480" s="167" t="s">
        <v>363</v>
      </c>
      <c r="V480" s="181">
        <v>7</v>
      </c>
    </row>
    <row r="481" spans="2:22" ht="15.5" x14ac:dyDescent="0.35">
      <c r="B481" s="623"/>
      <c r="C481" s="177"/>
      <c r="D481" s="202"/>
      <c r="E481" s="177"/>
      <c r="F481" s="177"/>
      <c r="G481" s="248">
        <f t="shared" si="43"/>
        <v>0</v>
      </c>
      <c r="H481" s="171"/>
      <c r="I481" s="177"/>
      <c r="J481" s="167"/>
      <c r="K481" s="181"/>
      <c r="L481" s="353"/>
      <c r="M481" s="623"/>
      <c r="N481" s="177"/>
      <c r="O481" s="202"/>
      <c r="P481" s="177"/>
      <c r="Q481" s="177"/>
      <c r="R481" s="248">
        <f t="shared" si="44"/>
        <v>0</v>
      </c>
      <c r="S481" s="171"/>
      <c r="T481" s="527"/>
      <c r="U481" s="167"/>
      <c r="V481" s="181"/>
    </row>
    <row r="482" spans="2:22" ht="15.5" x14ac:dyDescent="0.35">
      <c r="B482" s="623"/>
      <c r="C482" s="166"/>
      <c r="D482" s="202"/>
      <c r="E482" s="177"/>
      <c r="F482" s="177"/>
      <c r="G482" s="248">
        <f t="shared" si="43"/>
        <v>0</v>
      </c>
      <c r="H482" s="171"/>
      <c r="I482" s="177"/>
      <c r="J482" s="167"/>
      <c r="K482" s="181"/>
      <c r="L482" s="353"/>
      <c r="M482" s="623"/>
      <c r="N482" s="166"/>
      <c r="O482" s="202"/>
      <c r="P482" s="177"/>
      <c r="Q482" s="177"/>
      <c r="R482" s="248">
        <f t="shared" si="44"/>
        <v>0</v>
      </c>
      <c r="S482" s="171"/>
      <c r="T482" s="527"/>
      <c r="U482" s="167"/>
      <c r="V482" s="181"/>
    </row>
    <row r="483" spans="2:22" ht="20.149999999999999" customHeight="1" x14ac:dyDescent="0.35">
      <c r="B483" s="624"/>
      <c r="C483" s="166"/>
      <c r="D483" s="202"/>
      <c r="E483" s="177"/>
      <c r="F483" s="177"/>
      <c r="G483" s="248">
        <f t="shared" si="43"/>
        <v>0</v>
      </c>
      <c r="H483" s="171"/>
      <c r="I483" s="177"/>
      <c r="J483" s="167"/>
      <c r="K483" s="181"/>
      <c r="L483" s="353"/>
      <c r="M483" s="624"/>
      <c r="N483" s="166"/>
      <c r="O483" s="202"/>
      <c r="P483" s="177"/>
      <c r="Q483" s="177"/>
      <c r="R483" s="248">
        <f t="shared" si="44"/>
        <v>0</v>
      </c>
      <c r="S483" s="171"/>
      <c r="T483" s="527"/>
      <c r="U483" s="167"/>
      <c r="V483" s="181"/>
    </row>
    <row r="484" spans="2:22" ht="35.5" customHeight="1" x14ac:dyDescent="0.35">
      <c r="B484" s="622" t="s">
        <v>364</v>
      </c>
      <c r="C484" s="166" t="s">
        <v>365</v>
      </c>
      <c r="D484" s="202">
        <v>8289.7199999999993</v>
      </c>
      <c r="E484" s="177"/>
      <c r="F484" s="177"/>
      <c r="G484" s="248">
        <f t="shared" si="43"/>
        <v>8289.7199999999993</v>
      </c>
      <c r="H484" s="171">
        <v>0.3</v>
      </c>
      <c r="I484" s="177"/>
      <c r="J484" s="167" t="s">
        <v>310</v>
      </c>
      <c r="K484" s="181">
        <v>7</v>
      </c>
      <c r="L484" s="353"/>
      <c r="M484" s="622" t="s">
        <v>364</v>
      </c>
      <c r="N484" s="166" t="s">
        <v>365</v>
      </c>
      <c r="O484" s="202">
        <v>8289.7199999999993</v>
      </c>
      <c r="P484" s="177"/>
      <c r="Q484" s="177"/>
      <c r="R484" s="248">
        <f t="shared" si="44"/>
        <v>8289.7199999999993</v>
      </c>
      <c r="S484" s="171">
        <v>0.3</v>
      </c>
      <c r="T484" s="527">
        <v>8289.7199999999993</v>
      </c>
      <c r="U484" s="167" t="s">
        <v>310</v>
      </c>
      <c r="V484" s="181">
        <v>7</v>
      </c>
    </row>
    <row r="485" spans="2:22" ht="15.5" x14ac:dyDescent="0.35">
      <c r="B485" s="623"/>
      <c r="C485" s="166" t="s">
        <v>97</v>
      </c>
      <c r="D485" s="202">
        <v>1900</v>
      </c>
      <c r="E485" s="177"/>
      <c r="F485" s="177"/>
      <c r="G485" s="248">
        <f t="shared" si="43"/>
        <v>1900</v>
      </c>
      <c r="H485" s="171">
        <v>0.3</v>
      </c>
      <c r="I485" s="177"/>
      <c r="J485" s="167" t="s">
        <v>201</v>
      </c>
      <c r="K485" s="181">
        <v>5</v>
      </c>
      <c r="L485" s="353"/>
      <c r="M485" s="623"/>
      <c r="N485" s="166" t="s">
        <v>97</v>
      </c>
      <c r="O485" s="202">
        <v>1900</v>
      </c>
      <c r="P485" s="177"/>
      <c r="Q485" s="177"/>
      <c r="R485" s="248">
        <f t="shared" si="44"/>
        <v>1900</v>
      </c>
      <c r="S485" s="171">
        <v>0.3</v>
      </c>
      <c r="T485" s="527">
        <v>1900</v>
      </c>
      <c r="U485" s="167" t="s">
        <v>201</v>
      </c>
      <c r="V485" s="181">
        <v>5</v>
      </c>
    </row>
    <row r="486" spans="2:22" ht="35.5" customHeight="1" x14ac:dyDescent="0.35">
      <c r="B486" s="623"/>
      <c r="C486" s="166"/>
      <c r="D486" s="202"/>
      <c r="E486" s="177"/>
      <c r="F486" s="177"/>
      <c r="G486" s="248">
        <f t="shared" si="43"/>
        <v>0</v>
      </c>
      <c r="H486" s="171"/>
      <c r="I486" s="177"/>
      <c r="J486" s="167"/>
      <c r="K486" s="181"/>
      <c r="L486" s="353"/>
      <c r="M486" s="623"/>
      <c r="N486" s="166"/>
      <c r="O486" s="202"/>
      <c r="P486" s="177"/>
      <c r="Q486" s="177"/>
      <c r="R486" s="248">
        <f t="shared" si="44"/>
        <v>0</v>
      </c>
      <c r="S486" s="171"/>
      <c r="T486" s="527"/>
      <c r="U486" s="167"/>
      <c r="V486" s="181"/>
    </row>
    <row r="487" spans="2:22" ht="35.5" customHeight="1" x14ac:dyDescent="0.35">
      <c r="B487" s="623"/>
      <c r="C487" s="166"/>
      <c r="D487" s="202"/>
      <c r="E487" s="177"/>
      <c r="F487" s="177"/>
      <c r="G487" s="248">
        <f t="shared" si="43"/>
        <v>0</v>
      </c>
      <c r="H487" s="171"/>
      <c r="I487" s="177"/>
      <c r="J487" s="167"/>
      <c r="K487" s="181"/>
      <c r="L487" s="353"/>
      <c r="M487" s="623"/>
      <c r="N487" s="166"/>
      <c r="O487" s="202"/>
      <c r="P487" s="177"/>
      <c r="Q487" s="177"/>
      <c r="R487" s="248">
        <f t="shared" si="44"/>
        <v>0</v>
      </c>
      <c r="S487" s="171"/>
      <c r="T487" s="527"/>
      <c r="U487" s="167"/>
      <c r="V487" s="181"/>
    </row>
    <row r="488" spans="2:22" ht="35.5" customHeight="1" x14ac:dyDescent="0.35">
      <c r="B488" s="624"/>
      <c r="C488" s="166"/>
      <c r="D488" s="202"/>
      <c r="E488" s="177"/>
      <c r="F488" s="177"/>
      <c r="G488" s="248">
        <f t="shared" si="43"/>
        <v>0</v>
      </c>
      <c r="H488" s="171"/>
      <c r="I488" s="177"/>
      <c r="J488" s="167"/>
      <c r="K488" s="181"/>
      <c r="L488" s="353"/>
      <c r="M488" s="624"/>
      <c r="N488" s="166"/>
      <c r="O488" s="202"/>
      <c r="P488" s="177"/>
      <c r="Q488" s="177"/>
      <c r="R488" s="248">
        <f t="shared" si="44"/>
        <v>0</v>
      </c>
      <c r="S488" s="171"/>
      <c r="T488" s="527"/>
      <c r="U488" s="167"/>
      <c r="V488" s="181"/>
    </row>
    <row r="489" spans="2:22" ht="31" x14ac:dyDescent="0.35">
      <c r="B489" s="622" t="s">
        <v>366</v>
      </c>
      <c r="C489" s="166" t="s">
        <v>367</v>
      </c>
      <c r="D489" s="202">
        <v>10000</v>
      </c>
      <c r="E489" s="177"/>
      <c r="F489" s="177"/>
      <c r="G489" s="248">
        <f t="shared" si="43"/>
        <v>10000</v>
      </c>
      <c r="H489" s="171">
        <v>0.3</v>
      </c>
      <c r="I489" s="177"/>
      <c r="J489" s="167" t="s">
        <v>368</v>
      </c>
      <c r="K489" s="181">
        <v>7</v>
      </c>
      <c r="L489" s="353"/>
      <c r="M489" s="622" t="s">
        <v>366</v>
      </c>
      <c r="N489" s="166" t="s">
        <v>367</v>
      </c>
      <c r="O489" s="202">
        <v>10000</v>
      </c>
      <c r="P489" s="177"/>
      <c r="Q489" s="177"/>
      <c r="R489" s="248">
        <f t="shared" si="44"/>
        <v>10000</v>
      </c>
      <c r="S489" s="171">
        <v>0.3</v>
      </c>
      <c r="T489" s="527">
        <v>10000</v>
      </c>
      <c r="U489" s="167" t="s">
        <v>368</v>
      </c>
      <c r="V489" s="181">
        <v>7</v>
      </c>
    </row>
    <row r="490" spans="2:22" ht="15.5" x14ac:dyDescent="0.35">
      <c r="B490" s="623"/>
      <c r="C490" s="166" t="s">
        <v>369</v>
      </c>
      <c r="D490" s="202">
        <v>6000</v>
      </c>
      <c r="E490" s="177"/>
      <c r="F490" s="177"/>
      <c r="G490" s="248">
        <f t="shared" si="43"/>
        <v>6000</v>
      </c>
      <c r="H490" s="171">
        <v>0.3</v>
      </c>
      <c r="I490" s="177"/>
      <c r="J490" s="167" t="s">
        <v>250</v>
      </c>
      <c r="K490" s="181">
        <v>4</v>
      </c>
      <c r="L490" s="353"/>
      <c r="M490" s="623"/>
      <c r="N490" s="166" t="s">
        <v>369</v>
      </c>
      <c r="O490" s="202">
        <v>6000</v>
      </c>
      <c r="P490" s="177"/>
      <c r="Q490" s="177"/>
      <c r="R490" s="248">
        <f t="shared" si="44"/>
        <v>6000</v>
      </c>
      <c r="S490" s="171">
        <v>0.3</v>
      </c>
      <c r="T490" s="527">
        <v>6000</v>
      </c>
      <c r="U490" s="167" t="s">
        <v>250</v>
      </c>
      <c r="V490" s="181">
        <v>4</v>
      </c>
    </row>
    <row r="491" spans="2:22" ht="31" x14ac:dyDescent="0.35">
      <c r="B491" s="623"/>
      <c r="C491" s="166" t="s">
        <v>370</v>
      </c>
      <c r="D491" s="202">
        <v>10000</v>
      </c>
      <c r="E491" s="177"/>
      <c r="F491" s="177"/>
      <c r="G491" s="248">
        <f t="shared" si="43"/>
        <v>10000</v>
      </c>
      <c r="H491" s="171">
        <v>0.3</v>
      </c>
      <c r="I491" s="177"/>
      <c r="J491" s="167" t="s">
        <v>371</v>
      </c>
      <c r="K491" s="181">
        <v>7</v>
      </c>
      <c r="L491" s="353"/>
      <c r="M491" s="623"/>
      <c r="N491" s="166" t="s">
        <v>370</v>
      </c>
      <c r="O491" s="202">
        <v>10000</v>
      </c>
      <c r="P491" s="177"/>
      <c r="Q491" s="177"/>
      <c r="R491" s="248">
        <f t="shared" si="44"/>
        <v>10000</v>
      </c>
      <c r="S491" s="171">
        <v>0.3</v>
      </c>
      <c r="T491" s="527">
        <v>10000</v>
      </c>
      <c r="U491" s="167" t="s">
        <v>371</v>
      </c>
      <c r="V491" s="181">
        <v>7</v>
      </c>
    </row>
    <row r="492" spans="2:22" ht="15.5" x14ac:dyDescent="0.35">
      <c r="B492" s="623"/>
      <c r="C492" s="166" t="s">
        <v>97</v>
      </c>
      <c r="D492" s="202">
        <v>2000</v>
      </c>
      <c r="E492" s="177"/>
      <c r="F492" s="177"/>
      <c r="G492" s="248">
        <f t="shared" si="43"/>
        <v>2000</v>
      </c>
      <c r="H492" s="171">
        <v>0.3</v>
      </c>
      <c r="I492" s="177"/>
      <c r="J492" s="167" t="s">
        <v>201</v>
      </c>
      <c r="K492" s="181">
        <v>5</v>
      </c>
      <c r="L492" s="353"/>
      <c r="M492" s="623"/>
      <c r="N492" s="166" t="s">
        <v>97</v>
      </c>
      <c r="O492" s="202">
        <v>2000</v>
      </c>
      <c r="P492" s="177"/>
      <c r="Q492" s="177"/>
      <c r="R492" s="248">
        <f t="shared" si="44"/>
        <v>2000</v>
      </c>
      <c r="S492" s="171">
        <v>0.3</v>
      </c>
      <c r="T492" s="527">
        <v>2000</v>
      </c>
      <c r="U492" s="167" t="s">
        <v>201</v>
      </c>
      <c r="V492" s="181">
        <v>5</v>
      </c>
    </row>
    <row r="493" spans="2:22" ht="15.5" x14ac:dyDescent="0.35">
      <c r="B493" s="624"/>
      <c r="C493" s="166"/>
      <c r="D493" s="202"/>
      <c r="E493" s="177"/>
      <c r="F493" s="177"/>
      <c r="G493" s="248">
        <f t="shared" si="43"/>
        <v>0</v>
      </c>
      <c r="H493" s="171"/>
      <c r="I493" s="177"/>
      <c r="J493" s="167"/>
      <c r="K493" s="181"/>
      <c r="L493" s="353"/>
      <c r="M493" s="624"/>
      <c r="N493" s="166"/>
      <c r="O493" s="202"/>
      <c r="P493" s="177"/>
      <c r="Q493" s="177"/>
      <c r="R493" s="248">
        <f t="shared" si="44"/>
        <v>0</v>
      </c>
      <c r="S493" s="171"/>
      <c r="T493" s="527"/>
      <c r="U493" s="167"/>
      <c r="V493" s="181"/>
    </row>
    <row r="494" spans="2:22" ht="31" x14ac:dyDescent="0.35">
      <c r="B494" s="622" t="s">
        <v>372</v>
      </c>
      <c r="C494" s="166" t="s">
        <v>373</v>
      </c>
      <c r="D494" s="202">
        <v>3000</v>
      </c>
      <c r="E494" s="177"/>
      <c r="F494" s="177"/>
      <c r="G494" s="248">
        <f t="shared" si="43"/>
        <v>3000</v>
      </c>
      <c r="H494" s="171">
        <v>0.3</v>
      </c>
      <c r="I494" s="177"/>
      <c r="J494" s="167" t="s">
        <v>374</v>
      </c>
      <c r="K494" s="181">
        <v>7</v>
      </c>
      <c r="L494" s="353"/>
      <c r="M494" s="622" t="s">
        <v>372</v>
      </c>
      <c r="N494" s="166" t="s">
        <v>373</v>
      </c>
      <c r="O494" s="202">
        <v>3000</v>
      </c>
      <c r="P494" s="177"/>
      <c r="Q494" s="177"/>
      <c r="R494" s="248">
        <f t="shared" si="44"/>
        <v>3000</v>
      </c>
      <c r="S494" s="171">
        <v>0.3</v>
      </c>
      <c r="T494" s="527">
        <v>3000</v>
      </c>
      <c r="U494" s="167" t="s">
        <v>374</v>
      </c>
      <c r="V494" s="181">
        <v>7</v>
      </c>
    </row>
    <row r="495" spans="2:22" ht="31" x14ac:dyDescent="0.35">
      <c r="B495" s="623"/>
      <c r="C495" s="166" t="s">
        <v>375</v>
      </c>
      <c r="D495" s="202">
        <v>7500</v>
      </c>
      <c r="E495" s="177"/>
      <c r="F495" s="177"/>
      <c r="G495" s="248">
        <f t="shared" si="43"/>
        <v>7500</v>
      </c>
      <c r="H495" s="171">
        <v>0.3</v>
      </c>
      <c r="I495" s="177"/>
      <c r="J495" s="167" t="s">
        <v>308</v>
      </c>
      <c r="K495" s="181">
        <v>3</v>
      </c>
      <c r="L495" s="353"/>
      <c r="M495" s="623"/>
      <c r="N495" s="166" t="s">
        <v>375</v>
      </c>
      <c r="O495" s="202">
        <v>7500</v>
      </c>
      <c r="P495" s="177"/>
      <c r="Q495" s="177"/>
      <c r="R495" s="248">
        <f t="shared" si="44"/>
        <v>7500</v>
      </c>
      <c r="S495" s="171">
        <v>0.3</v>
      </c>
      <c r="T495" s="527">
        <v>7500</v>
      </c>
      <c r="U495" s="167" t="s">
        <v>308</v>
      </c>
      <c r="V495" s="181">
        <v>3</v>
      </c>
    </row>
    <row r="496" spans="2:22" ht="15.5" x14ac:dyDescent="0.35">
      <c r="B496" s="623"/>
      <c r="C496" s="166"/>
      <c r="D496" s="202"/>
      <c r="E496" s="177"/>
      <c r="F496" s="177"/>
      <c r="G496" s="248">
        <f t="shared" si="43"/>
        <v>0</v>
      </c>
      <c r="H496" s="171"/>
      <c r="I496" s="177"/>
      <c r="J496" s="167"/>
      <c r="K496" s="181"/>
      <c r="L496" s="353"/>
      <c r="M496" s="623"/>
      <c r="N496" s="166"/>
      <c r="O496" s="202"/>
      <c r="P496" s="177"/>
      <c r="Q496" s="177"/>
      <c r="R496" s="248">
        <f t="shared" si="44"/>
        <v>0</v>
      </c>
      <c r="S496" s="171"/>
      <c r="T496" s="527"/>
      <c r="U496" s="167"/>
      <c r="V496" s="181"/>
    </row>
    <row r="497" spans="2:22" ht="15.5" x14ac:dyDescent="0.35">
      <c r="B497" s="623"/>
      <c r="C497" s="166"/>
      <c r="D497" s="202"/>
      <c r="E497" s="177"/>
      <c r="F497" s="177"/>
      <c r="G497" s="248">
        <f t="shared" si="43"/>
        <v>0</v>
      </c>
      <c r="H497" s="171"/>
      <c r="I497" s="177"/>
      <c r="J497" s="167"/>
      <c r="K497" s="181"/>
      <c r="L497" s="353"/>
      <c r="M497" s="623"/>
      <c r="N497" s="166"/>
      <c r="O497" s="202"/>
      <c r="P497" s="177"/>
      <c r="Q497" s="177"/>
      <c r="R497" s="248">
        <f t="shared" si="44"/>
        <v>0</v>
      </c>
      <c r="S497" s="171"/>
      <c r="T497" s="527"/>
      <c r="U497" s="167"/>
      <c r="V497" s="181"/>
    </row>
    <row r="498" spans="2:22" ht="15.5" x14ac:dyDescent="0.35">
      <c r="B498" s="624"/>
      <c r="C498" s="166"/>
      <c r="D498" s="202"/>
      <c r="E498" s="177"/>
      <c r="F498" s="177"/>
      <c r="G498" s="248">
        <f t="shared" si="43"/>
        <v>0</v>
      </c>
      <c r="H498" s="171"/>
      <c r="I498" s="177"/>
      <c r="J498" s="167"/>
      <c r="K498" s="181"/>
      <c r="L498" s="353"/>
      <c r="M498" s="624"/>
      <c r="N498" s="166"/>
      <c r="O498" s="202"/>
      <c r="P498" s="177"/>
      <c r="Q498" s="177"/>
      <c r="R498" s="248">
        <f t="shared" si="44"/>
        <v>0</v>
      </c>
      <c r="S498" s="171"/>
      <c r="T498" s="527"/>
      <c r="U498" s="167"/>
      <c r="V498" s="181"/>
    </row>
    <row r="499" spans="2:22" ht="15.5" x14ac:dyDescent="0.35">
      <c r="B499" s="622" t="s">
        <v>376</v>
      </c>
      <c r="C499" s="166"/>
      <c r="D499" s="202"/>
      <c r="E499" s="177"/>
      <c r="F499" s="177"/>
      <c r="G499" s="248">
        <f t="shared" si="43"/>
        <v>0</v>
      </c>
      <c r="H499" s="171"/>
      <c r="I499" s="177"/>
      <c r="J499" s="167"/>
      <c r="K499" s="181"/>
      <c r="L499" s="353"/>
      <c r="M499" s="622" t="s">
        <v>376</v>
      </c>
      <c r="N499" s="166"/>
      <c r="O499" s="202"/>
      <c r="P499" s="177"/>
      <c r="Q499" s="177"/>
      <c r="R499" s="248">
        <f t="shared" si="44"/>
        <v>0</v>
      </c>
      <c r="S499" s="171"/>
      <c r="T499" s="177"/>
      <c r="U499" s="167"/>
      <c r="V499" s="181"/>
    </row>
    <row r="500" spans="2:22" ht="15.5" x14ac:dyDescent="0.35">
      <c r="B500" s="623"/>
      <c r="C500" s="166"/>
      <c r="D500" s="202"/>
      <c r="E500" s="177"/>
      <c r="F500" s="177"/>
      <c r="G500" s="248">
        <f t="shared" si="43"/>
        <v>0</v>
      </c>
      <c r="H500" s="171"/>
      <c r="I500" s="177"/>
      <c r="J500" s="167"/>
      <c r="K500" s="181"/>
      <c r="L500" s="353"/>
      <c r="M500" s="623"/>
      <c r="N500" s="166"/>
      <c r="O500" s="202"/>
      <c r="P500" s="177"/>
      <c r="Q500" s="177"/>
      <c r="R500" s="248">
        <f t="shared" si="44"/>
        <v>0</v>
      </c>
      <c r="S500" s="171"/>
      <c r="T500" s="177"/>
      <c r="U500" s="167"/>
      <c r="V500" s="181"/>
    </row>
    <row r="501" spans="2:22" ht="15.5" x14ac:dyDescent="0.35">
      <c r="B501" s="623"/>
      <c r="C501" s="166"/>
      <c r="D501" s="202"/>
      <c r="E501" s="177"/>
      <c r="F501" s="177"/>
      <c r="G501" s="248">
        <f t="shared" si="43"/>
        <v>0</v>
      </c>
      <c r="H501" s="171"/>
      <c r="I501" s="177"/>
      <c r="J501" s="167"/>
      <c r="K501" s="181"/>
      <c r="L501" s="353"/>
      <c r="M501" s="623"/>
      <c r="N501" s="166"/>
      <c r="O501" s="202"/>
      <c r="P501" s="177"/>
      <c r="Q501" s="177"/>
      <c r="R501" s="248">
        <f t="shared" si="44"/>
        <v>0</v>
      </c>
      <c r="S501" s="171"/>
      <c r="T501" s="177"/>
      <c r="U501" s="167"/>
      <c r="V501" s="181"/>
    </row>
    <row r="502" spans="2:22" ht="15.5" x14ac:dyDescent="0.35">
      <c r="B502" s="623"/>
      <c r="C502" s="245"/>
      <c r="D502" s="202"/>
      <c r="E502" s="251"/>
      <c r="F502" s="251"/>
      <c r="G502" s="248">
        <f t="shared" ref="G502:G503" si="45">D502+E502+F502</f>
        <v>0</v>
      </c>
      <c r="H502" s="250"/>
      <c r="I502" s="251"/>
      <c r="J502" s="170"/>
      <c r="K502" s="181"/>
      <c r="L502" s="353"/>
      <c r="M502" s="623"/>
      <c r="N502" s="245"/>
      <c r="O502" s="202"/>
      <c r="P502" s="251"/>
      <c r="Q502" s="251"/>
      <c r="R502" s="248">
        <f t="shared" si="44"/>
        <v>0</v>
      </c>
      <c r="S502" s="250"/>
      <c r="T502" s="251"/>
      <c r="U502" s="170"/>
      <c r="V502" s="181"/>
    </row>
    <row r="503" spans="2:22" ht="15.5" x14ac:dyDescent="0.35">
      <c r="B503" s="624"/>
      <c r="C503" s="245"/>
      <c r="D503" s="202"/>
      <c r="E503" s="251"/>
      <c r="F503" s="251"/>
      <c r="G503" s="248">
        <f t="shared" si="45"/>
        <v>0</v>
      </c>
      <c r="H503" s="250"/>
      <c r="I503" s="251"/>
      <c r="J503" s="170"/>
      <c r="K503" s="181"/>
      <c r="L503" s="353"/>
      <c r="M503" s="624"/>
      <c r="N503" s="245"/>
      <c r="O503" s="202"/>
      <c r="P503" s="251"/>
      <c r="Q503" s="251"/>
      <c r="R503" s="248">
        <f t="shared" si="44"/>
        <v>0</v>
      </c>
      <c r="S503" s="250"/>
      <c r="T503" s="251"/>
      <c r="U503" s="170"/>
      <c r="V503" s="181"/>
    </row>
    <row r="504" spans="2:22" ht="15.5" x14ac:dyDescent="0.35">
      <c r="C504" s="73" t="s">
        <v>377</v>
      </c>
      <c r="D504" s="203">
        <f>SUM(D478:D503)</f>
        <v>78689.72</v>
      </c>
      <c r="E504" s="12">
        <f t="shared" ref="E504:F504" si="46">SUM(E478:E503)</f>
        <v>0</v>
      </c>
      <c r="F504" s="12">
        <f t="shared" si="46"/>
        <v>0</v>
      </c>
      <c r="G504" s="10">
        <f>SUM(G478:G503)</f>
        <v>78689.72</v>
      </c>
      <c r="H504" s="10">
        <f>(H478*G478)+(H479*G479)+(H480*G480)+(H481*G481)+(H482*G482)+(H483*G483)+(H484*G484)+(H485*G485)+(H486*G486)+(H487*G487)+(H488*G488)+(H489*G489)+(H490*G490)+(H491*G491)+(H492*G492)+(H493*G493)+(H494*G494)+(H495*G495)+(H496*G496)+(H497*G497)+(H498*G498)+(H499*G499)+(H500*G500)+(H501*G501)+(H502*G502)+(H503*G503)</f>
        <v>25106.915999999997</v>
      </c>
      <c r="I504" s="10">
        <f>SUM(I478:I503)</f>
        <v>0</v>
      </c>
      <c r="J504" s="170"/>
      <c r="K504" s="182"/>
      <c r="L504" s="353"/>
      <c r="N504" s="73" t="s">
        <v>377</v>
      </c>
      <c r="O504" s="203">
        <f>SUM(O478:O503)</f>
        <v>78689.72</v>
      </c>
      <c r="P504" s="12">
        <f t="shared" ref="P504:Q504" si="47">SUM(P478:P503)</f>
        <v>0</v>
      </c>
      <c r="Q504" s="12">
        <f t="shared" si="47"/>
        <v>0</v>
      </c>
      <c r="R504" s="10">
        <f>SUM(R478:R503)</f>
        <v>78689.72</v>
      </c>
      <c r="S504" s="10">
        <f>(S478*R478)+(S479*R479)+(S480*R480)+(S481*R481)+(S482*R482)+(S483*R483)+(S484*R484)+(S485*R485)+(S486*R486)+(S487*R487)+(S488*R488)+(S489*R489)+(S490*R490)+(S491*R491)+(S492*R492)+(S493*R493)+(S494*R494)+(S495*R495)+(S496*R496)+(S497*R497)+(S498*R498)+(S499*R499)+(S500*R500)+(S501*R501)+(S502*R502)+(S503*R503)</f>
        <v>25106.915999999997</v>
      </c>
      <c r="T504" s="10">
        <f>SUM(T478:T503)</f>
        <v>78689.72</v>
      </c>
      <c r="U504" s="170"/>
      <c r="V504" s="182"/>
    </row>
    <row r="505" spans="2:22" ht="34.4" hidden="1" customHeight="1" x14ac:dyDescent="0.35">
      <c r="B505" s="72" t="s">
        <v>378</v>
      </c>
      <c r="C505" s="630"/>
      <c r="D505" s="630"/>
      <c r="E505" s="630"/>
      <c r="F505" s="630"/>
      <c r="G505" s="630"/>
      <c r="H505" s="630"/>
      <c r="I505" s="631"/>
      <c r="J505" s="630"/>
      <c r="K505" s="183"/>
      <c r="L505" s="353"/>
      <c r="M505" s="72" t="s">
        <v>378</v>
      </c>
      <c r="N505" s="630"/>
      <c r="O505" s="630"/>
      <c r="P505" s="630"/>
      <c r="Q505" s="630"/>
      <c r="R505" s="630"/>
      <c r="S505" s="630"/>
      <c r="T505" s="631"/>
      <c r="U505" s="630"/>
      <c r="V505" s="183"/>
    </row>
    <row r="506" spans="2:22" ht="15.5" hidden="1" x14ac:dyDescent="0.35">
      <c r="B506" s="622" t="s">
        <v>379</v>
      </c>
      <c r="C506" s="166"/>
      <c r="D506" s="202"/>
      <c r="E506" s="177"/>
      <c r="F506" s="177"/>
      <c r="G506" s="248">
        <f>D506+E506+F506</f>
        <v>0</v>
      </c>
      <c r="H506" s="171"/>
      <c r="I506" s="177"/>
      <c r="J506" s="167"/>
      <c r="K506" s="181"/>
      <c r="L506" s="353"/>
      <c r="M506" s="622" t="s">
        <v>379</v>
      </c>
      <c r="N506" s="166"/>
      <c r="O506" s="202"/>
      <c r="P506" s="177"/>
      <c r="Q506" s="177"/>
      <c r="R506" s="248">
        <f>O506+P506+Q506</f>
        <v>0</v>
      </c>
      <c r="S506" s="171"/>
      <c r="T506" s="177"/>
      <c r="U506" s="167"/>
      <c r="V506" s="181"/>
    </row>
    <row r="507" spans="2:22" ht="15.5" hidden="1" x14ac:dyDescent="0.35">
      <c r="B507" s="623"/>
      <c r="C507" s="166"/>
      <c r="D507" s="202"/>
      <c r="E507" s="177"/>
      <c r="F507" s="177"/>
      <c r="G507" s="248">
        <f t="shared" ref="G507:G515" si="48">D507+E507+F507</f>
        <v>0</v>
      </c>
      <c r="H507" s="171"/>
      <c r="I507" s="177"/>
      <c r="J507" s="167"/>
      <c r="K507" s="181"/>
      <c r="L507" s="353"/>
      <c r="M507" s="623"/>
      <c r="N507" s="166"/>
      <c r="O507" s="202"/>
      <c r="P507" s="177"/>
      <c r="Q507" s="177"/>
      <c r="R507" s="248">
        <f t="shared" ref="R507:R515" si="49">O507+P507+Q507</f>
        <v>0</v>
      </c>
      <c r="S507" s="171"/>
      <c r="T507" s="177"/>
      <c r="U507" s="167"/>
      <c r="V507" s="181"/>
    </row>
    <row r="508" spans="2:22" ht="15.5" hidden="1" x14ac:dyDescent="0.35">
      <c r="B508" s="623"/>
      <c r="C508" s="166"/>
      <c r="D508" s="202"/>
      <c r="E508" s="177"/>
      <c r="F508" s="177"/>
      <c r="G508" s="248">
        <f t="shared" si="48"/>
        <v>0</v>
      </c>
      <c r="H508" s="171"/>
      <c r="I508" s="177"/>
      <c r="J508" s="167"/>
      <c r="K508" s="181"/>
      <c r="L508" s="353"/>
      <c r="M508" s="623"/>
      <c r="N508" s="166"/>
      <c r="O508" s="202"/>
      <c r="P508" s="177"/>
      <c r="Q508" s="177"/>
      <c r="R508" s="248">
        <f t="shared" si="49"/>
        <v>0</v>
      </c>
      <c r="S508" s="171"/>
      <c r="T508" s="177"/>
      <c r="U508" s="167"/>
      <c r="V508" s="181"/>
    </row>
    <row r="509" spans="2:22" ht="15.5" hidden="1" x14ac:dyDescent="0.35">
      <c r="B509" s="623"/>
      <c r="C509" s="166"/>
      <c r="D509" s="202"/>
      <c r="E509" s="177"/>
      <c r="F509" s="177"/>
      <c r="G509" s="248">
        <f t="shared" si="48"/>
        <v>0</v>
      </c>
      <c r="H509" s="171"/>
      <c r="I509" s="177"/>
      <c r="J509" s="167"/>
      <c r="K509" s="181"/>
      <c r="L509" s="353"/>
      <c r="M509" s="623"/>
      <c r="N509" s="166"/>
      <c r="O509" s="202"/>
      <c r="P509" s="177"/>
      <c r="Q509" s="177"/>
      <c r="R509" s="248">
        <f t="shared" si="49"/>
        <v>0</v>
      </c>
      <c r="S509" s="171"/>
      <c r="T509" s="177"/>
      <c r="U509" s="167"/>
      <c r="V509" s="181"/>
    </row>
    <row r="510" spans="2:22" ht="15.5" hidden="1" x14ac:dyDescent="0.35">
      <c r="B510" s="624"/>
      <c r="C510" s="166"/>
      <c r="D510" s="202"/>
      <c r="E510" s="177"/>
      <c r="F510" s="177"/>
      <c r="G510" s="248">
        <f t="shared" si="48"/>
        <v>0</v>
      </c>
      <c r="H510" s="171"/>
      <c r="I510" s="177"/>
      <c r="J510" s="167"/>
      <c r="K510" s="181"/>
      <c r="L510" s="353"/>
      <c r="M510" s="624"/>
      <c r="N510" s="166"/>
      <c r="O510" s="202"/>
      <c r="P510" s="177"/>
      <c r="Q510" s="177"/>
      <c r="R510" s="248">
        <f t="shared" si="49"/>
        <v>0</v>
      </c>
      <c r="S510" s="171"/>
      <c r="T510" s="177"/>
      <c r="U510" s="167"/>
      <c r="V510" s="181"/>
    </row>
    <row r="511" spans="2:22" ht="15.5" hidden="1" x14ac:dyDescent="0.35">
      <c r="B511" s="622" t="s">
        <v>380</v>
      </c>
      <c r="C511" s="166"/>
      <c r="D511" s="202"/>
      <c r="E511" s="177"/>
      <c r="F511" s="177"/>
      <c r="G511" s="248">
        <f t="shared" si="48"/>
        <v>0</v>
      </c>
      <c r="H511" s="171"/>
      <c r="I511" s="177"/>
      <c r="J511" s="167"/>
      <c r="K511" s="181"/>
      <c r="L511" s="353"/>
      <c r="M511" s="622" t="s">
        <v>380</v>
      </c>
      <c r="N511" s="166"/>
      <c r="O511" s="202"/>
      <c r="P511" s="177"/>
      <c r="Q511" s="177"/>
      <c r="R511" s="248">
        <f t="shared" si="49"/>
        <v>0</v>
      </c>
      <c r="S511" s="171"/>
      <c r="T511" s="177"/>
      <c r="U511" s="167"/>
      <c r="V511" s="181"/>
    </row>
    <row r="512" spans="2:22" ht="15.5" hidden="1" x14ac:dyDescent="0.35">
      <c r="B512" s="623"/>
      <c r="C512" s="166"/>
      <c r="D512" s="202"/>
      <c r="E512" s="177"/>
      <c r="F512" s="177"/>
      <c r="G512" s="248">
        <f t="shared" si="48"/>
        <v>0</v>
      </c>
      <c r="H512" s="171"/>
      <c r="I512" s="177"/>
      <c r="J512" s="167"/>
      <c r="K512" s="181"/>
      <c r="L512" s="353"/>
      <c r="M512" s="623"/>
      <c r="N512" s="166"/>
      <c r="O512" s="202"/>
      <c r="P512" s="177"/>
      <c r="Q512" s="177"/>
      <c r="R512" s="248">
        <f t="shared" si="49"/>
        <v>0</v>
      </c>
      <c r="S512" s="171"/>
      <c r="T512" s="177"/>
      <c r="U512" s="167"/>
      <c r="V512" s="181"/>
    </row>
    <row r="513" spans="2:22" ht="15.5" hidden="1" x14ac:dyDescent="0.35">
      <c r="B513" s="623"/>
      <c r="C513" s="166"/>
      <c r="D513" s="202"/>
      <c r="E513" s="177"/>
      <c r="F513" s="177"/>
      <c r="G513" s="248">
        <f t="shared" si="48"/>
        <v>0</v>
      </c>
      <c r="H513" s="171"/>
      <c r="I513" s="177"/>
      <c r="J513" s="167"/>
      <c r="K513" s="181"/>
      <c r="L513" s="353"/>
      <c r="M513" s="623"/>
      <c r="N513" s="166"/>
      <c r="O513" s="202"/>
      <c r="P513" s="177"/>
      <c r="Q513" s="177"/>
      <c r="R513" s="248">
        <f t="shared" si="49"/>
        <v>0</v>
      </c>
      <c r="S513" s="171"/>
      <c r="T513" s="177"/>
      <c r="U513" s="167"/>
      <c r="V513" s="181"/>
    </row>
    <row r="514" spans="2:22" ht="15.5" hidden="1" x14ac:dyDescent="0.35">
      <c r="B514" s="623"/>
      <c r="C514" s="166"/>
      <c r="D514" s="202"/>
      <c r="E514" s="177"/>
      <c r="F514" s="177"/>
      <c r="G514" s="248">
        <f t="shared" si="48"/>
        <v>0</v>
      </c>
      <c r="H514" s="171"/>
      <c r="I514" s="177"/>
      <c r="J514" s="167"/>
      <c r="K514" s="181"/>
      <c r="L514" s="353"/>
      <c r="M514" s="623"/>
      <c r="N514" s="166"/>
      <c r="O514" s="202"/>
      <c r="P514" s="177"/>
      <c r="Q514" s="177"/>
      <c r="R514" s="248">
        <f t="shared" si="49"/>
        <v>0</v>
      </c>
      <c r="S514" s="171"/>
      <c r="T514" s="177"/>
      <c r="U514" s="167"/>
      <c r="V514" s="181"/>
    </row>
    <row r="515" spans="2:22" ht="15.5" hidden="1" x14ac:dyDescent="0.35">
      <c r="B515" s="624"/>
      <c r="C515" s="166"/>
      <c r="D515" s="202"/>
      <c r="E515" s="177"/>
      <c r="F515" s="177"/>
      <c r="G515" s="248">
        <f t="shared" si="48"/>
        <v>0</v>
      </c>
      <c r="H515" s="171"/>
      <c r="I515" s="177"/>
      <c r="J515" s="167"/>
      <c r="K515" s="181"/>
      <c r="L515" s="353"/>
      <c r="M515" s="624"/>
      <c r="N515" s="166"/>
      <c r="O515" s="202"/>
      <c r="P515" s="177"/>
      <c r="Q515" s="177"/>
      <c r="R515" s="248">
        <f t="shared" si="49"/>
        <v>0</v>
      </c>
      <c r="S515" s="171"/>
      <c r="T515" s="177"/>
      <c r="U515" s="167"/>
      <c r="V515" s="181"/>
    </row>
    <row r="516" spans="2:22" ht="15.5" hidden="1" x14ac:dyDescent="0.35">
      <c r="C516" s="73" t="s">
        <v>381</v>
      </c>
      <c r="D516" s="201">
        <f>SUM(D506:D515)</f>
        <v>0</v>
      </c>
      <c r="E516" s="10">
        <f>SUM(E506:E515)</f>
        <v>0</v>
      </c>
      <c r="F516" s="10">
        <f>SUM(F506:F515)</f>
        <v>0</v>
      </c>
      <c r="G516" s="10">
        <f>SUM(G506:G515)</f>
        <v>0</v>
      </c>
      <c r="H516" s="10">
        <f>(H506*G506)+(H507*G507)+(H508*G508)+(H509*G509)+(H510*G510)+(H511*G511)+(H512*G512)+(H513*G513)+(H514*G514)+(H515*G515)</f>
        <v>0</v>
      </c>
      <c r="I516" s="10">
        <f>SUM(I506:I515)</f>
        <v>0</v>
      </c>
      <c r="J516" s="170"/>
      <c r="K516" s="182"/>
      <c r="L516" s="353"/>
      <c r="N516" s="73" t="s">
        <v>381</v>
      </c>
      <c r="O516" s="201">
        <f>SUM(O506:O515)</f>
        <v>0</v>
      </c>
      <c r="P516" s="10">
        <f>SUM(P506:P515)</f>
        <v>0</v>
      </c>
      <c r="Q516" s="10">
        <f>SUM(Q506:Q515)</f>
        <v>0</v>
      </c>
      <c r="R516" s="10">
        <f>SUM(R506:R515)</f>
        <v>0</v>
      </c>
      <c r="S516" s="10">
        <f>(S506*R506)+(S507*R507)+(S508*R508)+(S509*R509)+(S510*R510)+(S511*R511)+(S512*R512)+(S513*R513)+(S514*R514)+(S515*R515)</f>
        <v>0</v>
      </c>
      <c r="T516" s="10">
        <f>SUM(T506:T515)</f>
        <v>0</v>
      </c>
      <c r="U516" s="170"/>
      <c r="V516" s="182"/>
    </row>
    <row r="517" spans="2:22" ht="15.75" hidden="1" customHeight="1" x14ac:dyDescent="0.35">
      <c r="B517" s="4"/>
      <c r="C517" s="252"/>
      <c r="D517" s="258"/>
      <c r="E517" s="259"/>
      <c r="F517" s="259"/>
      <c r="G517" s="259"/>
      <c r="H517" s="259"/>
      <c r="I517" s="259"/>
      <c r="J517" s="252"/>
      <c r="K517" s="186"/>
      <c r="L517" s="353"/>
      <c r="M517" s="4"/>
      <c r="N517" s="252"/>
      <c r="O517" s="258"/>
      <c r="P517" s="259"/>
      <c r="Q517" s="259"/>
      <c r="R517" s="259"/>
      <c r="S517" s="259"/>
      <c r="T517" s="259"/>
      <c r="U517" s="252"/>
      <c r="V517" s="186"/>
    </row>
    <row r="518" spans="2:22" ht="15.75" hidden="1" customHeight="1" x14ac:dyDescent="0.35">
      <c r="B518" s="4"/>
      <c r="C518" s="252"/>
      <c r="D518" s="258"/>
      <c r="E518" s="259"/>
      <c r="F518" s="259"/>
      <c r="G518" s="259"/>
      <c r="H518" s="259"/>
      <c r="I518" s="259"/>
      <c r="J518" s="252"/>
      <c r="K518" s="186"/>
      <c r="L518" s="353"/>
      <c r="M518" s="4"/>
      <c r="N518" s="252"/>
      <c r="O518" s="258"/>
      <c r="P518" s="259"/>
      <c r="Q518" s="259"/>
      <c r="R518" s="259"/>
      <c r="S518" s="259"/>
      <c r="T518" s="259"/>
      <c r="U518" s="252"/>
      <c r="V518" s="186"/>
    </row>
    <row r="519" spans="2:22" ht="34.5" customHeight="1" x14ac:dyDescent="0.35">
      <c r="B519" s="625" t="s">
        <v>382</v>
      </c>
      <c r="C519" s="217" t="s">
        <v>383</v>
      </c>
      <c r="D519" s="218">
        <f>202440-75000</f>
        <v>127440</v>
      </c>
      <c r="E519" s="219"/>
      <c r="F519" s="219">
        <v>0</v>
      </c>
      <c r="G519" s="220">
        <f>D519+E519+F519</f>
        <v>127440</v>
      </c>
      <c r="H519" s="221">
        <v>0.5</v>
      </c>
      <c r="I519" s="174"/>
      <c r="J519" s="222"/>
      <c r="K519" s="223">
        <v>1</v>
      </c>
      <c r="L519" s="353"/>
      <c r="M519" s="625" t="s">
        <v>382</v>
      </c>
      <c r="N519" s="375" t="s">
        <v>383</v>
      </c>
      <c r="O519" s="376">
        <f>202440-75000</f>
        <v>127440</v>
      </c>
      <c r="P519" s="377"/>
      <c r="Q519" s="377">
        <v>0</v>
      </c>
      <c r="R519" s="378">
        <f>O519+P519+Q519</f>
        <v>127440</v>
      </c>
      <c r="S519" s="236">
        <v>0.5</v>
      </c>
      <c r="T519" s="531">
        <v>182545</v>
      </c>
      <c r="U519" s="379"/>
      <c r="V519" s="187">
        <v>1</v>
      </c>
    </row>
    <row r="520" spans="2:22" ht="23.5" customHeight="1" x14ac:dyDescent="0.35">
      <c r="B520" s="626"/>
      <c r="C520" s="178" t="s">
        <v>384</v>
      </c>
      <c r="D520" s="204">
        <v>53165.708720000002</v>
      </c>
      <c r="E520" s="179"/>
      <c r="F520" s="179"/>
      <c r="G520" s="261">
        <f t="shared" ref="G520:G530" si="50">D520+E520+F520</f>
        <v>53165.708720000002</v>
      </c>
      <c r="H520" s="171">
        <v>0.5</v>
      </c>
      <c r="I520" s="262"/>
      <c r="J520" s="263"/>
      <c r="K520" s="187">
        <v>1</v>
      </c>
      <c r="L520" s="353"/>
      <c r="M520" s="626"/>
      <c r="N520" s="178" t="s">
        <v>384</v>
      </c>
      <c r="O520" s="204">
        <v>53165.708720000002</v>
      </c>
      <c r="P520" s="179"/>
      <c r="Q520" s="179"/>
      <c r="R520" s="261">
        <f t="shared" ref="R520:R535" si="51">O520+P520+Q520</f>
        <v>53165.708720000002</v>
      </c>
      <c r="S520" s="171">
        <v>0.5</v>
      </c>
      <c r="T520" s="531">
        <v>53165</v>
      </c>
      <c r="U520" s="263"/>
      <c r="V520" s="187">
        <v>1</v>
      </c>
    </row>
    <row r="521" spans="2:22" ht="23.5" customHeight="1" x14ac:dyDescent="0.35">
      <c r="B521" s="626"/>
      <c r="C521" s="178" t="s">
        <v>385</v>
      </c>
      <c r="D521" s="204">
        <f>12808*2</f>
        <v>25616</v>
      </c>
      <c r="E521" s="179"/>
      <c r="F521" s="179"/>
      <c r="G521" s="261">
        <f t="shared" si="50"/>
        <v>25616</v>
      </c>
      <c r="H521" s="171">
        <v>0.5</v>
      </c>
      <c r="I521" s="262"/>
      <c r="J521" s="263"/>
      <c r="K521" s="187">
        <v>1</v>
      </c>
      <c r="L521" s="353"/>
      <c r="M521" s="626"/>
      <c r="N521" s="178" t="s">
        <v>385</v>
      </c>
      <c r="O521" s="204">
        <f>12808*2</f>
        <v>25616</v>
      </c>
      <c r="P521" s="179"/>
      <c r="Q521" s="179"/>
      <c r="R521" s="261">
        <f t="shared" si="51"/>
        <v>25616</v>
      </c>
      <c r="S521" s="171">
        <v>0.5</v>
      </c>
      <c r="T521" s="531">
        <v>25616</v>
      </c>
      <c r="U521" s="263"/>
      <c r="V521" s="187">
        <v>1</v>
      </c>
    </row>
    <row r="522" spans="2:22" ht="23.5" customHeight="1" x14ac:dyDescent="0.35">
      <c r="B522" s="626"/>
      <c r="C522" s="179" t="s">
        <v>386</v>
      </c>
      <c r="D522" s="204"/>
      <c r="E522" s="179">
        <v>42936</v>
      </c>
      <c r="F522" s="179"/>
      <c r="G522" s="261">
        <f t="shared" si="50"/>
        <v>42936</v>
      </c>
      <c r="H522" s="171">
        <v>0.5</v>
      </c>
      <c r="I522" s="262"/>
      <c r="J522" s="263"/>
      <c r="K522" s="187">
        <v>1</v>
      </c>
      <c r="L522" s="353"/>
      <c r="M522" s="626"/>
      <c r="N522" s="179" t="s">
        <v>386</v>
      </c>
      <c r="O522" s="204"/>
      <c r="P522" s="219">
        <v>39658</v>
      </c>
      <c r="Q522" s="179"/>
      <c r="R522" s="261">
        <f t="shared" si="51"/>
        <v>39658</v>
      </c>
      <c r="S522" s="171">
        <v>0.5</v>
      </c>
      <c r="T522" s="531">
        <v>41227</v>
      </c>
      <c r="U522" s="263"/>
      <c r="V522" s="187">
        <v>1</v>
      </c>
    </row>
    <row r="523" spans="2:22" ht="23.5" customHeight="1" x14ac:dyDescent="0.35">
      <c r="B523" s="626"/>
      <c r="C523" s="179" t="s">
        <v>387</v>
      </c>
      <c r="D523" s="204"/>
      <c r="E523" s="179">
        <v>25716</v>
      </c>
      <c r="F523" s="179"/>
      <c r="G523" s="261">
        <f t="shared" si="50"/>
        <v>25716</v>
      </c>
      <c r="H523" s="171">
        <v>0.5</v>
      </c>
      <c r="I523" s="262"/>
      <c r="J523" s="263"/>
      <c r="K523" s="187">
        <v>1</v>
      </c>
      <c r="L523" s="353"/>
      <c r="M523" s="626"/>
      <c r="N523" s="179" t="s">
        <v>387</v>
      </c>
      <c r="O523" s="204"/>
      <c r="P523" s="179">
        <v>25716</v>
      </c>
      <c r="Q523" s="179"/>
      <c r="R523" s="261">
        <f t="shared" si="51"/>
        <v>25716</v>
      </c>
      <c r="S523" s="171">
        <v>0.5</v>
      </c>
      <c r="T523" s="531">
        <v>25716</v>
      </c>
      <c r="U523" s="263"/>
      <c r="V523" s="187">
        <v>1</v>
      </c>
    </row>
    <row r="524" spans="2:22" ht="23.5" customHeight="1" x14ac:dyDescent="0.35">
      <c r="B524" s="626"/>
      <c r="C524" s="179"/>
      <c r="D524" s="204"/>
      <c r="E524" s="179"/>
      <c r="F524" s="179"/>
      <c r="G524" s="261">
        <f t="shared" si="50"/>
        <v>0</v>
      </c>
      <c r="H524" s="264"/>
      <c r="I524" s="262"/>
      <c r="J524" s="263"/>
      <c r="K524" s="187"/>
      <c r="L524" s="353"/>
      <c r="M524" s="626"/>
      <c r="N524" s="179"/>
      <c r="O524" s="204"/>
      <c r="P524" s="179"/>
      <c r="Q524" s="179"/>
      <c r="R524" s="261">
        <f t="shared" si="51"/>
        <v>0</v>
      </c>
      <c r="S524" s="264"/>
      <c r="T524" s="531"/>
      <c r="U524" s="263"/>
      <c r="V524" s="187"/>
    </row>
    <row r="525" spans="2:22" ht="23.5" customHeight="1" x14ac:dyDescent="0.35">
      <c r="B525" s="626"/>
      <c r="C525" s="179"/>
      <c r="D525" s="204"/>
      <c r="E525" s="179"/>
      <c r="F525" s="179"/>
      <c r="G525" s="261">
        <f t="shared" si="50"/>
        <v>0</v>
      </c>
      <c r="H525" s="264"/>
      <c r="I525" s="262"/>
      <c r="J525" s="263"/>
      <c r="K525" s="187"/>
      <c r="L525" s="353"/>
      <c r="M525" s="626"/>
      <c r="N525" s="179"/>
      <c r="O525" s="204"/>
      <c r="P525" s="179"/>
      <c r="Q525" s="179"/>
      <c r="R525" s="261">
        <f t="shared" si="51"/>
        <v>0</v>
      </c>
      <c r="S525" s="264"/>
      <c r="T525" s="531"/>
      <c r="U525" s="263"/>
      <c r="V525" s="187"/>
    </row>
    <row r="526" spans="2:22" ht="23.5" customHeight="1" x14ac:dyDescent="0.35">
      <c r="B526" s="626"/>
      <c r="C526" s="179"/>
      <c r="D526" s="204"/>
      <c r="E526" s="179"/>
      <c r="F526" s="179"/>
      <c r="G526" s="261">
        <f t="shared" si="50"/>
        <v>0</v>
      </c>
      <c r="H526" s="264"/>
      <c r="I526" s="262"/>
      <c r="J526" s="263"/>
      <c r="K526" s="187"/>
      <c r="L526" s="353"/>
      <c r="M526" s="626"/>
      <c r="N526" s="179"/>
      <c r="O526" s="204"/>
      <c r="P526" s="179"/>
      <c r="Q526" s="179"/>
      <c r="R526" s="261">
        <f t="shared" si="51"/>
        <v>0</v>
      </c>
      <c r="S526" s="264"/>
      <c r="T526" s="531"/>
      <c r="U526" s="263"/>
      <c r="V526" s="187"/>
    </row>
    <row r="527" spans="2:22" ht="23.5" customHeight="1" x14ac:dyDescent="0.35">
      <c r="B527" s="626"/>
      <c r="C527" s="178"/>
      <c r="D527" s="204"/>
      <c r="E527" s="179"/>
      <c r="F527" s="179"/>
      <c r="G527" s="261">
        <f t="shared" si="50"/>
        <v>0</v>
      </c>
      <c r="H527" s="264"/>
      <c r="I527" s="262"/>
      <c r="J527" s="263"/>
      <c r="K527" s="187"/>
      <c r="L527" s="353"/>
      <c r="M527" s="626"/>
      <c r="N527" s="178"/>
      <c r="O527" s="204"/>
      <c r="P527" s="179"/>
      <c r="Q527" s="179"/>
      <c r="R527" s="261">
        <f t="shared" si="51"/>
        <v>0</v>
      </c>
      <c r="S527" s="264"/>
      <c r="T527" s="531"/>
      <c r="U527" s="263"/>
      <c r="V527" s="187"/>
    </row>
    <row r="528" spans="2:22" ht="23.5" customHeight="1" x14ac:dyDescent="0.35">
      <c r="B528" s="626"/>
      <c r="C528" s="178"/>
      <c r="D528" s="204"/>
      <c r="E528" s="179"/>
      <c r="F528" s="179"/>
      <c r="G528" s="261">
        <f t="shared" si="50"/>
        <v>0</v>
      </c>
      <c r="H528" s="264"/>
      <c r="I528" s="262"/>
      <c r="J528" s="263"/>
      <c r="K528" s="187"/>
      <c r="L528" s="353"/>
      <c r="M528" s="626"/>
      <c r="N528" s="178"/>
      <c r="O528" s="204"/>
      <c r="P528" s="179"/>
      <c r="Q528" s="179"/>
      <c r="R528" s="261">
        <f t="shared" si="51"/>
        <v>0</v>
      </c>
      <c r="S528" s="264"/>
      <c r="T528" s="531"/>
      <c r="U528" s="263"/>
      <c r="V528" s="187"/>
    </row>
    <row r="529" spans="2:23" ht="23.5" customHeight="1" x14ac:dyDescent="0.35">
      <c r="B529" s="626"/>
      <c r="C529" s="178"/>
      <c r="D529" s="204"/>
      <c r="E529" s="179"/>
      <c r="F529" s="179"/>
      <c r="G529" s="261">
        <f t="shared" si="50"/>
        <v>0</v>
      </c>
      <c r="H529" s="264"/>
      <c r="I529" s="262"/>
      <c r="J529" s="263"/>
      <c r="K529" s="187"/>
      <c r="L529" s="353"/>
      <c r="M529" s="626"/>
      <c r="N529" s="178"/>
      <c r="O529" s="204"/>
      <c r="P529" s="179"/>
      <c r="Q529" s="179"/>
      <c r="R529" s="261">
        <f t="shared" si="51"/>
        <v>0</v>
      </c>
      <c r="S529" s="264"/>
      <c r="T529" s="531"/>
      <c r="U529" s="263"/>
      <c r="V529" s="187"/>
    </row>
    <row r="530" spans="2:23" ht="23.5" customHeight="1" x14ac:dyDescent="0.35">
      <c r="B530" s="627"/>
      <c r="C530" s="178"/>
      <c r="D530" s="204"/>
      <c r="E530" s="179"/>
      <c r="F530" s="179"/>
      <c r="G530" s="261">
        <f t="shared" si="50"/>
        <v>0</v>
      </c>
      <c r="H530" s="264"/>
      <c r="I530" s="262"/>
      <c r="J530" s="263"/>
      <c r="K530" s="187"/>
      <c r="L530" s="353"/>
      <c r="M530" s="627"/>
      <c r="N530" s="178"/>
      <c r="O530" s="204"/>
      <c r="P530" s="179"/>
      <c r="Q530" s="179"/>
      <c r="R530" s="261">
        <f t="shared" si="51"/>
        <v>0</v>
      </c>
      <c r="S530" s="264"/>
      <c r="T530" s="531"/>
      <c r="U530" s="263"/>
      <c r="V530" s="187"/>
    </row>
    <row r="531" spans="2:23" ht="27" customHeight="1" x14ac:dyDescent="0.35">
      <c r="B531" s="625" t="s">
        <v>388</v>
      </c>
      <c r="C531" s="179" t="s">
        <v>389</v>
      </c>
      <c r="D531" s="204">
        <v>50000</v>
      </c>
      <c r="E531" s="179"/>
      <c r="F531" s="179"/>
      <c r="G531" s="261">
        <f t="shared" ref="G531:G535" si="52">D531+E531+F531</f>
        <v>50000</v>
      </c>
      <c r="H531" s="264"/>
      <c r="I531" s="262"/>
      <c r="J531" s="263"/>
      <c r="K531" s="187">
        <v>3</v>
      </c>
      <c r="L531" s="354"/>
      <c r="M531" s="625" t="s">
        <v>388</v>
      </c>
      <c r="N531" s="179" t="s">
        <v>389</v>
      </c>
      <c r="O531" s="204">
        <v>50000</v>
      </c>
      <c r="P531" s="179"/>
      <c r="Q531" s="179"/>
      <c r="R531" s="261">
        <f t="shared" si="51"/>
        <v>50000</v>
      </c>
      <c r="S531" s="264"/>
      <c r="T531" s="531">
        <v>50000</v>
      </c>
      <c r="U531" s="263"/>
      <c r="V531" s="187">
        <v>3</v>
      </c>
      <c r="W531" s="175"/>
    </row>
    <row r="532" spans="2:23" ht="27" customHeight="1" x14ac:dyDescent="0.35">
      <c r="B532" s="626"/>
      <c r="C532" s="195" t="s">
        <v>390</v>
      </c>
      <c r="D532" s="204">
        <v>20000</v>
      </c>
      <c r="E532" s="179"/>
      <c r="F532" s="179"/>
      <c r="G532" s="261">
        <f t="shared" si="52"/>
        <v>20000</v>
      </c>
      <c r="H532" s="264"/>
      <c r="I532" s="262"/>
      <c r="J532" s="263"/>
      <c r="K532" s="187">
        <v>3</v>
      </c>
      <c r="L532" s="354"/>
      <c r="M532" s="626"/>
      <c r="N532" s="195" t="s">
        <v>390</v>
      </c>
      <c r="O532" s="204">
        <v>20000</v>
      </c>
      <c r="P532" s="179"/>
      <c r="Q532" s="179"/>
      <c r="R532" s="261">
        <f t="shared" si="51"/>
        <v>20000</v>
      </c>
      <c r="S532" s="264"/>
      <c r="T532" s="531">
        <v>20000</v>
      </c>
      <c r="U532" s="263"/>
      <c r="V532" s="187">
        <v>3</v>
      </c>
      <c r="W532" s="175"/>
    </row>
    <row r="533" spans="2:23" ht="27" customHeight="1" x14ac:dyDescent="0.35">
      <c r="B533" s="626"/>
      <c r="C533" s="195" t="s">
        <v>391</v>
      </c>
      <c r="D533" s="204">
        <v>90000</v>
      </c>
      <c r="E533" s="179">
        <v>69560</v>
      </c>
      <c r="F533" s="179"/>
      <c r="G533" s="261">
        <f t="shared" si="52"/>
        <v>159560</v>
      </c>
      <c r="H533" s="264"/>
      <c r="I533" s="262"/>
      <c r="J533" s="263"/>
      <c r="K533" s="187">
        <v>7</v>
      </c>
      <c r="L533" s="354"/>
      <c r="M533" s="626"/>
      <c r="N533" s="195" t="s">
        <v>391</v>
      </c>
      <c r="O533" s="204">
        <v>90000</v>
      </c>
      <c r="P533" s="179">
        <v>69560</v>
      </c>
      <c r="Q533" s="179"/>
      <c r="R533" s="261">
        <f t="shared" si="51"/>
        <v>159560</v>
      </c>
      <c r="S533" s="264"/>
      <c r="T533" s="531">
        <v>159560</v>
      </c>
      <c r="U533" s="263"/>
      <c r="V533" s="187">
        <v>7</v>
      </c>
      <c r="W533" s="175"/>
    </row>
    <row r="534" spans="2:23" ht="15.5" x14ac:dyDescent="0.35">
      <c r="B534" s="627"/>
      <c r="C534" s="195"/>
      <c r="D534" s="204"/>
      <c r="E534" s="179"/>
      <c r="F534" s="179"/>
      <c r="G534" s="261">
        <f t="shared" si="52"/>
        <v>0</v>
      </c>
      <c r="H534" s="264"/>
      <c r="I534" s="262"/>
      <c r="J534" s="263"/>
      <c r="K534" s="187">
        <v>7</v>
      </c>
      <c r="L534" s="354"/>
      <c r="M534" s="627"/>
      <c r="N534" s="195"/>
      <c r="O534" s="204"/>
      <c r="P534" s="179"/>
      <c r="Q534" s="179"/>
      <c r="R534" s="261">
        <f t="shared" si="51"/>
        <v>0</v>
      </c>
      <c r="S534" s="264"/>
      <c r="T534" s="531"/>
      <c r="U534" s="263"/>
      <c r="V534" s="187">
        <v>7</v>
      </c>
      <c r="W534" s="175"/>
    </row>
    <row r="535" spans="2:23" ht="15.5" x14ac:dyDescent="0.35">
      <c r="B535" s="625" t="s">
        <v>392</v>
      </c>
      <c r="C535" s="180" t="s">
        <v>393</v>
      </c>
      <c r="D535" s="204">
        <v>83730</v>
      </c>
      <c r="E535" s="179"/>
      <c r="F535" s="179"/>
      <c r="G535" s="261">
        <f t="shared" si="52"/>
        <v>83730</v>
      </c>
      <c r="H535" s="264">
        <v>0.5</v>
      </c>
      <c r="I535" s="262"/>
      <c r="J535" s="263"/>
      <c r="K535" s="187">
        <v>7</v>
      </c>
      <c r="L535" s="353"/>
      <c r="M535" s="625" t="s">
        <v>392</v>
      </c>
      <c r="N535" s="180" t="s">
        <v>393</v>
      </c>
      <c r="O535" s="204">
        <v>83730</v>
      </c>
      <c r="P535" s="179"/>
      <c r="Q535" s="179"/>
      <c r="R535" s="261">
        <f t="shared" si="51"/>
        <v>83730</v>
      </c>
      <c r="S535" s="264">
        <v>0.5</v>
      </c>
      <c r="T535" s="531">
        <v>82659</v>
      </c>
      <c r="U535" s="263"/>
      <c r="V535" s="187">
        <v>7</v>
      </c>
    </row>
    <row r="536" spans="2:23" ht="15.5" x14ac:dyDescent="0.35">
      <c r="B536" s="626"/>
      <c r="C536" s="180"/>
      <c r="D536" s="204"/>
      <c r="E536" s="179"/>
      <c r="F536" s="179"/>
      <c r="G536" s="261"/>
      <c r="H536" s="264"/>
      <c r="I536" s="262"/>
      <c r="J536" s="263"/>
      <c r="K536" s="187"/>
      <c r="L536" s="353"/>
      <c r="M536" s="626"/>
      <c r="N536" s="180"/>
      <c r="O536" s="204"/>
      <c r="P536" s="179"/>
      <c r="Q536" s="179"/>
      <c r="R536" s="261"/>
      <c r="S536" s="264"/>
      <c r="T536" s="531"/>
      <c r="U536" s="263"/>
      <c r="V536" s="187"/>
    </row>
    <row r="537" spans="2:23" ht="15.5" x14ac:dyDescent="0.35">
      <c r="B537" s="626"/>
      <c r="C537" s="180"/>
      <c r="D537" s="204"/>
      <c r="E537" s="179"/>
      <c r="F537" s="179"/>
      <c r="G537" s="261"/>
      <c r="H537" s="264"/>
      <c r="I537" s="262"/>
      <c r="J537" s="263"/>
      <c r="K537" s="187"/>
      <c r="L537" s="353"/>
      <c r="M537" s="626"/>
      <c r="N537" s="180"/>
      <c r="O537" s="204"/>
      <c r="P537" s="179"/>
      <c r="Q537" s="179"/>
      <c r="R537" s="261"/>
      <c r="S537" s="264"/>
      <c r="T537" s="531"/>
      <c r="U537" s="263"/>
      <c r="V537" s="187"/>
    </row>
    <row r="538" spans="2:23" ht="13.75" customHeight="1" x14ac:dyDescent="0.35">
      <c r="B538" s="627"/>
      <c r="C538" s="180"/>
      <c r="D538" s="204"/>
      <c r="E538" s="179"/>
      <c r="F538" s="179"/>
      <c r="G538" s="261"/>
      <c r="H538" s="264"/>
      <c r="I538" s="262"/>
      <c r="J538" s="263"/>
      <c r="K538" s="187"/>
      <c r="L538" s="353"/>
      <c r="M538" s="627"/>
      <c r="N538" s="180"/>
      <c r="O538" s="204"/>
      <c r="P538" s="179"/>
      <c r="Q538" s="179"/>
      <c r="R538" s="261"/>
      <c r="S538" s="264"/>
      <c r="T538" s="531"/>
      <c r="U538" s="263"/>
      <c r="V538" s="187"/>
    </row>
    <row r="539" spans="2:23" ht="31" x14ac:dyDescent="0.35">
      <c r="B539" s="85" t="s">
        <v>394</v>
      </c>
      <c r="C539" s="265"/>
      <c r="D539" s="204">
        <v>50000</v>
      </c>
      <c r="E539" s="174"/>
      <c r="F539" s="262"/>
      <c r="G539" s="261">
        <f>D539+E539+F539</f>
        <v>50000</v>
      </c>
      <c r="H539" s="264">
        <v>0.5</v>
      </c>
      <c r="I539" s="262"/>
      <c r="J539" s="263"/>
      <c r="K539" s="187">
        <v>4</v>
      </c>
      <c r="L539" s="353"/>
      <c r="M539" s="85" t="s">
        <v>394</v>
      </c>
      <c r="N539" s="265"/>
      <c r="O539" s="204">
        <v>50000</v>
      </c>
      <c r="P539" s="174"/>
      <c r="Q539" s="262"/>
      <c r="R539" s="261">
        <f>O539+P539+Q539</f>
        <v>50000</v>
      </c>
      <c r="S539" s="264">
        <v>0.5</v>
      </c>
      <c r="T539" s="531">
        <v>18645</v>
      </c>
      <c r="U539" s="263"/>
      <c r="V539" s="187">
        <v>4</v>
      </c>
    </row>
    <row r="540" spans="2:23" ht="15.65" customHeight="1" x14ac:dyDescent="0.35">
      <c r="B540" s="369"/>
      <c r="C540" s="265"/>
      <c r="D540" s="204"/>
      <c r="E540" s="174"/>
      <c r="F540" s="262"/>
      <c r="G540" s="261"/>
      <c r="H540" s="264"/>
      <c r="I540" s="262"/>
      <c r="J540" s="263"/>
      <c r="K540" s="187"/>
      <c r="L540" s="353"/>
      <c r="M540" s="652" t="s">
        <v>382</v>
      </c>
      <c r="N540" s="217" t="s">
        <v>383</v>
      </c>
      <c r="O540" s="218">
        <v>75000</v>
      </c>
      <c r="P540" s="174"/>
      <c r="Q540" s="174"/>
      <c r="R540" s="220">
        <f>O540+P540+Q540</f>
        <v>75000</v>
      </c>
      <c r="S540" s="374">
        <v>0.5</v>
      </c>
      <c r="T540" s="563">
        <v>45135.79</v>
      </c>
      <c r="U540" s="222"/>
      <c r="V540" s="223">
        <v>1</v>
      </c>
    </row>
    <row r="541" spans="2:23" ht="15.65" customHeight="1" x14ac:dyDescent="0.35">
      <c r="B541" s="369"/>
      <c r="C541" s="265"/>
      <c r="D541" s="204"/>
      <c r="E541" s="174"/>
      <c r="F541" s="262"/>
      <c r="G541" s="261"/>
      <c r="H541" s="264"/>
      <c r="I541" s="262"/>
      <c r="J541" s="263"/>
      <c r="K541" s="187"/>
      <c r="L541" s="353"/>
      <c r="M541" s="653"/>
      <c r="N541" s="217" t="s">
        <v>384</v>
      </c>
      <c r="O541" s="448">
        <v>39730.119999999995</v>
      </c>
      <c r="P541" s="174"/>
      <c r="Q541" s="174"/>
      <c r="R541" s="220">
        <f t="shared" ref="R541:R560" si="53">O541+P541+Q541</f>
        <v>39730.119999999995</v>
      </c>
      <c r="S541" s="374">
        <v>0.5</v>
      </c>
      <c r="T541" s="174">
        <v>16554</v>
      </c>
      <c r="U541" s="222"/>
      <c r="V541" s="223">
        <v>1</v>
      </c>
      <c r="W541" s="444"/>
    </row>
    <row r="542" spans="2:23" ht="15.65" customHeight="1" x14ac:dyDescent="0.35">
      <c r="B542" s="369"/>
      <c r="C542" s="265"/>
      <c r="D542" s="204"/>
      <c r="E542" s="174"/>
      <c r="F542" s="262"/>
      <c r="G542" s="261"/>
      <c r="H542" s="264"/>
      <c r="I542" s="262"/>
      <c r="J542" s="263"/>
      <c r="K542" s="187"/>
      <c r="L542" s="353"/>
      <c r="M542" s="653"/>
      <c r="N542" s="217" t="s">
        <v>385</v>
      </c>
      <c r="O542" s="218">
        <v>19500</v>
      </c>
      <c r="P542" s="448">
        <v>10920</v>
      </c>
      <c r="Q542" s="174"/>
      <c r="R542" s="220">
        <f t="shared" si="53"/>
        <v>30420</v>
      </c>
      <c r="S542" s="374">
        <v>0.5</v>
      </c>
      <c r="T542" s="174">
        <v>8125</v>
      </c>
      <c r="U542" s="222"/>
      <c r="V542" s="223">
        <v>1</v>
      </c>
    </row>
    <row r="543" spans="2:23" ht="15.65" customHeight="1" x14ac:dyDescent="0.35">
      <c r="B543" s="369"/>
      <c r="C543" s="265"/>
      <c r="D543" s="204"/>
      <c r="E543" s="174"/>
      <c r="F543" s="262"/>
      <c r="G543" s="261"/>
      <c r="H543" s="264"/>
      <c r="I543" s="262"/>
      <c r="J543" s="263"/>
      <c r="K543" s="187"/>
      <c r="L543" s="353"/>
      <c r="M543" s="653"/>
      <c r="N543" s="219" t="s">
        <v>386</v>
      </c>
      <c r="O543" s="218"/>
      <c r="P543" s="174"/>
      <c r="Q543" s="174"/>
      <c r="R543" s="220">
        <f t="shared" si="53"/>
        <v>0</v>
      </c>
      <c r="S543" s="374">
        <v>0.5</v>
      </c>
      <c r="T543" s="174"/>
      <c r="U543" s="222"/>
      <c r="V543" s="223">
        <v>1</v>
      </c>
    </row>
    <row r="544" spans="2:23" ht="15.65" customHeight="1" x14ac:dyDescent="0.35">
      <c r="B544" s="369"/>
      <c r="C544" s="265"/>
      <c r="D544" s="204"/>
      <c r="E544" s="174"/>
      <c r="F544" s="262"/>
      <c r="G544" s="261"/>
      <c r="H544" s="264"/>
      <c r="I544" s="262"/>
      <c r="J544" s="263"/>
      <c r="K544" s="187"/>
      <c r="L544" s="353"/>
      <c r="M544" s="653"/>
      <c r="N544" s="219" t="s">
        <v>387</v>
      </c>
      <c r="O544" s="218"/>
      <c r="P544" s="448">
        <f>39605-8248.38</f>
        <v>31356.620000000003</v>
      </c>
      <c r="Q544" s="174"/>
      <c r="R544" s="220">
        <f t="shared" si="53"/>
        <v>31356.620000000003</v>
      </c>
      <c r="S544" s="374">
        <v>0.5</v>
      </c>
      <c r="T544" s="536">
        <v>14984</v>
      </c>
      <c r="U544" s="222"/>
      <c r="V544" s="223">
        <v>1</v>
      </c>
    </row>
    <row r="545" spans="2:22" ht="15.65" customHeight="1" x14ac:dyDescent="0.35">
      <c r="B545" s="369"/>
      <c r="C545" s="265"/>
      <c r="D545" s="204"/>
      <c r="E545" s="174"/>
      <c r="F545" s="262"/>
      <c r="G545" s="261"/>
      <c r="H545" s="264"/>
      <c r="I545" s="262"/>
      <c r="J545" s="263"/>
      <c r="K545" s="187"/>
      <c r="L545" s="353"/>
      <c r="M545" s="653"/>
      <c r="N545" s="219" t="s">
        <v>923</v>
      </c>
      <c r="O545" s="218"/>
      <c r="P545" s="448">
        <v>31599</v>
      </c>
      <c r="Q545" s="174"/>
      <c r="R545" s="220">
        <f t="shared" si="53"/>
        <v>31599</v>
      </c>
      <c r="S545" s="374">
        <v>0.5</v>
      </c>
      <c r="T545" s="536">
        <v>19752</v>
      </c>
      <c r="U545" s="222"/>
      <c r="V545" s="223">
        <v>1</v>
      </c>
    </row>
    <row r="546" spans="2:22" ht="15.65" customHeight="1" x14ac:dyDescent="0.35">
      <c r="B546" s="369"/>
      <c r="C546" s="265"/>
      <c r="D546" s="204"/>
      <c r="E546" s="174"/>
      <c r="F546" s="262"/>
      <c r="G546" s="261"/>
      <c r="H546" s="264"/>
      <c r="I546" s="262"/>
      <c r="J546" s="263"/>
      <c r="K546" s="187"/>
      <c r="L546" s="353"/>
      <c r="M546" s="653"/>
      <c r="N546" s="219" t="s">
        <v>916</v>
      </c>
      <c r="O546" s="218"/>
      <c r="P546" s="448"/>
      <c r="Q546" s="174"/>
      <c r="R546" s="220">
        <f t="shared" si="53"/>
        <v>0</v>
      </c>
      <c r="S546" s="374">
        <v>0.5</v>
      </c>
      <c r="T546" s="174"/>
      <c r="U546" s="222"/>
      <c r="V546" s="223">
        <v>1</v>
      </c>
    </row>
    <row r="547" spans="2:22" ht="15.65" customHeight="1" x14ac:dyDescent="0.35">
      <c r="B547" s="369"/>
      <c r="C547" s="265"/>
      <c r="D547" s="204"/>
      <c r="E547" s="174"/>
      <c r="F547" s="262"/>
      <c r="G547" s="261"/>
      <c r="H547" s="264"/>
      <c r="I547" s="262"/>
      <c r="J547" s="263"/>
      <c r="K547" s="187"/>
      <c r="L547" s="353"/>
      <c r="M547" s="653"/>
      <c r="N547" s="219" t="s">
        <v>917</v>
      </c>
      <c r="O547" s="218"/>
      <c r="P547" s="174">
        <f>11925+1217-676.62</f>
        <v>12465.38</v>
      </c>
      <c r="Q547" s="174"/>
      <c r="R547" s="220">
        <f t="shared" si="53"/>
        <v>12465.38</v>
      </c>
      <c r="S547" s="374">
        <v>0.5</v>
      </c>
      <c r="T547" s="174"/>
      <c r="U547" s="222"/>
      <c r="V547" s="223">
        <v>1</v>
      </c>
    </row>
    <row r="548" spans="2:22" ht="15.65" customHeight="1" x14ac:dyDescent="0.35">
      <c r="B548" s="369"/>
      <c r="C548" s="265"/>
      <c r="D548" s="204"/>
      <c r="E548" s="174"/>
      <c r="F548" s="262"/>
      <c r="G548" s="261"/>
      <c r="H548" s="264"/>
      <c r="I548" s="262"/>
      <c r="J548" s="263"/>
      <c r="K548" s="187"/>
      <c r="L548" s="353"/>
      <c r="M548" s="653"/>
      <c r="N548" s="217"/>
      <c r="O548" s="218"/>
      <c r="P548" s="174"/>
      <c r="Q548" s="174"/>
      <c r="R548" s="220">
        <f t="shared" si="53"/>
        <v>0</v>
      </c>
      <c r="S548" s="374"/>
      <c r="T548" s="174"/>
      <c r="U548" s="222"/>
      <c r="V548" s="223"/>
    </row>
    <row r="549" spans="2:22" ht="15.65" customHeight="1" x14ac:dyDescent="0.35">
      <c r="B549" s="369"/>
      <c r="C549" s="265"/>
      <c r="D549" s="204"/>
      <c r="E549" s="174"/>
      <c r="F549" s="262"/>
      <c r="G549" s="261"/>
      <c r="H549" s="264"/>
      <c r="I549" s="262"/>
      <c r="J549" s="263"/>
      <c r="K549" s="187"/>
      <c r="L549" s="353"/>
      <c r="M549" s="653"/>
      <c r="N549" s="217"/>
      <c r="O549" s="218"/>
      <c r="P549" s="174"/>
      <c r="Q549" s="174"/>
      <c r="R549" s="220">
        <f t="shared" si="53"/>
        <v>0</v>
      </c>
      <c r="S549" s="374"/>
      <c r="T549" s="174"/>
      <c r="U549" s="222"/>
      <c r="V549" s="223"/>
    </row>
    <row r="550" spans="2:22" ht="15.65" customHeight="1" x14ac:dyDescent="0.35">
      <c r="B550" s="369"/>
      <c r="C550" s="265"/>
      <c r="D550" s="204"/>
      <c r="E550" s="174"/>
      <c r="F550" s="262"/>
      <c r="G550" s="261"/>
      <c r="H550" s="264"/>
      <c r="I550" s="262"/>
      <c r="J550" s="263"/>
      <c r="K550" s="187"/>
      <c r="L550" s="353"/>
      <c r="M550" s="653"/>
      <c r="N550" s="217"/>
      <c r="O550" s="218"/>
      <c r="P550" s="174"/>
      <c r="Q550" s="174"/>
      <c r="R550" s="220">
        <f t="shared" si="53"/>
        <v>0</v>
      </c>
      <c r="S550" s="374"/>
      <c r="T550" s="174"/>
      <c r="U550" s="222"/>
      <c r="V550" s="223"/>
    </row>
    <row r="551" spans="2:22" ht="15.5" x14ac:dyDescent="0.35">
      <c r="B551" s="369"/>
      <c r="C551" s="265"/>
      <c r="D551" s="204"/>
      <c r="E551" s="174"/>
      <c r="F551" s="262"/>
      <c r="G551" s="261"/>
      <c r="H551" s="264"/>
      <c r="I551" s="262"/>
      <c r="J551" s="263"/>
      <c r="K551" s="187"/>
      <c r="L551" s="353"/>
      <c r="M551" s="654"/>
      <c r="N551" s="217"/>
      <c r="O551" s="218"/>
      <c r="P551" s="174"/>
      <c r="Q551" s="174"/>
      <c r="R551" s="220">
        <f t="shared" si="53"/>
        <v>0</v>
      </c>
      <c r="S551" s="374"/>
      <c r="T551" s="174"/>
      <c r="U551" s="222"/>
      <c r="V551" s="223"/>
    </row>
    <row r="552" spans="2:22" ht="15.5" x14ac:dyDescent="0.35">
      <c r="B552" s="369"/>
      <c r="C552" s="265"/>
      <c r="D552" s="204"/>
      <c r="E552" s="174"/>
      <c r="F552" s="262"/>
      <c r="G552" s="261"/>
      <c r="H552" s="264"/>
      <c r="I552" s="262"/>
      <c r="J552" s="263"/>
      <c r="K552" s="187"/>
      <c r="L552" s="353"/>
      <c r="M552" s="652" t="s">
        <v>388</v>
      </c>
      <c r="N552" s="219" t="s">
        <v>925</v>
      </c>
      <c r="O552" s="218"/>
      <c r="P552" s="174">
        <v>7172</v>
      </c>
      <c r="Q552" s="174"/>
      <c r="R552" s="220">
        <f t="shared" si="53"/>
        <v>7172</v>
      </c>
      <c r="S552" s="374"/>
      <c r="T552" s="536">
        <v>7172</v>
      </c>
      <c r="U552" s="222"/>
      <c r="V552" s="223">
        <v>3</v>
      </c>
    </row>
    <row r="553" spans="2:22" ht="15.5" x14ac:dyDescent="0.35">
      <c r="B553" s="369"/>
      <c r="C553" s="265"/>
      <c r="D553" s="204"/>
      <c r="E553" s="174"/>
      <c r="F553" s="262"/>
      <c r="G553" s="261"/>
      <c r="H553" s="264"/>
      <c r="I553" s="262"/>
      <c r="J553" s="263"/>
      <c r="K553" s="187"/>
      <c r="L553" s="353"/>
      <c r="M553" s="653"/>
      <c r="N553" s="370"/>
      <c r="O553" s="218"/>
      <c r="P553" s="174"/>
      <c r="Q553" s="174"/>
      <c r="R553" s="220">
        <f t="shared" si="53"/>
        <v>0</v>
      </c>
      <c r="S553" s="374"/>
      <c r="T553" s="174"/>
      <c r="U553" s="222"/>
      <c r="V553" s="223"/>
    </row>
    <row r="554" spans="2:22" ht="15.5" x14ac:dyDescent="0.35">
      <c r="B554" s="369"/>
      <c r="C554" s="265"/>
      <c r="D554" s="204"/>
      <c r="E554" s="174"/>
      <c r="F554" s="262"/>
      <c r="G554" s="261"/>
      <c r="H554" s="264"/>
      <c r="I554" s="262"/>
      <c r="J554" s="263"/>
      <c r="K554" s="187"/>
      <c r="L554" s="353"/>
      <c r="M554" s="653"/>
      <c r="N554" s="370" t="s">
        <v>391</v>
      </c>
      <c r="O554" s="448">
        <v>47000</v>
      </c>
      <c r="P554" s="448">
        <v>31671</v>
      </c>
      <c r="Q554" s="174"/>
      <c r="R554" s="220">
        <f t="shared" si="53"/>
        <v>78671</v>
      </c>
      <c r="S554" s="374"/>
      <c r="T554" s="174">
        <f>8542+41140</f>
        <v>49682</v>
      </c>
      <c r="U554" s="222"/>
      <c r="V554" s="223">
        <v>7</v>
      </c>
    </row>
    <row r="555" spans="2:22" ht="15.5" x14ac:dyDescent="0.35">
      <c r="B555" s="369"/>
      <c r="C555" s="265"/>
      <c r="D555" s="204"/>
      <c r="E555" s="174"/>
      <c r="F555" s="262"/>
      <c r="G555" s="261"/>
      <c r="H555" s="264"/>
      <c r="I555" s="262"/>
      <c r="J555" s="263"/>
      <c r="K555" s="187"/>
      <c r="L555" s="353"/>
      <c r="M555" s="654"/>
      <c r="N555" s="370"/>
      <c r="O555" s="218"/>
      <c r="P555" s="174"/>
      <c r="Q555" s="174"/>
      <c r="R555" s="220">
        <f t="shared" si="53"/>
        <v>0</v>
      </c>
      <c r="S555" s="374"/>
      <c r="T555" s="174"/>
      <c r="U555" s="222"/>
      <c r="V555" s="223"/>
    </row>
    <row r="556" spans="2:22" ht="15.5" x14ac:dyDescent="0.35">
      <c r="B556" s="369"/>
      <c r="C556" s="265"/>
      <c r="D556" s="204"/>
      <c r="E556" s="174"/>
      <c r="F556" s="262"/>
      <c r="G556" s="261"/>
      <c r="H556" s="264"/>
      <c r="I556" s="262"/>
      <c r="J556" s="263"/>
      <c r="K556" s="187"/>
      <c r="L556" s="353"/>
      <c r="M556" s="652" t="s">
        <v>392</v>
      </c>
      <c r="N556" s="371" t="s">
        <v>393</v>
      </c>
      <c r="O556" s="448">
        <v>44891.37</v>
      </c>
      <c r="P556" s="174"/>
      <c r="Q556" s="174"/>
      <c r="R556" s="220">
        <f t="shared" si="53"/>
        <v>44891.37</v>
      </c>
      <c r="S556" s="374">
        <v>0.5</v>
      </c>
      <c r="T556" s="174">
        <v>24738</v>
      </c>
      <c r="U556" s="222"/>
      <c r="V556" s="223">
        <v>7</v>
      </c>
    </row>
    <row r="557" spans="2:22" ht="31" x14ac:dyDescent="0.35">
      <c r="B557" s="369"/>
      <c r="C557" s="265"/>
      <c r="D557" s="204"/>
      <c r="E557" s="174"/>
      <c r="F557" s="262"/>
      <c r="G557" s="261"/>
      <c r="H557" s="264"/>
      <c r="I557" s="262"/>
      <c r="J557" s="263"/>
      <c r="K557" s="187"/>
      <c r="L557" s="353"/>
      <c r="M557" s="653"/>
      <c r="N557" s="430" t="s">
        <v>484</v>
      </c>
      <c r="O557" s="448">
        <v>20000</v>
      </c>
      <c r="P557" s="174"/>
      <c r="Q557" s="174"/>
      <c r="R557" s="220">
        <f t="shared" si="53"/>
        <v>20000</v>
      </c>
      <c r="S557" s="374">
        <v>0.5</v>
      </c>
      <c r="T557" s="174"/>
      <c r="U557" s="222"/>
      <c r="V557" s="223">
        <v>7</v>
      </c>
    </row>
    <row r="558" spans="2:22" ht="15.5" x14ac:dyDescent="0.35">
      <c r="B558" s="369"/>
      <c r="C558" s="265"/>
      <c r="D558" s="204"/>
      <c r="E558" s="174"/>
      <c r="F558" s="262"/>
      <c r="G558" s="261"/>
      <c r="H558" s="264"/>
      <c r="I558" s="262"/>
      <c r="J558" s="263"/>
      <c r="K558" s="187"/>
      <c r="L558" s="353"/>
      <c r="M558" s="653"/>
      <c r="N558" s="371"/>
      <c r="O558" s="218"/>
      <c r="P558" s="174"/>
      <c r="Q558" s="174"/>
      <c r="R558" s="220">
        <f t="shared" si="53"/>
        <v>0</v>
      </c>
      <c r="S558" s="374"/>
      <c r="T558" s="174"/>
      <c r="U558" s="222"/>
      <c r="V558" s="223"/>
    </row>
    <row r="559" spans="2:22" ht="15.5" x14ac:dyDescent="0.35">
      <c r="B559" s="369"/>
      <c r="C559" s="265"/>
      <c r="D559" s="204"/>
      <c r="E559" s="174"/>
      <c r="F559" s="262"/>
      <c r="G559" s="261"/>
      <c r="H559" s="264"/>
      <c r="I559" s="262"/>
      <c r="J559" s="263"/>
      <c r="K559" s="187"/>
      <c r="L559" s="353"/>
      <c r="M559" s="654"/>
      <c r="N559" s="371" t="s">
        <v>924</v>
      </c>
      <c r="O559" s="218"/>
      <c r="P559" s="448">
        <v>57791</v>
      </c>
      <c r="Q559" s="174"/>
      <c r="R559" s="220">
        <f t="shared" si="53"/>
        <v>57791</v>
      </c>
      <c r="S559" s="374"/>
      <c r="T559" s="174"/>
      <c r="U559" s="222"/>
      <c r="V559" s="223">
        <v>5</v>
      </c>
    </row>
    <row r="560" spans="2:22" ht="31" x14ac:dyDescent="0.35">
      <c r="B560" s="369"/>
      <c r="C560" s="265"/>
      <c r="D560" s="204"/>
      <c r="E560" s="174"/>
      <c r="F560" s="262"/>
      <c r="G560" s="261"/>
      <c r="H560" s="264"/>
      <c r="I560" s="262"/>
      <c r="J560" s="263"/>
      <c r="K560" s="187"/>
      <c r="L560" s="353"/>
      <c r="M560" s="372" t="s">
        <v>394</v>
      </c>
      <c r="N560" s="373"/>
      <c r="O560" s="218">
        <v>40000</v>
      </c>
      <c r="P560" s="174"/>
      <c r="Q560" s="174"/>
      <c r="R560" s="220">
        <f t="shared" si="53"/>
        <v>40000</v>
      </c>
      <c r="S560" s="374">
        <v>0.5</v>
      </c>
      <c r="T560" s="174"/>
      <c r="U560" s="222"/>
      <c r="V560" s="223">
        <v>4</v>
      </c>
    </row>
    <row r="561" spans="2:22" ht="42" customHeight="1" x14ac:dyDescent="0.35">
      <c r="B561" s="4"/>
      <c r="C561" s="86" t="s">
        <v>395</v>
      </c>
      <c r="D561" s="205">
        <f>SUM(D519:D539)</f>
        <v>499951.70872</v>
      </c>
      <c r="E561" s="88">
        <f>SUM(E519:E539)</f>
        <v>138212</v>
      </c>
      <c r="F561" s="88">
        <f>SUM(F519:F539)</f>
        <v>0</v>
      </c>
      <c r="G561" s="88">
        <f>SUM(G519:G539)</f>
        <v>638163.70872</v>
      </c>
      <c r="H561" s="10">
        <f>(H519*G519)+(H520*G520)+(H521*G521)+(H522*G522)+(H523*G523)+(H524*G524)+(H525*G525)+(H526*G526)+(H527*G527)+(H528*G528)+(H529*G529)+(H530*G530)+(H531*G531)+(H535*G535)+(H536*G536)+(H537*G537)+(H538*G538)+(H539*G539)</f>
        <v>204301.85436</v>
      </c>
      <c r="I561" s="10">
        <f>SUM(I519:I539)</f>
        <v>0</v>
      </c>
      <c r="J561" s="265"/>
      <c r="K561" s="188"/>
      <c r="L561" s="353"/>
      <c r="M561" s="4"/>
      <c r="N561" s="86" t="s">
        <v>395</v>
      </c>
      <c r="O561" s="427">
        <f>SUM(O519:O560)</f>
        <v>786073.19871999999</v>
      </c>
      <c r="P561" s="428">
        <f>SUM(P519:P560)</f>
        <v>317909</v>
      </c>
      <c r="Q561" s="428">
        <f>SUM(Q519:Q539)</f>
        <v>0</v>
      </c>
      <c r="R561" s="428">
        <f>SUM(R519:R560)</f>
        <v>1103982.19872</v>
      </c>
      <c r="S561" s="231">
        <f>(S519*R519)+(S520*R520)+(S521*R521)+(S522*R522)+(S523*R523)+(S524*R524)+(S525*R525)+(S526*R526)+(S527*R527)+(S528*R528)+(S529*R529)+(S530*R530)+(S531*R531)+(S535*R535)+(S536*R536)+(S537*R537)+(S538*R538)+(S539*R539)+(R540*S540)+(R541*S541)+(R542*S542)+(R543*S543)+(R544*S544)+(R545*S545)+(R546*S546)+(R547*S547)+(R556*S556)+(R557*S557)+(R560*S560)</f>
        <v>365394.09935999999</v>
      </c>
      <c r="T561" s="231">
        <f>SUM(T519:T560)</f>
        <v>845275.79</v>
      </c>
      <c r="U561" s="373"/>
      <c r="V561" s="429"/>
    </row>
    <row r="562" spans="2:22" ht="15.75" customHeight="1" x14ac:dyDescent="0.35">
      <c r="B562" s="4"/>
      <c r="C562" s="252"/>
      <c r="D562" s="258"/>
      <c r="E562" s="259"/>
      <c r="F562" s="259"/>
      <c r="G562" s="259"/>
      <c r="H562" s="259"/>
      <c r="I562" s="259"/>
      <c r="J562" s="252"/>
      <c r="K562" s="130"/>
      <c r="L562" s="353"/>
      <c r="M562" s="4"/>
      <c r="N562" s="252"/>
      <c r="O562" s="258"/>
      <c r="P562" s="259"/>
      <c r="Q562" s="259"/>
      <c r="R562" s="259"/>
      <c r="S562" s="259"/>
      <c r="T562" s="259"/>
      <c r="U562" s="252"/>
      <c r="V562" s="130"/>
    </row>
    <row r="563" spans="2:22" ht="15.75" customHeight="1" x14ac:dyDescent="0.35">
      <c r="B563" s="4"/>
      <c r="C563" s="252"/>
      <c r="D563" s="258"/>
      <c r="E563" s="259"/>
      <c r="F563" s="259"/>
      <c r="G563" s="259"/>
      <c r="H563" s="259"/>
      <c r="I563" s="259"/>
      <c r="J563" s="252"/>
      <c r="K563" s="130"/>
      <c r="L563" s="353"/>
      <c r="M563" s="4"/>
      <c r="N563" s="252"/>
      <c r="O563" s="258"/>
      <c r="P563" s="259"/>
      <c r="Q563" s="259"/>
      <c r="R563" s="259"/>
      <c r="S563" s="259"/>
      <c r="T563" s="259"/>
      <c r="U563" s="252"/>
      <c r="V563" s="130"/>
    </row>
    <row r="564" spans="2:22" ht="15.75" customHeight="1" x14ac:dyDescent="0.35">
      <c r="B564" s="4"/>
      <c r="C564" s="252"/>
      <c r="D564" s="258"/>
      <c r="E564" s="259"/>
      <c r="F564" s="259"/>
      <c r="G564" s="266"/>
      <c r="H564" s="259"/>
      <c r="I564" s="259"/>
      <c r="J564" s="252"/>
      <c r="K564" s="130"/>
      <c r="L564" s="353"/>
      <c r="M564" s="4"/>
      <c r="N564" s="252"/>
      <c r="O564" s="258"/>
      <c r="P564" s="259"/>
      <c r="Q564" s="259"/>
      <c r="R564" s="266"/>
      <c r="S564" s="259"/>
      <c r="T564" s="259"/>
      <c r="U564" s="252"/>
      <c r="V564" s="130"/>
    </row>
    <row r="565" spans="2:22" ht="15.75" customHeight="1" x14ac:dyDescent="0.35">
      <c r="B565" s="4"/>
      <c r="C565" s="252"/>
      <c r="D565" s="258"/>
      <c r="E565" s="259"/>
      <c r="F565" s="259"/>
      <c r="G565" s="259"/>
      <c r="H565" s="259"/>
      <c r="I565" s="259"/>
      <c r="J565" s="252"/>
      <c r="K565" s="130"/>
      <c r="L565" s="353"/>
      <c r="M565" s="4"/>
      <c r="N565" s="252"/>
      <c r="O565" s="258"/>
      <c r="P565" s="259"/>
      <c r="Q565" s="259"/>
      <c r="R565" s="259"/>
      <c r="S565" s="259"/>
      <c r="T565" s="259"/>
      <c r="U565" s="252"/>
      <c r="V565" s="130"/>
    </row>
    <row r="566" spans="2:22" ht="15.75" customHeight="1" x14ac:dyDescent="0.35">
      <c r="B566" s="4"/>
      <c r="C566" s="252"/>
      <c r="D566" s="258"/>
      <c r="E566" s="259"/>
      <c r="F566" s="259"/>
      <c r="G566" s="259"/>
      <c r="H566" s="259"/>
      <c r="I566" s="259"/>
      <c r="J566" s="252"/>
      <c r="K566" s="130"/>
      <c r="L566" s="353"/>
      <c r="M566" s="4"/>
      <c r="N566" s="252"/>
      <c r="O566" s="258"/>
      <c r="P566" s="259"/>
      <c r="Q566" s="259"/>
      <c r="R566" s="259"/>
      <c r="S566" s="259"/>
      <c r="T566" s="259"/>
      <c r="U566" s="252"/>
      <c r="V566" s="130"/>
    </row>
    <row r="567" spans="2:22" ht="15.75" customHeight="1" x14ac:dyDescent="0.35">
      <c r="B567" s="4"/>
      <c r="C567" s="252"/>
      <c r="D567" s="258"/>
      <c r="E567" s="259"/>
      <c r="F567" s="259"/>
      <c r="G567" s="259"/>
      <c r="H567" s="259"/>
      <c r="I567" s="259"/>
      <c r="J567" s="252"/>
      <c r="K567" s="130"/>
      <c r="L567" s="353"/>
      <c r="M567" s="4"/>
      <c r="N567" s="252"/>
      <c r="O567" s="258"/>
      <c r="P567" s="259"/>
      <c r="Q567" s="259"/>
      <c r="R567" s="259"/>
      <c r="S567" s="259"/>
      <c r="T567" s="259"/>
      <c r="U567" s="252"/>
      <c r="V567" s="130"/>
    </row>
    <row r="568" spans="2:22" ht="15.75" customHeight="1" thickBot="1" x14ac:dyDescent="0.4">
      <c r="B568" s="4"/>
      <c r="C568" s="252"/>
      <c r="D568" s="258"/>
      <c r="E568" s="259"/>
      <c r="F568" s="259"/>
      <c r="G568" s="259"/>
      <c r="H568" s="259"/>
      <c r="I568" s="259"/>
      <c r="J568" s="252"/>
      <c r="K568" s="130"/>
      <c r="L568" s="353"/>
      <c r="M568" s="4"/>
      <c r="N568" s="252"/>
      <c r="O568" s="258"/>
      <c r="P568" s="259"/>
      <c r="Q568" s="259"/>
      <c r="R568" s="259"/>
      <c r="S568" s="259"/>
      <c r="T568" s="259"/>
      <c r="U568" s="252"/>
      <c r="V568" s="130"/>
    </row>
    <row r="569" spans="2:22" ht="15.5" x14ac:dyDescent="0.35">
      <c r="B569" s="4"/>
      <c r="C569" s="628" t="s">
        <v>44</v>
      </c>
      <c r="D569" s="629"/>
      <c r="E569" s="95"/>
      <c r="F569" s="95"/>
      <c r="G569" s="129"/>
      <c r="H569" s="9"/>
      <c r="I569" s="113"/>
      <c r="J569" s="9"/>
      <c r="L569" s="353"/>
      <c r="M569" s="4"/>
      <c r="N569" s="628" t="s">
        <v>44</v>
      </c>
      <c r="O569" s="629"/>
      <c r="P569" s="95"/>
      <c r="Q569" s="95"/>
      <c r="R569" s="129"/>
      <c r="S569" s="9"/>
      <c r="T569" s="532"/>
      <c r="U569" s="9"/>
      <c r="V569" s="131"/>
    </row>
    <row r="570" spans="2:22" ht="48" customHeight="1" x14ac:dyDescent="0.35">
      <c r="B570" s="4"/>
      <c r="C570" s="606"/>
      <c r="D570" s="206" t="s">
        <v>396</v>
      </c>
      <c r="E570" s="96" t="s">
        <v>397</v>
      </c>
      <c r="F570" s="10" t="s">
        <v>398</v>
      </c>
      <c r="G570" s="608" t="s">
        <v>63</v>
      </c>
      <c r="H570" s="252"/>
      <c r="I570" s="259"/>
      <c r="J570" s="9"/>
      <c r="L570" s="353"/>
      <c r="M570" s="4"/>
      <c r="N570" s="606"/>
      <c r="O570" s="206" t="s">
        <v>396</v>
      </c>
      <c r="P570" s="96" t="s">
        <v>397</v>
      </c>
      <c r="Q570" s="10" t="s">
        <v>398</v>
      </c>
      <c r="R570" s="608" t="s">
        <v>63</v>
      </c>
      <c r="S570" s="252"/>
      <c r="T570" s="650"/>
      <c r="U570" s="9"/>
      <c r="V570" s="131"/>
    </row>
    <row r="571" spans="2:22" ht="24.75" customHeight="1" x14ac:dyDescent="0.35">
      <c r="B571" s="4"/>
      <c r="C571" s="607"/>
      <c r="D571" s="207" t="str">
        <f>D13</f>
        <v>PNUD</v>
      </c>
      <c r="E571" s="97" t="str">
        <f>E13</f>
        <v>FAO</v>
      </c>
      <c r="F571" s="89">
        <f>F13</f>
        <v>0</v>
      </c>
      <c r="G571" s="609"/>
      <c r="H571" s="252"/>
      <c r="I571" s="259"/>
      <c r="J571" s="9"/>
      <c r="L571" s="353"/>
      <c r="M571" s="4"/>
      <c r="N571" s="607"/>
      <c r="O571" s="207" t="str">
        <f>O13</f>
        <v>PNUD</v>
      </c>
      <c r="P571" s="97" t="str">
        <f>P13</f>
        <v>FAO</v>
      </c>
      <c r="Q571" s="89">
        <f>Q13</f>
        <v>0</v>
      </c>
      <c r="R571" s="609"/>
      <c r="S571" s="252"/>
      <c r="T571" s="651"/>
      <c r="U571" s="9"/>
      <c r="V571" s="131"/>
    </row>
    <row r="572" spans="2:22" ht="41.25" customHeight="1" x14ac:dyDescent="0.35">
      <c r="B572" s="267"/>
      <c r="C572" s="124" t="s">
        <v>52</v>
      </c>
      <c r="D572" s="268">
        <f>(D561+D504+D476+D429+D388+D358+D313+D257+D103+D62+D35)</f>
        <v>1509345.7977199999</v>
      </c>
      <c r="E572" s="269">
        <f>(E561+E504+E476+E429+E388+E358+E313+E257+E103+E62+E35)</f>
        <v>827102.8</v>
      </c>
      <c r="F572" s="269">
        <f>SUM(F35,F62,F103,F115,F257,F313,F325,F358,F388,F400,F429,F476,F504,F516,F519,F531,F535,F539)</f>
        <v>0</v>
      </c>
      <c r="G572" s="269">
        <f>SUM(D572:F572)</f>
        <v>2336448.59772</v>
      </c>
      <c r="H572" s="252"/>
      <c r="I572" s="259"/>
      <c r="J572" s="267"/>
      <c r="L572" s="353"/>
      <c r="M572" s="267"/>
      <c r="N572" s="124" t="s">
        <v>52</v>
      </c>
      <c r="O572" s="268">
        <f>(O561+O504+O476+O429+O388+O358+O313+O257+O103+O62+O35)</f>
        <v>2306350.5177199999</v>
      </c>
      <c r="P572" s="269">
        <f>(P561+P504+P476+P429+P388+P358+P313+P257+P103+P62+P35)</f>
        <v>1431967.24</v>
      </c>
      <c r="Q572" s="269">
        <f>SUM(Q35,Q62,Q103,Q115,Q257,Q313,Q325,Q358,Q388,Q400,Q429,Q476,Q504,Q516,Q519,Q531,Q535,Q539)</f>
        <v>0</v>
      </c>
      <c r="R572" s="269">
        <f>SUM(O572:Q572)</f>
        <v>3738317.7577200001</v>
      </c>
      <c r="S572" s="252"/>
      <c r="T572" s="533">
        <f>(T561+T504+T476+T429+T388+T358+T313+T257+T103+T62+T35)</f>
        <v>2741307.02</v>
      </c>
      <c r="U572" s="409"/>
      <c r="V572" s="131"/>
    </row>
    <row r="573" spans="2:22" ht="51.75" customHeight="1" x14ac:dyDescent="0.35">
      <c r="B573" s="270"/>
      <c r="C573" s="124" t="s">
        <v>53</v>
      </c>
      <c r="D573" s="268">
        <f>D572*0.07</f>
        <v>105654.2058404</v>
      </c>
      <c r="E573" s="271">
        <f>E572*0.07</f>
        <v>57897.196000000011</v>
      </c>
      <c r="F573" s="272">
        <f t="shared" ref="F573" si="54">F572*0.07</f>
        <v>0</v>
      </c>
      <c r="G573" s="269">
        <f>G572*0.07</f>
        <v>163551.40184040001</v>
      </c>
      <c r="H573" s="270"/>
      <c r="I573" s="273"/>
      <c r="J573" s="274"/>
      <c r="L573" s="353"/>
      <c r="M573" s="270"/>
      <c r="N573" s="124" t="s">
        <v>53</v>
      </c>
      <c r="O573" s="268">
        <f>O572*0.07</f>
        <v>161444.53624040002</v>
      </c>
      <c r="P573" s="271">
        <f>P572*0.07</f>
        <v>100237.70680000001</v>
      </c>
      <c r="Q573" s="272">
        <f t="shared" ref="Q573" si="55">Q572*0.07</f>
        <v>0</v>
      </c>
      <c r="R573" s="269">
        <f>R572*0.07</f>
        <v>261682.24304040003</v>
      </c>
      <c r="S573" s="270"/>
      <c r="T573" s="535">
        <v>60930</v>
      </c>
      <c r="U573" s="274"/>
      <c r="V573" s="131"/>
    </row>
    <row r="574" spans="2:22" ht="51.75" customHeight="1" thickBot="1" x14ac:dyDescent="0.4">
      <c r="B574" s="270"/>
      <c r="C574" s="7" t="s">
        <v>63</v>
      </c>
      <c r="D574" s="208">
        <f>SUM(D572:D573)</f>
        <v>1615000.0035603999</v>
      </c>
      <c r="E574" s="98">
        <f>SUM(E572:E573)</f>
        <v>884999.99600000004</v>
      </c>
      <c r="F574" s="75">
        <f>SUM(F572:F573)</f>
        <v>0</v>
      </c>
      <c r="G574" s="84">
        <f>SUM(G572:G573)</f>
        <v>2499999.9995603999</v>
      </c>
      <c r="H574" s="270"/>
      <c r="I574" s="273"/>
      <c r="J574" s="274"/>
      <c r="L574" s="353"/>
      <c r="M574" s="270"/>
      <c r="N574" s="7" t="s">
        <v>63</v>
      </c>
      <c r="O574" s="431">
        <f>SUM(O572:O573)</f>
        <v>2467795.0539603997</v>
      </c>
      <c r="P574" s="432">
        <f>SUM(P572:P573)</f>
        <v>1532204.9468</v>
      </c>
      <c r="Q574" s="433">
        <f>SUM(Q572:Q573)</f>
        <v>0</v>
      </c>
      <c r="R574" s="434">
        <f>SUM(R572:R573)</f>
        <v>4000000.0007604002</v>
      </c>
      <c r="S574" s="270"/>
      <c r="T574" s="534"/>
      <c r="U574" s="274"/>
      <c r="V574" s="131"/>
    </row>
    <row r="575" spans="2:22" ht="42" customHeight="1" x14ac:dyDescent="0.35">
      <c r="B575" s="270"/>
      <c r="I575" s="114"/>
      <c r="J575" s="2"/>
      <c r="K575" s="275"/>
      <c r="L575" s="353"/>
      <c r="M575" s="270"/>
      <c r="O575" s="453"/>
      <c r="T575" s="114"/>
      <c r="U575" s="2"/>
      <c r="V575" s="275"/>
    </row>
    <row r="576" spans="2:22" s="24" customFormat="1" ht="29.25" customHeight="1" thickBot="1" x14ac:dyDescent="0.4">
      <c r="B576" s="252"/>
      <c r="C576" s="4"/>
      <c r="D576" s="209"/>
      <c r="E576" s="19"/>
      <c r="F576" s="19"/>
      <c r="G576" s="19"/>
      <c r="H576" s="19"/>
      <c r="I576" s="115"/>
      <c r="J576" s="9"/>
      <c r="K576" s="276"/>
      <c r="L576" s="353"/>
      <c r="M576" s="252"/>
      <c r="N576" s="4"/>
      <c r="O576" s="209"/>
      <c r="P576" s="19"/>
      <c r="Q576" s="19"/>
      <c r="R576" s="19"/>
      <c r="S576" s="19"/>
      <c r="T576" s="115"/>
      <c r="U576" s="9"/>
      <c r="V576" s="276"/>
    </row>
    <row r="577" spans="2:22" ht="23.25" customHeight="1" x14ac:dyDescent="0.35">
      <c r="B577" s="274"/>
      <c r="C577" s="610" t="s">
        <v>399</v>
      </c>
      <c r="D577" s="611"/>
      <c r="E577" s="612"/>
      <c r="F577" s="612"/>
      <c r="G577" s="612"/>
      <c r="H577" s="613"/>
      <c r="I577" s="116"/>
      <c r="J577" s="274"/>
      <c r="L577" s="353"/>
      <c r="M577" s="274"/>
      <c r="N577" s="610" t="s">
        <v>399</v>
      </c>
      <c r="O577" s="611"/>
      <c r="P577" s="612"/>
      <c r="Q577" s="612"/>
      <c r="R577" s="612"/>
      <c r="S577" s="613"/>
      <c r="T577" s="116"/>
      <c r="U577" s="274"/>
      <c r="V577" s="131"/>
    </row>
    <row r="578" spans="2:22" ht="45.65" customHeight="1" x14ac:dyDescent="0.35">
      <c r="B578" s="274"/>
      <c r="C578" s="16"/>
      <c r="D578" s="206" t="s">
        <v>396</v>
      </c>
      <c r="E578" s="96" t="s">
        <v>397</v>
      </c>
      <c r="F578" s="10" t="s">
        <v>398</v>
      </c>
      <c r="G578" s="614" t="s">
        <v>63</v>
      </c>
      <c r="H578" s="616" t="s">
        <v>400</v>
      </c>
      <c r="I578" s="116"/>
      <c r="J578" s="274"/>
      <c r="L578" s="353"/>
      <c r="M578" s="274"/>
      <c r="N578" s="16"/>
      <c r="O578" s="206" t="s">
        <v>396</v>
      </c>
      <c r="P578" s="96" t="s">
        <v>397</v>
      </c>
      <c r="Q578" s="10" t="s">
        <v>398</v>
      </c>
      <c r="R578" s="614" t="s">
        <v>63</v>
      </c>
      <c r="S578" s="616" t="s">
        <v>400</v>
      </c>
      <c r="T578" s="116"/>
      <c r="U578" s="274"/>
      <c r="V578" s="131"/>
    </row>
    <row r="579" spans="2:22" ht="27.75" customHeight="1" x14ac:dyDescent="0.35">
      <c r="B579" s="274"/>
      <c r="C579" s="16"/>
      <c r="D579" s="199" t="str">
        <f>D13</f>
        <v>PNUD</v>
      </c>
      <c r="E579" s="14" t="str">
        <f>E13</f>
        <v>FAO</v>
      </c>
      <c r="F579" s="14">
        <f>F13</f>
        <v>0</v>
      </c>
      <c r="G579" s="615"/>
      <c r="H579" s="589"/>
      <c r="I579" s="116"/>
      <c r="J579" s="274"/>
      <c r="L579" s="353"/>
      <c r="M579" s="274"/>
      <c r="N579" s="16"/>
      <c r="O579" s="199" t="str">
        <f>O13</f>
        <v>PNUD</v>
      </c>
      <c r="P579" s="14" t="str">
        <f>P13</f>
        <v>FAO</v>
      </c>
      <c r="Q579" s="14">
        <f>Q13</f>
        <v>0</v>
      </c>
      <c r="R579" s="615"/>
      <c r="S579" s="589"/>
      <c r="T579" s="116"/>
      <c r="U579" s="274"/>
      <c r="V579" s="131"/>
    </row>
    <row r="580" spans="2:22" ht="55.5" customHeight="1" x14ac:dyDescent="0.35">
      <c r="B580" s="274"/>
      <c r="C580" s="15" t="s">
        <v>401</v>
      </c>
      <c r="D580" s="205">
        <f>$D$574*H580</f>
        <v>565250.00124613987</v>
      </c>
      <c r="E580" s="74">
        <f>$E$574*H580</f>
        <v>309749.99859999999</v>
      </c>
      <c r="F580" s="74">
        <f>$F$574*H580</f>
        <v>0</v>
      </c>
      <c r="G580" s="74">
        <f>SUM(D580:F580)</f>
        <v>874999.99984613992</v>
      </c>
      <c r="H580" s="102">
        <v>0.35</v>
      </c>
      <c r="I580" s="113"/>
      <c r="J580" s="274"/>
      <c r="L580" s="353"/>
      <c r="M580" s="274"/>
      <c r="N580" s="15" t="s">
        <v>401</v>
      </c>
      <c r="O580" s="205">
        <v>565250.00124613987</v>
      </c>
      <c r="P580" s="74">
        <v>309749.99859999999</v>
      </c>
      <c r="Q580" s="74"/>
      <c r="R580" s="74">
        <f>SUM(O580:Q580)</f>
        <v>874999.99984613992</v>
      </c>
      <c r="S580" s="102">
        <f>R580/R585</f>
        <v>0.21874999998557562</v>
      </c>
      <c r="T580" s="441"/>
      <c r="U580" s="274"/>
      <c r="V580" s="131"/>
    </row>
    <row r="581" spans="2:22" ht="57.75" customHeight="1" x14ac:dyDescent="0.35">
      <c r="B581" s="617"/>
      <c r="C581" s="87" t="s">
        <v>402</v>
      </c>
      <c r="D581" s="210">
        <f>$D$574*H581</f>
        <v>565250.00124613987</v>
      </c>
      <c r="E581" s="74">
        <f>$E$574*H581</f>
        <v>309749.99859999999</v>
      </c>
      <c r="F581" s="74">
        <f>$F$574*H581</f>
        <v>0</v>
      </c>
      <c r="G581" s="74">
        <f t="shared" ref="G581:G582" si="56">SUM(D581:F581)</f>
        <v>874999.99984613992</v>
      </c>
      <c r="H581" s="103">
        <v>0.35</v>
      </c>
      <c r="I581" s="113"/>
      <c r="L581" s="353"/>
      <c r="M581" s="617"/>
      <c r="N581" s="87" t="s">
        <v>402</v>
      </c>
      <c r="O581" s="210">
        <v>565250.00124613987</v>
      </c>
      <c r="P581" s="74">
        <v>309749.99859999999</v>
      </c>
      <c r="Q581" s="74"/>
      <c r="R581" s="74">
        <f t="shared" ref="R581:R584" si="57">SUM(O581:Q581)</f>
        <v>874999.99984613992</v>
      </c>
      <c r="S581" s="103">
        <f>R581/R585</f>
        <v>0.21874999998557562</v>
      </c>
      <c r="T581" s="113"/>
      <c r="V581" s="131"/>
    </row>
    <row r="582" spans="2:22" ht="57.75" customHeight="1" x14ac:dyDescent="0.35">
      <c r="B582" s="617"/>
      <c r="C582" s="87" t="s">
        <v>403</v>
      </c>
      <c r="D582" s="210">
        <f>$D$574*H582</f>
        <v>484500.00106811995</v>
      </c>
      <c r="E582" s="74">
        <f>$E$574*H582</f>
        <v>265499.9988</v>
      </c>
      <c r="F582" s="74">
        <f>$F$574*H582</f>
        <v>0</v>
      </c>
      <c r="G582" s="74">
        <f t="shared" si="56"/>
        <v>749999.99986811995</v>
      </c>
      <c r="H582" s="103">
        <v>0.3</v>
      </c>
      <c r="I582" s="113"/>
      <c r="L582" s="353"/>
      <c r="M582" s="617"/>
      <c r="N582" s="87" t="s">
        <v>403</v>
      </c>
      <c r="O582" s="210">
        <v>484500.00106811995</v>
      </c>
      <c r="P582" s="74">
        <v>265499.9988</v>
      </c>
      <c r="Q582" s="74"/>
      <c r="R582" s="74">
        <f t="shared" si="57"/>
        <v>749999.99986811995</v>
      </c>
      <c r="S582" s="103">
        <f>R582/R585</f>
        <v>0.18749999998763625</v>
      </c>
      <c r="T582" s="113"/>
      <c r="V582" s="131"/>
    </row>
    <row r="583" spans="2:22" ht="57.75" customHeight="1" x14ac:dyDescent="0.35">
      <c r="B583" s="617"/>
      <c r="C583" s="87" t="s">
        <v>485</v>
      </c>
      <c r="D583" s="210"/>
      <c r="E583" s="440"/>
      <c r="F583" s="440"/>
      <c r="G583" s="440"/>
      <c r="H583" s="103"/>
      <c r="I583" s="113"/>
      <c r="L583" s="353"/>
      <c r="M583" s="617"/>
      <c r="N583" s="87" t="s">
        <v>485</v>
      </c>
      <c r="O583" s="210">
        <v>600000</v>
      </c>
      <c r="P583" s="440">
        <v>300000</v>
      </c>
      <c r="Q583" s="440"/>
      <c r="R583" s="74">
        <f t="shared" si="57"/>
        <v>900000</v>
      </c>
      <c r="S583" s="103">
        <f>R583/R585</f>
        <v>0.2250000000247275</v>
      </c>
      <c r="T583" s="113"/>
      <c r="V583" s="131"/>
    </row>
    <row r="584" spans="2:22" ht="57.75" customHeight="1" x14ac:dyDescent="0.35">
      <c r="B584" s="617"/>
      <c r="C584" s="87" t="s">
        <v>486</v>
      </c>
      <c r="D584" s="210"/>
      <c r="E584" s="440"/>
      <c r="F584" s="440"/>
      <c r="G584" s="440"/>
      <c r="H584" s="103"/>
      <c r="I584" s="113"/>
      <c r="L584" s="353"/>
      <c r="M584" s="617"/>
      <c r="N584" s="87" t="s">
        <v>486</v>
      </c>
      <c r="O584" s="210">
        <v>300000</v>
      </c>
      <c r="P584" s="440">
        <v>300000</v>
      </c>
      <c r="Q584" s="440"/>
      <c r="R584" s="74">
        <f t="shared" si="57"/>
        <v>600000</v>
      </c>
      <c r="S584" s="103">
        <f>R584/R585</f>
        <v>0.150000000016485</v>
      </c>
      <c r="T584" s="113"/>
      <c r="V584" s="131"/>
    </row>
    <row r="585" spans="2:22" ht="38.25" customHeight="1" thickBot="1" x14ac:dyDescent="0.4">
      <c r="B585" s="617"/>
      <c r="C585" s="7" t="s">
        <v>63</v>
      </c>
      <c r="D585" s="211">
        <f>SUM(D580:D582)</f>
        <v>1615000.0035603996</v>
      </c>
      <c r="E585" s="75">
        <f t="shared" ref="E585:F585" si="58">SUM(E580:E582)</f>
        <v>884999.99600000004</v>
      </c>
      <c r="F585" s="75">
        <f t="shared" si="58"/>
        <v>0</v>
      </c>
      <c r="G585" s="75">
        <f>SUM(G580:G582)</f>
        <v>2499999.9995603999</v>
      </c>
      <c r="H585" s="76"/>
      <c r="I585" s="117"/>
      <c r="L585" s="353"/>
      <c r="M585" s="617"/>
      <c r="N585" s="7" t="s">
        <v>63</v>
      </c>
      <c r="O585" s="211">
        <f>SUM(O580:O584)</f>
        <v>2515000.0035603996</v>
      </c>
      <c r="P585" s="211">
        <f t="shared" ref="P585:R585" si="59">SUM(P580:P584)</f>
        <v>1484999.996</v>
      </c>
      <c r="Q585" s="211"/>
      <c r="R585" s="211">
        <f t="shared" si="59"/>
        <v>3999999.9995603999</v>
      </c>
      <c r="S585" s="76">
        <f>SUM(S580:S584)</f>
        <v>1</v>
      </c>
      <c r="T585" s="117"/>
      <c r="V585" s="131"/>
    </row>
    <row r="586" spans="2:22" ht="21.75" customHeight="1" thickBot="1" x14ac:dyDescent="0.4">
      <c r="B586" s="617"/>
      <c r="C586" s="1"/>
      <c r="D586" s="209"/>
      <c r="E586" s="5"/>
      <c r="F586" s="5"/>
      <c r="G586" s="5"/>
      <c r="H586" s="5"/>
      <c r="I586" s="118"/>
      <c r="L586" s="353"/>
      <c r="M586" s="617"/>
      <c r="N586" s="1"/>
      <c r="O586" s="209"/>
      <c r="P586" s="5"/>
      <c r="Q586" s="5"/>
      <c r="R586" s="5"/>
      <c r="S586" s="5"/>
      <c r="T586" s="118"/>
      <c r="V586" s="131"/>
    </row>
    <row r="587" spans="2:22" ht="49.5" customHeight="1" x14ac:dyDescent="0.35">
      <c r="B587" s="617"/>
      <c r="C587" s="77" t="s">
        <v>404</v>
      </c>
      <c r="D587" s="212" t="e">
        <f>SUM(H35,H62,H103,H115,H257,H313,H325,H358,H388,H400,H429,H476,H504,H516,H561)*1.07</f>
        <v>#REF!</v>
      </c>
      <c r="E587" s="19"/>
      <c r="F587" s="19"/>
      <c r="G587" s="19"/>
      <c r="H587" s="125" t="s">
        <v>405</v>
      </c>
      <c r="I587" s="126">
        <f>SUM(I561,I516,I504,I476,I429,I400,I388,I358,I325,I313,I257,I115,I103,I62,I35)</f>
        <v>0</v>
      </c>
      <c r="L587" s="353"/>
      <c r="M587" s="617"/>
      <c r="N587" s="77" t="s">
        <v>404</v>
      </c>
      <c r="O587" s="212">
        <f>SUM(S35,S62,S103,S115,S257,S313,S325,S358,S388,S400,S429,S476,S504,S516,S561)*1.07</f>
        <v>1549284.7833441999</v>
      </c>
      <c r="P587" s="19"/>
      <c r="Q587" s="19"/>
      <c r="R587" s="19"/>
      <c r="S587" s="125" t="s">
        <v>405</v>
      </c>
      <c r="T587" s="126">
        <f>SUM(T561,T516,T504,T476,T429,T400,T388,T358,T325,T313,T257,T115,T103,T62,T35)</f>
        <v>2741307.02</v>
      </c>
      <c r="V587" s="131"/>
    </row>
    <row r="588" spans="2:22" ht="28.5" customHeight="1" thickBot="1" x14ac:dyDescent="0.4">
      <c r="B588" s="617"/>
      <c r="C588" s="78" t="s">
        <v>406</v>
      </c>
      <c r="D588" s="213" t="e">
        <f>D587/G574</f>
        <v>#REF!</v>
      </c>
      <c r="E588" s="29"/>
      <c r="F588" s="29"/>
      <c r="G588" s="29"/>
      <c r="H588" s="128" t="s">
        <v>407</v>
      </c>
      <c r="I588" s="127">
        <f>I587/G572</f>
        <v>0</v>
      </c>
      <c r="L588" s="353"/>
      <c r="M588" s="617"/>
      <c r="N588" s="78" t="s">
        <v>406</v>
      </c>
      <c r="O588" s="213">
        <f>O587/R574</f>
        <v>0.38732119576242019</v>
      </c>
      <c r="P588" s="29"/>
      <c r="Q588" s="29"/>
      <c r="R588" s="29"/>
      <c r="S588" s="128" t="s">
        <v>407</v>
      </c>
      <c r="T588" s="127">
        <f>T587/R574</f>
        <v>0.68532675486971939</v>
      </c>
      <c r="V588" s="131"/>
    </row>
    <row r="589" spans="2:22" ht="28.5" customHeight="1" x14ac:dyDescent="0.35">
      <c r="B589" s="617"/>
      <c r="C589" s="618"/>
      <c r="D589" s="619"/>
      <c r="E589" s="30" t="s">
        <v>408</v>
      </c>
      <c r="F589" s="30"/>
      <c r="G589" s="30"/>
      <c r="L589" s="353"/>
      <c r="M589" s="617"/>
      <c r="N589" s="618"/>
      <c r="O589" s="619"/>
      <c r="P589" s="30" t="s">
        <v>408</v>
      </c>
      <c r="Q589" s="30"/>
      <c r="R589" s="30"/>
      <c r="T589" s="119"/>
      <c r="V589" s="131"/>
    </row>
    <row r="590" spans="2:22" ht="28.5" customHeight="1" x14ac:dyDescent="0.35">
      <c r="B590" s="617"/>
      <c r="C590" s="78" t="s">
        <v>409</v>
      </c>
      <c r="D590" s="214">
        <f>SUM(D535:F539)*1.07</f>
        <v>143091.1</v>
      </c>
      <c r="E590" s="31"/>
      <c r="F590" s="31"/>
      <c r="G590" s="31"/>
      <c r="L590" s="353"/>
      <c r="M590" s="617"/>
      <c r="N590" s="78" t="s">
        <v>409</v>
      </c>
      <c r="O590" s="214">
        <f>(SUM(O535:Q539)+SUM(O556:Q559))*1.07</f>
        <v>274361.23590000003</v>
      </c>
      <c r="P590" s="31"/>
      <c r="Q590" s="31"/>
      <c r="R590" s="31"/>
      <c r="T590" s="119"/>
      <c r="V590" s="131"/>
    </row>
    <row r="591" spans="2:22" ht="23.25" customHeight="1" x14ac:dyDescent="0.35">
      <c r="B591" s="617"/>
      <c r="C591" s="78" t="s">
        <v>410</v>
      </c>
      <c r="D591" s="213">
        <f>D590/G574</f>
        <v>5.7236440010064463E-2</v>
      </c>
      <c r="E591" s="31"/>
      <c r="F591" s="31"/>
      <c r="G591" s="31"/>
      <c r="L591" s="353"/>
      <c r="M591" s="617"/>
      <c r="N591" s="78" t="s">
        <v>410</v>
      </c>
      <c r="O591" s="213">
        <f>O590/R574</f>
        <v>6.8590308961960986E-2</v>
      </c>
      <c r="P591" s="31"/>
      <c r="Q591" s="31"/>
      <c r="R591" s="31"/>
      <c r="T591" s="119"/>
      <c r="V591" s="131"/>
    </row>
    <row r="592" spans="2:22" ht="68.25" customHeight="1" thickBot="1" x14ac:dyDescent="0.4">
      <c r="B592" s="617"/>
      <c r="C592" s="620" t="s">
        <v>411</v>
      </c>
      <c r="D592" s="621"/>
      <c r="E592" s="20"/>
      <c r="F592" s="20"/>
      <c r="G592" s="20"/>
      <c r="I592" s="120"/>
      <c r="L592" s="353"/>
      <c r="M592" s="617"/>
      <c r="N592" s="620" t="s">
        <v>411</v>
      </c>
      <c r="O592" s="621"/>
      <c r="P592" s="20"/>
      <c r="Q592" s="20"/>
      <c r="R592" s="20"/>
      <c r="T592" s="120"/>
      <c r="V592" s="131"/>
    </row>
    <row r="593" spans="2:22" ht="55.5" customHeight="1" x14ac:dyDescent="0.35">
      <c r="B593" s="617"/>
      <c r="K593" s="132"/>
      <c r="L593" s="353"/>
      <c r="M593" s="617"/>
      <c r="O593" s="196"/>
      <c r="T593" s="119"/>
      <c r="V593" s="132"/>
    </row>
    <row r="594" spans="2:22" ht="42.75" customHeight="1" x14ac:dyDescent="0.35">
      <c r="B594" s="617"/>
      <c r="L594" s="353"/>
      <c r="M594" s="617"/>
      <c r="O594" s="196"/>
      <c r="T594" s="119"/>
      <c r="V594" s="131"/>
    </row>
    <row r="595" spans="2:22" ht="21.75" customHeight="1" x14ac:dyDescent="0.35">
      <c r="B595" s="617"/>
      <c r="L595" s="353"/>
      <c r="M595" s="617"/>
      <c r="O595" s="196"/>
      <c r="T595" s="119"/>
      <c r="V595" s="131"/>
    </row>
    <row r="596" spans="2:22" ht="21.75" customHeight="1" x14ac:dyDescent="0.35">
      <c r="B596" s="617"/>
      <c r="L596" s="353"/>
      <c r="M596" s="617"/>
      <c r="O596" s="196"/>
      <c r="T596" s="119"/>
      <c r="V596" s="131"/>
    </row>
    <row r="597" spans="2:22" ht="23.25" customHeight="1" x14ac:dyDescent="0.35">
      <c r="B597" s="617"/>
      <c r="L597" s="353"/>
      <c r="M597" s="617"/>
      <c r="O597" s="196"/>
      <c r="T597" s="119"/>
      <c r="V597" s="131"/>
    </row>
    <row r="598" spans="2:22" ht="23.25" customHeight="1" x14ac:dyDescent="0.35"/>
    <row r="599" spans="2:22" ht="21.75" customHeight="1" x14ac:dyDescent="0.35"/>
    <row r="600" spans="2:22" ht="16.5" customHeight="1" x14ac:dyDescent="0.35"/>
    <row r="601" spans="2:22" ht="29.25" customHeight="1" x14ac:dyDescent="0.35"/>
    <row r="602" spans="2:22" ht="24.75" customHeight="1" x14ac:dyDescent="0.35"/>
    <row r="603" spans="2:22" ht="33" customHeight="1" x14ac:dyDescent="0.35"/>
    <row r="605" spans="2:22" ht="15" customHeight="1" x14ac:dyDescent="0.35"/>
    <row r="606" spans="2:22" ht="25.5" customHeight="1" x14ac:dyDescent="0.35"/>
  </sheetData>
  <sheetProtection formatCells="0" formatColumns="0" formatRows="0"/>
  <mergeCells count="246">
    <mergeCell ref="T570:T571"/>
    <mergeCell ref="N477:U477"/>
    <mergeCell ref="N505:U505"/>
    <mergeCell ref="N430:U430"/>
    <mergeCell ref="R578:R579"/>
    <mergeCell ref="S578:S579"/>
    <mergeCell ref="M581:M597"/>
    <mergeCell ref="N589:O589"/>
    <mergeCell ref="N592:O592"/>
    <mergeCell ref="M519:M530"/>
    <mergeCell ref="M531:M534"/>
    <mergeCell ref="M535:M538"/>
    <mergeCell ref="N569:O569"/>
    <mergeCell ref="N570:N571"/>
    <mergeCell ref="R570:R571"/>
    <mergeCell ref="N577:S577"/>
    <mergeCell ref="M540:M551"/>
    <mergeCell ref="M552:M555"/>
    <mergeCell ref="M556:M559"/>
    <mergeCell ref="M431:M435"/>
    <mergeCell ref="M436:M440"/>
    <mergeCell ref="M441:M445"/>
    <mergeCell ref="M451:M455"/>
    <mergeCell ref="M506:M510"/>
    <mergeCell ref="M511:M515"/>
    <mergeCell ref="M446:M450"/>
    <mergeCell ref="M471:M475"/>
    <mergeCell ref="M478:M483"/>
    <mergeCell ref="M484:M488"/>
    <mergeCell ref="M489:M493"/>
    <mergeCell ref="M494:M498"/>
    <mergeCell ref="M499:M503"/>
    <mergeCell ref="M456:M460"/>
    <mergeCell ref="M461:M465"/>
    <mergeCell ref="M466:M470"/>
    <mergeCell ref="M404:M408"/>
    <mergeCell ref="M409:M413"/>
    <mergeCell ref="M414:M418"/>
    <mergeCell ref="M419:M423"/>
    <mergeCell ref="M424:M428"/>
    <mergeCell ref="M252:M256"/>
    <mergeCell ref="M269:M273"/>
    <mergeCell ref="N389:U389"/>
    <mergeCell ref="M390:M394"/>
    <mergeCell ref="M395:M399"/>
    <mergeCell ref="N402:U402"/>
    <mergeCell ref="N403:U403"/>
    <mergeCell ref="N359:U359"/>
    <mergeCell ref="M360:M364"/>
    <mergeCell ref="M378:M382"/>
    <mergeCell ref="M383:M387"/>
    <mergeCell ref="N258:U258"/>
    <mergeCell ref="M259:M263"/>
    <mergeCell ref="M264:M268"/>
    <mergeCell ref="M274:M278"/>
    <mergeCell ref="M287:M288"/>
    <mergeCell ref="M289:M290"/>
    <mergeCell ref="M284:M286"/>
    <mergeCell ref="M279:M283"/>
    <mergeCell ref="B370:B371"/>
    <mergeCell ref="M370:M371"/>
    <mergeCell ref="M374:M375"/>
    <mergeCell ref="N314:U314"/>
    <mergeCell ref="M315:M319"/>
    <mergeCell ref="M320:M324"/>
    <mergeCell ref="N326:U326"/>
    <mergeCell ref="N327:U327"/>
    <mergeCell ref="N328:U328"/>
    <mergeCell ref="M365:M369"/>
    <mergeCell ref="M354:M357"/>
    <mergeCell ref="M329:M333"/>
    <mergeCell ref="M334:M338"/>
    <mergeCell ref="M339:M343"/>
    <mergeCell ref="M344:M348"/>
    <mergeCell ref="M349:M353"/>
    <mergeCell ref="M221:M222"/>
    <mergeCell ref="M211:M213"/>
    <mergeCell ref="M214:M217"/>
    <mergeCell ref="M218:M220"/>
    <mergeCell ref="M298:M302"/>
    <mergeCell ref="M303:M307"/>
    <mergeCell ref="M308:M312"/>
    <mergeCell ref="M200:M204"/>
    <mergeCell ref="M205:M209"/>
    <mergeCell ref="M223:M227"/>
    <mergeCell ref="M240:M241"/>
    <mergeCell ref="M243:M244"/>
    <mergeCell ref="M245:M247"/>
    <mergeCell ref="M228:M229"/>
    <mergeCell ref="M230:M233"/>
    <mergeCell ref="M234:M235"/>
    <mergeCell ref="M236:M239"/>
    <mergeCell ref="M248:M249"/>
    <mergeCell ref="M195:M199"/>
    <mergeCell ref="M110:M114"/>
    <mergeCell ref="N117:U117"/>
    <mergeCell ref="N118:U118"/>
    <mergeCell ref="M119:M123"/>
    <mergeCell ref="M124:M128"/>
    <mergeCell ref="M129:M133"/>
    <mergeCell ref="M134:M138"/>
    <mergeCell ref="M139:M143"/>
    <mergeCell ref="M144:M149"/>
    <mergeCell ref="M150:M154"/>
    <mergeCell ref="M155:M159"/>
    <mergeCell ref="M160:M164"/>
    <mergeCell ref="M165:M169"/>
    <mergeCell ref="M170:M174"/>
    <mergeCell ref="M175:M179"/>
    <mergeCell ref="M180:M184"/>
    <mergeCell ref="M185:M189"/>
    <mergeCell ref="M190:M194"/>
    <mergeCell ref="M64:M68"/>
    <mergeCell ref="M69:M73"/>
    <mergeCell ref="M74:M78"/>
    <mergeCell ref="M79:M83"/>
    <mergeCell ref="M84:M88"/>
    <mergeCell ref="N104:U104"/>
    <mergeCell ref="M105:M109"/>
    <mergeCell ref="N14:U14"/>
    <mergeCell ref="N15:U15"/>
    <mergeCell ref="M16:M21"/>
    <mergeCell ref="M22:M25"/>
    <mergeCell ref="M26:M29"/>
    <mergeCell ref="M30:M34"/>
    <mergeCell ref="N36:U36"/>
    <mergeCell ref="M37:M39"/>
    <mergeCell ref="M40:M42"/>
    <mergeCell ref="M94:M98"/>
    <mergeCell ref="M89:M93"/>
    <mergeCell ref="B531:B534"/>
    <mergeCell ref="B494:B498"/>
    <mergeCell ref="B499:B503"/>
    <mergeCell ref="B471:B475"/>
    <mergeCell ref="B506:B510"/>
    <mergeCell ref="B511:B515"/>
    <mergeCell ref="B446:B450"/>
    <mergeCell ref="B478:B483"/>
    <mergeCell ref="B484:B488"/>
    <mergeCell ref="B489:B493"/>
    <mergeCell ref="B519:B530"/>
    <mergeCell ref="B451:B456"/>
    <mergeCell ref="B419:B423"/>
    <mergeCell ref="B424:B428"/>
    <mergeCell ref="B431:B435"/>
    <mergeCell ref="B436:B440"/>
    <mergeCell ref="B441:B445"/>
    <mergeCell ref="B404:B408"/>
    <mergeCell ref="B409:B413"/>
    <mergeCell ref="B414:B418"/>
    <mergeCell ref="B378:B382"/>
    <mergeCell ref="B383:B387"/>
    <mergeCell ref="B390:B394"/>
    <mergeCell ref="B395:B399"/>
    <mergeCell ref="B195:B199"/>
    <mergeCell ref="B252:B256"/>
    <mergeCell ref="B344:B348"/>
    <mergeCell ref="B349:B353"/>
    <mergeCell ref="B360:B364"/>
    <mergeCell ref="B365:B369"/>
    <mergeCell ref="B329:B333"/>
    <mergeCell ref="B334:B338"/>
    <mergeCell ref="B339:B343"/>
    <mergeCell ref="B274:B278"/>
    <mergeCell ref="B315:B319"/>
    <mergeCell ref="B320:B324"/>
    <mergeCell ref="B279:B283"/>
    <mergeCell ref="B298:B302"/>
    <mergeCell ref="B303:B307"/>
    <mergeCell ref="B308:B312"/>
    <mergeCell ref="B200:B204"/>
    <mergeCell ref="B205:B209"/>
    <mergeCell ref="B79:B83"/>
    <mergeCell ref="B105:B109"/>
    <mergeCell ref="B110:B114"/>
    <mergeCell ref="B47:B51"/>
    <mergeCell ref="B57:B61"/>
    <mergeCell ref="B64:B68"/>
    <mergeCell ref="B69:B73"/>
    <mergeCell ref="B74:B78"/>
    <mergeCell ref="B52:B56"/>
    <mergeCell ref="B84:B88"/>
    <mergeCell ref="B89:B93"/>
    <mergeCell ref="B6:M6"/>
    <mergeCell ref="B2:E2"/>
    <mergeCell ref="B9:H9"/>
    <mergeCell ref="C36:J36"/>
    <mergeCell ref="C15:J15"/>
    <mergeCell ref="C63:J63"/>
    <mergeCell ref="B16:B21"/>
    <mergeCell ref="B22:B25"/>
    <mergeCell ref="B26:B29"/>
    <mergeCell ref="B30:B34"/>
    <mergeCell ref="B37:B39"/>
    <mergeCell ref="B40:B42"/>
    <mergeCell ref="B43:B46"/>
    <mergeCell ref="M43:M46"/>
    <mergeCell ref="M47:M51"/>
    <mergeCell ref="M52:M56"/>
    <mergeCell ref="M57:M61"/>
    <mergeCell ref="B11:K11"/>
    <mergeCell ref="M11:W11"/>
    <mergeCell ref="N63:U63"/>
    <mergeCell ref="C104:J104"/>
    <mergeCell ref="C327:J327"/>
    <mergeCell ref="C328:J328"/>
    <mergeCell ref="C359:J359"/>
    <mergeCell ref="C389:J389"/>
    <mergeCell ref="C117:J117"/>
    <mergeCell ref="C118:J118"/>
    <mergeCell ref="C258:J258"/>
    <mergeCell ref="C314:J314"/>
    <mergeCell ref="C326:J326"/>
    <mergeCell ref="B535:B538"/>
    <mergeCell ref="G578:G579"/>
    <mergeCell ref="H578:H579"/>
    <mergeCell ref="C589:D589"/>
    <mergeCell ref="B581:B597"/>
    <mergeCell ref="C577:H577"/>
    <mergeCell ref="C592:D592"/>
    <mergeCell ref="B134:B138"/>
    <mergeCell ref="B259:B263"/>
    <mergeCell ref="B264:B268"/>
    <mergeCell ref="B269:B273"/>
    <mergeCell ref="B180:B184"/>
    <mergeCell ref="C570:C571"/>
    <mergeCell ref="G570:G571"/>
    <mergeCell ref="C402:J402"/>
    <mergeCell ref="C430:J430"/>
    <mergeCell ref="C403:J403"/>
    <mergeCell ref="C477:J477"/>
    <mergeCell ref="C569:D569"/>
    <mergeCell ref="C505:J505"/>
    <mergeCell ref="B170:B174"/>
    <mergeCell ref="B175:B179"/>
    <mergeCell ref="B185:B189"/>
    <mergeCell ref="B190:B194"/>
    <mergeCell ref="B119:B123"/>
    <mergeCell ref="B124:B128"/>
    <mergeCell ref="B129:B133"/>
    <mergeCell ref="B139:B143"/>
    <mergeCell ref="B144:B149"/>
    <mergeCell ref="B150:B154"/>
    <mergeCell ref="B155:B159"/>
    <mergeCell ref="B160:B164"/>
    <mergeCell ref="B165:B169"/>
  </mergeCells>
  <conditionalFormatting sqref="D588">
    <cfRule type="cellIs" dxfId="104" priority="47" operator="lessThan">
      <formula>0.15</formula>
    </cfRule>
  </conditionalFormatting>
  <conditionalFormatting sqref="D591">
    <cfRule type="cellIs" dxfId="103" priority="45" operator="lessThan">
      <formula>0.05</formula>
    </cfRule>
  </conditionalFormatting>
  <conditionalFormatting sqref="O588">
    <cfRule type="cellIs" dxfId="102" priority="2" operator="lessThan">
      <formula>0.15</formula>
    </cfRule>
  </conditionalFormatting>
  <conditionalFormatting sqref="O591">
    <cfRule type="cellIs" dxfId="101" priority="1" operator="lessThan">
      <formula>0.05</formula>
    </cfRule>
  </conditionalFormatting>
  <dataValidations xWindow="431" yWindow="475" count="7">
    <dataValidation allowBlank="1" showInputMessage="1" showErrorMessage="1" prompt="% Towards Gender Equality and Women's Empowerment Must be Higher than 15%_x000a_" sqref="D588:G588 O588:R588" xr:uid="{00000000-0002-0000-0200-000000000000}"/>
    <dataValidation allowBlank="1" showInputMessage="1" showErrorMessage="1" prompt="M&amp;E Budget Cannot be Less than 5%_x000a_" sqref="D591:G591 O591:R591" xr:uid="{00000000-0002-0000-0200-000001000000}"/>
    <dataValidation allowBlank="1" showInputMessage="1" showErrorMessage="1" prompt="Insert *text* description of Outcome here" sqref="C14:J14 C117:J117 C327:J327 C402:J402 N14:U14 N117:U117 N327:U327 N402:U402" xr:uid="{00000000-0002-0000-0200-000002000000}"/>
    <dataValidation allowBlank="1" showInputMessage="1" showErrorMessage="1" prompt="Insert *text* description of Output here" sqref="C15 C36 C63 C104 C118 C258 C314 C328 C359 C389 C403 C430 C477 C505 N15 N36 N63 N104 N118 N258 N314 N328 N359 N389 N403 N430 N477 N505" xr:uid="{00000000-0002-0000-0200-000003000000}"/>
    <dataValidation allowBlank="1" showInputMessage="1" showErrorMessage="1" prompt="Insert *text* description of Activity here" sqref="C16 C37:C38 C105:C114 C259 C315 C264 C349 C390:C399 C404:C421 C506:C515 C431:C446 C64:C81 D334:D344 C360:C365 C478:C479 C482:C496 C119:C133 N404:N421 N16 N105:N114 N64:N81 N315 C369:C378 N259 N390:N399 N360:N365 N506:N515 N431:N446 N37:N38 N264 N354 N478:N479 N482:N496 N349 O334:O344 N369:N378 N119:N133" xr:uid="{00000000-0002-0000-0200-000004000000}"/>
    <dataValidation allowBlank="1" showInputMessage="1" showErrorMessage="1" prompt="Insert name of recipient agency here _x000a_" sqref="D13:G13 O13:R13" xr:uid="{00000000-0002-0000-0200-000005000000}"/>
    <dataValidation allowBlank="1" showErrorMessage="1" prompt="% Towards Gender Equality and Women's Empowerment Must be Higher than 15%_x000a_" sqref="D590:G590 O590:R590" xr:uid="{00000000-0002-0000-0200-000006000000}"/>
  </dataValidations>
  <pageMargins left="0.7" right="0.7" top="0.75" bottom="0.75" header="0.3" footer="0.3"/>
  <pageSetup scale="74" orientation="landscape" r:id="rId1"/>
  <rowBreaks count="1" manualBreakCount="1">
    <brk id="258" max="16383" man="1"/>
  </rowBreaks>
  <ignoredErrors>
    <ignoredError sqref="H325" formula="1"/>
    <ignoredError sqref="D27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X238"/>
  <sheetViews>
    <sheetView showGridLines="0" showZeros="0" topLeftCell="K181" zoomScale="60" zoomScaleNormal="60" workbookViewId="0">
      <selection activeCell="W207" sqref="W207"/>
    </sheetView>
  </sheetViews>
  <sheetFormatPr baseColWidth="10" defaultColWidth="9.1796875" defaultRowHeight="15.5" x14ac:dyDescent="0.35"/>
  <cols>
    <col min="1" max="1" width="4.453125" style="35" customWidth="1"/>
    <col min="2" max="2" width="3.453125" style="35" customWidth="1"/>
    <col min="3" max="3" width="51.453125" style="35" customWidth="1"/>
    <col min="4" max="4" width="23.81640625" style="37" customWidth="1"/>
    <col min="5" max="5" width="25" style="37" customWidth="1"/>
    <col min="6" max="6" width="20.54296875" style="37" customWidth="1"/>
    <col min="7" max="7" width="15.54296875" style="35" bestFit="1" customWidth="1"/>
    <col min="8" max="8" width="5.453125" style="35" customWidth="1"/>
    <col min="9" max="9" width="9.54296875" style="35" customWidth="1"/>
    <col min="10" max="10" width="62.1796875" style="35" customWidth="1"/>
    <col min="11" max="11" width="22.1796875" style="35" customWidth="1"/>
    <col min="12" max="12" width="21.81640625" style="35" customWidth="1"/>
    <col min="13" max="13" width="17" style="35" customWidth="1"/>
    <col min="14" max="14" width="19.1796875" style="35" bestFit="1" customWidth="1"/>
    <col min="15" max="15" width="21.1796875" style="35" customWidth="1"/>
    <col min="16" max="16" width="7" style="35" hidden="1" customWidth="1"/>
    <col min="17" max="17" width="24.453125" style="35" customWidth="1"/>
    <col min="18" max="18" width="67.453125" style="35" bestFit="1" customWidth="1"/>
    <col min="19" max="19" width="30.1796875" style="35" customWidth="1"/>
    <col min="20" max="20" width="33" style="35" customWidth="1"/>
    <col min="21" max="22" width="22.54296875" style="35" customWidth="1"/>
    <col min="23" max="23" width="23.453125" style="35" customWidth="1"/>
    <col min="24" max="24" width="32.1796875" style="35" customWidth="1"/>
    <col min="25" max="25" width="9.1796875" style="35"/>
    <col min="26" max="26" width="17.54296875" style="35" customWidth="1"/>
    <col min="27" max="27" width="26.453125" style="35" customWidth="1"/>
    <col min="28" max="28" width="22.453125" style="35" customWidth="1"/>
    <col min="29" max="29" width="29.54296875" style="35" customWidth="1"/>
    <col min="30" max="30" width="23.453125" style="35" customWidth="1"/>
    <col min="31" max="31" width="18.453125" style="35" customWidth="1"/>
    <col min="32" max="32" width="17.453125" style="35" customWidth="1"/>
    <col min="33" max="33" width="25.1796875" style="35" customWidth="1"/>
    <col min="34" max="16384" width="9.1796875" style="35"/>
  </cols>
  <sheetData>
    <row r="1" spans="1:22" ht="24" customHeight="1" x14ac:dyDescent="0.35">
      <c r="A1" s="397"/>
      <c r="B1" s="397"/>
      <c r="C1" s="397"/>
      <c r="D1" s="398"/>
      <c r="E1" s="398"/>
      <c r="F1" s="398"/>
      <c r="G1" s="397"/>
      <c r="H1" s="397"/>
      <c r="I1" s="397"/>
      <c r="J1" s="397"/>
      <c r="K1" s="397"/>
      <c r="L1" s="397"/>
      <c r="M1" s="397"/>
      <c r="N1" s="11"/>
      <c r="O1" s="3"/>
      <c r="P1" s="397"/>
      <c r="Q1" s="397"/>
      <c r="R1" s="397"/>
      <c r="S1" s="397"/>
      <c r="T1" s="397"/>
      <c r="U1" s="397"/>
      <c r="V1" s="397"/>
    </row>
    <row r="2" spans="1:22" ht="46" x14ac:dyDescent="1">
      <c r="A2" s="397"/>
      <c r="B2" s="397"/>
      <c r="C2" s="640" t="s">
        <v>54</v>
      </c>
      <c r="D2" s="640"/>
      <c r="E2" s="640"/>
      <c r="F2" s="640"/>
      <c r="G2" s="21"/>
      <c r="H2" s="22"/>
      <c r="I2" s="22"/>
      <c r="J2" s="22"/>
      <c r="K2" s="397"/>
      <c r="L2" s="397"/>
      <c r="M2" s="397"/>
      <c r="N2" s="11"/>
      <c r="O2" s="3"/>
      <c r="P2" s="397"/>
      <c r="Q2" s="397"/>
      <c r="R2" s="397"/>
      <c r="S2" s="397"/>
      <c r="T2" s="397"/>
      <c r="U2" s="397"/>
      <c r="V2" s="397"/>
    </row>
    <row r="3" spans="1:22" ht="24" customHeight="1" x14ac:dyDescent="0.35">
      <c r="A3" s="397"/>
      <c r="B3" s="397"/>
      <c r="C3" s="25"/>
      <c r="D3" s="23"/>
      <c r="E3" s="23"/>
      <c r="F3" s="23"/>
      <c r="G3" s="23"/>
      <c r="H3" s="23"/>
      <c r="I3" s="23"/>
      <c r="J3" s="23"/>
      <c r="K3" s="397"/>
      <c r="L3" s="397"/>
      <c r="M3" s="397"/>
      <c r="N3" s="11"/>
      <c r="O3" s="3"/>
      <c r="P3" s="397"/>
      <c r="Q3" s="397"/>
      <c r="R3" s="397"/>
      <c r="S3" s="397"/>
      <c r="T3" s="397"/>
      <c r="U3" s="397"/>
      <c r="V3" s="397"/>
    </row>
    <row r="4" spans="1:22" ht="24" customHeight="1" thickBot="1" x14ac:dyDescent="0.4">
      <c r="A4" s="397"/>
      <c r="B4" s="397"/>
      <c r="C4" s="25"/>
      <c r="D4" s="23"/>
      <c r="E4" s="23"/>
      <c r="F4" s="23"/>
      <c r="G4" s="23"/>
      <c r="H4" s="23"/>
      <c r="I4" s="23"/>
      <c r="J4" s="23"/>
      <c r="K4" s="397"/>
      <c r="L4" s="397"/>
      <c r="M4" s="397"/>
      <c r="N4" s="11"/>
      <c r="O4" s="3"/>
      <c r="P4" s="397"/>
      <c r="Q4" s="397"/>
      <c r="R4" s="397"/>
      <c r="S4" s="397"/>
      <c r="T4" s="397"/>
      <c r="U4" s="397"/>
      <c r="V4" s="397"/>
    </row>
    <row r="5" spans="1:22" ht="41.25" customHeight="1" x14ac:dyDescent="0.8">
      <c r="A5" s="397"/>
      <c r="B5" s="397"/>
      <c r="C5" s="681" t="s">
        <v>487</v>
      </c>
      <c r="D5" s="682"/>
      <c r="E5" s="682"/>
      <c r="F5" s="682"/>
      <c r="G5" s="683"/>
      <c r="H5" s="399"/>
      <c r="I5" s="399"/>
      <c r="J5" s="399"/>
      <c r="K5" s="104"/>
      <c r="L5" s="277"/>
      <c r="M5" s="3"/>
      <c r="N5" s="397"/>
      <c r="O5" s="397"/>
      <c r="P5" s="397"/>
      <c r="Q5" s="397"/>
      <c r="R5" s="397"/>
      <c r="S5" s="397"/>
      <c r="T5" s="397"/>
      <c r="U5" s="397"/>
      <c r="V5" s="397"/>
    </row>
    <row r="6" spans="1:22" ht="24" customHeight="1" x14ac:dyDescent="0.35">
      <c r="A6" s="397"/>
      <c r="B6" s="397"/>
      <c r="C6" s="675" t="s">
        <v>488</v>
      </c>
      <c r="D6" s="676"/>
      <c r="E6" s="676"/>
      <c r="F6" s="676"/>
      <c r="G6" s="676"/>
      <c r="H6" s="676"/>
      <c r="I6" s="676"/>
      <c r="J6" s="676"/>
      <c r="K6" s="677"/>
      <c r="L6" s="246"/>
      <c r="M6" s="3"/>
      <c r="N6" s="397"/>
      <c r="O6" s="397"/>
      <c r="P6" s="397"/>
      <c r="Q6" s="397"/>
      <c r="R6" s="397"/>
      <c r="S6" s="397"/>
      <c r="T6" s="397"/>
      <c r="U6" s="397"/>
      <c r="V6" s="397"/>
    </row>
    <row r="7" spans="1:22" ht="24" customHeight="1" x14ac:dyDescent="0.35">
      <c r="A7" s="397"/>
      <c r="B7" s="397"/>
      <c r="C7" s="675"/>
      <c r="D7" s="676"/>
      <c r="E7" s="676"/>
      <c r="F7" s="676"/>
      <c r="G7" s="676"/>
      <c r="H7" s="676"/>
      <c r="I7" s="676"/>
      <c r="J7" s="676"/>
      <c r="K7" s="677"/>
      <c r="L7" s="246"/>
      <c r="M7" s="3"/>
      <c r="N7" s="397"/>
      <c r="O7" s="397"/>
      <c r="P7" s="397"/>
      <c r="Q7" s="397"/>
      <c r="R7" s="397"/>
      <c r="S7" s="397"/>
      <c r="T7" s="397"/>
      <c r="U7" s="397"/>
      <c r="V7" s="397"/>
    </row>
    <row r="8" spans="1:22" ht="24" customHeight="1" x14ac:dyDescent="0.35">
      <c r="A8" s="397"/>
      <c r="B8" s="397"/>
      <c r="C8" s="675"/>
      <c r="D8" s="676"/>
      <c r="E8" s="676"/>
      <c r="F8" s="676"/>
      <c r="G8" s="676"/>
      <c r="H8" s="676"/>
      <c r="I8" s="676"/>
      <c r="J8" s="676"/>
      <c r="K8" s="677"/>
      <c r="L8" s="246"/>
      <c r="M8" s="3"/>
      <c r="N8" s="397"/>
      <c r="O8" s="397"/>
      <c r="P8" s="397"/>
      <c r="Q8" s="397"/>
      <c r="R8" s="397"/>
      <c r="S8" s="397"/>
      <c r="T8" s="397"/>
      <c r="U8" s="397"/>
      <c r="V8" s="397"/>
    </row>
    <row r="9" spans="1:22" ht="10.5" customHeight="1" thickBot="1" x14ac:dyDescent="0.4">
      <c r="A9" s="397"/>
      <c r="B9" s="397"/>
      <c r="C9" s="678"/>
      <c r="D9" s="679"/>
      <c r="E9" s="679"/>
      <c r="F9" s="679"/>
      <c r="G9" s="679"/>
      <c r="H9" s="679"/>
      <c r="I9" s="679"/>
      <c r="J9" s="679"/>
      <c r="K9" s="680"/>
      <c r="L9" s="246"/>
      <c r="M9" s="397"/>
      <c r="N9" s="11"/>
      <c r="O9" s="3"/>
      <c r="P9" s="397"/>
      <c r="Q9" s="397"/>
      <c r="R9" s="397"/>
      <c r="S9" s="397"/>
      <c r="T9" s="397"/>
      <c r="U9" s="397"/>
      <c r="V9" s="397"/>
    </row>
    <row r="10" spans="1:22" ht="24" customHeight="1" thickBot="1" x14ac:dyDescent="0.4">
      <c r="A10" s="397"/>
      <c r="B10" s="397"/>
      <c r="C10" s="94"/>
      <c r="D10" s="92"/>
      <c r="E10" s="92"/>
      <c r="F10" s="92"/>
      <c r="G10" s="93"/>
      <c r="H10" s="93"/>
      <c r="I10" s="93"/>
      <c r="J10" s="93"/>
      <c r="K10" s="93"/>
      <c r="L10" s="93"/>
      <c r="M10" s="397"/>
      <c r="N10" s="11"/>
      <c r="O10" s="3"/>
      <c r="P10" s="397"/>
      <c r="Q10" s="397"/>
      <c r="R10" s="397"/>
      <c r="S10" s="397"/>
      <c r="T10" s="397"/>
      <c r="U10" s="397"/>
      <c r="V10" s="397"/>
    </row>
    <row r="11" spans="1:22" ht="59.25" customHeight="1" thickBot="1" x14ac:dyDescent="0.65">
      <c r="A11" s="397"/>
      <c r="B11" s="397"/>
      <c r="C11" s="645" t="s">
        <v>489</v>
      </c>
      <c r="D11" s="646"/>
      <c r="E11" s="646"/>
      <c r="F11" s="647"/>
      <c r="G11" s="397"/>
      <c r="H11" s="400"/>
      <c r="I11" s="397"/>
      <c r="J11" s="397"/>
      <c r="K11" s="397"/>
      <c r="L11" s="397"/>
      <c r="M11" s="397"/>
      <c r="N11" s="397"/>
      <c r="O11" s="3"/>
      <c r="P11" s="397"/>
      <c r="Q11" s="397"/>
      <c r="R11" s="397"/>
      <c r="S11" s="397"/>
      <c r="T11" s="397"/>
      <c r="U11" s="397"/>
      <c r="V11" s="397"/>
    </row>
    <row r="12" spans="1:22" ht="24" customHeight="1" x14ac:dyDescent="0.7">
      <c r="A12" s="667" t="s">
        <v>412</v>
      </c>
      <c r="B12" s="667"/>
      <c r="C12" s="667"/>
      <c r="D12" s="667"/>
      <c r="E12" s="667"/>
      <c r="F12" s="667"/>
      <c r="G12" s="667"/>
      <c r="H12" s="667"/>
      <c r="I12" s="667"/>
      <c r="J12" s="667"/>
      <c r="K12" s="667"/>
      <c r="L12" s="667"/>
      <c r="M12" s="667"/>
      <c r="N12" s="667"/>
      <c r="O12" s="390"/>
      <c r="P12" s="397"/>
      <c r="Q12" s="688" t="s">
        <v>490</v>
      </c>
      <c r="R12" s="688"/>
      <c r="S12" s="688"/>
      <c r="T12" s="688"/>
      <c r="U12" s="688"/>
      <c r="V12" s="688"/>
    </row>
    <row r="13" spans="1:22" ht="24" customHeight="1" x14ac:dyDescent="0.35">
      <c r="A13" s="397"/>
      <c r="B13" s="397"/>
      <c r="C13" s="32"/>
      <c r="D13" s="684" t="s">
        <v>2</v>
      </c>
      <c r="E13" s="685"/>
      <c r="F13" s="685"/>
      <c r="G13" s="686"/>
      <c r="H13" s="397"/>
      <c r="I13" s="397"/>
      <c r="J13" s="397"/>
      <c r="K13" s="687" t="s">
        <v>4</v>
      </c>
      <c r="L13" s="687"/>
      <c r="M13" s="687"/>
      <c r="N13" s="687"/>
      <c r="O13" s="390"/>
      <c r="P13" s="397"/>
      <c r="Q13" s="397"/>
      <c r="R13" s="397"/>
      <c r="S13" s="687" t="s">
        <v>491</v>
      </c>
      <c r="T13" s="687"/>
      <c r="U13" s="687"/>
      <c r="V13" s="687"/>
    </row>
    <row r="14" spans="1:22" ht="40.5" customHeight="1" x14ac:dyDescent="0.35">
      <c r="A14" s="397"/>
      <c r="B14" s="397"/>
      <c r="C14" s="32"/>
      <c r="D14" s="12" t="s">
        <v>396</v>
      </c>
      <c r="E14" s="12" t="s">
        <v>492</v>
      </c>
      <c r="F14" s="12" t="s">
        <v>493</v>
      </c>
      <c r="G14" s="614" t="s">
        <v>63</v>
      </c>
      <c r="H14" s="397"/>
      <c r="I14" s="397"/>
      <c r="J14" s="397"/>
      <c r="K14" s="10" t="s">
        <v>396</v>
      </c>
      <c r="L14" s="10" t="s">
        <v>492</v>
      </c>
      <c r="M14" s="10" t="s">
        <v>493</v>
      </c>
      <c r="N14" s="73" t="s">
        <v>44</v>
      </c>
      <c r="O14" s="390"/>
      <c r="P14" s="397"/>
      <c r="Q14" s="397"/>
      <c r="R14" s="397"/>
      <c r="S14" s="10" t="s">
        <v>396</v>
      </c>
      <c r="T14" s="10" t="s">
        <v>492</v>
      </c>
      <c r="U14" s="10" t="s">
        <v>493</v>
      </c>
      <c r="V14" s="73" t="s">
        <v>44</v>
      </c>
    </row>
    <row r="15" spans="1:22" ht="24" customHeight="1" x14ac:dyDescent="0.35">
      <c r="A15" s="397"/>
      <c r="B15" s="397"/>
      <c r="C15" s="32"/>
      <c r="D15" s="79" t="str">
        <f>'1) Tableau budgétaire 1_Révisé'!D13</f>
        <v>PNUD</v>
      </c>
      <c r="E15" s="79" t="str">
        <f>'1) Tableau budgétaire 1_Révisé'!E13</f>
        <v>FAO</v>
      </c>
      <c r="F15" s="79">
        <f>'1) Tableau budgétaire 1_Révisé'!F13</f>
        <v>0</v>
      </c>
      <c r="G15" s="615"/>
      <c r="H15" s="397"/>
      <c r="I15" s="397"/>
      <c r="J15" s="397"/>
      <c r="K15" s="397"/>
      <c r="L15" s="397"/>
      <c r="M15" s="397"/>
      <c r="N15" s="11"/>
      <c r="O15" s="390"/>
      <c r="P15" s="397"/>
      <c r="Q15" s="397"/>
      <c r="R15" s="397"/>
      <c r="S15" s="397"/>
      <c r="T15" s="397"/>
      <c r="U15" s="397"/>
      <c r="V15" s="11"/>
    </row>
    <row r="16" spans="1:22" ht="24" customHeight="1" x14ac:dyDescent="0.35">
      <c r="A16" s="397"/>
      <c r="B16" s="669" t="s">
        <v>494</v>
      </c>
      <c r="C16" s="670"/>
      <c r="D16" s="670"/>
      <c r="E16" s="670"/>
      <c r="F16" s="670"/>
      <c r="G16" s="671"/>
      <c r="H16" s="397"/>
      <c r="I16" s="669" t="s">
        <v>494</v>
      </c>
      <c r="J16" s="670"/>
      <c r="K16" s="670"/>
      <c r="L16" s="670"/>
      <c r="M16" s="670"/>
      <c r="N16" s="671"/>
      <c r="O16" s="390"/>
      <c r="P16" s="397"/>
      <c r="Q16" s="669" t="s">
        <v>494</v>
      </c>
      <c r="R16" s="670"/>
      <c r="S16" s="670"/>
      <c r="T16" s="670"/>
      <c r="U16" s="670"/>
      <c r="V16" s="671"/>
    </row>
    <row r="17" spans="3:22" ht="22.5" customHeight="1" x14ac:dyDescent="0.35">
      <c r="C17" s="669" t="s">
        <v>495</v>
      </c>
      <c r="D17" s="670"/>
      <c r="E17" s="670"/>
      <c r="F17" s="670"/>
      <c r="G17" s="671"/>
      <c r="H17" s="397"/>
      <c r="I17" s="397"/>
      <c r="J17" s="669" t="s">
        <v>495</v>
      </c>
      <c r="K17" s="670"/>
      <c r="L17" s="670"/>
      <c r="M17" s="670"/>
      <c r="N17" s="671"/>
      <c r="O17" s="390"/>
      <c r="P17" s="397"/>
      <c r="Q17" s="397"/>
      <c r="R17" s="669" t="s">
        <v>495</v>
      </c>
      <c r="S17" s="670"/>
      <c r="T17" s="670"/>
      <c r="U17" s="670"/>
      <c r="V17" s="671"/>
    </row>
    <row r="18" spans="3:22" ht="16" thickBot="1" x14ac:dyDescent="0.4">
      <c r="C18" s="105" t="s">
        <v>496</v>
      </c>
      <c r="D18" s="106">
        <f>'1) Tableau budgétaire 1 initial'!G35</f>
        <v>162000</v>
      </c>
      <c r="E18" s="106">
        <f>'1) Tableau budgétaire 1_Révisé'!E35</f>
        <v>0</v>
      </c>
      <c r="F18" s="106">
        <f>'1) Tableau budgétaire 1_Révisé'!F35</f>
        <v>0</v>
      </c>
      <c r="G18" s="107">
        <f>SUM(D18:F18)</f>
        <v>162000</v>
      </c>
      <c r="H18" s="397"/>
      <c r="I18" s="397"/>
      <c r="J18" s="105" t="s">
        <v>496</v>
      </c>
      <c r="K18" s="45">
        <f>'1) Tableau budgétaire 1_Révisé'!D35</f>
        <v>162000</v>
      </c>
      <c r="L18" s="45">
        <f>'1) Tableau budgétaire 1_Révisé'!E35</f>
        <v>0</v>
      </c>
      <c r="M18" s="45">
        <f>'1) Tableau budgétaire 1_Révisé'!F35</f>
        <v>0</v>
      </c>
      <c r="N18" s="107">
        <f>SUM(K18:M18)</f>
        <v>162000</v>
      </c>
      <c r="O18" s="390"/>
      <c r="P18" s="397"/>
      <c r="Q18" s="397"/>
      <c r="R18" s="105" t="s">
        <v>496</v>
      </c>
      <c r="S18" s="45">
        <f>SUM(S19:S25)</f>
        <v>162000</v>
      </c>
      <c r="T18" s="45">
        <f t="shared" ref="T18:U18" si="0">SUM(T19:T25)</f>
        <v>0</v>
      </c>
      <c r="U18" s="45">
        <f t="shared" si="0"/>
        <v>0</v>
      </c>
      <c r="V18" s="107">
        <f>SUM(S18:U18)</f>
        <v>162000</v>
      </c>
    </row>
    <row r="19" spans="3:22" ht="21.75" customHeight="1" x14ac:dyDescent="0.35">
      <c r="C19" s="42" t="s">
        <v>45</v>
      </c>
      <c r="D19" s="401">
        <f>SUMIF('1) Tableau budgétaire 1 initial'!$K$16:$K$34,LEFT($C19,1),'1) Tableau budgétaire 1 initial'!$D$16:$D$34)</f>
        <v>0</v>
      </c>
      <c r="E19" s="401">
        <f>SUMIF('1) Tableau budgétaire 1 initial'!$K$16:$K$34,LEFT($C19,1),'1) Tableau budgétaire 1 initial'!$E$16:$E$34)</f>
        <v>0</v>
      </c>
      <c r="F19" s="401">
        <f>SUMIF('1) Tableau budgétaire 1 initial'!$K$16:$K$34,LEFT($C19,1),'1) Tableau budgétaire 1 initial'!$F$16:$F$34)</f>
        <v>0</v>
      </c>
      <c r="G19" s="43">
        <f t="shared" ref="G19:G25" si="1">SUM(D19:F19)</f>
        <v>0</v>
      </c>
      <c r="H19" s="397"/>
      <c r="I19" s="397"/>
      <c r="J19" s="42" t="s">
        <v>45</v>
      </c>
      <c r="K19" s="401">
        <f>SUMIF('1) Tableau budgétaire 1_Révisé'!$K$16:$K$34,LEFT($J19,1),'1) Tableau budgétaire 1_Révisé'!$D$16:$D$34)</f>
        <v>0</v>
      </c>
      <c r="L19" s="401">
        <f>SUMIF('1) Tableau budgétaire 1_Révisé'!$K$16:$K$34,LEFT($C19,1),'1) Tableau budgétaire 1_Révisé'!$E$16:$E$34)</f>
        <v>0</v>
      </c>
      <c r="M19" s="401">
        <f>SUMIF('1) Tableau budgétaire 1_Révisé'!$K$16:$K$34,LEFT($C19,1),'1) Tableau budgétaire 1_Révisé'!$F$16:$F$34)</f>
        <v>0</v>
      </c>
      <c r="N19" s="43">
        <f t="shared" ref="N19:N25" si="2">SUM(K19:M19)</f>
        <v>0</v>
      </c>
      <c r="O19" s="402"/>
      <c r="P19" s="397"/>
      <c r="Q19" s="397"/>
      <c r="R19" s="42" t="s">
        <v>45</v>
      </c>
      <c r="S19" s="401">
        <f>SUMIF('1) Tableau budgétaire 1_Révisé'!$V$16:$V$34,LEFT($R19,1),'1) Tableau budgétaire 1_Révisé'!$O$16:$O$34)</f>
        <v>0</v>
      </c>
      <c r="T19" s="401">
        <f>SUMIF('1) Tableau budgétaire 1_Révisé'!$V$16:$V$34,LEFT($R19,1),'1) Tableau budgétaire 1_Révisé'!$P$16:$P$34)</f>
        <v>0</v>
      </c>
      <c r="U19" s="401">
        <f>SUMIF('1) Tableau budgétaire 1_Révisé'!$K$16:$K$34,LEFT($C19,1),'1) Tableau budgétaire 1_Révisé'!$F$16:$F$34)</f>
        <v>0</v>
      </c>
      <c r="V19" s="43">
        <f t="shared" ref="V19:V25" si="3">SUM(S19:U19)</f>
        <v>0</v>
      </c>
    </row>
    <row r="20" spans="3:22" x14ac:dyDescent="0.35">
      <c r="C20" s="33" t="s">
        <v>46</v>
      </c>
      <c r="D20" s="401">
        <f>SUMIF('1) Tableau budgétaire 1 initial'!$K$16:$K$34,LEFT($C20,1),'1) Tableau budgétaire 1 initial'!$D$16:$D$34)</f>
        <v>0</v>
      </c>
      <c r="E20" s="401">
        <f>SUMIF('1) Tableau budgétaire 1 initial'!$K$16:$K$34,LEFT($C20,1),'1) Tableau budgétaire 1 initial'!$E$16:$E$34)</f>
        <v>0</v>
      </c>
      <c r="F20" s="401">
        <f>SUMIF('1) Tableau budgétaire 1 initial'!$K$16:$K$34,LEFT($C20,1),'1) Tableau budgétaire 1 initial'!$F$16:$F$34)</f>
        <v>0</v>
      </c>
      <c r="G20" s="41">
        <f t="shared" si="1"/>
        <v>0</v>
      </c>
      <c r="H20" s="397"/>
      <c r="I20" s="397"/>
      <c r="J20" s="33" t="s">
        <v>46</v>
      </c>
      <c r="K20" s="401">
        <f>SUMIF('1) Tableau budgétaire 1_Révisé'!$K$16:$K$34,LEFT($J20,1),'1) Tableau budgétaire 1_Révisé'!$D$16:$D$34)</f>
        <v>0</v>
      </c>
      <c r="L20" s="401">
        <f>SUMIF('1) Tableau budgétaire 1_Révisé'!$K$16:$K$34,LEFT($C20,1),'1) Tableau budgétaire 1_Révisé'!$E$16:$E$34)</f>
        <v>0</v>
      </c>
      <c r="M20" s="401">
        <f>SUMIF('1) Tableau budgétaire 1_Révisé'!$K$16:$K$34,LEFT($C20,1),'1) Tableau budgétaire 1_Révisé'!$F$16:$F$34)</f>
        <v>0</v>
      </c>
      <c r="N20" s="41">
        <f t="shared" si="2"/>
        <v>0</v>
      </c>
      <c r="O20" s="402"/>
      <c r="P20" s="397"/>
      <c r="Q20" s="397"/>
      <c r="R20" s="33" t="s">
        <v>46</v>
      </c>
      <c r="S20" s="401">
        <f>SUMIF('1) Tableau budgétaire 1_Révisé'!$V$16:$V$34,LEFT($R20,1),'1) Tableau budgétaire 1_Révisé'!$O$16:$O$34)</f>
        <v>0</v>
      </c>
      <c r="T20" s="401">
        <f>SUMIF('1) Tableau budgétaire 1_Révisé'!$V$16:$V$34,LEFT($R20,1),'1) Tableau budgétaire 1_Révisé'!$P$16:$P$34)</f>
        <v>0</v>
      </c>
      <c r="U20" s="401">
        <f>SUMIF('1) Tableau budgétaire 1_Révisé'!$K$16:$K$34,LEFT($C20,1),'1) Tableau budgétaire 1_Révisé'!$F$16:$F$34)</f>
        <v>0</v>
      </c>
      <c r="V20" s="41">
        <f t="shared" si="3"/>
        <v>0</v>
      </c>
    </row>
    <row r="21" spans="3:22" ht="15.75" customHeight="1" x14ac:dyDescent="0.35">
      <c r="C21" s="33" t="s">
        <v>47</v>
      </c>
      <c r="D21" s="401">
        <f>SUMIF('1) Tableau budgétaire 1 initial'!$K$16:$K$34,LEFT($C21,1),'1) Tableau budgétaire 1 initial'!$D$16:$D$34)</f>
        <v>0</v>
      </c>
      <c r="E21" s="401">
        <f>SUMIF('1) Tableau budgétaire 1 initial'!$K$16:$K$34,LEFT($C21,1),'1) Tableau budgétaire 1 initial'!$E$16:$E$34)</f>
        <v>0</v>
      </c>
      <c r="F21" s="401">
        <f>SUMIF('1) Tableau budgétaire 1 initial'!$K$16:$K$34,LEFT($C21,1),'1) Tableau budgétaire 1 initial'!$F$16:$F$34)</f>
        <v>0</v>
      </c>
      <c r="G21" s="41">
        <f t="shared" si="1"/>
        <v>0</v>
      </c>
      <c r="H21" s="397"/>
      <c r="I21" s="397"/>
      <c r="J21" s="33" t="s">
        <v>47</v>
      </c>
      <c r="K21" s="401">
        <f>SUMIF('1) Tableau budgétaire 1_Révisé'!$K$16:$K$34,LEFT($J21,1),'1) Tableau budgétaire 1_Révisé'!$D$16:$D$34)</f>
        <v>0</v>
      </c>
      <c r="L21" s="401">
        <f>SUMIF('1) Tableau budgétaire 1_Révisé'!$K$16:$K$34,LEFT($C21,1),'1) Tableau budgétaire 1_Révisé'!$E$16:$E$34)</f>
        <v>0</v>
      </c>
      <c r="M21" s="401">
        <f>SUMIF('1) Tableau budgétaire 1_Révisé'!$K$16:$K$34,LEFT($C21,1),'1) Tableau budgétaire 1_Révisé'!$F$16:$F$34)</f>
        <v>0</v>
      </c>
      <c r="N21" s="41">
        <f t="shared" si="2"/>
        <v>0</v>
      </c>
      <c r="O21" s="402"/>
      <c r="P21" s="397"/>
      <c r="Q21" s="397"/>
      <c r="R21" s="33" t="s">
        <v>47</v>
      </c>
      <c r="S21" s="401">
        <f>SUMIF('1) Tableau budgétaire 1_Révisé'!$V$16:$V$34,LEFT($R21,1),'1) Tableau budgétaire 1_Révisé'!$O$16:$O$34)</f>
        <v>0</v>
      </c>
      <c r="T21" s="401">
        <f>SUMIF('1) Tableau budgétaire 1_Révisé'!$V$16:$V$34,LEFT($R21,1),'1) Tableau budgétaire 1_Révisé'!$P$16:$P$34)</f>
        <v>0</v>
      </c>
      <c r="U21" s="401">
        <f>SUMIF('1) Tableau budgétaire 1_Révisé'!$K$16:$K$34,LEFT($C21,1),'1) Tableau budgétaire 1_Révisé'!$F$16:$F$34)</f>
        <v>0</v>
      </c>
      <c r="V21" s="41">
        <f t="shared" si="3"/>
        <v>0</v>
      </c>
    </row>
    <row r="22" spans="3:22" x14ac:dyDescent="0.35">
      <c r="C22" s="34" t="s">
        <v>48</v>
      </c>
      <c r="D22" s="401">
        <f>SUMIF('1) Tableau budgétaire 1 initial'!$K$16:$K$34,LEFT($C22,1),'1) Tableau budgétaire 1 initial'!$D$16:$D$34)</f>
        <v>0</v>
      </c>
      <c r="E22" s="401">
        <f>SUMIF('1) Tableau budgétaire 1 initial'!$K$16:$K$34,LEFT($C22,1),'1) Tableau budgétaire 1 initial'!$E$16:$E$34)</f>
        <v>0</v>
      </c>
      <c r="F22" s="401">
        <f>SUMIF('1) Tableau budgétaire 1 initial'!$K$16:$K$34,LEFT($C22,1),'1) Tableau budgétaire 1 initial'!$F$16:$F$34)</f>
        <v>0</v>
      </c>
      <c r="G22" s="41">
        <f t="shared" si="1"/>
        <v>0</v>
      </c>
      <c r="H22" s="397"/>
      <c r="I22" s="397"/>
      <c r="J22" s="34" t="s">
        <v>48</v>
      </c>
      <c r="K22" s="401">
        <f>SUMIF('1) Tableau budgétaire 1_Révisé'!$K$16:$K$34,LEFT($J22,1),'1) Tableau budgétaire 1_Révisé'!$D$16:$D$34)</f>
        <v>0</v>
      </c>
      <c r="L22" s="401">
        <f>SUMIF('1) Tableau budgétaire 1_Révisé'!$K$16:$K$34,LEFT($C22,1),'1) Tableau budgétaire 1_Révisé'!$E$16:$E$34)</f>
        <v>0</v>
      </c>
      <c r="M22" s="401">
        <f>SUMIF('1) Tableau budgétaire 1_Révisé'!$K$16:$K$34,LEFT($C22,1),'1) Tableau budgétaire 1_Révisé'!$F$16:$F$34)</f>
        <v>0</v>
      </c>
      <c r="N22" s="41">
        <f t="shared" si="2"/>
        <v>0</v>
      </c>
      <c r="O22" s="402"/>
      <c r="P22" s="397"/>
      <c r="Q22" s="397"/>
      <c r="R22" s="34" t="s">
        <v>48</v>
      </c>
      <c r="S22" s="401">
        <f>SUMIF('1) Tableau budgétaire 1_Révisé'!$V$16:$V$34,LEFT($R22,1),'1) Tableau budgétaire 1_Révisé'!$O$16:$O$34)</f>
        <v>0</v>
      </c>
      <c r="T22" s="401">
        <f>SUMIF('1) Tableau budgétaire 1_Révisé'!$V$16:$V$34,LEFT($R22,1),'1) Tableau budgétaire 1_Révisé'!$P$16:$P$34)</f>
        <v>0</v>
      </c>
      <c r="U22" s="401">
        <f>SUMIF('1) Tableau budgétaire 1_Révisé'!$K$16:$K$34,LEFT($C22,1),'1) Tableau budgétaire 1_Révisé'!$F$16:$F$34)</f>
        <v>0</v>
      </c>
      <c r="V22" s="41">
        <f t="shared" si="3"/>
        <v>0</v>
      </c>
    </row>
    <row r="23" spans="3:22" x14ac:dyDescent="0.35">
      <c r="C23" s="33" t="s">
        <v>49</v>
      </c>
      <c r="D23" s="401">
        <f>SUMIF('1) Tableau budgétaire 1 initial'!$K$16:$K$34,LEFT($C23,1),'1) Tableau budgétaire 1 initial'!$D$16:$D$34)</f>
        <v>0</v>
      </c>
      <c r="E23" s="401">
        <f>SUMIF('1) Tableau budgétaire 1 initial'!$K$16:$K$34,LEFT($C23,1),'1) Tableau budgétaire 1 initial'!$E$16:$E$34)</f>
        <v>0</v>
      </c>
      <c r="F23" s="401">
        <f>SUMIF('1) Tableau budgétaire 1 initial'!$K$16:$K$34,LEFT($C23,1),'1) Tableau budgétaire 1 initial'!$F$16:$F$34)</f>
        <v>0</v>
      </c>
      <c r="G23" s="41">
        <f t="shared" si="1"/>
        <v>0</v>
      </c>
      <c r="H23" s="397"/>
      <c r="I23" s="397"/>
      <c r="J23" s="33" t="s">
        <v>49</v>
      </c>
      <c r="K23" s="401">
        <f>SUMIF('1) Tableau budgétaire 1_Révisé'!$K$16:$K$34,LEFT($J23,1),'1) Tableau budgétaire 1_Révisé'!$D$16:$D$34)</f>
        <v>0</v>
      </c>
      <c r="L23" s="401">
        <f>SUMIF('1) Tableau budgétaire 1_Révisé'!$K$16:$K$34,LEFT($C23,1),'1) Tableau budgétaire 1_Révisé'!$E$16:$E$34)</f>
        <v>0</v>
      </c>
      <c r="M23" s="401">
        <f>SUMIF('1) Tableau budgétaire 1_Révisé'!$K$16:$K$34,LEFT($C23,1),'1) Tableau budgétaire 1_Révisé'!$F$16:$F$34)</f>
        <v>0</v>
      </c>
      <c r="N23" s="41">
        <f t="shared" si="2"/>
        <v>0</v>
      </c>
      <c r="O23" s="402"/>
      <c r="P23" s="397"/>
      <c r="Q23" s="397"/>
      <c r="R23" s="33" t="s">
        <v>49</v>
      </c>
      <c r="S23" s="401">
        <f>SUMIF('1) Tableau budgétaire 1_Révisé'!$V$16:$V$34,LEFT($R23,1),'1) Tableau budgétaire 1_Révisé'!$O$16:$O$34)</f>
        <v>0</v>
      </c>
      <c r="T23" s="401">
        <f>SUMIF('1) Tableau budgétaire 1_Révisé'!$V$16:$V$34,LEFT($R23,1),'1) Tableau budgétaire 1_Révisé'!$P$16:$P$34)</f>
        <v>0</v>
      </c>
      <c r="U23" s="401">
        <f>SUMIF('1) Tableau budgétaire 1_Révisé'!$K$16:$K$34,LEFT($C23,1),'1) Tableau budgétaire 1_Révisé'!$F$16:$F$34)</f>
        <v>0</v>
      </c>
      <c r="V23" s="41">
        <f t="shared" si="3"/>
        <v>0</v>
      </c>
    </row>
    <row r="24" spans="3:22" ht="21.65" customHeight="1" x14ac:dyDescent="0.35">
      <c r="C24" s="33" t="s">
        <v>50</v>
      </c>
      <c r="D24" s="401">
        <f>SUMIF('1) Tableau budgétaire 1 initial'!$K$16:$K$34,LEFT($C24,1),'1) Tableau budgétaire 1 initial'!$D$16:$D$34)</f>
        <v>162000</v>
      </c>
      <c r="E24" s="401">
        <f>SUMIF('1) Tableau budgétaire 1 initial'!$K$16:$K$34,LEFT($C24,1),'1) Tableau budgétaire 1 initial'!$E$16:$E$34)</f>
        <v>0</v>
      </c>
      <c r="F24" s="401">
        <f>SUMIF('1) Tableau budgétaire 1 initial'!$K$16:$K$34,LEFT($C24,1),'1) Tableau budgétaire 1 initial'!$F$16:$F$34)</f>
        <v>0</v>
      </c>
      <c r="G24" s="41">
        <f t="shared" si="1"/>
        <v>162000</v>
      </c>
      <c r="H24" s="397"/>
      <c r="I24" s="397"/>
      <c r="J24" s="33" t="s">
        <v>50</v>
      </c>
      <c r="K24" s="401">
        <f>SUMIF('1) Tableau budgétaire 1_Révisé'!$K$16:$K$34,LEFT($J24,1),'1) Tableau budgétaire 1_Révisé'!$D$16:$D$34)</f>
        <v>162000</v>
      </c>
      <c r="L24" s="401">
        <f>SUMIF('1) Tableau budgétaire 1_Révisé'!$K$16:$K$34,LEFT($C24,1),'1) Tableau budgétaire 1_Révisé'!$E$16:$E$34)</f>
        <v>0</v>
      </c>
      <c r="M24" s="401">
        <f>SUMIF('1) Tableau budgétaire 1_Révisé'!$K$16:$K$34,LEFT($C24,1),'1) Tableau budgétaire 1_Révisé'!$F$16:$F$34)</f>
        <v>0</v>
      </c>
      <c r="N24" s="41">
        <f t="shared" si="2"/>
        <v>162000</v>
      </c>
      <c r="O24" s="402"/>
      <c r="P24" s="397"/>
      <c r="Q24" s="397"/>
      <c r="R24" s="33" t="s">
        <v>50</v>
      </c>
      <c r="S24" s="401">
        <f>SUMIF('1) Tableau budgétaire 1_Révisé'!$V$16:$V$34,LEFT($R24,1),'1) Tableau budgétaire 1_Révisé'!$O$16:$O$34)</f>
        <v>162000</v>
      </c>
      <c r="T24" s="401">
        <f>SUMIF('1) Tableau budgétaire 1_Révisé'!$V$16:$V$34,LEFT($R24,1),'1) Tableau budgétaire 1_Révisé'!$P$16:$P$34)</f>
        <v>0</v>
      </c>
      <c r="U24" s="401">
        <f>SUMIF('1) Tableau budgétaire 1_Révisé'!$K$16:$K$34,LEFT($C24,1),'1) Tableau budgétaire 1_Révisé'!$F$16:$F$34)</f>
        <v>0</v>
      </c>
      <c r="V24" s="41">
        <f t="shared" si="3"/>
        <v>162000</v>
      </c>
    </row>
    <row r="25" spans="3:22" ht="36.75" customHeight="1" x14ac:dyDescent="0.35">
      <c r="C25" s="33" t="s">
        <v>51</v>
      </c>
      <c r="D25" s="401">
        <f>SUMIF('1) Tableau budgétaire 1 initial'!$K$16:$K$34,LEFT($C25,1),'1) Tableau budgétaire 1 initial'!$D$16:$D$34)</f>
        <v>0</v>
      </c>
      <c r="E25" s="401">
        <f>SUMIF('1) Tableau budgétaire 1 initial'!$K$16:$K$34,LEFT($C25,1),'1) Tableau budgétaire 1 initial'!$E$16:$E$34)</f>
        <v>0</v>
      </c>
      <c r="F25" s="401">
        <f>SUMIF('1) Tableau budgétaire 1 initial'!$K$16:$K$34,LEFT($C25,1),'1) Tableau budgétaire 1 initial'!$F$16:$F$34)</f>
        <v>0</v>
      </c>
      <c r="G25" s="41">
        <f t="shared" si="1"/>
        <v>0</v>
      </c>
      <c r="H25" s="397"/>
      <c r="I25" s="397"/>
      <c r="J25" s="33" t="s">
        <v>51</v>
      </c>
      <c r="K25" s="401">
        <f>SUMIF('1) Tableau budgétaire 1_Révisé'!$K$16:$K$34,LEFT($J25,1),'1) Tableau budgétaire 1_Révisé'!$D$16:$D$34)</f>
        <v>0</v>
      </c>
      <c r="L25" s="401">
        <f>SUMIF('1) Tableau budgétaire 1_Révisé'!$K$16:$K$34,LEFT($C25,1),'1) Tableau budgétaire 1_Révisé'!$E$16:$E$34)</f>
        <v>0</v>
      </c>
      <c r="M25" s="401">
        <f>SUMIF('1) Tableau budgétaire 1_Révisé'!$K$16:$K$34,LEFT($C25,1),'1) Tableau budgétaire 1_Révisé'!$F$16:$F$34)</f>
        <v>0</v>
      </c>
      <c r="N25" s="41">
        <f t="shared" si="2"/>
        <v>0</v>
      </c>
      <c r="O25" s="402"/>
      <c r="P25" s="397"/>
      <c r="Q25" s="397"/>
      <c r="R25" s="33" t="s">
        <v>51</v>
      </c>
      <c r="S25" s="401">
        <f>SUMIF('1) Tableau budgétaire 1_Révisé'!$V$16:$V$34,LEFT($R25,1),'1) Tableau budgétaire 1_Révisé'!$O$16:$O$34)</f>
        <v>0</v>
      </c>
      <c r="T25" s="401">
        <f>SUMIF('1) Tableau budgétaire 1_Révisé'!$V$16:$V$34,LEFT($R25,1),'1) Tableau budgétaire 1_Révisé'!$P$16:$P$34)</f>
        <v>0</v>
      </c>
      <c r="U25" s="401">
        <f>SUMIF('1) Tableau budgétaire 1_Révisé'!$K$16:$K$34,LEFT($C25,1),'1) Tableau budgétaire 1_Révisé'!$F$16:$F$34)</f>
        <v>0</v>
      </c>
      <c r="V25" s="41">
        <f t="shared" si="3"/>
        <v>0</v>
      </c>
    </row>
    <row r="26" spans="3:22" ht="15.75" customHeight="1" x14ac:dyDescent="0.35">
      <c r="C26" s="38" t="s">
        <v>497</v>
      </c>
      <c r="D26" s="47">
        <f>SUM(D19:D25)</f>
        <v>162000</v>
      </c>
      <c r="E26" s="47">
        <f>SUM(E19:E25)</f>
        <v>0</v>
      </c>
      <c r="F26" s="47">
        <f t="shared" ref="F26" si="4">SUM(F19:F25)</f>
        <v>0</v>
      </c>
      <c r="G26" s="90">
        <f>SUM(D26:F26)</f>
        <v>162000</v>
      </c>
      <c r="H26" s="397"/>
      <c r="I26" s="397"/>
      <c r="J26" s="38" t="s">
        <v>497</v>
      </c>
      <c r="K26" s="47">
        <f>SUM(K19:K25)</f>
        <v>162000</v>
      </c>
      <c r="L26" s="47">
        <f>SUM(L19:L25)</f>
        <v>0</v>
      </c>
      <c r="M26" s="47">
        <f t="shared" ref="M26" si="5">SUM(M19:M25)</f>
        <v>0</v>
      </c>
      <c r="N26" s="90">
        <f>SUM(K26:M26)</f>
        <v>162000</v>
      </c>
      <c r="O26" s="402"/>
      <c r="P26" s="397"/>
      <c r="Q26" s="397"/>
      <c r="R26" s="38" t="s">
        <v>497</v>
      </c>
      <c r="S26" s="47">
        <f>SUM(S19:S25)</f>
        <v>162000</v>
      </c>
      <c r="T26" s="47">
        <f>SUM(T19:T25)</f>
        <v>0</v>
      </c>
      <c r="U26" s="47">
        <f t="shared" ref="U26" si="6">SUM(U19:U25)</f>
        <v>0</v>
      </c>
      <c r="V26" s="90">
        <f>SUM(S26:U26)</f>
        <v>162000</v>
      </c>
    </row>
    <row r="27" spans="3:22" s="37" customFormat="1" x14ac:dyDescent="0.35">
      <c r="C27" s="48"/>
      <c r="D27" s="49"/>
      <c r="E27" s="49"/>
      <c r="F27" s="49"/>
      <c r="G27" s="91"/>
      <c r="H27" s="398"/>
      <c r="I27" s="398"/>
      <c r="J27" s="398"/>
      <c r="K27" s="398"/>
      <c r="L27" s="398"/>
      <c r="M27" s="398"/>
      <c r="N27" s="398"/>
      <c r="O27" s="402"/>
      <c r="P27" s="398"/>
      <c r="Q27" s="398"/>
      <c r="R27" s="398"/>
      <c r="S27" s="398"/>
      <c r="T27" s="398"/>
      <c r="U27" s="398"/>
      <c r="V27" s="398"/>
    </row>
    <row r="28" spans="3:22" x14ac:dyDescent="0.35">
      <c r="C28" s="669" t="s">
        <v>498</v>
      </c>
      <c r="D28" s="670"/>
      <c r="E28" s="670"/>
      <c r="F28" s="670"/>
      <c r="G28" s="671"/>
      <c r="H28" s="397"/>
      <c r="I28" s="397"/>
      <c r="J28" s="669" t="s">
        <v>498</v>
      </c>
      <c r="K28" s="670"/>
      <c r="L28" s="670"/>
      <c r="M28" s="670"/>
      <c r="N28" s="671"/>
      <c r="O28" s="402"/>
      <c r="P28" s="397"/>
      <c r="Q28" s="397"/>
      <c r="R28" s="669" t="s">
        <v>498</v>
      </c>
      <c r="S28" s="670"/>
      <c r="T28" s="670"/>
      <c r="U28" s="670"/>
      <c r="V28" s="671"/>
    </row>
    <row r="29" spans="3:22" ht="16" thickBot="1" x14ac:dyDescent="0.4">
      <c r="C29" s="44" t="s">
        <v>499</v>
      </c>
      <c r="D29" s="45">
        <f>'1) Tableau budgétaire 1 initial'!D62</f>
        <v>271000</v>
      </c>
      <c r="E29" s="45">
        <f>'1) Tableau budgétaire 1_Révisé'!E62</f>
        <v>0</v>
      </c>
      <c r="F29" s="45">
        <f>'1) Tableau budgétaire 1_Révisé'!F62</f>
        <v>0</v>
      </c>
      <c r="G29" s="46">
        <f t="shared" ref="G29:G37" si="7">SUM(D29:F29)</f>
        <v>271000</v>
      </c>
      <c r="H29" s="397"/>
      <c r="I29" s="397"/>
      <c r="J29" s="44" t="s">
        <v>499</v>
      </c>
      <c r="K29" s="45">
        <f>'1) Tableau budgétaire 1_Révisé'!D62</f>
        <v>271000</v>
      </c>
      <c r="L29" s="45">
        <f>'1) Tableau budgétaire 1_Révisé'!E62</f>
        <v>0</v>
      </c>
      <c r="M29" s="45">
        <f>'1) Tableau budgétaire 1_Révisé'!F62</f>
        <v>0</v>
      </c>
      <c r="N29" s="46">
        <f t="shared" ref="N29:N37" si="8">SUM(K29:M29)</f>
        <v>271000</v>
      </c>
      <c r="O29" s="402"/>
      <c r="P29" s="397"/>
      <c r="Q29" s="397"/>
      <c r="R29" s="44" t="s">
        <v>499</v>
      </c>
      <c r="S29" s="45">
        <f t="shared" ref="S29:U29" si="9">SUM(S30:S36)</f>
        <v>271000</v>
      </c>
      <c r="T29" s="45">
        <f t="shared" si="9"/>
        <v>0</v>
      </c>
      <c r="U29" s="45">
        <f t="shared" si="9"/>
        <v>0</v>
      </c>
      <c r="V29" s="46">
        <f t="shared" ref="V29:V37" si="10">SUM(S29:U29)</f>
        <v>271000</v>
      </c>
    </row>
    <row r="30" spans="3:22" x14ac:dyDescent="0.35">
      <c r="C30" s="42" t="s">
        <v>45</v>
      </c>
      <c r="D30" s="401">
        <f>SUMIF('1) Tableau budgétaire 1 initial'!$K$37:$K$61,LEFT($C30,1),'1) Tableau budgétaire 1 initial'!$D$37:$D$61)</f>
        <v>0</v>
      </c>
      <c r="E30" s="401">
        <f>SUMIF('1) Tableau budgétaire 1 initial'!$K$37:$K$61,LEFT($C30,1),'1) Tableau budgétaire 1 initial'!$E$37:$E$61)</f>
        <v>0</v>
      </c>
      <c r="F30" s="401">
        <f>SUMIF('1) Tableau budgétaire 1 initial'!$K$37:$K$61,LEFT($C30,1),'1) Tableau budgétaire 1 initial'!$F$37:$F$61)</f>
        <v>0</v>
      </c>
      <c r="G30" s="43">
        <f t="shared" si="7"/>
        <v>0</v>
      </c>
      <c r="H30" s="397"/>
      <c r="I30" s="397"/>
      <c r="J30" s="42" t="s">
        <v>45</v>
      </c>
      <c r="K30" s="401">
        <f>SUMIF('1) Tableau budgétaire 1_Révisé'!$K$37:$K$61,LEFT($C30,1),'1) Tableau budgétaire 1_Révisé'!$D$37:$D$61)</f>
        <v>0</v>
      </c>
      <c r="L30" s="401">
        <f>SUMIF('1) Tableau budgétaire 1_Révisé'!$K$37:$K$61,LEFT($C30,1),'1) Tableau budgétaire 1_Révisé'!$E$37:$E$61)</f>
        <v>0</v>
      </c>
      <c r="M30" s="401">
        <f>SUMIF('1) Tableau budgétaire 1_Révisé'!$K$37:$K$61,LEFT($C30,1),'1) Tableau budgétaire 1_Révisé'!$F$37:$F$61)</f>
        <v>0</v>
      </c>
      <c r="N30" s="43">
        <f t="shared" si="8"/>
        <v>0</v>
      </c>
      <c r="O30" s="402"/>
      <c r="P30" s="397"/>
      <c r="Q30" s="397"/>
      <c r="R30" s="42" t="s">
        <v>45</v>
      </c>
      <c r="S30" s="401">
        <f>SUMIF('1) Tableau budgétaire 1_Révisé'!$V$37:$V$61,LEFT($R30,1),'1) Tableau budgétaire 1_Révisé'!$O$37:$O$61)</f>
        <v>0</v>
      </c>
      <c r="T30" s="401">
        <f>SUMIF('1) Tableau budgétaire 1_Révisé'!$V$37:$V$61,LEFT($R30,1),'1) Tableau budgétaire 1_Révisé'!$P$37:$P$61)</f>
        <v>0</v>
      </c>
      <c r="U30" s="401">
        <f>SUMIF('1) Tableau budgétaire 1_Révisé'!$K$37:$K$61,LEFT($C30,1),'1) Tableau budgétaire 1_Révisé'!$F$37:$F$61)</f>
        <v>0</v>
      </c>
      <c r="V30" s="43">
        <f t="shared" si="10"/>
        <v>0</v>
      </c>
    </row>
    <row r="31" spans="3:22" x14ac:dyDescent="0.35">
      <c r="C31" s="33" t="s">
        <v>46</v>
      </c>
      <c r="D31" s="401">
        <f>SUMIF('1) Tableau budgétaire 1 initial'!$K$37:$K$61,LEFT($C31,1),'1) Tableau budgétaire 1 initial'!$D$37:$D$61)</f>
        <v>0</v>
      </c>
      <c r="E31" s="401">
        <f>SUMIF('1) Tableau budgétaire 1 initial'!$K$37:$K$61,LEFT($C31,1),'1) Tableau budgétaire 1 initial'!$E$37:$E$61)</f>
        <v>0</v>
      </c>
      <c r="F31" s="401">
        <f>SUMIF('1) Tableau budgétaire 1 initial'!$K$37:$K$61,LEFT($C31,1),'1) Tableau budgétaire 1 initial'!$F$37:$F$61)</f>
        <v>0</v>
      </c>
      <c r="G31" s="41">
        <f t="shared" si="7"/>
        <v>0</v>
      </c>
      <c r="H31" s="397"/>
      <c r="I31" s="397"/>
      <c r="J31" s="33" t="s">
        <v>46</v>
      </c>
      <c r="K31" s="401">
        <f>SUMIF('1) Tableau budgétaire 1_Révisé'!$K$37:$K$61,LEFT($C31,1),'1) Tableau budgétaire 1_Révisé'!$D$37:$D$61)</f>
        <v>0</v>
      </c>
      <c r="L31" s="401">
        <f>SUMIF('1) Tableau budgétaire 1_Révisé'!$K$37:$K$61,LEFT($C31,1),'1) Tableau budgétaire 1_Révisé'!$E$37:$E$61)</f>
        <v>0</v>
      </c>
      <c r="M31" s="401">
        <f>SUMIF('1) Tableau budgétaire 1_Révisé'!$K$37:$K$61,LEFT($C31,1),'1) Tableau budgétaire 1_Révisé'!$F$37:$F$61)</f>
        <v>0</v>
      </c>
      <c r="N31" s="41">
        <f t="shared" si="8"/>
        <v>0</v>
      </c>
      <c r="O31" s="402"/>
      <c r="P31" s="397"/>
      <c r="Q31" s="397"/>
      <c r="R31" s="33" t="s">
        <v>46</v>
      </c>
      <c r="S31" s="401">
        <f>SUMIF('1) Tableau budgétaire 1_Révisé'!$V$37:$V$61,LEFT($R31,1),'1) Tableau budgétaire 1_Révisé'!$O$37:$O$61)</f>
        <v>0</v>
      </c>
      <c r="T31" s="401">
        <f>SUMIF('1) Tableau budgétaire 1_Révisé'!$V$37:$V$61,LEFT($R31,1),'1) Tableau budgétaire 1_Révisé'!$P$37:$P$61)</f>
        <v>0</v>
      </c>
      <c r="U31" s="401">
        <f>SUMIF('1) Tableau budgétaire 1_Révisé'!$K$37:$K$61,LEFT($C31,1),'1) Tableau budgétaire 1_Révisé'!$F$37:$F$61)</f>
        <v>0</v>
      </c>
      <c r="V31" s="41">
        <f t="shared" si="10"/>
        <v>0</v>
      </c>
    </row>
    <row r="32" spans="3:22" ht="31" x14ac:dyDescent="0.35">
      <c r="C32" s="33" t="s">
        <v>47</v>
      </c>
      <c r="D32" s="401">
        <f>SUMIF('1) Tableau budgétaire 1 initial'!$K$37:$K$61,LEFT($C32,1),'1) Tableau budgétaire 1 initial'!$D$37:$D$61)</f>
        <v>0</v>
      </c>
      <c r="E32" s="401">
        <f>SUMIF('1) Tableau budgétaire 1 initial'!$K$37:$K$61,LEFT($C32,1),'1) Tableau budgétaire 1 initial'!$E$37:$E$61)</f>
        <v>0</v>
      </c>
      <c r="F32" s="401">
        <f>SUMIF('1) Tableau budgétaire 1 initial'!$K$37:$K$61,LEFT($C32,1),'1) Tableau budgétaire 1 initial'!$F$37:$F$61)</f>
        <v>0</v>
      </c>
      <c r="G32" s="41">
        <f t="shared" si="7"/>
        <v>0</v>
      </c>
      <c r="H32" s="397"/>
      <c r="I32" s="397"/>
      <c r="J32" s="33" t="s">
        <v>47</v>
      </c>
      <c r="K32" s="401">
        <f>SUMIF('1) Tableau budgétaire 1_Révisé'!$K$37:$K$61,LEFT($C32,1),'1) Tableau budgétaire 1_Révisé'!$D$37:$D$61)</f>
        <v>0</v>
      </c>
      <c r="L32" s="401">
        <f>SUMIF('1) Tableau budgétaire 1_Révisé'!$K$37:$K$61,LEFT($C32,1),'1) Tableau budgétaire 1_Révisé'!$E$37:$E$61)</f>
        <v>0</v>
      </c>
      <c r="M32" s="401">
        <f>SUMIF('1) Tableau budgétaire 1_Révisé'!$K$37:$K$61,LEFT($C32,1),'1) Tableau budgétaire 1_Révisé'!$F$37:$F$61)</f>
        <v>0</v>
      </c>
      <c r="N32" s="41">
        <f t="shared" si="8"/>
        <v>0</v>
      </c>
      <c r="O32" s="402"/>
      <c r="P32" s="397"/>
      <c r="Q32" s="397"/>
      <c r="R32" s="33" t="s">
        <v>47</v>
      </c>
      <c r="S32" s="401">
        <f>SUMIF('1) Tableau budgétaire 1_Révisé'!$V$37:$V$61,LEFT($R32,1),'1) Tableau budgétaire 1_Révisé'!$O$37:$O$61)</f>
        <v>0</v>
      </c>
      <c r="T32" s="401">
        <f>SUMIF('1) Tableau budgétaire 1_Révisé'!$V$37:$V$61,LEFT($R32,1),'1) Tableau budgétaire 1_Révisé'!$P$37:$P$61)</f>
        <v>0</v>
      </c>
      <c r="U32" s="401">
        <f>SUMIF('1) Tableau budgétaire 1_Révisé'!$K$37:$K$61,LEFT($C32,1),'1) Tableau budgétaire 1_Révisé'!$F$37:$F$61)</f>
        <v>0</v>
      </c>
      <c r="V32" s="41">
        <f t="shared" si="10"/>
        <v>0</v>
      </c>
    </row>
    <row r="33" spans="3:22" x14ac:dyDescent="0.35">
      <c r="C33" s="34" t="s">
        <v>48</v>
      </c>
      <c r="D33" s="401">
        <f>SUMIF('1) Tableau budgétaire 1 initial'!$K$37:$K$61,LEFT($C33,1),'1) Tableau budgétaire 1 initial'!$D$37:$D$61)</f>
        <v>0</v>
      </c>
      <c r="E33" s="401">
        <f>SUMIF('1) Tableau budgétaire 1 initial'!$K$37:$K$61,LEFT($C33,1),'1) Tableau budgétaire 1 initial'!$E$37:$E$61)</f>
        <v>0</v>
      </c>
      <c r="F33" s="401">
        <f>SUMIF('1) Tableau budgétaire 1 initial'!$K$37:$K$61,LEFT($C33,1),'1) Tableau budgétaire 1 initial'!$F$37:$F$61)</f>
        <v>0</v>
      </c>
      <c r="G33" s="41">
        <f t="shared" si="7"/>
        <v>0</v>
      </c>
      <c r="H33" s="397"/>
      <c r="I33" s="397"/>
      <c r="J33" s="34" t="s">
        <v>48</v>
      </c>
      <c r="K33" s="401">
        <f>SUMIF('1) Tableau budgétaire 1_Révisé'!$K$37:$K$61,LEFT($C33,1),'1) Tableau budgétaire 1_Révisé'!$D$37:$D$61)</f>
        <v>0</v>
      </c>
      <c r="L33" s="401">
        <f>SUMIF('1) Tableau budgétaire 1_Révisé'!$K$37:$K$61,LEFT($C33,1),'1) Tableau budgétaire 1_Révisé'!$E$37:$E$61)</f>
        <v>0</v>
      </c>
      <c r="M33" s="401">
        <f>SUMIF('1) Tableau budgétaire 1_Révisé'!$K$37:$K$61,LEFT($C33,1),'1) Tableau budgétaire 1_Révisé'!$F$37:$F$61)</f>
        <v>0</v>
      </c>
      <c r="N33" s="41">
        <f t="shared" si="8"/>
        <v>0</v>
      </c>
      <c r="O33" s="402"/>
      <c r="P33" s="397"/>
      <c r="Q33" s="397"/>
      <c r="R33" s="34" t="s">
        <v>48</v>
      </c>
      <c r="S33" s="401">
        <f>SUMIF('1) Tableau budgétaire 1_Révisé'!$V$37:$V$61,LEFT($R33,1),'1) Tableau budgétaire 1_Révisé'!$O$37:$O$61)</f>
        <v>0</v>
      </c>
      <c r="T33" s="401">
        <f>SUMIF('1) Tableau budgétaire 1_Révisé'!$V$37:$V$61,LEFT($R33,1),'1) Tableau budgétaire 1_Révisé'!$P$37:$P$61)</f>
        <v>0</v>
      </c>
      <c r="U33" s="401">
        <f>SUMIF('1) Tableau budgétaire 1_Révisé'!$K$37:$K$61,LEFT($C33,1),'1) Tableau budgétaire 1_Révisé'!$F$37:$F$61)</f>
        <v>0</v>
      </c>
      <c r="V33" s="41">
        <f t="shared" si="10"/>
        <v>0</v>
      </c>
    </row>
    <row r="34" spans="3:22" x14ac:dyDescent="0.35">
      <c r="C34" s="33" t="s">
        <v>49</v>
      </c>
      <c r="D34" s="401">
        <f>SUMIF('1) Tableau budgétaire 1 initial'!$K$37:$K$61,LEFT($C34,1),'1) Tableau budgétaire 1 initial'!$D$37:$D$61)</f>
        <v>0</v>
      </c>
      <c r="E34" s="401">
        <f>SUMIF('1) Tableau budgétaire 1 initial'!$K$37:$K$61,LEFT($C34,1),'1) Tableau budgétaire 1 initial'!$E$37:$E$61)</f>
        <v>0</v>
      </c>
      <c r="F34" s="401">
        <f>SUMIF('1) Tableau budgétaire 1 initial'!$K$37:$K$61,LEFT($C34,1),'1) Tableau budgétaire 1 initial'!$F$37:$F$61)</f>
        <v>0</v>
      </c>
      <c r="G34" s="41">
        <f t="shared" si="7"/>
        <v>0</v>
      </c>
      <c r="H34" s="397"/>
      <c r="I34" s="397"/>
      <c r="J34" s="33" t="s">
        <v>49</v>
      </c>
      <c r="K34" s="401">
        <f>SUMIF('1) Tableau budgétaire 1_Révisé'!$K$37:$K$61,LEFT($C34,1),'1) Tableau budgétaire 1_Révisé'!$D$37:$D$61)</f>
        <v>0</v>
      </c>
      <c r="L34" s="401">
        <f>SUMIF('1) Tableau budgétaire 1_Révisé'!$K$37:$K$61,LEFT($C34,1),'1) Tableau budgétaire 1_Révisé'!$E$37:$E$61)</f>
        <v>0</v>
      </c>
      <c r="M34" s="401">
        <f>SUMIF('1) Tableau budgétaire 1_Révisé'!$K$37:$K$61,LEFT($C34,1),'1) Tableau budgétaire 1_Révisé'!$F$37:$F$61)</f>
        <v>0</v>
      </c>
      <c r="N34" s="41">
        <f t="shared" si="8"/>
        <v>0</v>
      </c>
      <c r="O34" s="402"/>
      <c r="P34" s="397"/>
      <c r="Q34" s="397"/>
      <c r="R34" s="33" t="s">
        <v>49</v>
      </c>
      <c r="S34" s="401">
        <f>SUMIF('1) Tableau budgétaire 1_Révisé'!$V$37:$V$61,LEFT($R34,1),'1) Tableau budgétaire 1_Révisé'!$O$37:$O$61)</f>
        <v>0</v>
      </c>
      <c r="T34" s="401">
        <f>SUMIF('1) Tableau budgétaire 1_Révisé'!$V$37:$V$61,LEFT($R34,1),'1) Tableau budgétaire 1_Révisé'!$P$37:$P$61)</f>
        <v>0</v>
      </c>
      <c r="U34" s="401">
        <f>SUMIF('1) Tableau budgétaire 1_Révisé'!$K$37:$K$61,LEFT($C34,1),'1) Tableau budgétaire 1_Révisé'!$F$37:$F$61)</f>
        <v>0</v>
      </c>
      <c r="V34" s="41">
        <f t="shared" si="10"/>
        <v>0</v>
      </c>
    </row>
    <row r="35" spans="3:22" x14ac:dyDescent="0.35">
      <c r="C35" s="33" t="s">
        <v>50</v>
      </c>
      <c r="D35" s="401">
        <f>SUMIF('1) Tableau budgétaire 1 initial'!$K$37:$K$61,LEFT($C35,1),'1) Tableau budgétaire 1 initial'!$D$37:$D$61)</f>
        <v>271000</v>
      </c>
      <c r="E35" s="401">
        <f>SUMIF('1) Tableau budgétaire 1 initial'!$K$37:$K$61,LEFT($C35,1),'1) Tableau budgétaire 1 initial'!$E$37:$E$61)</f>
        <v>0</v>
      </c>
      <c r="F35" s="401">
        <f>SUMIF('1) Tableau budgétaire 1 initial'!$K$37:$K$61,LEFT($C35,1),'1) Tableau budgétaire 1 initial'!$F$37:$F$61)</f>
        <v>0</v>
      </c>
      <c r="G35" s="41">
        <f t="shared" si="7"/>
        <v>271000</v>
      </c>
      <c r="H35" s="397"/>
      <c r="I35" s="397"/>
      <c r="J35" s="33" t="s">
        <v>50</v>
      </c>
      <c r="K35" s="401">
        <f>SUMIF('1) Tableau budgétaire 1_Révisé'!$K$37:$K$61,LEFT($C35,1),'1) Tableau budgétaire 1_Révisé'!$D$37:$D$61)</f>
        <v>271000</v>
      </c>
      <c r="L35" s="401">
        <f>SUMIF('1) Tableau budgétaire 1_Révisé'!$K$37:$K$61,LEFT($C35,1),'1) Tableau budgétaire 1_Révisé'!$E$37:$E$61)</f>
        <v>0</v>
      </c>
      <c r="M35" s="401">
        <f>SUMIF('1) Tableau budgétaire 1_Révisé'!$K$37:$K$61,LEFT($C35,1),'1) Tableau budgétaire 1_Révisé'!$F$37:$F$61)</f>
        <v>0</v>
      </c>
      <c r="N35" s="41">
        <f t="shared" si="8"/>
        <v>271000</v>
      </c>
      <c r="O35" s="402"/>
      <c r="P35" s="397"/>
      <c r="Q35" s="397"/>
      <c r="R35" s="33" t="s">
        <v>50</v>
      </c>
      <c r="S35" s="401">
        <f>SUMIF('1) Tableau budgétaire 1_Révisé'!$V$37:$V$61,LEFT($R35,1),'1) Tableau budgétaire 1_Révisé'!$O$37:$O$61)</f>
        <v>271000</v>
      </c>
      <c r="T35" s="401">
        <f>SUMIF('1) Tableau budgétaire 1_Révisé'!$V$37:$V$61,LEFT($R35,1),'1) Tableau budgétaire 1_Révisé'!$P$37:$P$61)</f>
        <v>0</v>
      </c>
      <c r="U35" s="401">
        <f>SUMIF('1) Tableau budgétaire 1_Révisé'!$K$37:$K$61,LEFT($C35,1),'1) Tableau budgétaire 1_Révisé'!$F$37:$F$61)</f>
        <v>0</v>
      </c>
      <c r="V35" s="41">
        <f t="shared" si="10"/>
        <v>271000</v>
      </c>
    </row>
    <row r="36" spans="3:22" ht="31" x14ac:dyDescent="0.35">
      <c r="C36" s="33" t="s">
        <v>51</v>
      </c>
      <c r="D36" s="401">
        <f>SUMIF('1) Tableau budgétaire 1 initial'!$K$37:$K$61,LEFT($C36,1),'1) Tableau budgétaire 1 initial'!$D$37:$D$61)</f>
        <v>0</v>
      </c>
      <c r="E36" s="401">
        <f>SUMIF('1) Tableau budgétaire 1 initial'!$K$37:$K$61,LEFT($C36,1),'1) Tableau budgétaire 1 initial'!$E$37:$E$61)</f>
        <v>0</v>
      </c>
      <c r="F36" s="401">
        <f>SUMIF('1) Tableau budgétaire 1 initial'!$K$37:$K$61,LEFT($C36,1),'1) Tableau budgétaire 1 initial'!$F$37:$F$61)</f>
        <v>0</v>
      </c>
      <c r="G36" s="41">
        <f t="shared" si="7"/>
        <v>0</v>
      </c>
      <c r="H36" s="397"/>
      <c r="I36" s="397"/>
      <c r="J36" s="33" t="s">
        <v>51</v>
      </c>
      <c r="K36" s="401">
        <f>SUMIF('1) Tableau budgétaire 1_Révisé'!$K$37:$K$61,LEFT($C36,1),'1) Tableau budgétaire 1_Révisé'!$D$37:$D$61)</f>
        <v>0</v>
      </c>
      <c r="L36" s="401">
        <f>SUMIF('1) Tableau budgétaire 1_Révisé'!$K$37:$K$61,LEFT($C36,1),'1) Tableau budgétaire 1_Révisé'!$E$37:$E$61)</f>
        <v>0</v>
      </c>
      <c r="M36" s="401">
        <f>SUMIF('1) Tableau budgétaire 1_Révisé'!$K$37:$K$61,LEFT($C36,1),'1) Tableau budgétaire 1_Révisé'!$F$37:$F$61)</f>
        <v>0</v>
      </c>
      <c r="N36" s="41">
        <f t="shared" si="8"/>
        <v>0</v>
      </c>
      <c r="O36" s="402"/>
      <c r="P36" s="397"/>
      <c r="Q36" s="397"/>
      <c r="R36" s="33" t="s">
        <v>51</v>
      </c>
      <c r="S36" s="401">
        <f>SUMIF('1) Tableau budgétaire 1_Révisé'!$V$37:$V$61,LEFT($R36,1),'1) Tableau budgétaire 1_Révisé'!$O$37:$O$61)</f>
        <v>0</v>
      </c>
      <c r="T36" s="401">
        <f>SUMIF('1) Tableau budgétaire 1_Révisé'!$V$37:$V$61,LEFT($R36,1),'1) Tableau budgétaire 1_Révisé'!$P$37:$P$61)</f>
        <v>0</v>
      </c>
      <c r="U36" s="401">
        <f>SUMIF('1) Tableau budgétaire 1_Révisé'!$K$37:$K$61,LEFT($C36,1),'1) Tableau budgétaire 1_Révisé'!$F$37:$F$61)</f>
        <v>0</v>
      </c>
      <c r="V36" s="41">
        <f t="shared" si="10"/>
        <v>0</v>
      </c>
    </row>
    <row r="37" spans="3:22" x14ac:dyDescent="0.35">
      <c r="C37" s="38" t="s">
        <v>497</v>
      </c>
      <c r="D37" s="47">
        <f t="shared" ref="D37:E37" si="11">SUM(D30:D36)</f>
        <v>271000</v>
      </c>
      <c r="E37" s="47">
        <f t="shared" si="11"/>
        <v>0</v>
      </c>
      <c r="F37" s="47">
        <f t="shared" ref="F37" si="12">SUM(F30:F36)</f>
        <v>0</v>
      </c>
      <c r="G37" s="41">
        <f t="shared" si="7"/>
        <v>271000</v>
      </c>
      <c r="H37" s="397"/>
      <c r="I37" s="397"/>
      <c r="J37" s="38" t="s">
        <v>497</v>
      </c>
      <c r="K37" s="47">
        <f t="shared" ref="K37:L37" si="13">SUM(K30:K36)</f>
        <v>271000</v>
      </c>
      <c r="L37" s="47">
        <f t="shared" si="13"/>
        <v>0</v>
      </c>
      <c r="M37" s="47">
        <f t="shared" ref="M37" si="14">SUM(M30:M36)</f>
        <v>0</v>
      </c>
      <c r="N37" s="41">
        <f t="shared" si="8"/>
        <v>271000</v>
      </c>
      <c r="O37" s="402"/>
      <c r="P37" s="397"/>
      <c r="Q37" s="397"/>
      <c r="R37" s="38" t="s">
        <v>497</v>
      </c>
      <c r="S37" s="47">
        <f t="shared" ref="S37:U37" si="15">SUM(S30:S36)</f>
        <v>271000</v>
      </c>
      <c r="T37" s="47">
        <f t="shared" si="15"/>
        <v>0</v>
      </c>
      <c r="U37" s="47">
        <f t="shared" si="15"/>
        <v>0</v>
      </c>
      <c r="V37" s="41">
        <f t="shared" si="10"/>
        <v>271000</v>
      </c>
    </row>
    <row r="38" spans="3:22" s="37" customFormat="1" x14ac:dyDescent="0.35">
      <c r="C38" s="48"/>
      <c r="D38" s="49"/>
      <c r="E38" s="49"/>
      <c r="F38" s="49"/>
      <c r="G38" s="50"/>
      <c r="H38" s="398"/>
      <c r="I38" s="398"/>
      <c r="J38" s="398"/>
      <c r="K38" s="398"/>
      <c r="L38" s="398"/>
      <c r="M38" s="398"/>
      <c r="N38" s="398"/>
      <c r="O38" s="402"/>
      <c r="P38" s="398"/>
      <c r="Q38" s="398"/>
      <c r="R38" s="398"/>
      <c r="S38" s="398"/>
      <c r="T38" s="398"/>
      <c r="U38" s="398"/>
      <c r="V38" s="398"/>
    </row>
    <row r="39" spans="3:22" x14ac:dyDescent="0.35">
      <c r="C39" s="669" t="s">
        <v>500</v>
      </c>
      <c r="D39" s="670"/>
      <c r="E39" s="670"/>
      <c r="F39" s="670"/>
      <c r="G39" s="671"/>
      <c r="H39" s="397"/>
      <c r="I39" s="397"/>
      <c r="J39" s="669" t="s">
        <v>500</v>
      </c>
      <c r="K39" s="670"/>
      <c r="L39" s="670"/>
      <c r="M39" s="670"/>
      <c r="N39" s="671"/>
      <c r="O39" s="402"/>
      <c r="P39" s="397"/>
      <c r="Q39" s="397"/>
      <c r="R39" s="669" t="s">
        <v>500</v>
      </c>
      <c r="S39" s="670"/>
      <c r="T39" s="670"/>
      <c r="U39" s="670"/>
      <c r="V39" s="671"/>
    </row>
    <row r="40" spans="3:22" ht="16" thickBot="1" x14ac:dyDescent="0.4">
      <c r="C40" s="44" t="s">
        <v>501</v>
      </c>
      <c r="D40" s="45">
        <f>'1) Tableau budgétaire 1 initial'!D89</f>
        <v>167430.69</v>
      </c>
      <c r="E40" s="45">
        <f>'1) Tableau budgétaire 1 initial'!E89</f>
        <v>0</v>
      </c>
      <c r="F40" s="45">
        <f>'1) Tableau budgétaire 1 initial'!F89</f>
        <v>0</v>
      </c>
      <c r="G40" s="46">
        <f t="shared" ref="G40:G48" si="16">SUM(D40:F40)</f>
        <v>167430.69</v>
      </c>
      <c r="H40" s="397"/>
      <c r="I40" s="397"/>
      <c r="J40" s="44" t="s">
        <v>501</v>
      </c>
      <c r="K40" s="45">
        <f>'1) Tableau budgétaire 1_Révisé'!D103</f>
        <v>217430.69</v>
      </c>
      <c r="L40" s="45">
        <f>'1) Tableau budgétaire 1_Révisé'!E103</f>
        <v>0</v>
      </c>
      <c r="M40" s="45">
        <f>'1) Tableau budgétaire 1_Révisé'!F103</f>
        <v>0</v>
      </c>
      <c r="N40" s="46">
        <f t="shared" ref="N40:N48" si="17">SUM(K40:M40)</f>
        <v>217430.69</v>
      </c>
      <c r="O40" s="402"/>
      <c r="P40" s="397"/>
      <c r="Q40" s="397"/>
      <c r="R40" s="44" t="s">
        <v>501</v>
      </c>
      <c r="S40" s="45">
        <f t="shared" ref="S40:U40" si="18">SUM(S41:S47)</f>
        <v>338930.69</v>
      </c>
      <c r="T40" s="45">
        <f t="shared" si="18"/>
        <v>0</v>
      </c>
      <c r="U40" s="45">
        <f t="shared" si="18"/>
        <v>0</v>
      </c>
      <c r="V40" s="46">
        <f t="shared" ref="V40:V48" si="19">SUM(S40:U40)</f>
        <v>338930.69</v>
      </c>
    </row>
    <row r="41" spans="3:22" x14ac:dyDescent="0.35">
      <c r="C41" s="42" t="s">
        <v>45</v>
      </c>
      <c r="D41" s="401">
        <f>SUMIF('1) Tableau budgétaire 1 initial'!$K$64:$K$93,LEFT($C41,1),'1) Tableau budgétaire 1 initial'!$D$64:$D$93)</f>
        <v>0</v>
      </c>
      <c r="E41" s="401">
        <f>SUMIF('1) Tableau budgétaire 1 initial'!$K$64:$K$93,LEFT($C41,1),'1) Tableau budgétaire 1 initial'!$E$64:$E$93)</f>
        <v>0</v>
      </c>
      <c r="F41" s="401">
        <f>SUMIF('1) Tableau budgétaire 1 initial'!$K$64:$K$93,LEFT($C41,1),'1) Tableau budgétaire 1 initial'!$F$64:$F$93)</f>
        <v>0</v>
      </c>
      <c r="G41" s="43">
        <f t="shared" si="16"/>
        <v>0</v>
      </c>
      <c r="H41" s="397"/>
      <c r="I41" s="397"/>
      <c r="J41" s="42" t="s">
        <v>45</v>
      </c>
      <c r="K41" s="401">
        <f>SUMIF('1) Tableau budgétaire 1_Révisé'!$K$64:$K$102,LEFT($C41,1),'1) Tableau budgétaire 1_Révisé'!$D$64:$D$102)</f>
        <v>0</v>
      </c>
      <c r="L41" s="401">
        <f>SUMIF('1) Tableau budgétaire 1_Révisé'!$K$64:$K$102,LEFT($C41,1),'1) Tableau budgétaire 1_Révisé'!$E$64:$E$102)</f>
        <v>0</v>
      </c>
      <c r="M41" s="401">
        <f>SUMIF('1) Tableau budgétaire 1_Révisé'!$K$64:$K$102,LEFT($C41,1),'1) Tableau budgétaire 1_Révisé'!$F$64:$F$102)</f>
        <v>0</v>
      </c>
      <c r="N41" s="43">
        <f t="shared" si="17"/>
        <v>0</v>
      </c>
      <c r="O41" s="402"/>
      <c r="P41" s="397"/>
      <c r="Q41" s="397"/>
      <c r="R41" s="42" t="s">
        <v>45</v>
      </c>
      <c r="S41" s="401">
        <f>SUMIF('1) Tableau budgétaire 1_Révisé'!$V$64:$V$102,LEFT($R41,1),'1) Tableau budgétaire 1_Révisé'!$O$64:$O$102)</f>
        <v>0</v>
      </c>
      <c r="T41" s="401">
        <f>SUMIF('1) Tableau budgétaire 1_Révisé'!$V$64:$V$102,LEFT($R41,1),'1) Tableau budgétaire 1_Révisé'!$P$64:$P$102)</f>
        <v>0</v>
      </c>
      <c r="U41" s="401">
        <f>SUMIF('1) Tableau budgétaire 1_Révisé'!$K$64:$K$102,LEFT($C41,1),'1) Tableau budgétaire 1_Révisé'!$F$64:$F$102)</f>
        <v>0</v>
      </c>
      <c r="V41" s="43">
        <f t="shared" si="19"/>
        <v>0</v>
      </c>
    </row>
    <row r="42" spans="3:22" s="37" customFormat="1" ht="15.75" customHeight="1" x14ac:dyDescent="0.35">
      <c r="C42" s="33" t="s">
        <v>46</v>
      </c>
      <c r="D42" s="401">
        <f>SUMIF('1) Tableau budgétaire 1 initial'!$K$64:$K$93,LEFT($C42,1),'1) Tableau budgétaire 1 initial'!$D$64:$D$93)</f>
        <v>0</v>
      </c>
      <c r="E42" s="401">
        <f>SUMIF('1) Tableau budgétaire 1 initial'!$K$64:$K$93,LEFT($C42,1),'1) Tableau budgétaire 1 initial'!$E$64:$E$93)</f>
        <v>0</v>
      </c>
      <c r="F42" s="401">
        <f>SUMIF('1) Tableau budgétaire 1 initial'!$K$64:$K$93,LEFT($C42,1),'1) Tableau budgétaire 1 initial'!$F$64:$F$93)</f>
        <v>0</v>
      </c>
      <c r="G42" s="41">
        <f t="shared" si="16"/>
        <v>0</v>
      </c>
      <c r="H42" s="398"/>
      <c r="I42" s="398"/>
      <c r="J42" s="33" t="s">
        <v>46</v>
      </c>
      <c r="K42" s="401">
        <f>SUMIF('1) Tableau budgétaire 1_Révisé'!$K$64:$K$102,LEFT($C42,1),'1) Tableau budgétaire 1_Révisé'!$D$64:$D$102)</f>
        <v>0</v>
      </c>
      <c r="L42" s="401">
        <f>SUMIF('1) Tableau budgétaire 1_Révisé'!$K$64:$K$102,LEFT($C42,1),'1) Tableau budgétaire 1_Révisé'!$E$64:$E$102)</f>
        <v>0</v>
      </c>
      <c r="M42" s="401">
        <f>SUMIF('1) Tableau budgétaire 1_Révisé'!$K$64:$K$102,LEFT($C42,1),'1) Tableau budgétaire 1_Révisé'!$F$64:$F$102)</f>
        <v>0</v>
      </c>
      <c r="N42" s="41">
        <f t="shared" si="17"/>
        <v>0</v>
      </c>
      <c r="O42" s="402"/>
      <c r="P42" s="398"/>
      <c r="Q42" s="398"/>
      <c r="R42" s="33" t="s">
        <v>46</v>
      </c>
      <c r="S42" s="401">
        <f>SUMIF('1) Tableau budgétaire 1_Révisé'!$V$64:$V$102,LEFT($R42,1),'1) Tableau budgétaire 1_Révisé'!$O$64:$O$102)</f>
        <v>0</v>
      </c>
      <c r="T42" s="401">
        <f>SUMIF('1) Tableau budgétaire 1_Révisé'!$V$64:$V$102,LEFT($R42,1),'1) Tableau budgétaire 1_Révisé'!$P$64:$P$102)</f>
        <v>0</v>
      </c>
      <c r="U42" s="401">
        <f>SUMIF('1) Tableau budgétaire 1_Révisé'!$K$64:$K$102,LEFT($C42,1),'1) Tableau budgétaire 1_Révisé'!$F$64:$F$102)</f>
        <v>0</v>
      </c>
      <c r="V42" s="41">
        <f t="shared" si="19"/>
        <v>0</v>
      </c>
    </row>
    <row r="43" spans="3:22" s="37" customFormat="1" ht="31" x14ac:dyDescent="0.35">
      <c r="C43" s="33" t="s">
        <v>47</v>
      </c>
      <c r="D43" s="401">
        <f>SUMIF('1) Tableau budgétaire 1 initial'!$K$64:$K$93,LEFT($C43,1),'1) Tableau budgétaire 1 initial'!$D$64:$D$93)</f>
        <v>0</v>
      </c>
      <c r="E43" s="401">
        <f>SUMIF('1) Tableau budgétaire 1 initial'!$K$64:$K$93,LEFT($C43,1),'1) Tableau budgétaire 1 initial'!$E$64:$E$93)</f>
        <v>0</v>
      </c>
      <c r="F43" s="401">
        <f>SUMIF('1) Tableau budgétaire 1 initial'!$K$64:$K$93,LEFT($C43,1),'1) Tableau budgétaire 1 initial'!$F$64:$F$93)</f>
        <v>0</v>
      </c>
      <c r="G43" s="41">
        <f t="shared" si="16"/>
        <v>0</v>
      </c>
      <c r="H43" s="398"/>
      <c r="I43" s="398"/>
      <c r="J43" s="33" t="s">
        <v>47</v>
      </c>
      <c r="K43" s="401">
        <f>SUMIF('1) Tableau budgétaire 1_Révisé'!$K$64:$K$102,LEFT($C43,1),'1) Tableau budgétaire 1_Révisé'!$D$64:$D$102)</f>
        <v>0</v>
      </c>
      <c r="L43" s="401">
        <f>SUMIF('1) Tableau budgétaire 1_Révisé'!$K$64:$K$102,LEFT($C43,1),'1) Tableau budgétaire 1_Révisé'!$E$64:$E$102)</f>
        <v>0</v>
      </c>
      <c r="M43" s="401">
        <f>SUMIF('1) Tableau budgétaire 1_Révisé'!$K$64:$K$102,LEFT($C43,1),'1) Tableau budgétaire 1_Révisé'!$F$64:$F$102)</f>
        <v>0</v>
      </c>
      <c r="N43" s="41">
        <f t="shared" si="17"/>
        <v>0</v>
      </c>
      <c r="O43" s="402"/>
      <c r="P43" s="398"/>
      <c r="Q43" s="398"/>
      <c r="R43" s="33" t="s">
        <v>47</v>
      </c>
      <c r="S43" s="401">
        <f>SUMIF('1) Tableau budgétaire 1_Révisé'!$V$64:$V$102,LEFT($R43,1),'1) Tableau budgétaire 1_Révisé'!$O$64:$O$102)</f>
        <v>0</v>
      </c>
      <c r="T43" s="401">
        <f>SUMIF('1) Tableau budgétaire 1_Révisé'!$V$64:$V$102,LEFT($R43,1),'1) Tableau budgétaire 1_Révisé'!$P$64:$P$102)</f>
        <v>0</v>
      </c>
      <c r="U43" s="401">
        <f>SUMIF('1) Tableau budgétaire 1_Révisé'!$K$64:$K$102,LEFT($C43,1),'1) Tableau budgétaire 1_Révisé'!$F$64:$F$102)</f>
        <v>0</v>
      </c>
      <c r="V43" s="41">
        <f t="shared" si="19"/>
        <v>0</v>
      </c>
    </row>
    <row r="44" spans="3:22" s="37" customFormat="1" x14ac:dyDescent="0.35">
      <c r="C44" s="34" t="s">
        <v>48</v>
      </c>
      <c r="D44" s="401">
        <f>SUMIF('1) Tableau budgétaire 1 initial'!$K$64:$K$93,LEFT($C44,1),'1) Tableau budgétaire 1 initial'!$D$64:$D$93)</f>
        <v>0</v>
      </c>
      <c r="E44" s="401">
        <f>SUMIF('1) Tableau budgétaire 1 initial'!$K$64:$K$93,LEFT($C44,1),'1) Tableau budgétaire 1 initial'!$E$64:$E$93)</f>
        <v>0</v>
      </c>
      <c r="F44" s="401">
        <f>SUMIF('1) Tableau budgétaire 1 initial'!$K$64:$K$93,LEFT($C44,1),'1) Tableau budgétaire 1 initial'!$F$64:$F$93)</f>
        <v>0</v>
      </c>
      <c r="G44" s="41">
        <f t="shared" si="16"/>
        <v>0</v>
      </c>
      <c r="H44" s="398"/>
      <c r="I44" s="398"/>
      <c r="J44" s="34" t="s">
        <v>48</v>
      </c>
      <c r="K44" s="243">
        <f>SUMIF('1) Tableau budgétaire 1_Révisé'!$K$64:$K$102,LEFT($C44,1),'1) Tableau budgétaire 1_Révisé'!$D$64:$D$102)</f>
        <v>50000</v>
      </c>
      <c r="L44" s="401">
        <f>SUMIF('1) Tableau budgétaire 1_Révisé'!$K$64:$K$102,LEFT($C44,1),'1) Tableau budgétaire 1_Révisé'!$E$64:$E$102)</f>
        <v>0</v>
      </c>
      <c r="M44" s="401">
        <f>SUMIF('1) Tableau budgétaire 1_Révisé'!$K$64:$K$102,LEFT($C44,1),'1) Tableau budgétaire 1_Révisé'!$F$64:$F$102)</f>
        <v>0</v>
      </c>
      <c r="N44" s="244">
        <f t="shared" si="17"/>
        <v>50000</v>
      </c>
      <c r="O44" s="402"/>
      <c r="P44" s="398"/>
      <c r="Q44" s="398"/>
      <c r="R44" s="34" t="s">
        <v>48</v>
      </c>
      <c r="S44" s="401">
        <f>SUMIF('1) Tableau budgétaire 1_Révisé'!$V$64:$V$102,LEFT($R44,1),'1) Tableau budgétaire 1_Révisé'!$O$64:$O$102)</f>
        <v>54500</v>
      </c>
      <c r="T44" s="401">
        <f>SUMIF('1) Tableau budgétaire 1_Révisé'!$V$64:$V$102,LEFT($R44,1),'1) Tableau budgétaire 1_Révisé'!$P$64:$P$102)</f>
        <v>0</v>
      </c>
      <c r="U44" s="401">
        <f>SUMIF('1) Tableau budgétaire 1_Révisé'!$K$64:$K$102,LEFT($C44,1),'1) Tableau budgétaire 1_Révisé'!$F$64:$F$102)</f>
        <v>0</v>
      </c>
      <c r="V44" s="244">
        <f t="shared" si="19"/>
        <v>54500</v>
      </c>
    </row>
    <row r="45" spans="3:22" x14ac:dyDescent="0.35">
      <c r="C45" s="33" t="s">
        <v>49</v>
      </c>
      <c r="D45" s="401">
        <f>SUMIF('1) Tableau budgétaire 1 initial'!$K$64:$K$93,LEFT($C45,1),'1) Tableau budgétaire 1 initial'!$D$64:$D$93)</f>
        <v>0</v>
      </c>
      <c r="E45" s="401">
        <f>SUMIF('1) Tableau budgétaire 1 initial'!$K$64:$K$93,LEFT($C45,1),'1) Tableau budgétaire 1 initial'!$E$64:$E$93)</f>
        <v>0</v>
      </c>
      <c r="F45" s="401">
        <f>SUMIF('1) Tableau budgétaire 1 initial'!$K$64:$K$93,LEFT($C45,1),'1) Tableau budgétaire 1 initial'!$F$64:$F$93)</f>
        <v>0</v>
      </c>
      <c r="G45" s="41">
        <f t="shared" si="16"/>
        <v>0</v>
      </c>
      <c r="H45" s="397"/>
      <c r="I45" s="397"/>
      <c r="J45" s="33" t="s">
        <v>49</v>
      </c>
      <c r="K45" s="401">
        <f>SUMIF('1) Tableau budgétaire 1_Révisé'!$K$64:$K$102,LEFT($C45,1),'1) Tableau budgétaire 1_Révisé'!$D$64:$D$102)</f>
        <v>0</v>
      </c>
      <c r="L45" s="401">
        <f>SUMIF('1) Tableau budgétaire 1_Révisé'!$K$64:$K$102,LEFT($C45,1),'1) Tableau budgétaire 1_Révisé'!$E$64:$E$102)</f>
        <v>0</v>
      </c>
      <c r="M45" s="401">
        <f>SUMIF('1) Tableau budgétaire 1_Révisé'!$K$64:$K$102,LEFT($C45,1),'1) Tableau budgétaire 1_Révisé'!$F$64:$F$102)</f>
        <v>0</v>
      </c>
      <c r="N45" s="41">
        <f t="shared" si="17"/>
        <v>0</v>
      </c>
      <c r="O45" s="402"/>
      <c r="P45" s="397"/>
      <c r="Q45" s="397"/>
      <c r="R45" s="33" t="s">
        <v>49</v>
      </c>
      <c r="S45" s="401">
        <f>SUMIF('1) Tableau budgétaire 1_Révisé'!$V$64:$V$102,LEFT($R45,1),'1) Tableau budgétaire 1_Révisé'!$O$64:$O$102)</f>
        <v>0</v>
      </c>
      <c r="T45" s="401">
        <f>SUMIF('1) Tableau budgétaire 1_Révisé'!$V$64:$V$102,LEFT($R45,1),'1) Tableau budgétaire 1_Révisé'!$P$64:$P$102)</f>
        <v>0</v>
      </c>
      <c r="U45" s="401">
        <f>SUMIF('1) Tableau budgétaire 1_Révisé'!$K$64:$K$102,LEFT($C45,1),'1) Tableau budgétaire 1_Révisé'!$F$64:$F$102)</f>
        <v>0</v>
      </c>
      <c r="V45" s="41">
        <f t="shared" si="19"/>
        <v>0</v>
      </c>
    </row>
    <row r="46" spans="3:22" x14ac:dyDescent="0.35">
      <c r="C46" s="33" t="s">
        <v>50</v>
      </c>
      <c r="D46" s="401">
        <f>SUMIF('1) Tableau budgétaire 1 initial'!$K$64:$K$93,LEFT($C46,1),'1) Tableau budgétaire 1 initial'!$D$64:$D$93)</f>
        <v>167430.69</v>
      </c>
      <c r="E46" s="401">
        <f>SUMIF('1) Tableau budgétaire 1 initial'!$K$64:$K$93,LEFT($C46,1),'1) Tableau budgétaire 1 initial'!$E$64:$E$93)</f>
        <v>0</v>
      </c>
      <c r="F46" s="401">
        <f>SUMIF('1) Tableau budgétaire 1 initial'!$K$64:$K$93,LEFT($C46,1),'1) Tableau budgétaire 1 initial'!$F$64:$F$93)</f>
        <v>0</v>
      </c>
      <c r="G46" s="41">
        <f t="shared" si="16"/>
        <v>167430.69</v>
      </c>
      <c r="H46" s="397"/>
      <c r="I46" s="397"/>
      <c r="J46" s="33" t="s">
        <v>50</v>
      </c>
      <c r="K46" s="401">
        <f>SUMIF('1) Tableau budgétaire 1_Révisé'!$K$64:$K$102,LEFT($C46,1),'1) Tableau budgétaire 1_Révisé'!$D$64:$D$102)</f>
        <v>167430.69</v>
      </c>
      <c r="L46" s="401">
        <f>SUMIF('1) Tableau budgétaire 1_Révisé'!$K$64:$K$102,LEFT($C46,1),'1) Tableau budgétaire 1_Révisé'!$E$64:$E$102)</f>
        <v>0</v>
      </c>
      <c r="M46" s="401">
        <f>SUMIF('1) Tableau budgétaire 1_Révisé'!$K$64:$K$102,LEFT($C46,1),'1) Tableau budgétaire 1_Révisé'!$F$64:$F$102)</f>
        <v>0</v>
      </c>
      <c r="N46" s="41">
        <f t="shared" si="17"/>
        <v>167430.69</v>
      </c>
      <c r="O46" s="402"/>
      <c r="P46" s="397"/>
      <c r="Q46" s="397"/>
      <c r="R46" s="33" t="s">
        <v>50</v>
      </c>
      <c r="S46" s="401">
        <f>SUMIF('1) Tableau budgétaire 1_Révisé'!$V$64:$V$102,LEFT($R46,1),'1) Tableau budgétaire 1_Révisé'!$O$64:$O$102)</f>
        <v>267430.69</v>
      </c>
      <c r="T46" s="401">
        <f>SUMIF('1) Tableau budgétaire 1_Révisé'!$V$64:$V$102,LEFT($R46,1),'1) Tableau budgétaire 1_Révisé'!$P$64:$P$102)</f>
        <v>0</v>
      </c>
      <c r="U46" s="401">
        <f>SUMIF('1) Tableau budgétaire 1_Révisé'!$K$64:$K$102,LEFT($C46,1),'1) Tableau budgétaire 1_Révisé'!$F$64:$F$102)</f>
        <v>0</v>
      </c>
      <c r="V46" s="41">
        <f t="shared" si="19"/>
        <v>267430.69</v>
      </c>
    </row>
    <row r="47" spans="3:22" ht="31" x14ac:dyDescent="0.35">
      <c r="C47" s="33" t="s">
        <v>51</v>
      </c>
      <c r="D47" s="401">
        <f>SUMIF('1) Tableau budgétaire 1 initial'!$K$64:$K$93,LEFT($C47,1),'1) Tableau budgétaire 1 initial'!$D$64:$D$93)</f>
        <v>0</v>
      </c>
      <c r="E47" s="401">
        <f>SUMIF('1) Tableau budgétaire 1 initial'!$K$64:$K$93,LEFT($C47,1),'1) Tableau budgétaire 1 initial'!$E$64:$E$93)</f>
        <v>0</v>
      </c>
      <c r="F47" s="401">
        <f>SUMIF('1) Tableau budgétaire 1 initial'!$K$64:$K$93,LEFT($C47,1),'1) Tableau budgétaire 1 initial'!$F$64:$F$93)</f>
        <v>0</v>
      </c>
      <c r="G47" s="41">
        <f t="shared" si="16"/>
        <v>0</v>
      </c>
      <c r="H47" s="397"/>
      <c r="I47" s="397"/>
      <c r="J47" s="33" t="s">
        <v>51</v>
      </c>
      <c r="K47" s="401">
        <f>SUMIF('1) Tableau budgétaire 1_Révisé'!$K$64:$K$102,LEFT($C47,1),'1) Tableau budgétaire 1_Révisé'!$D$64:$D$102)</f>
        <v>0</v>
      </c>
      <c r="L47" s="401">
        <f>SUMIF('1) Tableau budgétaire 1_Révisé'!$K$64:$K$102,LEFT($C47,1),'1) Tableau budgétaire 1_Révisé'!$E$64:$E$102)</f>
        <v>0</v>
      </c>
      <c r="M47" s="401">
        <f>SUMIF('1) Tableau budgétaire 1_Révisé'!$K$64:$K$102,LEFT($C47,1),'1) Tableau budgétaire 1_Révisé'!$F$64:$F$102)</f>
        <v>0</v>
      </c>
      <c r="N47" s="41">
        <f t="shared" si="17"/>
        <v>0</v>
      </c>
      <c r="O47" s="402"/>
      <c r="P47" s="397"/>
      <c r="Q47" s="397"/>
      <c r="R47" s="33" t="s">
        <v>51</v>
      </c>
      <c r="S47" s="401">
        <f>SUMIF('1) Tableau budgétaire 1_Révisé'!$V$64:$V$102,LEFT($R47,1),'1) Tableau budgétaire 1_Révisé'!$O$64:$O$102)</f>
        <v>17000</v>
      </c>
      <c r="T47" s="401">
        <f>SUMIF('1) Tableau budgétaire 1_Révisé'!$V$64:$V$102,LEFT($R47,1),'1) Tableau budgétaire 1_Révisé'!$P$64:$P$102)</f>
        <v>0</v>
      </c>
      <c r="U47" s="401">
        <f>SUMIF('1) Tableau budgétaire 1_Révisé'!$K$64:$K$102,LEFT($C47,1),'1) Tableau budgétaire 1_Révisé'!$F$64:$F$102)</f>
        <v>0</v>
      </c>
      <c r="V47" s="41">
        <f t="shared" si="19"/>
        <v>17000</v>
      </c>
    </row>
    <row r="48" spans="3:22" x14ac:dyDescent="0.35">
      <c r="C48" s="38" t="s">
        <v>497</v>
      </c>
      <c r="D48" s="47">
        <f t="shared" ref="D48:F48" si="20">SUM(D41:D47)</f>
        <v>167430.69</v>
      </c>
      <c r="E48" s="47">
        <f t="shared" si="20"/>
        <v>0</v>
      </c>
      <c r="F48" s="47">
        <f t="shared" si="20"/>
        <v>0</v>
      </c>
      <c r="G48" s="41">
        <f t="shared" si="16"/>
        <v>167430.69</v>
      </c>
      <c r="H48" s="397"/>
      <c r="I48" s="397"/>
      <c r="J48" s="38" t="s">
        <v>497</v>
      </c>
      <c r="K48" s="47">
        <f t="shared" ref="K48:M48" si="21">SUM(K41:K47)</f>
        <v>217430.69</v>
      </c>
      <c r="L48" s="47">
        <f t="shared" si="21"/>
        <v>0</v>
      </c>
      <c r="M48" s="47">
        <f t="shared" si="21"/>
        <v>0</v>
      </c>
      <c r="N48" s="41">
        <f t="shared" si="17"/>
        <v>217430.69</v>
      </c>
      <c r="O48" s="402"/>
      <c r="P48" s="397"/>
      <c r="Q48" s="397"/>
      <c r="R48" s="38" t="s">
        <v>497</v>
      </c>
      <c r="S48" s="47">
        <f t="shared" ref="S48:U48" si="22">SUM(S41:S47)</f>
        <v>338930.69</v>
      </c>
      <c r="T48" s="47">
        <f t="shared" si="22"/>
        <v>0</v>
      </c>
      <c r="U48" s="47">
        <f t="shared" si="22"/>
        <v>0</v>
      </c>
      <c r="V48" s="41">
        <f t="shared" si="19"/>
        <v>338930.69</v>
      </c>
    </row>
    <row r="49" spans="2:22" s="37" customFormat="1" x14ac:dyDescent="0.35">
      <c r="B49" s="398"/>
      <c r="C49" s="48"/>
      <c r="D49" s="49"/>
      <c r="E49" s="49"/>
      <c r="F49" s="49"/>
      <c r="G49" s="50"/>
      <c r="H49" s="398"/>
      <c r="I49" s="398"/>
      <c r="J49" s="398"/>
      <c r="K49" s="398"/>
      <c r="L49" s="398"/>
      <c r="M49" s="398"/>
      <c r="N49" s="398"/>
      <c r="O49" s="402"/>
      <c r="P49" s="398"/>
      <c r="Q49" s="398"/>
      <c r="R49" s="398"/>
      <c r="S49" s="398"/>
      <c r="T49" s="398"/>
      <c r="U49" s="398"/>
      <c r="V49" s="398"/>
    </row>
    <row r="50" spans="2:22" x14ac:dyDescent="0.35">
      <c r="B50" s="397"/>
      <c r="C50" s="669" t="s">
        <v>502</v>
      </c>
      <c r="D50" s="670"/>
      <c r="E50" s="670"/>
      <c r="F50" s="670"/>
      <c r="G50" s="671"/>
      <c r="H50" s="397"/>
      <c r="I50" s="397"/>
      <c r="J50" s="669" t="s">
        <v>502</v>
      </c>
      <c r="K50" s="670"/>
      <c r="L50" s="670"/>
      <c r="M50" s="670"/>
      <c r="N50" s="671"/>
      <c r="O50" s="402"/>
      <c r="P50" s="397"/>
      <c r="Q50" s="397"/>
      <c r="R50" s="669" t="s">
        <v>502</v>
      </c>
      <c r="S50" s="670"/>
      <c r="T50" s="670"/>
      <c r="U50" s="670"/>
      <c r="V50" s="671"/>
    </row>
    <row r="51" spans="2:22" ht="20.25" customHeight="1" thickBot="1" x14ac:dyDescent="0.4">
      <c r="B51" s="397"/>
      <c r="C51" s="44" t="s">
        <v>503</v>
      </c>
      <c r="D51" s="45">
        <f>'1) Tableau budgétaire 1_Révisé'!D110</f>
        <v>0</v>
      </c>
      <c r="E51" s="45">
        <f>'1) Tableau budgétaire 1_Révisé'!E110</f>
        <v>0</v>
      </c>
      <c r="F51" s="45">
        <f>'1) Tableau budgétaire 1_Révisé'!F110</f>
        <v>0</v>
      </c>
      <c r="G51" s="46">
        <f t="shared" ref="G51:G59" si="23">SUM(D51:F51)</f>
        <v>0</v>
      </c>
      <c r="H51" s="397"/>
      <c r="I51" s="397"/>
      <c r="J51" s="44" t="s">
        <v>503</v>
      </c>
      <c r="K51" s="45">
        <f>'1) Tableau budgétaire 1_Révisé'!D115</f>
        <v>0</v>
      </c>
      <c r="L51" s="45">
        <f>'1) Tableau budgétaire 1_Révisé'!E115</f>
        <v>0</v>
      </c>
      <c r="M51" s="45">
        <f>'1) Tableau budgétaire 1_Révisé'!F115</f>
        <v>0</v>
      </c>
      <c r="N51" s="46">
        <f t="shared" ref="N51:N59" si="24">SUM(K51:M51)</f>
        <v>0</v>
      </c>
      <c r="O51" s="402"/>
      <c r="P51" s="397"/>
      <c r="Q51" s="397"/>
      <c r="R51" s="44" t="s">
        <v>503</v>
      </c>
      <c r="S51" s="45">
        <f t="shared" ref="S51:U51" si="25">SUM(S52:S58)</f>
        <v>0</v>
      </c>
      <c r="T51" s="45">
        <f t="shared" si="25"/>
        <v>0</v>
      </c>
      <c r="U51" s="45">
        <f t="shared" si="25"/>
        <v>0</v>
      </c>
      <c r="V51" s="46">
        <f t="shared" ref="V51:V59" si="26">SUM(S51:U51)</f>
        <v>0</v>
      </c>
    </row>
    <row r="52" spans="2:22" x14ac:dyDescent="0.35">
      <c r="B52" s="397"/>
      <c r="C52" s="42" t="s">
        <v>45</v>
      </c>
      <c r="D52" s="401">
        <f>SUMIF('1) Tableau budgétaire 1 initial'!$K$91:$K$100,LEFT($C52,1),'1) Tableau budgétaire 1 initial'!$D$91:$D$100)</f>
        <v>0</v>
      </c>
      <c r="E52" s="401">
        <f>SUMIF('1) Tableau budgétaire 1 initial'!$K$91:$K$100,LEFT($C52,1),'1) Tableau budgétaire 1 initial'!$E$91:$E$100)</f>
        <v>0</v>
      </c>
      <c r="F52" s="401">
        <f>SUMIF('1) Tableau budgétaire 1_Révisé'!$K$91:$K$109,LEFT($C52,1),'1) Tableau budgétaire 1_Révisé'!$F$91:$F$109)</f>
        <v>0</v>
      </c>
      <c r="G52" s="43">
        <f t="shared" si="23"/>
        <v>0</v>
      </c>
      <c r="H52" s="397"/>
      <c r="I52" s="397"/>
      <c r="J52" s="42" t="s">
        <v>45</v>
      </c>
      <c r="K52" s="401">
        <f>SUMIF('1) Tableau budgétaire 1_Révisé'!$K$105:$K$114,LEFT($C52,1),'1) Tableau budgétaire 1_Révisé'!$D$105:$D$114)</f>
        <v>0</v>
      </c>
      <c r="L52" s="401">
        <f>SUMIF('1) Tableau budgétaire 1_Révisé'!$K$105:$K$114,LEFT($C52,1),'1) Tableau budgétaire 1_Révisé'!$E$105:$E$114)</f>
        <v>0</v>
      </c>
      <c r="M52" s="401">
        <f>SUMIF('1) Tableau budgétaire 1_Révisé'!$K$105:$K$114,LEFT($C52,1),'1) Tableau budgétaire 1_Révisé'!$F$105:$F$114)</f>
        <v>0</v>
      </c>
      <c r="N52" s="43">
        <f t="shared" si="24"/>
        <v>0</v>
      </c>
      <c r="O52" s="402"/>
      <c r="P52" s="397"/>
      <c r="Q52" s="397"/>
      <c r="R52" s="42" t="s">
        <v>45</v>
      </c>
      <c r="S52" s="401">
        <f>SUMIF('1) Tableau budgétaire 1_Révisé'!$V$105:$V$114,LEFT($R52,1),'1) Tableau budgétaire 1_Révisé'!$O$105:$O$114)</f>
        <v>0</v>
      </c>
      <c r="T52" s="401">
        <f>SUMIF('1) Tableau budgétaire 1_Révisé'!$V$105:$V$114,LEFT($R52,1),'1) Tableau budgétaire 1_Révisé'!$P$105:$P$114)</f>
        <v>0</v>
      </c>
      <c r="U52" s="401">
        <f>SUMIF('1) Tableau budgétaire 1_Révisé'!$K$105:$K$114,LEFT($C52,1),'1) Tableau budgétaire 1_Révisé'!$F$105:$F$114)</f>
        <v>0</v>
      </c>
      <c r="V52" s="43">
        <f t="shared" si="26"/>
        <v>0</v>
      </c>
    </row>
    <row r="53" spans="2:22" ht="15.75" customHeight="1" x14ac:dyDescent="0.35">
      <c r="B53" s="397"/>
      <c r="C53" s="33" t="s">
        <v>46</v>
      </c>
      <c r="D53" s="401">
        <f>SUMIF('1) Tableau budgétaire 1 initial'!$K$91:$K$100,LEFT($C53,1),'1) Tableau budgétaire 1 initial'!$D$91:$D$100)</f>
        <v>0</v>
      </c>
      <c r="E53" s="401">
        <f>SUMIF('1) Tableau budgétaire 1 initial'!$K$91:$K$100,LEFT($C53,1),'1) Tableau budgétaire 1 initial'!$E$91:$E$100)</f>
        <v>0</v>
      </c>
      <c r="F53" s="401">
        <f>SUMIF('1) Tableau budgétaire 1_Révisé'!$K$91:$K$109,LEFT($C53,1),'1) Tableau budgétaire 1_Révisé'!$F$91:$F$109)</f>
        <v>0</v>
      </c>
      <c r="G53" s="41">
        <f t="shared" si="23"/>
        <v>0</v>
      </c>
      <c r="H53" s="397"/>
      <c r="I53" s="397"/>
      <c r="J53" s="33" t="s">
        <v>46</v>
      </c>
      <c r="K53" s="401">
        <f>SUMIF('1) Tableau budgétaire 1_Révisé'!$K$105:$K$114,LEFT($C53,1),'1) Tableau budgétaire 1_Révisé'!$D$105:$D$114)</f>
        <v>0</v>
      </c>
      <c r="L53" s="401">
        <f>SUMIF('1) Tableau budgétaire 1_Révisé'!$K$105:$K$114,LEFT($C53,1),'1) Tableau budgétaire 1_Révisé'!$E$105:$E$114)</f>
        <v>0</v>
      </c>
      <c r="M53" s="401">
        <f>SUMIF('1) Tableau budgétaire 1_Révisé'!$K$105:$K$114,LEFT($C53,1),'1) Tableau budgétaire 1_Révisé'!$F$105:$F$114)</f>
        <v>0</v>
      </c>
      <c r="N53" s="41">
        <f t="shared" si="24"/>
        <v>0</v>
      </c>
      <c r="O53" s="402"/>
      <c r="P53" s="397"/>
      <c r="Q53" s="397"/>
      <c r="R53" s="33" t="s">
        <v>46</v>
      </c>
      <c r="S53" s="401">
        <f>SUMIF('1) Tableau budgétaire 1_Révisé'!$V$105:$V$114,LEFT($R53,1),'1) Tableau budgétaire 1_Révisé'!$O$105:$O$114)</f>
        <v>0</v>
      </c>
      <c r="T53" s="401">
        <f>SUMIF('1) Tableau budgétaire 1_Révisé'!$V$105:$V$114,LEFT($R53,1),'1) Tableau budgétaire 1_Révisé'!$P$105:$P$114)</f>
        <v>0</v>
      </c>
      <c r="U53" s="401">
        <f>SUMIF('1) Tableau budgétaire 1_Révisé'!$K$105:$K$114,LEFT($C53,1),'1) Tableau budgétaire 1_Révisé'!$F$105:$F$114)</f>
        <v>0</v>
      </c>
      <c r="V53" s="41">
        <f t="shared" si="26"/>
        <v>0</v>
      </c>
    </row>
    <row r="54" spans="2:22" ht="32.25" customHeight="1" x14ac:dyDescent="0.35">
      <c r="B54" s="397"/>
      <c r="C54" s="33" t="s">
        <v>47</v>
      </c>
      <c r="D54" s="401">
        <f>SUMIF('1) Tableau budgétaire 1 initial'!$K$91:$K$100,LEFT($C54,1),'1) Tableau budgétaire 1 initial'!$D$91:$D$100)</f>
        <v>0</v>
      </c>
      <c r="E54" s="401">
        <f>SUMIF('1) Tableau budgétaire 1 initial'!$K$91:$K$100,LEFT($C54,1),'1) Tableau budgétaire 1 initial'!$E$91:$E$100)</f>
        <v>0</v>
      </c>
      <c r="F54" s="401">
        <f>SUMIF('1) Tableau budgétaire 1_Révisé'!$K$91:$K$109,LEFT($C54,1),'1) Tableau budgétaire 1_Révisé'!$F$91:$F$109)</f>
        <v>0</v>
      </c>
      <c r="G54" s="41">
        <f t="shared" si="23"/>
        <v>0</v>
      </c>
      <c r="H54" s="397"/>
      <c r="I54" s="397"/>
      <c r="J54" s="33" t="s">
        <v>47</v>
      </c>
      <c r="K54" s="401">
        <f>SUMIF('1) Tableau budgétaire 1_Révisé'!$K$105:$K$114,LEFT($C54,1),'1) Tableau budgétaire 1_Révisé'!$D$105:$D$114)</f>
        <v>0</v>
      </c>
      <c r="L54" s="401">
        <f>SUMIF('1) Tableau budgétaire 1_Révisé'!$K$105:$K$114,LEFT($C54,1),'1) Tableau budgétaire 1_Révisé'!$E$105:$E$114)</f>
        <v>0</v>
      </c>
      <c r="M54" s="401">
        <f>SUMIF('1) Tableau budgétaire 1_Révisé'!$K$105:$K$114,LEFT($C54,1),'1) Tableau budgétaire 1_Révisé'!$F$105:$F$114)</f>
        <v>0</v>
      </c>
      <c r="N54" s="41">
        <f t="shared" si="24"/>
        <v>0</v>
      </c>
      <c r="O54" s="402"/>
      <c r="P54" s="397"/>
      <c r="Q54" s="397"/>
      <c r="R54" s="33" t="s">
        <v>47</v>
      </c>
      <c r="S54" s="401">
        <f>SUMIF('1) Tableau budgétaire 1_Révisé'!$V$105:$V$114,LEFT($R54,1),'1) Tableau budgétaire 1_Révisé'!$O$105:$O$114)</f>
        <v>0</v>
      </c>
      <c r="T54" s="401">
        <f>SUMIF('1) Tableau budgétaire 1_Révisé'!$V$105:$V$114,LEFT($R54,1),'1) Tableau budgétaire 1_Révisé'!$P$105:$P$114)</f>
        <v>0</v>
      </c>
      <c r="U54" s="401">
        <f>SUMIF('1) Tableau budgétaire 1_Révisé'!$K$105:$K$114,LEFT($C54,1),'1) Tableau budgétaire 1_Révisé'!$F$105:$F$114)</f>
        <v>0</v>
      </c>
      <c r="V54" s="41">
        <f t="shared" si="26"/>
        <v>0</v>
      </c>
    </row>
    <row r="55" spans="2:22" s="37" customFormat="1" x14ac:dyDescent="0.35">
      <c r="B55" s="398"/>
      <c r="C55" s="34" t="s">
        <v>48</v>
      </c>
      <c r="D55" s="401">
        <f>SUMIF('1) Tableau budgétaire 1 initial'!$K$91:$K$100,LEFT($C55,1),'1) Tableau budgétaire 1 initial'!$D$91:$D$100)</f>
        <v>0</v>
      </c>
      <c r="E55" s="401">
        <f>SUMIF('1) Tableau budgétaire 1 initial'!$K$91:$K$100,LEFT($C55,1),'1) Tableau budgétaire 1 initial'!$E$91:$E$100)</f>
        <v>0</v>
      </c>
      <c r="F55" s="401">
        <f>SUMIF('1) Tableau budgétaire 1_Révisé'!$K$91:$K$109,LEFT($C55,1),'1) Tableau budgétaire 1_Révisé'!$F$91:$F$109)</f>
        <v>0</v>
      </c>
      <c r="G55" s="41">
        <f t="shared" si="23"/>
        <v>0</v>
      </c>
      <c r="H55" s="398"/>
      <c r="I55" s="398"/>
      <c r="J55" s="34" t="s">
        <v>48</v>
      </c>
      <c r="K55" s="401">
        <f>SUMIF('1) Tableau budgétaire 1_Révisé'!$K$105:$K$114,LEFT($C55,1),'1) Tableau budgétaire 1_Révisé'!$D$105:$D$114)</f>
        <v>0</v>
      </c>
      <c r="L55" s="401">
        <f>SUMIF('1) Tableau budgétaire 1_Révisé'!$K$105:$K$114,LEFT($C55,1),'1) Tableau budgétaire 1_Révisé'!$E$105:$E$114)</f>
        <v>0</v>
      </c>
      <c r="M55" s="401">
        <f>SUMIF('1) Tableau budgétaire 1_Révisé'!$K$105:$K$114,LEFT($C55,1),'1) Tableau budgétaire 1_Révisé'!$F$105:$F$114)</f>
        <v>0</v>
      </c>
      <c r="N55" s="41">
        <f t="shared" si="24"/>
        <v>0</v>
      </c>
      <c r="O55" s="402"/>
      <c r="P55" s="398"/>
      <c r="Q55" s="398"/>
      <c r="R55" s="34" t="s">
        <v>48</v>
      </c>
      <c r="S55" s="401">
        <f>SUMIF('1) Tableau budgétaire 1_Révisé'!$V$105:$V$114,LEFT($R55,1),'1) Tableau budgétaire 1_Révisé'!$O$105:$O$114)</f>
        <v>0</v>
      </c>
      <c r="T55" s="401">
        <f>SUMIF('1) Tableau budgétaire 1_Révisé'!$V$105:$V$114,LEFT($R55,1),'1) Tableau budgétaire 1_Révisé'!$P$105:$P$114)</f>
        <v>0</v>
      </c>
      <c r="U55" s="401">
        <f>SUMIF('1) Tableau budgétaire 1_Révisé'!$K$105:$K$114,LEFT($C55,1),'1) Tableau budgétaire 1_Révisé'!$F$105:$F$114)</f>
        <v>0</v>
      </c>
      <c r="V55" s="41">
        <f t="shared" si="26"/>
        <v>0</v>
      </c>
    </row>
    <row r="56" spans="2:22" x14ac:dyDescent="0.35">
      <c r="B56" s="397"/>
      <c r="C56" s="33" t="s">
        <v>49</v>
      </c>
      <c r="D56" s="401">
        <f>SUMIF('1) Tableau budgétaire 1 initial'!$K$91:$K$100,LEFT($C56,1),'1) Tableau budgétaire 1 initial'!$D$91:$D$100)</f>
        <v>0</v>
      </c>
      <c r="E56" s="401">
        <f>SUMIF('1) Tableau budgétaire 1 initial'!$K$91:$K$100,LEFT($C56,1),'1) Tableau budgétaire 1 initial'!$E$91:$E$100)</f>
        <v>0</v>
      </c>
      <c r="F56" s="401">
        <f>SUMIF('1) Tableau budgétaire 1_Révisé'!$K$91:$K$109,LEFT($C56,1),'1) Tableau budgétaire 1_Révisé'!$F$91:$F$109)</f>
        <v>0</v>
      </c>
      <c r="G56" s="41">
        <f t="shared" si="23"/>
        <v>0</v>
      </c>
      <c r="H56" s="397"/>
      <c r="I56" s="397"/>
      <c r="J56" s="33" t="s">
        <v>49</v>
      </c>
      <c r="K56" s="401">
        <f>SUMIF('1) Tableau budgétaire 1_Révisé'!$K$105:$K$114,LEFT($C56,1),'1) Tableau budgétaire 1_Révisé'!$D$105:$D$114)</f>
        <v>0</v>
      </c>
      <c r="L56" s="401">
        <f>SUMIF('1) Tableau budgétaire 1_Révisé'!$K$105:$K$114,LEFT($C56,1),'1) Tableau budgétaire 1_Révisé'!$E$105:$E$114)</f>
        <v>0</v>
      </c>
      <c r="M56" s="401">
        <f>SUMIF('1) Tableau budgétaire 1_Révisé'!$K$105:$K$114,LEFT($C56,1),'1) Tableau budgétaire 1_Révisé'!$F$105:$F$114)</f>
        <v>0</v>
      </c>
      <c r="N56" s="41">
        <f t="shared" si="24"/>
        <v>0</v>
      </c>
      <c r="O56" s="402"/>
      <c r="P56" s="397"/>
      <c r="Q56" s="397"/>
      <c r="R56" s="33" t="s">
        <v>49</v>
      </c>
      <c r="S56" s="401">
        <f>SUMIF('1) Tableau budgétaire 1_Révisé'!$V$105:$V$114,LEFT($R56,1),'1) Tableau budgétaire 1_Révisé'!$O$105:$O$114)</f>
        <v>0</v>
      </c>
      <c r="T56" s="401">
        <f>SUMIF('1) Tableau budgétaire 1_Révisé'!$V$105:$V$114,LEFT($R56,1),'1) Tableau budgétaire 1_Révisé'!$P$105:$P$114)</f>
        <v>0</v>
      </c>
      <c r="U56" s="401">
        <f>SUMIF('1) Tableau budgétaire 1_Révisé'!$K$105:$K$114,LEFT($C56,1),'1) Tableau budgétaire 1_Révisé'!$F$105:$F$114)</f>
        <v>0</v>
      </c>
      <c r="V56" s="41">
        <f t="shared" si="26"/>
        <v>0</v>
      </c>
    </row>
    <row r="57" spans="2:22" x14ac:dyDescent="0.35">
      <c r="B57" s="397"/>
      <c r="C57" s="33" t="s">
        <v>50</v>
      </c>
      <c r="D57" s="401">
        <f>SUMIF('1) Tableau budgétaire 1 initial'!$K$91:$K$100,LEFT($C57,1),'1) Tableau budgétaire 1 initial'!$D$91:$D$100)</f>
        <v>0</v>
      </c>
      <c r="E57" s="401">
        <f>SUMIF('1) Tableau budgétaire 1 initial'!$K$91:$K$100,LEFT($C57,1),'1) Tableau budgétaire 1 initial'!$E$91:$E$100)</f>
        <v>0</v>
      </c>
      <c r="F57" s="401">
        <f>SUMIF('1) Tableau budgétaire 1_Révisé'!$K$91:$K$109,LEFT($C57,1),'1) Tableau budgétaire 1_Révisé'!$F$91:$F$109)</f>
        <v>0</v>
      </c>
      <c r="G57" s="41">
        <f t="shared" si="23"/>
        <v>0</v>
      </c>
      <c r="H57" s="397"/>
      <c r="I57" s="397"/>
      <c r="J57" s="33" t="s">
        <v>50</v>
      </c>
      <c r="K57" s="401">
        <f>SUMIF('1) Tableau budgétaire 1_Révisé'!$K$105:$K$114,LEFT($C57,1),'1) Tableau budgétaire 1_Révisé'!$D$105:$D$114)</f>
        <v>0</v>
      </c>
      <c r="L57" s="401">
        <f>SUMIF('1) Tableau budgétaire 1_Révisé'!$K$105:$K$114,LEFT($C57,1),'1) Tableau budgétaire 1_Révisé'!$E$105:$E$114)</f>
        <v>0</v>
      </c>
      <c r="M57" s="401">
        <f>SUMIF('1) Tableau budgétaire 1_Révisé'!$K$105:$K$114,LEFT($C57,1),'1) Tableau budgétaire 1_Révisé'!$F$105:$F$114)</f>
        <v>0</v>
      </c>
      <c r="N57" s="41">
        <f t="shared" si="24"/>
        <v>0</v>
      </c>
      <c r="O57" s="402"/>
      <c r="P57" s="397"/>
      <c r="Q57" s="397"/>
      <c r="R57" s="33" t="s">
        <v>50</v>
      </c>
      <c r="S57" s="401">
        <f>SUMIF('1) Tableau budgétaire 1_Révisé'!$V$105:$V$114,LEFT($R57,1),'1) Tableau budgétaire 1_Révisé'!$O$105:$O$114)</f>
        <v>0</v>
      </c>
      <c r="T57" s="401">
        <f>SUMIF('1) Tableau budgétaire 1_Révisé'!$V$105:$V$114,LEFT($R57,1),'1) Tableau budgétaire 1_Révisé'!$P$105:$P$114)</f>
        <v>0</v>
      </c>
      <c r="U57" s="401">
        <f>SUMIF('1) Tableau budgétaire 1_Révisé'!$K$105:$K$114,LEFT($C57,1),'1) Tableau budgétaire 1_Révisé'!$F$105:$F$114)</f>
        <v>0</v>
      </c>
      <c r="V57" s="41">
        <f t="shared" si="26"/>
        <v>0</v>
      </c>
    </row>
    <row r="58" spans="2:22" ht="31" x14ac:dyDescent="0.35">
      <c r="B58" s="397"/>
      <c r="C58" s="33" t="s">
        <v>51</v>
      </c>
      <c r="D58" s="401">
        <f>SUMIF('1) Tableau budgétaire 1 initial'!$K$91:$K$100,LEFT($C58,1),'1) Tableau budgétaire 1 initial'!$D$91:$D$100)</f>
        <v>0</v>
      </c>
      <c r="E58" s="401">
        <f>SUMIF('1) Tableau budgétaire 1 initial'!$K$91:$K$100,LEFT($C58,1),'1) Tableau budgétaire 1 initial'!$E$91:$E$100)</f>
        <v>0</v>
      </c>
      <c r="F58" s="401">
        <f>SUMIF('1) Tableau budgétaire 1_Révisé'!$K$91:$K$109,LEFT($C58,1),'1) Tableau budgétaire 1_Révisé'!$F$91:$F$109)</f>
        <v>0</v>
      </c>
      <c r="G58" s="41">
        <f t="shared" si="23"/>
        <v>0</v>
      </c>
      <c r="H58" s="397"/>
      <c r="I58" s="397"/>
      <c r="J58" s="33" t="s">
        <v>51</v>
      </c>
      <c r="K58" s="401">
        <f>SUMIF('1) Tableau budgétaire 1_Révisé'!$K$105:$K$114,LEFT($C58,1),'1) Tableau budgétaire 1_Révisé'!$D$105:$D$114)</f>
        <v>0</v>
      </c>
      <c r="L58" s="401">
        <f>SUMIF('1) Tableau budgétaire 1_Révisé'!$K$105:$K$114,LEFT($C58,1),'1) Tableau budgétaire 1_Révisé'!$E$105:$E$114)</f>
        <v>0</v>
      </c>
      <c r="M58" s="401">
        <f>SUMIF('1) Tableau budgétaire 1_Révisé'!$K$105:$K$114,LEFT($C58,1),'1) Tableau budgétaire 1_Révisé'!$F$105:$F$114)</f>
        <v>0</v>
      </c>
      <c r="N58" s="41">
        <f t="shared" si="24"/>
        <v>0</v>
      </c>
      <c r="O58" s="402"/>
      <c r="P58" s="397"/>
      <c r="Q58" s="397"/>
      <c r="R58" s="33" t="s">
        <v>51</v>
      </c>
      <c r="S58" s="401">
        <f>SUMIF('1) Tableau budgétaire 1_Révisé'!$V$105:$V$114,LEFT($R58,1),'1) Tableau budgétaire 1_Révisé'!$O$105:$O$114)</f>
        <v>0</v>
      </c>
      <c r="T58" s="401">
        <f>SUMIF('1) Tableau budgétaire 1_Révisé'!$V$105:$V$114,LEFT($R58,1),'1) Tableau budgétaire 1_Révisé'!$P$105:$P$114)</f>
        <v>0</v>
      </c>
      <c r="U58" s="401">
        <f>SUMIF('1) Tableau budgétaire 1_Révisé'!$K$105:$K$114,LEFT($C58,1),'1) Tableau budgétaire 1_Révisé'!$F$105:$F$114)</f>
        <v>0</v>
      </c>
      <c r="V58" s="41">
        <f t="shared" si="26"/>
        <v>0</v>
      </c>
    </row>
    <row r="59" spans="2:22" ht="21" customHeight="1" x14ac:dyDescent="0.35">
      <c r="B59" s="397"/>
      <c r="C59" s="38" t="s">
        <v>497</v>
      </c>
      <c r="D59" s="47">
        <f t="shared" ref="D59:E59" si="27">SUM(D52:D58)</f>
        <v>0</v>
      </c>
      <c r="E59" s="47">
        <f t="shared" si="27"/>
        <v>0</v>
      </c>
      <c r="F59" s="47">
        <f t="shared" ref="F59" si="28">SUM(F52:F58)</f>
        <v>0</v>
      </c>
      <c r="G59" s="41">
        <f t="shared" si="23"/>
        <v>0</v>
      </c>
      <c r="H59" s="397"/>
      <c r="I59" s="397"/>
      <c r="J59" s="38" t="s">
        <v>497</v>
      </c>
      <c r="K59" s="47">
        <f t="shared" ref="K59:L59" si="29">SUM(K52:K58)</f>
        <v>0</v>
      </c>
      <c r="L59" s="47">
        <f t="shared" si="29"/>
        <v>0</v>
      </c>
      <c r="M59" s="47">
        <f t="shared" ref="M59" si="30">SUM(M52:M58)</f>
        <v>0</v>
      </c>
      <c r="N59" s="41">
        <f t="shared" si="24"/>
        <v>0</v>
      </c>
      <c r="O59" s="402"/>
      <c r="P59" s="397"/>
      <c r="Q59" s="397"/>
      <c r="R59" s="38" t="s">
        <v>497</v>
      </c>
      <c r="S59" s="47">
        <f t="shared" ref="S59:U59" si="31">SUM(S52:S58)</f>
        <v>0</v>
      </c>
      <c r="T59" s="47">
        <f t="shared" si="31"/>
        <v>0</v>
      </c>
      <c r="U59" s="47">
        <f t="shared" si="31"/>
        <v>0</v>
      </c>
      <c r="V59" s="41">
        <f t="shared" si="26"/>
        <v>0</v>
      </c>
    </row>
    <row r="60" spans="2:22" s="37" customFormat="1" ht="22.5" customHeight="1" x14ac:dyDescent="0.35">
      <c r="B60" s="398"/>
      <c r="C60" s="51"/>
      <c r="D60" s="49"/>
      <c r="E60" s="49"/>
      <c r="F60" s="49"/>
      <c r="G60" s="50"/>
      <c r="H60" s="398"/>
      <c r="I60" s="398"/>
      <c r="J60" s="398"/>
      <c r="K60" s="398"/>
      <c r="L60" s="398"/>
      <c r="M60" s="398"/>
      <c r="N60" s="398"/>
      <c r="O60" s="402"/>
      <c r="P60" s="398"/>
      <c r="Q60" s="398"/>
      <c r="R60" s="398"/>
      <c r="S60" s="398"/>
      <c r="T60" s="398"/>
      <c r="U60" s="398"/>
      <c r="V60" s="398"/>
    </row>
    <row r="61" spans="2:22" x14ac:dyDescent="0.35">
      <c r="B61" s="669" t="s">
        <v>504</v>
      </c>
      <c r="C61" s="670"/>
      <c r="D61" s="670"/>
      <c r="E61" s="670"/>
      <c r="F61" s="670"/>
      <c r="G61" s="671"/>
      <c r="H61" s="397"/>
      <c r="I61" s="669" t="s">
        <v>504</v>
      </c>
      <c r="J61" s="670"/>
      <c r="K61" s="670"/>
      <c r="L61" s="670"/>
      <c r="M61" s="670"/>
      <c r="N61" s="671"/>
      <c r="O61" s="402"/>
      <c r="P61" s="397"/>
      <c r="Q61" s="669" t="s">
        <v>504</v>
      </c>
      <c r="R61" s="670"/>
      <c r="S61" s="670"/>
      <c r="T61" s="670"/>
      <c r="U61" s="670"/>
      <c r="V61" s="671"/>
    </row>
    <row r="62" spans="2:22" x14ac:dyDescent="0.35">
      <c r="B62" s="397"/>
      <c r="C62" s="669" t="s">
        <v>17</v>
      </c>
      <c r="D62" s="670"/>
      <c r="E62" s="670"/>
      <c r="F62" s="670"/>
      <c r="G62" s="671"/>
      <c r="H62" s="397"/>
      <c r="I62" s="397"/>
      <c r="J62" s="669" t="s">
        <v>17</v>
      </c>
      <c r="K62" s="670"/>
      <c r="L62" s="670"/>
      <c r="M62" s="670"/>
      <c r="N62" s="671"/>
      <c r="O62" s="402"/>
      <c r="P62" s="397"/>
      <c r="Q62" s="397"/>
      <c r="R62" s="669" t="s">
        <v>17</v>
      </c>
      <c r="S62" s="670"/>
      <c r="T62" s="670"/>
      <c r="U62" s="670"/>
      <c r="V62" s="671"/>
    </row>
    <row r="63" spans="2:22" ht="24" customHeight="1" thickBot="1" x14ac:dyDescent="0.4">
      <c r="B63" s="397"/>
      <c r="C63" s="44" t="s">
        <v>505</v>
      </c>
      <c r="D63" s="45">
        <f>'1) Tableau budgétaire 1_Révisé'!D257</f>
        <v>25000</v>
      </c>
      <c r="E63" s="45">
        <f>'1) Tableau budgétaire 1_Révisé'!E257</f>
        <v>614999</v>
      </c>
      <c r="F63" s="45">
        <f>'1) Tableau budgétaire 1_Révisé'!F257</f>
        <v>0</v>
      </c>
      <c r="G63" s="46">
        <f>SUM(D63:F63)</f>
        <v>639999</v>
      </c>
      <c r="H63" s="397"/>
      <c r="I63" s="397"/>
      <c r="J63" s="44" t="s">
        <v>505</v>
      </c>
      <c r="K63" s="45">
        <f>'1) Tableau budgétaire 1_Révisé'!D257</f>
        <v>25000</v>
      </c>
      <c r="L63" s="45">
        <f>'1) Tableau budgétaire 1_Révisé'!E257</f>
        <v>614999</v>
      </c>
      <c r="M63" s="45">
        <f>'1) Tableau budgétaire 1_Révisé'!F257</f>
        <v>0</v>
      </c>
      <c r="N63" s="46">
        <f>SUM(K63:M63)</f>
        <v>639999</v>
      </c>
      <c r="O63" s="402"/>
      <c r="P63" s="397"/>
      <c r="Q63" s="397"/>
      <c r="R63" s="44" t="s">
        <v>505</v>
      </c>
      <c r="S63" s="45">
        <f>SUM(S64:S70)</f>
        <v>309500</v>
      </c>
      <c r="T63" s="45">
        <f t="shared" ref="T63:U63" si="32">SUM(T64:T70)</f>
        <v>985363.38</v>
      </c>
      <c r="U63" s="45">
        <f t="shared" si="32"/>
        <v>0</v>
      </c>
      <c r="V63" s="46">
        <f>SUM(S63:U63)</f>
        <v>1294863.3799999999</v>
      </c>
    </row>
    <row r="64" spans="2:22" ht="15.75" customHeight="1" x14ac:dyDescent="0.35">
      <c r="B64" s="397"/>
      <c r="C64" s="42" t="s">
        <v>45</v>
      </c>
      <c r="D64" s="401">
        <f>SUMIF('1) Tableau budgétaire 1 initial'!$K$105:$K$199,LEFT($C64,1),'1) Tableau budgétaire 1 initial'!$D$105:$D$199)</f>
        <v>0</v>
      </c>
      <c r="E64" s="401">
        <f>SUMIF('1) Tableau budgétaire 1 initial'!$K$105:$K$199,LEFT($C64,1),'1) Tableau budgétaire 1 initial'!$E$105:$E$199)</f>
        <v>0</v>
      </c>
      <c r="F64" s="401">
        <f>SUMIF('1) Tableau budgétaire 1_Révisé'!$K$119:$K$256,LEFT($C64,1),'1) Tableau budgétaire 1_Révisé'!$F$119:$F$256)</f>
        <v>0</v>
      </c>
      <c r="G64" s="43">
        <f t="shared" ref="G64:G70" si="33">SUM(D64:F64)</f>
        <v>0</v>
      </c>
      <c r="H64" s="397"/>
      <c r="I64" s="397"/>
      <c r="J64" s="42" t="s">
        <v>45</v>
      </c>
      <c r="K64" s="401">
        <f>SUMIF('1) Tableau budgétaire 1_Révisé'!$K$119:$K$256,LEFT($C64,1),'1) Tableau budgétaire 1_Révisé'!$D$119:$D$256)</f>
        <v>0</v>
      </c>
      <c r="L64" s="401">
        <f>SUMIF('1) Tableau budgétaire 1_Révisé'!$K$119:$K$256,LEFT($C64,1),'1) Tableau budgétaire 1_Révisé'!$E$119:$E$256)</f>
        <v>0</v>
      </c>
      <c r="M64" s="401">
        <f>SUMIF('1) Tableau budgétaire 1_Révisé'!$K$119:$K$256,LEFT($C64,1),'1) Tableau budgétaire 1_Révisé'!$F$119:$F$256)</f>
        <v>0</v>
      </c>
      <c r="N64" s="43">
        <f t="shared" ref="N64:N70" si="34">SUM(K64:M64)</f>
        <v>0</v>
      </c>
      <c r="O64" s="402"/>
      <c r="P64" s="397"/>
      <c r="Q64" s="397"/>
      <c r="R64" s="42" t="s">
        <v>45</v>
      </c>
      <c r="S64" s="401">
        <f>SUMIF('1) Tableau budgétaire 1_Révisé'!$V$119:$V$256,LEFT($R64,1),'1) Tableau budgétaire 1_Révisé'!$O$119:$O$256)</f>
        <v>0</v>
      </c>
      <c r="T64" s="401">
        <f>SUMIF('1) Tableau budgétaire 1_Révisé'!$V$119:$V$256,LEFT($R64,1),'1) Tableau budgétaire 1_Révisé'!$P$119:$P$256)</f>
        <v>5000</v>
      </c>
      <c r="U64" s="401">
        <f>SUMIF('1) Tableau budgétaire 1_Révisé'!$K$119:$K$256,LEFT($C64,1),'1) Tableau budgétaire 1_Révisé'!$F$119:$F$256)</f>
        <v>0</v>
      </c>
      <c r="V64" s="43">
        <f t="shared" ref="V64:V70" si="35">SUM(S64:U64)</f>
        <v>5000</v>
      </c>
    </row>
    <row r="65" spans="2:22" ht="15.75" customHeight="1" x14ac:dyDescent="0.35">
      <c r="B65" s="397"/>
      <c r="C65" s="33" t="s">
        <v>46</v>
      </c>
      <c r="D65" s="401">
        <f>SUMIF('1) Tableau budgétaire 1 initial'!$K$105:$K$199,LEFT($C65,1),'1) Tableau budgétaire 1 initial'!$D$105:$D$199)</f>
        <v>0</v>
      </c>
      <c r="E65" s="401">
        <f>SUMIF('1) Tableau budgétaire 1 initial'!$K$105:$K$199,LEFT($C65,1),'1) Tableau budgétaire 1 initial'!$E$105:$E$199)</f>
        <v>246120</v>
      </c>
      <c r="F65" s="401">
        <f>SUMIF('1) Tableau budgétaire 1_Révisé'!$K$119:$K$256,LEFT($C65,1),'1) Tableau budgétaire 1_Révisé'!$F$119:$F$256)</f>
        <v>0</v>
      </c>
      <c r="G65" s="278">
        <f t="shared" si="33"/>
        <v>246120</v>
      </c>
      <c r="H65" s="397"/>
      <c r="I65" s="397"/>
      <c r="J65" s="33" t="s">
        <v>46</v>
      </c>
      <c r="K65" s="401">
        <f>SUMIF('1) Tableau budgétaire 1_Révisé'!$K$119:$K$256,LEFT($C65,1),'1) Tableau budgétaire 1_Révisé'!$D$119:$D$256)</f>
        <v>0</v>
      </c>
      <c r="L65" s="243">
        <f>SUMIF('1) Tableau budgétaire 1_Révisé'!$K$119:$K$256,LEFT($C65,1),'1) Tableau budgétaire 1_Révisé'!$E$119:$E$256)</f>
        <v>276720</v>
      </c>
      <c r="M65" s="401">
        <f>SUMIF('1) Tableau budgétaire 1_Révisé'!$K$119:$K$256,LEFT($C65,1),'1) Tableau budgétaire 1_Révisé'!$F$119:$F$256)</f>
        <v>0</v>
      </c>
      <c r="N65" s="244">
        <f t="shared" si="34"/>
        <v>276720</v>
      </c>
      <c r="O65" s="402"/>
      <c r="P65" s="397"/>
      <c r="Q65" s="397"/>
      <c r="R65" s="33" t="s">
        <v>46</v>
      </c>
      <c r="S65" s="401">
        <f>SUMIF('1) Tableau budgétaire 1_Révisé'!$V$119:$V$256,LEFT($R65,1),'1) Tableau budgétaire 1_Révisé'!$O$119:$O$256)</f>
        <v>117000</v>
      </c>
      <c r="T65" s="401">
        <f>SUMIF('1) Tableau budgétaire 1_Révisé'!$V$119:$V$256,LEFT($R65,1),'1) Tableau budgétaire 1_Révisé'!$P$119:$P$256)</f>
        <v>333135</v>
      </c>
      <c r="U65" s="401">
        <f>SUMIF('1) Tableau budgétaire 1_Révisé'!$K$119:$K$256,LEFT($C65,1),'1) Tableau budgétaire 1_Révisé'!$F$119:$F$256)</f>
        <v>0</v>
      </c>
      <c r="V65" s="244">
        <f t="shared" si="35"/>
        <v>450135</v>
      </c>
    </row>
    <row r="66" spans="2:22" ht="15.75" customHeight="1" x14ac:dyDescent="0.35">
      <c r="B66" s="397"/>
      <c r="C66" s="33" t="s">
        <v>47</v>
      </c>
      <c r="D66" s="401">
        <f>SUMIF('1) Tableau budgétaire 1 initial'!$K$105:$K$199,LEFT($C66,1),'1) Tableau budgétaire 1 initial'!$D$105:$D$199)</f>
        <v>0</v>
      </c>
      <c r="E66" s="401">
        <f>SUMIF('1) Tableau budgétaire 1 initial'!$K$105:$K$199,LEFT($C66,1),'1) Tableau budgétaire 1 initial'!$E$105:$E$199)</f>
        <v>0</v>
      </c>
      <c r="F66" s="401">
        <f>SUMIF('1) Tableau budgétaire 1_Révisé'!$K$119:$K$256,LEFT($C66,1),'1) Tableau budgétaire 1_Révisé'!$F$119:$F$256)</f>
        <v>0</v>
      </c>
      <c r="G66" s="41">
        <f t="shared" si="33"/>
        <v>0</v>
      </c>
      <c r="H66" s="397"/>
      <c r="I66" s="397"/>
      <c r="J66" s="33" t="s">
        <v>47</v>
      </c>
      <c r="K66" s="401">
        <f>SUMIF('1) Tableau budgétaire 1_Révisé'!$K$119:$K$256,LEFT($C66,1),'1) Tableau budgétaire 1_Révisé'!$D$119:$D$256)</f>
        <v>0</v>
      </c>
      <c r="L66" s="401">
        <f>SUMIF('1) Tableau budgétaire 1_Révisé'!$K$119:$K$256,LEFT($C66,1),'1) Tableau budgétaire 1_Révisé'!$E$119:$E$256)</f>
        <v>0</v>
      </c>
      <c r="M66" s="401">
        <f>SUMIF('1) Tableau budgétaire 1_Révisé'!$K$119:$K$256,LEFT($C66,1),'1) Tableau budgétaire 1_Révisé'!$F$119:$F$256)</f>
        <v>0</v>
      </c>
      <c r="N66" s="41">
        <f t="shared" si="34"/>
        <v>0</v>
      </c>
      <c r="O66" s="402"/>
      <c r="P66" s="397"/>
      <c r="Q66" s="397"/>
      <c r="R66" s="33" t="s">
        <v>47</v>
      </c>
      <c r="S66" s="401">
        <f>SUMIF('1) Tableau budgétaire 1_Révisé'!$V$119:$V$256,LEFT($R66,1),'1) Tableau budgétaire 1_Révisé'!$O$119:$O$256)</f>
        <v>0</v>
      </c>
      <c r="T66" s="401">
        <f>SUMIF('1) Tableau budgétaire 1_Révisé'!$V$119:$V$256,LEFT($R66,1),'1) Tableau budgétaire 1_Révisé'!$P$119:$P$256)</f>
        <v>5400</v>
      </c>
      <c r="U66" s="401">
        <f>SUMIF('1) Tableau budgétaire 1_Révisé'!$K$119:$K$256,LEFT($C66,1),'1) Tableau budgétaire 1_Révisé'!$F$119:$F$256)</f>
        <v>0</v>
      </c>
      <c r="V66" s="41">
        <f t="shared" si="35"/>
        <v>5400</v>
      </c>
    </row>
    <row r="67" spans="2:22" ht="18.75" customHeight="1" x14ac:dyDescent="0.35">
      <c r="B67" s="397"/>
      <c r="C67" s="34" t="s">
        <v>48</v>
      </c>
      <c r="D67" s="401">
        <f>SUMIF('1) Tableau budgétaire 1 initial'!$K$105:$K$199,LEFT($C67,1),'1) Tableau budgétaire 1 initial'!$D$105:$D$199)</f>
        <v>0</v>
      </c>
      <c r="E67" s="401">
        <f>SUMIF('1) Tableau budgétaire 1 initial'!$K$105:$K$199,LEFT($C67,1),'1) Tableau budgétaire 1 initial'!$E$105:$E$199)</f>
        <v>115000</v>
      </c>
      <c r="F67" s="401">
        <f>SUMIF('1) Tableau budgétaire 1_Révisé'!$K$119:$K$256,LEFT($C67,1),'1) Tableau budgétaire 1_Révisé'!$F$119:$F$256)</f>
        <v>0</v>
      </c>
      <c r="G67" s="278">
        <f t="shared" si="33"/>
        <v>115000</v>
      </c>
      <c r="H67" s="397"/>
      <c r="I67" s="397"/>
      <c r="J67" s="34" t="s">
        <v>48</v>
      </c>
      <c r="K67" s="401">
        <f>SUMIF('1) Tableau budgétaire 1_Révisé'!$K$119:$K$256,LEFT($C67,1),'1) Tableau budgétaire 1_Révisé'!$D$119:$D$256)</f>
        <v>0</v>
      </c>
      <c r="L67" s="243">
        <f>SUMIF('1) Tableau budgétaire 1_Révisé'!$K$119:$K$256,LEFT($C67,1),'1) Tableau budgétaire 1_Révisé'!$E$119:$E$256)</f>
        <v>116374</v>
      </c>
      <c r="M67" s="401">
        <f>SUMIF('1) Tableau budgétaire 1_Révisé'!$K$119:$K$256,LEFT($C67,1),'1) Tableau budgétaire 1_Révisé'!$F$119:$F$256)</f>
        <v>0</v>
      </c>
      <c r="N67" s="244">
        <f t="shared" si="34"/>
        <v>116374</v>
      </c>
      <c r="O67" s="402"/>
      <c r="P67" s="397"/>
      <c r="Q67" s="397"/>
      <c r="R67" s="34" t="s">
        <v>48</v>
      </c>
      <c r="S67" s="401">
        <f>SUMIF('1) Tableau budgétaire 1_Révisé'!$V$119:$V$256,LEFT($R67,1),'1) Tableau budgétaire 1_Révisé'!$O$119:$O$256)</f>
        <v>8000</v>
      </c>
      <c r="T67" s="401">
        <f>SUMIF('1) Tableau budgétaire 1_Révisé'!$V$119:$V$256,LEFT($R67,1),'1) Tableau budgétaire 1_Révisé'!$P$119:$P$256)</f>
        <v>419932</v>
      </c>
      <c r="U67" s="401">
        <f>SUMIF('1) Tableau budgétaire 1_Révisé'!$K$119:$K$256,LEFT($C67,1),'1) Tableau budgétaire 1_Révisé'!$F$119:$F$256)</f>
        <v>0</v>
      </c>
      <c r="V67" s="244">
        <f t="shared" si="35"/>
        <v>427932</v>
      </c>
    </row>
    <row r="68" spans="2:22" x14ac:dyDescent="0.35">
      <c r="B68" s="397"/>
      <c r="C68" s="33" t="s">
        <v>49</v>
      </c>
      <c r="D68" s="401">
        <f>SUMIF('1) Tableau budgétaire 1 initial'!$K$105:$K$199,LEFT($C68,1),'1) Tableau budgétaire 1 initial'!$D$105:$D$199)</f>
        <v>0</v>
      </c>
      <c r="E68" s="401">
        <f>SUMIF('1) Tableau budgétaire 1 initial'!$K$105:$K$199,LEFT($C68,1),'1) Tableau budgétaire 1 initial'!$E$105:$E$199)</f>
        <v>25000</v>
      </c>
      <c r="F68" s="401">
        <f>SUMIF('1) Tableau budgétaire 1_Révisé'!$K$119:$K$256,LEFT($C68,1),'1) Tableau budgétaire 1_Révisé'!$F$119:$F$256)</f>
        <v>0</v>
      </c>
      <c r="G68" s="278">
        <f t="shared" si="33"/>
        <v>25000</v>
      </c>
      <c r="H68" s="397"/>
      <c r="I68" s="397"/>
      <c r="J68" s="33" t="s">
        <v>49</v>
      </c>
      <c r="K68" s="401">
        <f>SUMIF('1) Tableau budgétaire 1_Révisé'!$K$119:$K$256,LEFT($C68,1),'1) Tableau budgétaire 1_Révisé'!$D$119:$D$256)</f>
        <v>0</v>
      </c>
      <c r="L68" s="401">
        <f>SUMIF('1) Tableau budgétaire 1_Révisé'!$K$119:$K$256,LEFT($C68,1),'1) Tableau budgétaire 1_Révisé'!$E$119:$E$256)</f>
        <v>25000</v>
      </c>
      <c r="M68" s="401">
        <f>SUMIF('1) Tableau budgétaire 1_Révisé'!$K$119:$K$256,LEFT($C68,1),'1) Tableau budgétaire 1_Révisé'!$F$119:$F$256)</f>
        <v>0</v>
      </c>
      <c r="N68" s="41">
        <f t="shared" si="34"/>
        <v>25000</v>
      </c>
      <c r="O68" s="402"/>
      <c r="P68" s="397"/>
      <c r="Q68" s="397"/>
      <c r="R68" s="33" t="s">
        <v>49</v>
      </c>
      <c r="S68" s="401">
        <f>SUMIF('1) Tableau budgétaire 1_Révisé'!$V$119:$V$256,LEFT($R68,1),'1) Tableau budgétaire 1_Révisé'!$O$119:$O$256)</f>
        <v>0</v>
      </c>
      <c r="T68" s="401">
        <f>SUMIF('1) Tableau budgétaire 1_Révisé'!$V$119:$V$256,LEFT($R68,1),'1) Tableau budgétaire 1_Révisé'!$P$119:$P$256)</f>
        <v>45600</v>
      </c>
      <c r="U68" s="401">
        <f>SUMIF('1) Tableau budgétaire 1_Révisé'!$K$119:$K$256,LEFT($C68,1),'1) Tableau budgétaire 1_Révisé'!$F$119:$F$256)</f>
        <v>0</v>
      </c>
      <c r="V68" s="41">
        <f t="shared" si="35"/>
        <v>45600</v>
      </c>
    </row>
    <row r="69" spans="2:22" s="37" customFormat="1" ht="21.75" customHeight="1" x14ac:dyDescent="0.35">
      <c r="B69" s="397"/>
      <c r="C69" s="33" t="s">
        <v>50</v>
      </c>
      <c r="D69" s="401">
        <f>SUMIF('1) Tableau budgétaire 1 initial'!$K$105:$K$199,LEFT($C69,1),'1) Tableau budgétaire 1 initial'!$D$105:$D$199)</f>
        <v>0</v>
      </c>
      <c r="E69" s="401">
        <f>SUMIF('1) Tableau budgétaire 1 initial'!$K$105:$K$199,LEFT($C69,1),'1) Tableau budgétaire 1 initial'!$E$105:$E$199)</f>
        <v>156879</v>
      </c>
      <c r="F69" s="401">
        <f>SUMIF('1) Tableau budgétaire 1_Révisé'!$K$119:$K$256,LEFT($C69,1),'1) Tableau budgétaire 1_Révisé'!$F$119:$F$256)</f>
        <v>0</v>
      </c>
      <c r="G69" s="278">
        <f t="shared" si="33"/>
        <v>156879</v>
      </c>
      <c r="H69" s="398"/>
      <c r="I69" s="397"/>
      <c r="J69" s="33" t="s">
        <v>50</v>
      </c>
      <c r="K69" s="401">
        <f>SUMIF('1) Tableau budgétaire 1_Révisé'!$K$119:$K$256,LEFT($C69,1),'1) Tableau budgétaire 1_Révisé'!$D$119:$D$256)</f>
        <v>25000</v>
      </c>
      <c r="L69" s="243">
        <f>SUMIF('1) Tableau budgétaire 1_Révisé'!$K$119:$K$256,LEFT($C69,1),'1) Tableau budgétaire 1_Révisé'!$E$119:$E$256)</f>
        <v>124905</v>
      </c>
      <c r="M69" s="401">
        <f>SUMIF('1) Tableau budgétaire 1_Révisé'!$K$119:$K$256,LEFT($C69,1),'1) Tableau budgétaire 1_Révisé'!$F$119:$F$256)</f>
        <v>0</v>
      </c>
      <c r="N69" s="244">
        <f t="shared" si="34"/>
        <v>149905</v>
      </c>
      <c r="O69" s="402"/>
      <c r="P69" s="398"/>
      <c r="Q69" s="397"/>
      <c r="R69" s="33" t="s">
        <v>50</v>
      </c>
      <c r="S69" s="401">
        <f>SUMIF('1) Tableau budgétaire 1_Révisé'!$V$119:$V$256,LEFT($R69,1),'1) Tableau budgétaire 1_Révisé'!$O$119:$O$256)</f>
        <v>149500</v>
      </c>
      <c r="T69" s="401">
        <f>SUMIF('1) Tableau budgétaire 1_Révisé'!$V$119:$V$256,LEFT($R69,1),'1) Tableau budgétaire 1_Révisé'!$P$119:$P$256)</f>
        <v>114905</v>
      </c>
      <c r="U69" s="401">
        <f>SUMIF('1) Tableau budgétaire 1_Révisé'!$K$119:$K$256,LEFT($C69,1),'1) Tableau budgétaire 1_Révisé'!$F$119:$F$256)</f>
        <v>0</v>
      </c>
      <c r="V69" s="244">
        <f t="shared" si="35"/>
        <v>264405</v>
      </c>
    </row>
    <row r="70" spans="2:22" s="37" customFormat="1" ht="31" x14ac:dyDescent="0.35">
      <c r="B70" s="397"/>
      <c r="C70" s="33" t="s">
        <v>51</v>
      </c>
      <c r="D70" s="401">
        <f>SUMIF('1) Tableau budgétaire 1 initial'!$K$105:$K$199,LEFT($C70,1),'1) Tableau budgétaire 1 initial'!$D$105:$D$199)</f>
        <v>0</v>
      </c>
      <c r="E70" s="401">
        <f>SUMIF('1) Tableau budgétaire 1 initial'!$K$105:$K$199,LEFT($C70,1),'1) Tableau budgétaire 1 initial'!$E$105:$E$199)</f>
        <v>72000</v>
      </c>
      <c r="F70" s="401">
        <f>SUMIF('1) Tableau budgétaire 1_Révisé'!$K$119:$K$256,LEFT($C70,1),'1) Tableau budgétaire 1_Révisé'!$F$119:$F$256)</f>
        <v>0</v>
      </c>
      <c r="G70" s="278">
        <f t="shared" si="33"/>
        <v>72000</v>
      </c>
      <c r="H70" s="398"/>
      <c r="I70" s="397"/>
      <c r="J70" s="33" t="s">
        <v>51</v>
      </c>
      <c r="K70" s="401">
        <f>SUMIF('1) Tableau budgétaire 1_Révisé'!$K$119:$K$256,LEFT($C70,1),'1) Tableau budgétaire 1_Révisé'!$D$119:$D$256)</f>
        <v>0</v>
      </c>
      <c r="L70" s="401">
        <f>SUMIF('1) Tableau budgétaire 1_Révisé'!$K$119:$K$256,LEFT($C70,1),'1) Tableau budgétaire 1_Révisé'!$E$119:$E$256)</f>
        <v>72000</v>
      </c>
      <c r="M70" s="401">
        <f>SUMIF('1) Tableau budgétaire 1_Révisé'!$K$119:$K$256,LEFT($C70,1),'1) Tableau budgétaire 1_Révisé'!$F$119:$F$256)</f>
        <v>0</v>
      </c>
      <c r="N70" s="41">
        <f t="shared" si="34"/>
        <v>72000</v>
      </c>
      <c r="O70" s="402"/>
      <c r="P70" s="398"/>
      <c r="Q70" s="397"/>
      <c r="R70" s="33" t="s">
        <v>51</v>
      </c>
      <c r="S70" s="401">
        <f>SUMIF('1) Tableau budgétaire 1_Révisé'!$V$119:$V$256,LEFT($R70,1),'1) Tableau budgétaire 1_Révisé'!$O$119:$O$256)</f>
        <v>35000</v>
      </c>
      <c r="T70" s="401">
        <f>SUMIF('1) Tableau budgétaire 1_Révisé'!$V$119:$V$256,LEFT($R70,1),'1) Tableau budgétaire 1_Révisé'!$P$119:$P$256)</f>
        <v>61391.38</v>
      </c>
      <c r="U70" s="401">
        <f>SUMIF('1) Tableau budgétaire 1_Révisé'!$K$119:$K$256,LEFT($C70,1),'1) Tableau budgétaire 1_Révisé'!$F$119:$F$256)</f>
        <v>0</v>
      </c>
      <c r="V70" s="41">
        <f t="shared" si="35"/>
        <v>96391.38</v>
      </c>
    </row>
    <row r="71" spans="2:22" x14ac:dyDescent="0.35">
      <c r="B71" s="397"/>
      <c r="C71" s="38" t="s">
        <v>497</v>
      </c>
      <c r="D71" s="47">
        <f>SUM(D64:D70)</f>
        <v>0</v>
      </c>
      <c r="E71" s="47">
        <f>SUM(E64:E70)</f>
        <v>614999</v>
      </c>
      <c r="F71" s="47">
        <f t="shared" ref="F71" si="36">SUM(F64:F70)</f>
        <v>0</v>
      </c>
      <c r="G71" s="41">
        <f>SUM(D71:F71)</f>
        <v>614999</v>
      </c>
      <c r="H71" s="397"/>
      <c r="I71" s="397"/>
      <c r="J71" s="38" t="s">
        <v>497</v>
      </c>
      <c r="K71" s="47">
        <f>SUM(K64:K70)</f>
        <v>25000</v>
      </c>
      <c r="L71" s="47">
        <f>SUM(L64:L70)</f>
        <v>614999</v>
      </c>
      <c r="M71" s="47">
        <f t="shared" ref="M71" si="37">SUM(M64:M70)</f>
        <v>0</v>
      </c>
      <c r="N71" s="41">
        <f>SUM(K71:M71)</f>
        <v>639999</v>
      </c>
      <c r="O71" s="402"/>
      <c r="P71" s="397"/>
      <c r="Q71" s="397"/>
      <c r="R71" s="38" t="s">
        <v>497</v>
      </c>
      <c r="S71" s="47">
        <f>SUM(S64:S70)</f>
        <v>309500</v>
      </c>
      <c r="T71" s="47">
        <f>SUM(T64:T70)</f>
        <v>985363.38</v>
      </c>
      <c r="U71" s="47">
        <f t="shared" ref="U71" si="38">SUM(U64:U70)</f>
        <v>0</v>
      </c>
      <c r="V71" s="41">
        <f>SUM(S71:U71)</f>
        <v>1294863.3799999999</v>
      </c>
    </row>
    <row r="72" spans="2:22" s="37" customFormat="1" x14ac:dyDescent="0.35">
      <c r="B72" s="398"/>
      <c r="C72" s="48"/>
      <c r="D72" s="49"/>
      <c r="E72" s="49"/>
      <c r="F72" s="49"/>
      <c r="G72" s="50"/>
      <c r="H72" s="398"/>
      <c r="I72" s="398"/>
      <c r="J72" s="398"/>
      <c r="K72" s="398"/>
      <c r="L72" s="398"/>
      <c r="M72" s="398"/>
      <c r="N72" s="398"/>
      <c r="O72" s="402"/>
      <c r="P72" s="398"/>
      <c r="Q72" s="398"/>
      <c r="R72" s="398"/>
      <c r="S72" s="398"/>
      <c r="T72" s="398"/>
      <c r="U72" s="398"/>
      <c r="V72" s="398"/>
    </row>
    <row r="73" spans="2:22" x14ac:dyDescent="0.35">
      <c r="B73" s="398"/>
      <c r="C73" s="669" t="s">
        <v>254</v>
      </c>
      <c r="D73" s="670"/>
      <c r="E73" s="670"/>
      <c r="F73" s="670"/>
      <c r="G73" s="671"/>
      <c r="H73" s="397"/>
      <c r="I73" s="398"/>
      <c r="J73" s="669" t="s">
        <v>254</v>
      </c>
      <c r="K73" s="670"/>
      <c r="L73" s="670"/>
      <c r="M73" s="670"/>
      <c r="N73" s="671"/>
      <c r="O73" s="402"/>
      <c r="P73" s="397"/>
      <c r="Q73" s="398"/>
      <c r="R73" s="669" t="s">
        <v>254</v>
      </c>
      <c r="S73" s="670"/>
      <c r="T73" s="670"/>
      <c r="U73" s="670"/>
      <c r="V73" s="671"/>
    </row>
    <row r="74" spans="2:22" ht="21.75" customHeight="1" thickBot="1" x14ac:dyDescent="0.4">
      <c r="B74" s="397"/>
      <c r="C74" s="44" t="s">
        <v>506</v>
      </c>
      <c r="D74" s="45">
        <f>'1) Tableau budgétaire 1 initial'!D247</f>
        <v>105616.76999999999</v>
      </c>
      <c r="E74" s="45">
        <f>'1) Tableau budgétaire 1 initial'!E247</f>
        <v>0</v>
      </c>
      <c r="F74" s="45">
        <f>'1) Tableau budgétaire 1 initial'!F247</f>
        <v>0</v>
      </c>
      <c r="G74" s="46">
        <f t="shared" ref="G74:G82" si="39">SUM(D74:F74)</f>
        <v>105616.76999999999</v>
      </c>
      <c r="H74" s="397"/>
      <c r="I74" s="397"/>
      <c r="J74" s="44" t="s">
        <v>506</v>
      </c>
      <c r="K74" s="45">
        <f>'1) Tableau budgétaire 1_Révisé'!D313</f>
        <v>105616.76999999999</v>
      </c>
      <c r="L74" s="45">
        <f>'1) Tableau budgétaire 1_Révisé'!E313</f>
        <v>0</v>
      </c>
      <c r="M74" s="45">
        <f>'1) Tableau budgétaire 1_Révisé'!F313</f>
        <v>0</v>
      </c>
      <c r="N74" s="46">
        <f t="shared" ref="N74:N82" si="40">SUM(K74:M74)</f>
        <v>105616.76999999999</v>
      </c>
      <c r="O74" s="402"/>
      <c r="P74" s="397"/>
      <c r="Q74" s="397"/>
      <c r="R74" s="44" t="s">
        <v>506</v>
      </c>
      <c r="S74" s="45">
        <f t="shared" ref="S74:U74" si="41">SUM(S75:S81)</f>
        <v>85500</v>
      </c>
      <c r="T74" s="45">
        <f t="shared" si="41"/>
        <v>54116.77</v>
      </c>
      <c r="U74" s="45">
        <f t="shared" si="41"/>
        <v>0</v>
      </c>
      <c r="V74" s="46">
        <f t="shared" ref="V74:V82" si="42">SUM(S74:U74)</f>
        <v>139616.76999999999</v>
      </c>
    </row>
    <row r="75" spans="2:22" ht="15.75" customHeight="1" x14ac:dyDescent="0.35">
      <c r="B75" s="397"/>
      <c r="C75" s="42" t="s">
        <v>45</v>
      </c>
      <c r="D75" s="401">
        <f>SUMIF('1) Tableau budgétaire 1 initial'!$K$202:$K$246,LEFT($C75,1),'1) Tableau budgétaire 1 initial'!$D$202:$D$246)</f>
        <v>0</v>
      </c>
      <c r="E75" s="401">
        <f>SUMIF('1) Tableau budgétaire 1 initial'!$K$202:$K$246,LEFT($C75,1),'1) Tableau budgétaire 1 initial'!$E$202:$E$246)</f>
        <v>0</v>
      </c>
      <c r="F75" s="401">
        <f>SUMIF('1) Tableau budgétaire 1 initial'!$K$202:$K$246,LEFT($C75,1),'1) Tableau budgétaire 1 initial'!$F$202:$F$246)</f>
        <v>0</v>
      </c>
      <c r="G75" s="43">
        <f t="shared" si="39"/>
        <v>0</v>
      </c>
      <c r="H75" s="397"/>
      <c r="I75" s="397"/>
      <c r="J75" s="42" t="s">
        <v>45</v>
      </c>
      <c r="K75" s="401">
        <f>SUMIF('1) Tableau budgétaire 1_Révisé'!$K$259:$K$312,LEFT($C75,1),'1) Tableau budgétaire 1_Révisé'!$D$259:$D$312)</f>
        <v>0</v>
      </c>
      <c r="L75" s="401">
        <f>SUMIF('1) Tableau budgétaire 1_Révisé'!$K$259:$K$312,LEFT($C75,1),'1) Tableau budgétaire 1_Révisé'!$E$259:$E$312)</f>
        <v>0</v>
      </c>
      <c r="M75" s="401">
        <f>SUMIF('1) Tableau budgétaire 1_Révisé'!$K$259:$K$312,LEFT($C75,1),'1) Tableau budgétaire 1_Révisé'!$F$259:$F$312)</f>
        <v>0</v>
      </c>
      <c r="N75" s="43">
        <f t="shared" si="40"/>
        <v>0</v>
      </c>
      <c r="O75" s="402"/>
      <c r="P75" s="397"/>
      <c r="Q75" s="397"/>
      <c r="R75" s="42" t="s">
        <v>45</v>
      </c>
      <c r="S75" s="401">
        <f>SUMIF('1) Tableau budgétaire 1_Révisé'!$V$259:$V$312,LEFT($R75,1),'1) Tableau budgétaire 1_Révisé'!$O$259:$O$312)</f>
        <v>0</v>
      </c>
      <c r="T75" s="401">
        <f>SUMIF('1) Tableau budgétaire 1_Révisé'!$V$259:$V$312,LEFT($R75,1),'1) Tableau budgétaire 1_Révisé'!$P$259:$P$312)</f>
        <v>0</v>
      </c>
      <c r="U75" s="401">
        <f>SUMIF('1) Tableau budgétaire 1_Révisé'!$K$259:$K$312,LEFT($C75,1),'1) Tableau budgétaire 1_Révisé'!$F$259:$F$312)</f>
        <v>0</v>
      </c>
      <c r="V75" s="43">
        <f t="shared" si="42"/>
        <v>0</v>
      </c>
    </row>
    <row r="76" spans="2:22" ht="15.75" customHeight="1" x14ac:dyDescent="0.35">
      <c r="B76" s="397"/>
      <c r="C76" s="33" t="s">
        <v>46</v>
      </c>
      <c r="D76" s="401">
        <f>SUMIF('1) Tableau budgétaire 1 initial'!$K$202:$K$246,LEFT($C76,1),'1) Tableau budgétaire 1 initial'!$D$202:$D$246)</f>
        <v>10000</v>
      </c>
      <c r="E76" s="401">
        <f>SUMIF('1) Tableau budgétaire 1 initial'!$K$202:$K$246,LEFT($C76,1),'1) Tableau budgétaire 1 initial'!$E$202:$E$246)</f>
        <v>0</v>
      </c>
      <c r="F76" s="401">
        <f>SUMIF('1) Tableau budgétaire 1 initial'!$K$202:$K$246,LEFT($C76,1),'1) Tableau budgétaire 1 initial'!$F$202:$F$246)</f>
        <v>0</v>
      </c>
      <c r="G76" s="41">
        <f t="shared" si="39"/>
        <v>10000</v>
      </c>
      <c r="H76" s="397"/>
      <c r="I76" s="397"/>
      <c r="J76" s="33" t="s">
        <v>46</v>
      </c>
      <c r="K76" s="401">
        <f>SUMIF('1) Tableau budgétaire 1_Révisé'!$K$259:$K$312,LEFT($C76,1),'1) Tableau budgétaire 1_Révisé'!$D$259:$D$312)</f>
        <v>10000</v>
      </c>
      <c r="L76" s="401">
        <f>SUMIF('1) Tableau budgétaire 1_Révisé'!$K$259:$K$312,LEFT($C76,1),'1) Tableau budgétaire 1_Révisé'!$E$259:$E$312)</f>
        <v>0</v>
      </c>
      <c r="M76" s="401">
        <f>SUMIF('1) Tableau budgétaire 1_Révisé'!$K$259:$K$312,LEFT($C76,1),'1) Tableau budgétaire 1_Révisé'!$F$259:$F$312)</f>
        <v>0</v>
      </c>
      <c r="N76" s="41">
        <f t="shared" si="40"/>
        <v>10000</v>
      </c>
      <c r="O76" s="402"/>
      <c r="P76" s="397"/>
      <c r="Q76" s="397"/>
      <c r="R76" s="33" t="s">
        <v>46</v>
      </c>
      <c r="S76" s="401">
        <f>SUMIF('1) Tableau budgétaire 1_Révisé'!$V$259:$V$312,LEFT($R76,1),'1) Tableau budgétaire 1_Révisé'!$O$259:$O$312)</f>
        <v>10000</v>
      </c>
      <c r="T76" s="401">
        <f>SUMIF('1) Tableau budgétaire 1_Révisé'!$V$259:$V$312,LEFT($R76,1),'1) Tableau budgétaire 1_Révisé'!$P$259:$P$312)</f>
        <v>0</v>
      </c>
      <c r="U76" s="401">
        <f>SUMIF('1) Tableau budgétaire 1_Révisé'!$K$259:$K$312,LEFT($C76,1),'1) Tableau budgétaire 1_Révisé'!$F$259:$F$312)</f>
        <v>0</v>
      </c>
      <c r="V76" s="41">
        <f t="shared" si="42"/>
        <v>10000</v>
      </c>
    </row>
    <row r="77" spans="2:22" ht="15.75" customHeight="1" x14ac:dyDescent="0.35">
      <c r="B77" s="397"/>
      <c r="C77" s="33" t="s">
        <v>47</v>
      </c>
      <c r="D77" s="401">
        <f>SUMIF('1) Tableau budgétaire 1 initial'!$K$202:$K$246,LEFT($C77,1),'1) Tableau budgétaire 1 initial'!$D$202:$D$246)</f>
        <v>0</v>
      </c>
      <c r="E77" s="401">
        <f>SUMIF('1) Tableau budgétaire 1 initial'!$K$202:$K$246,LEFT($C77,1),'1) Tableau budgétaire 1 initial'!$E$202:$E$246)</f>
        <v>0</v>
      </c>
      <c r="F77" s="401">
        <f>SUMIF('1) Tableau budgétaire 1 initial'!$K$202:$K$246,LEFT($C77,1),'1) Tableau budgétaire 1 initial'!$F$202:$F$246)</f>
        <v>0</v>
      </c>
      <c r="G77" s="41">
        <f t="shared" si="39"/>
        <v>0</v>
      </c>
      <c r="H77" s="397"/>
      <c r="I77" s="397"/>
      <c r="J77" s="33" t="s">
        <v>47</v>
      </c>
      <c r="K77" s="401">
        <f>SUMIF('1) Tableau budgétaire 1_Révisé'!$K$259:$K$312,LEFT($C77,1),'1) Tableau budgétaire 1_Révisé'!$D$259:$D$312)</f>
        <v>0</v>
      </c>
      <c r="L77" s="401">
        <f>SUMIF('1) Tableau budgétaire 1_Révisé'!$K$259:$K$312,LEFT($C77,1),'1) Tableau budgétaire 1_Révisé'!$E$259:$E$312)</f>
        <v>0</v>
      </c>
      <c r="M77" s="401">
        <f>SUMIF('1) Tableau budgétaire 1_Révisé'!$K$259:$K$312,LEFT($C77,1),'1) Tableau budgétaire 1_Révisé'!$F$259:$F$312)</f>
        <v>0</v>
      </c>
      <c r="N77" s="41">
        <f t="shared" si="40"/>
        <v>0</v>
      </c>
      <c r="O77" s="402"/>
      <c r="P77" s="397"/>
      <c r="Q77" s="397"/>
      <c r="R77" s="33" t="s">
        <v>47</v>
      </c>
      <c r="S77" s="401">
        <f>SUMIF('1) Tableau budgétaire 1_Révisé'!$V$259:$V$312,LEFT($R77,1),'1) Tableau budgétaire 1_Révisé'!$O$259:$O$312)</f>
        <v>0</v>
      </c>
      <c r="T77" s="401">
        <f>SUMIF('1) Tableau budgétaire 1_Révisé'!$V$259:$V$312,LEFT($R77,1),'1) Tableau budgétaire 1_Révisé'!$P$259:$P$312)</f>
        <v>0</v>
      </c>
      <c r="U77" s="401">
        <f>SUMIF('1) Tableau budgétaire 1_Révisé'!$K$259:$K$312,LEFT($C77,1),'1) Tableau budgétaire 1_Révisé'!$F$259:$F$312)</f>
        <v>0</v>
      </c>
      <c r="V77" s="41">
        <f t="shared" si="42"/>
        <v>0</v>
      </c>
    </row>
    <row r="78" spans="2:22" x14ac:dyDescent="0.35">
      <c r="B78" s="397"/>
      <c r="C78" s="34" t="s">
        <v>48</v>
      </c>
      <c r="D78" s="401">
        <f>SUMIF('1) Tableau budgétaire 1 initial'!$K$202:$K$246,LEFT($C78,1),'1) Tableau budgétaire 1 initial'!$D$202:$D$246)</f>
        <v>7000</v>
      </c>
      <c r="E78" s="401">
        <f>SUMIF('1) Tableau budgétaire 1 initial'!$K$202:$K$246,LEFT($C78,1),'1) Tableau budgétaire 1 initial'!$E$202:$E$246)</f>
        <v>0</v>
      </c>
      <c r="F78" s="401">
        <f>SUMIF('1) Tableau budgétaire 1 initial'!$K$202:$K$246,LEFT($C78,1),'1) Tableau budgétaire 1 initial'!$F$202:$F$246)</f>
        <v>0</v>
      </c>
      <c r="G78" s="41">
        <f t="shared" si="39"/>
        <v>7000</v>
      </c>
      <c r="H78" s="397"/>
      <c r="I78" s="397"/>
      <c r="J78" s="34" t="s">
        <v>48</v>
      </c>
      <c r="K78" s="401">
        <f>SUMIF('1) Tableau budgétaire 1_Révisé'!$K$259:$K$312,LEFT($C78,1),'1) Tableau budgétaire 1_Révisé'!$D$259:$D$312)</f>
        <v>7000</v>
      </c>
      <c r="L78" s="401">
        <f>SUMIF('1) Tableau budgétaire 1_Révisé'!$K$259:$K$312,LEFT($C78,1),'1) Tableau budgétaire 1_Révisé'!$E$259:$E$312)</f>
        <v>0</v>
      </c>
      <c r="M78" s="401">
        <f>SUMIF('1) Tableau budgétaire 1_Révisé'!$K$259:$K$312,LEFT($C78,1),'1) Tableau budgétaire 1_Révisé'!$F$259:$F$312)</f>
        <v>0</v>
      </c>
      <c r="N78" s="41">
        <f t="shared" si="40"/>
        <v>7000</v>
      </c>
      <c r="O78" s="402"/>
      <c r="P78" s="397"/>
      <c r="Q78" s="397"/>
      <c r="R78" s="34" t="s">
        <v>48</v>
      </c>
      <c r="S78" s="401">
        <f>SUMIF('1) Tableau budgétaire 1_Révisé'!$V$259:$V$312,LEFT($R78,1),'1) Tableau budgétaire 1_Révisé'!$O$259:$O$312)</f>
        <v>12000</v>
      </c>
      <c r="T78" s="401">
        <f>SUMIF('1) Tableau budgétaire 1_Révisé'!$V$259:$V$312,LEFT($R78,1),'1) Tableau budgétaire 1_Révisé'!$P$259:$P$312)</f>
        <v>0</v>
      </c>
      <c r="U78" s="401">
        <f>SUMIF('1) Tableau budgétaire 1_Révisé'!$K$259:$K$312,LEFT($C78,1),'1) Tableau budgétaire 1_Révisé'!$F$259:$F$312)</f>
        <v>0</v>
      </c>
      <c r="V78" s="41">
        <f t="shared" si="42"/>
        <v>12000</v>
      </c>
    </row>
    <row r="79" spans="2:22" x14ac:dyDescent="0.35">
      <c r="B79" s="397"/>
      <c r="C79" s="33" t="s">
        <v>49</v>
      </c>
      <c r="D79" s="401">
        <f>SUMIF('1) Tableau budgétaire 1 initial'!$K$202:$K$246,LEFT($C79,1),'1) Tableau budgétaire 1 initial'!$D$202:$D$246)</f>
        <v>9500</v>
      </c>
      <c r="E79" s="401">
        <f>SUMIF('1) Tableau budgétaire 1 initial'!$K$202:$K$246,LEFT($C79,1),'1) Tableau budgétaire 1 initial'!$E$202:$E$246)</f>
        <v>0</v>
      </c>
      <c r="F79" s="401">
        <f>SUMIF('1) Tableau budgétaire 1 initial'!$K$202:$K$246,LEFT($C79,1),'1) Tableau budgétaire 1 initial'!$F$202:$F$246)</f>
        <v>0</v>
      </c>
      <c r="G79" s="41">
        <f t="shared" si="39"/>
        <v>9500</v>
      </c>
      <c r="H79" s="397"/>
      <c r="I79" s="397"/>
      <c r="J79" s="33" t="s">
        <v>49</v>
      </c>
      <c r="K79" s="401">
        <f>SUMIF('1) Tableau budgétaire 1_Révisé'!$K$259:$K$312,LEFT($C79,1),'1) Tableau budgétaire 1_Révisé'!$D$259:$D$312)</f>
        <v>9500</v>
      </c>
      <c r="L79" s="401">
        <f>SUMIF('1) Tableau budgétaire 1_Révisé'!$K$259:$K$312,LEFT($C79,1),'1) Tableau budgétaire 1_Révisé'!$E$259:$E$312)</f>
        <v>0</v>
      </c>
      <c r="M79" s="401">
        <f>SUMIF('1) Tableau budgétaire 1_Révisé'!$K$259:$K$312,LEFT($C79,1),'1) Tableau budgétaire 1_Révisé'!$F$259:$F$312)</f>
        <v>0</v>
      </c>
      <c r="N79" s="41">
        <f t="shared" si="40"/>
        <v>9500</v>
      </c>
      <c r="O79" s="402"/>
      <c r="P79" s="397"/>
      <c r="Q79" s="397"/>
      <c r="R79" s="33" t="s">
        <v>49</v>
      </c>
      <c r="S79" s="401">
        <f>SUMIF('1) Tableau budgétaire 1_Révisé'!$V$259:$V$312,LEFT($R79,1),'1) Tableau budgétaire 1_Révisé'!$O$259:$O$312)</f>
        <v>9500</v>
      </c>
      <c r="T79" s="401">
        <f>SUMIF('1) Tableau budgétaire 1_Révisé'!$V$259:$V$312,LEFT($R79,1),'1) Tableau budgétaire 1_Révisé'!$P$259:$P$312)</f>
        <v>0</v>
      </c>
      <c r="U79" s="401">
        <f>SUMIF('1) Tableau budgétaire 1_Révisé'!$K$259:$K$312,LEFT($C79,1),'1) Tableau budgétaire 1_Révisé'!$F$259:$F$312)</f>
        <v>0</v>
      </c>
      <c r="V79" s="41">
        <f t="shared" si="42"/>
        <v>9500</v>
      </c>
    </row>
    <row r="80" spans="2:22" x14ac:dyDescent="0.35">
      <c r="B80" s="397"/>
      <c r="C80" s="33" t="s">
        <v>50</v>
      </c>
      <c r="D80" s="401">
        <f>SUMIF('1) Tableau budgétaire 1 initial'!$K$202:$K$246,LEFT($C80,1),'1) Tableau budgétaire 1 initial'!$D$202:$D$246)</f>
        <v>44116.77</v>
      </c>
      <c r="E80" s="401">
        <f>SUMIF('1) Tableau budgétaire 1 initial'!$K$202:$K$246,LEFT($C80,1),'1) Tableau budgétaire 1 initial'!$E$202:$E$246)</f>
        <v>0</v>
      </c>
      <c r="F80" s="401">
        <f>SUMIF('1) Tableau budgétaire 1 initial'!$K$202:$K$246,LEFT($C80,1),'1) Tableau budgétaire 1 initial'!$F$202:$F$246)</f>
        <v>0</v>
      </c>
      <c r="G80" s="41">
        <f t="shared" si="39"/>
        <v>44116.77</v>
      </c>
      <c r="H80" s="397"/>
      <c r="I80" s="397"/>
      <c r="J80" s="33" t="s">
        <v>50</v>
      </c>
      <c r="K80" s="243">
        <f>SUMIF('1) Tableau budgétaire 1_Révisé'!$K$259:$K$312,LEFT($C80,1),'1) Tableau budgétaire 1_Révisé'!$D$259:$D$312)</f>
        <v>44116.77</v>
      </c>
      <c r="L80" s="401">
        <f>SUMIF('1) Tableau budgétaire 1_Révisé'!$K$259:$K$312,LEFT($C80,1),'1) Tableau budgétaire 1_Révisé'!$E$259:$E$312)</f>
        <v>0</v>
      </c>
      <c r="M80" s="401">
        <f>SUMIF('1) Tableau budgétaire 1_Révisé'!$K$259:$K$312,LEFT($C80,1),'1) Tableau budgétaire 1_Révisé'!$F$259:$F$312)</f>
        <v>0</v>
      </c>
      <c r="N80" s="244">
        <f t="shared" si="40"/>
        <v>44116.77</v>
      </c>
      <c r="O80" s="402"/>
      <c r="P80" s="397"/>
      <c r="Q80" s="397"/>
      <c r="R80" s="33" t="s">
        <v>50</v>
      </c>
      <c r="S80" s="401">
        <f>SUMIF('1) Tableau budgétaire 1_Révisé'!$V$259:$V$312,LEFT($R80,1),'1) Tableau budgétaire 1_Révisé'!$O$259:$O$312)</f>
        <v>0</v>
      </c>
      <c r="T80" s="401">
        <f>SUMIF('1) Tableau budgétaire 1_Révisé'!$V$259:$V$312,LEFT($R80,1),'1) Tableau budgétaire 1_Révisé'!$P$259:$P$312)</f>
        <v>54116.77</v>
      </c>
      <c r="U80" s="401">
        <f>SUMIF('1) Tableau budgétaire 1_Révisé'!$K$259:$K$312,LEFT($C80,1),'1) Tableau budgétaire 1_Révisé'!$F$259:$F$312)</f>
        <v>0</v>
      </c>
      <c r="V80" s="244">
        <f t="shared" si="42"/>
        <v>54116.77</v>
      </c>
    </row>
    <row r="81" spans="2:22" ht="31" x14ac:dyDescent="0.35">
      <c r="B81" s="397"/>
      <c r="C81" s="33" t="s">
        <v>51</v>
      </c>
      <c r="D81" s="401">
        <f>SUMIF('1) Tableau budgétaire 1 initial'!$K$202:$K$246,LEFT($C81,1),'1) Tableau budgétaire 1 initial'!$D$202:$D$246)</f>
        <v>35000</v>
      </c>
      <c r="E81" s="401">
        <f>SUMIF('1) Tableau budgétaire 1 initial'!$K$202:$K$246,LEFT($C81,1),'1) Tableau budgétaire 1 initial'!$E$202:$E$246)</f>
        <v>0</v>
      </c>
      <c r="F81" s="401">
        <f>SUMIF('1) Tableau budgétaire 1 initial'!$K$202:$K$246,LEFT($C81,1),'1) Tableau budgétaire 1 initial'!$F$202:$F$246)</f>
        <v>0</v>
      </c>
      <c r="G81" s="41">
        <f t="shared" si="39"/>
        <v>35000</v>
      </c>
      <c r="H81" s="397"/>
      <c r="I81" s="397"/>
      <c r="J81" s="33" t="s">
        <v>51</v>
      </c>
      <c r="K81" s="401">
        <f>SUMIF('1) Tableau budgétaire 1_Révisé'!$K$259:$K$312,LEFT($C81,1),'1) Tableau budgétaire 1_Révisé'!$D$259:$D$312)</f>
        <v>35000</v>
      </c>
      <c r="L81" s="401">
        <f>SUMIF('1) Tableau budgétaire 1_Révisé'!$K$259:$K$312,LEFT($C81,1),'1) Tableau budgétaire 1_Révisé'!$E$259:$E$312)</f>
        <v>0</v>
      </c>
      <c r="M81" s="401">
        <f>SUMIF('1) Tableau budgétaire 1_Révisé'!$K$259:$K$312,LEFT($C81,1),'1) Tableau budgétaire 1_Révisé'!$F$259:$F$312)</f>
        <v>0</v>
      </c>
      <c r="N81" s="41">
        <f t="shared" si="40"/>
        <v>35000</v>
      </c>
      <c r="O81" s="402"/>
      <c r="P81" s="397"/>
      <c r="Q81" s="397"/>
      <c r="R81" s="33" t="s">
        <v>51</v>
      </c>
      <c r="S81" s="401">
        <f>SUMIF('1) Tableau budgétaire 1_Révisé'!$V$259:$V$312,LEFT($R81,1),'1) Tableau budgétaire 1_Révisé'!$O$259:$O$312)</f>
        <v>54000</v>
      </c>
      <c r="T81" s="401">
        <f>SUMIF('1) Tableau budgétaire 1_Révisé'!$V$259:$V$312,LEFT($R81,1),'1) Tableau budgétaire 1_Révisé'!$P$259:$P$312)</f>
        <v>0</v>
      </c>
      <c r="U81" s="401">
        <f>SUMIF('1) Tableau budgétaire 1_Révisé'!$K$259:$K$312,LEFT($C81,1),'1) Tableau budgétaire 1_Révisé'!$F$259:$F$312)</f>
        <v>0</v>
      </c>
      <c r="V81" s="41">
        <f t="shared" si="42"/>
        <v>54000</v>
      </c>
    </row>
    <row r="82" spans="2:22" x14ac:dyDescent="0.35">
      <c r="B82" s="397"/>
      <c r="C82" s="38" t="s">
        <v>497</v>
      </c>
      <c r="D82" s="47">
        <f t="shared" ref="D82:E82" si="43">SUM(D75:D81)</f>
        <v>105616.76999999999</v>
      </c>
      <c r="E82" s="47">
        <f t="shared" si="43"/>
        <v>0</v>
      </c>
      <c r="F82" s="47">
        <f t="shared" ref="F82" si="44">SUM(F75:F81)</f>
        <v>0</v>
      </c>
      <c r="G82" s="41">
        <f t="shared" si="39"/>
        <v>105616.76999999999</v>
      </c>
      <c r="H82" s="397"/>
      <c r="I82" s="397"/>
      <c r="J82" s="38" t="s">
        <v>497</v>
      </c>
      <c r="K82" s="47">
        <f t="shared" ref="K82:L82" si="45">SUM(K75:K81)</f>
        <v>105616.76999999999</v>
      </c>
      <c r="L82" s="47">
        <f t="shared" si="45"/>
        <v>0</v>
      </c>
      <c r="M82" s="47">
        <f t="shared" ref="M82" si="46">SUM(M75:M81)</f>
        <v>0</v>
      </c>
      <c r="N82" s="41">
        <f t="shared" si="40"/>
        <v>105616.76999999999</v>
      </c>
      <c r="O82" s="402"/>
      <c r="P82" s="397"/>
      <c r="Q82" s="397"/>
      <c r="R82" s="38" t="s">
        <v>497</v>
      </c>
      <c r="S82" s="47">
        <f t="shared" ref="S82:U82" si="47">SUM(S75:S81)</f>
        <v>85500</v>
      </c>
      <c r="T82" s="47">
        <f t="shared" si="47"/>
        <v>54116.77</v>
      </c>
      <c r="U82" s="47">
        <f t="shared" si="47"/>
        <v>0</v>
      </c>
      <c r="V82" s="41">
        <f t="shared" si="42"/>
        <v>139616.76999999999</v>
      </c>
    </row>
    <row r="83" spans="2:22" s="37" customFormat="1" x14ac:dyDescent="0.35">
      <c r="B83" s="398"/>
      <c r="C83" s="48"/>
      <c r="D83" s="49"/>
      <c r="E83" s="49"/>
      <c r="F83" s="49"/>
      <c r="G83" s="50"/>
      <c r="H83" s="398"/>
      <c r="I83" s="398"/>
      <c r="J83" s="48"/>
      <c r="K83" s="49"/>
      <c r="L83" s="49"/>
      <c r="M83" s="49"/>
      <c r="N83" s="50"/>
      <c r="O83" s="402"/>
      <c r="P83" s="398"/>
      <c r="Q83" s="398"/>
      <c r="R83" s="48"/>
      <c r="S83" s="49"/>
      <c r="T83" s="49"/>
      <c r="U83" s="49"/>
      <c r="V83" s="50"/>
    </row>
    <row r="84" spans="2:22" x14ac:dyDescent="0.35">
      <c r="B84" s="397"/>
      <c r="C84" s="669" t="s">
        <v>276</v>
      </c>
      <c r="D84" s="670"/>
      <c r="E84" s="670"/>
      <c r="F84" s="670"/>
      <c r="G84" s="671"/>
      <c r="H84" s="397"/>
      <c r="I84" s="397"/>
      <c r="J84" s="669" t="s">
        <v>276</v>
      </c>
      <c r="K84" s="670"/>
      <c r="L84" s="670"/>
      <c r="M84" s="670"/>
      <c r="N84" s="671"/>
      <c r="O84" s="402"/>
      <c r="P84" s="397"/>
      <c r="Q84" s="397"/>
      <c r="R84" s="669" t="s">
        <v>276</v>
      </c>
      <c r="S84" s="670"/>
      <c r="T84" s="670"/>
      <c r="U84" s="670"/>
      <c r="V84" s="671"/>
    </row>
    <row r="85" spans="2:22" ht="21.75" customHeight="1" thickBot="1" x14ac:dyDescent="0.4">
      <c r="B85" s="398"/>
      <c r="C85" s="44" t="s">
        <v>507</v>
      </c>
      <c r="D85" s="45">
        <f>'1) Tableau budgétaire 1 initial'!D259</f>
        <v>0</v>
      </c>
      <c r="E85" s="45">
        <f>'1) Tableau budgétaire 1 initial'!E259</f>
        <v>0</v>
      </c>
      <c r="F85" s="45">
        <f>'1) Tableau budgétaire 1 initial'!F259</f>
        <v>0</v>
      </c>
      <c r="G85" s="46">
        <f t="shared" ref="G85:G93" si="48">SUM(D85:F85)</f>
        <v>0</v>
      </c>
      <c r="H85" s="397"/>
      <c r="I85" s="398"/>
      <c r="J85" s="44" t="s">
        <v>507</v>
      </c>
      <c r="K85" s="45">
        <f>'1) Tableau budgétaire 1_Révisé'!D325</f>
        <v>0</v>
      </c>
      <c r="L85" s="45">
        <f>'1) Tableau budgétaire 1_Révisé'!E325</f>
        <v>0</v>
      </c>
      <c r="M85" s="45">
        <f>'1) Tableau budgétaire 1_Révisé'!F325</f>
        <v>0</v>
      </c>
      <c r="N85" s="46">
        <f t="shared" ref="N85:N93" si="49">SUM(K85:M85)</f>
        <v>0</v>
      </c>
      <c r="O85" s="402"/>
      <c r="P85" s="397"/>
      <c r="Q85" s="398"/>
      <c r="R85" s="44" t="s">
        <v>507</v>
      </c>
      <c r="S85" s="45">
        <f t="shared" ref="S85:U85" si="50">SUM(S86:S92)</f>
        <v>0</v>
      </c>
      <c r="T85" s="45">
        <f t="shared" si="50"/>
        <v>0</v>
      </c>
      <c r="U85" s="45">
        <f t="shared" si="50"/>
        <v>0</v>
      </c>
      <c r="V85" s="46">
        <f t="shared" ref="V85:V93" si="51">SUM(S85:U85)</f>
        <v>0</v>
      </c>
    </row>
    <row r="86" spans="2:22" ht="18" customHeight="1" x14ac:dyDescent="0.35">
      <c r="B86" s="397"/>
      <c r="C86" s="42" t="s">
        <v>45</v>
      </c>
      <c r="D86" s="401">
        <f>SUMIF('1) Tableau budgétaire 1 initial'!$K$249:$K$258,LEFT($C86,1),'1) Tableau budgétaire 1 initial'!$D$249:$D$258)</f>
        <v>0</v>
      </c>
      <c r="E86" s="401">
        <f>SUMIF('1) Tableau budgétaire 1 initial'!$K$249:$K$258,LEFT($C86,1),'1) Tableau budgétaire 1 initial'!$E$249:$E$258)</f>
        <v>0</v>
      </c>
      <c r="F86" s="401">
        <f>SUMIF('1) Tableau budgétaire 1 initial'!$K$249:$K$258,LEFT($C86,1),'1) Tableau budgétaire 1 initial'!$F$249:$F$258)</f>
        <v>0</v>
      </c>
      <c r="G86" s="43">
        <f t="shared" si="48"/>
        <v>0</v>
      </c>
      <c r="H86" s="397"/>
      <c r="I86" s="397"/>
      <c r="J86" s="42" t="s">
        <v>45</v>
      </c>
      <c r="K86" s="401">
        <f>SUMIF('1) Tableau budgétaire 1_Révisé'!$K$315:$K$324,LEFT($C86,1),'1) Tableau budgétaire 1_Révisé'!$D$315:$D$324)</f>
        <v>0</v>
      </c>
      <c r="L86" s="401">
        <f>SUMIF('1) Tableau budgétaire 1_Révisé'!$K$315:$K$324,LEFT($C86,1),'1) Tableau budgétaire 1_Révisé'!$E$315:$E$324)</f>
        <v>0</v>
      </c>
      <c r="M86" s="401">
        <f>SUMIF('1) Tableau budgétaire 1_Révisé'!$K$315:$K$324,LEFT($C86,1),'1) Tableau budgétaire 1_Révisé'!$F$315:$F$324)</f>
        <v>0</v>
      </c>
      <c r="N86" s="43">
        <f t="shared" si="49"/>
        <v>0</v>
      </c>
      <c r="O86" s="402"/>
      <c r="P86" s="397"/>
      <c r="Q86" s="397"/>
      <c r="R86" s="42" t="s">
        <v>45</v>
      </c>
      <c r="S86" s="401">
        <f>SUMIF('1) Tableau budgétaire 1_Révisé'!$V$315:$V$324,LEFT($R86,1),'1) Tableau budgétaire 1_Révisé'!$O$315:$O$324)</f>
        <v>0</v>
      </c>
      <c r="T86" s="401">
        <f>SUMIF('1) Tableau budgétaire 1_Révisé'!$V$315:$V$324,LEFT($R86,1),'1) Tableau budgétaire 1_Révisé'!$P$315:$P$324)</f>
        <v>0</v>
      </c>
      <c r="U86" s="401">
        <f>SUMIF('1) Tableau budgétaire 1_Révisé'!$K$315:$K$324,LEFT($C86,1),'1) Tableau budgétaire 1_Révisé'!$F$315:$F$324)</f>
        <v>0</v>
      </c>
      <c r="V86" s="43">
        <f t="shared" si="51"/>
        <v>0</v>
      </c>
    </row>
    <row r="87" spans="2:22" ht="15.75" customHeight="1" x14ac:dyDescent="0.35">
      <c r="B87" s="397"/>
      <c r="C87" s="33" t="s">
        <v>46</v>
      </c>
      <c r="D87" s="401">
        <f>SUMIF('1) Tableau budgétaire 1 initial'!$K$249:$K$258,LEFT($C87,1),'1) Tableau budgétaire 1 initial'!$D$249:$D$258)</f>
        <v>0</v>
      </c>
      <c r="E87" s="401">
        <f>SUMIF('1) Tableau budgétaire 1 initial'!$K$249:$K$258,LEFT($C87,1),'1) Tableau budgétaire 1 initial'!$E$249:$E$258)</f>
        <v>0</v>
      </c>
      <c r="F87" s="401">
        <f>SUMIF('1) Tableau budgétaire 1 initial'!$K$249:$K$258,LEFT($C87,1),'1) Tableau budgétaire 1 initial'!$F$249:$F$258)</f>
        <v>0</v>
      </c>
      <c r="G87" s="41">
        <f t="shared" si="48"/>
        <v>0</v>
      </c>
      <c r="H87" s="397"/>
      <c r="I87" s="397"/>
      <c r="J87" s="33" t="s">
        <v>46</v>
      </c>
      <c r="K87" s="401">
        <f>SUMIF('1) Tableau budgétaire 1_Révisé'!$K$315:$K$324,LEFT($C87,1),'1) Tableau budgétaire 1_Révisé'!$D$315:$D$324)</f>
        <v>0</v>
      </c>
      <c r="L87" s="401">
        <f>SUMIF('1) Tableau budgétaire 1_Révisé'!$K$315:$K$324,LEFT($C87,1),'1) Tableau budgétaire 1_Révisé'!$E$315:$E$324)</f>
        <v>0</v>
      </c>
      <c r="M87" s="401">
        <f>SUMIF('1) Tableau budgétaire 1_Révisé'!$K$315:$K$324,LEFT($C87,1),'1) Tableau budgétaire 1_Révisé'!$F$315:$F$324)</f>
        <v>0</v>
      </c>
      <c r="N87" s="41">
        <f t="shared" si="49"/>
        <v>0</v>
      </c>
      <c r="O87" s="402"/>
      <c r="P87" s="397"/>
      <c r="Q87" s="397"/>
      <c r="R87" s="33" t="s">
        <v>46</v>
      </c>
      <c r="S87" s="401">
        <f>SUMIF('1) Tableau budgétaire 1_Révisé'!$V$315:$V$324,LEFT($R87,1),'1) Tableau budgétaire 1_Révisé'!$O$315:$O$324)</f>
        <v>0</v>
      </c>
      <c r="T87" s="401">
        <f>SUMIF('1) Tableau budgétaire 1_Révisé'!$V$315:$V$324,LEFT($R87,1),'1) Tableau budgétaire 1_Révisé'!$P$315:$P$324)</f>
        <v>0</v>
      </c>
      <c r="U87" s="401">
        <f>SUMIF('1) Tableau budgétaire 1_Révisé'!$K$315:$K$324,LEFT($C87,1),'1) Tableau budgétaire 1_Révisé'!$F$315:$F$324)</f>
        <v>0</v>
      </c>
      <c r="V87" s="41">
        <f t="shared" si="51"/>
        <v>0</v>
      </c>
    </row>
    <row r="88" spans="2:22" s="37" customFormat="1" ht="15.75" customHeight="1" x14ac:dyDescent="0.35">
      <c r="B88" s="397"/>
      <c r="C88" s="33" t="s">
        <v>47</v>
      </c>
      <c r="D88" s="401">
        <f>SUMIF('1) Tableau budgétaire 1 initial'!$K$249:$K$258,LEFT($C88,1),'1) Tableau budgétaire 1 initial'!$D$249:$D$258)</f>
        <v>0</v>
      </c>
      <c r="E88" s="401">
        <f>SUMIF('1) Tableau budgétaire 1 initial'!$K$249:$K$258,LEFT($C88,1),'1) Tableau budgétaire 1 initial'!$E$249:$E$258)</f>
        <v>0</v>
      </c>
      <c r="F88" s="401">
        <f>SUMIF('1) Tableau budgétaire 1 initial'!$K$249:$K$258,LEFT($C88,1),'1) Tableau budgétaire 1 initial'!$F$249:$F$258)</f>
        <v>0</v>
      </c>
      <c r="G88" s="41">
        <f t="shared" si="48"/>
        <v>0</v>
      </c>
      <c r="H88" s="398"/>
      <c r="I88" s="397"/>
      <c r="J88" s="33" t="s">
        <v>47</v>
      </c>
      <c r="K88" s="401">
        <f>SUMIF('1) Tableau budgétaire 1_Révisé'!$K$315:$K$324,LEFT($C88,1),'1) Tableau budgétaire 1_Révisé'!$D$315:$D$324)</f>
        <v>0</v>
      </c>
      <c r="L88" s="401">
        <f>SUMIF('1) Tableau budgétaire 1_Révisé'!$K$315:$K$324,LEFT($C88,1),'1) Tableau budgétaire 1_Révisé'!$E$315:$E$324)</f>
        <v>0</v>
      </c>
      <c r="M88" s="401">
        <f>SUMIF('1) Tableau budgétaire 1_Révisé'!$K$315:$K$324,LEFT($C88,1),'1) Tableau budgétaire 1_Révisé'!$F$315:$F$324)</f>
        <v>0</v>
      </c>
      <c r="N88" s="41">
        <f t="shared" si="49"/>
        <v>0</v>
      </c>
      <c r="O88" s="402"/>
      <c r="P88" s="398"/>
      <c r="Q88" s="397"/>
      <c r="R88" s="33" t="s">
        <v>47</v>
      </c>
      <c r="S88" s="401">
        <f>SUMIF('1) Tableau budgétaire 1_Révisé'!$V$315:$V$324,LEFT($R88,1),'1) Tableau budgétaire 1_Révisé'!$O$315:$O$324)</f>
        <v>0</v>
      </c>
      <c r="T88" s="401">
        <f>SUMIF('1) Tableau budgétaire 1_Révisé'!$V$315:$V$324,LEFT($R88,1),'1) Tableau budgétaire 1_Révisé'!$P$315:$P$324)</f>
        <v>0</v>
      </c>
      <c r="U88" s="401">
        <f>SUMIF('1) Tableau budgétaire 1_Révisé'!$K$315:$K$324,LEFT($C88,1),'1) Tableau budgétaire 1_Révisé'!$F$315:$F$324)</f>
        <v>0</v>
      </c>
      <c r="V88" s="41">
        <f t="shared" si="51"/>
        <v>0</v>
      </c>
    </row>
    <row r="89" spans="2:22" x14ac:dyDescent="0.35">
      <c r="B89" s="398"/>
      <c r="C89" s="34" t="s">
        <v>48</v>
      </c>
      <c r="D89" s="401">
        <f>SUMIF('1) Tableau budgétaire 1 initial'!$K$249:$K$258,LEFT($C89,1),'1) Tableau budgétaire 1 initial'!$D$249:$D$258)</f>
        <v>0</v>
      </c>
      <c r="E89" s="401">
        <f>SUMIF('1) Tableau budgétaire 1 initial'!$K$249:$K$258,LEFT($C89,1),'1) Tableau budgétaire 1 initial'!$E$249:$E$258)</f>
        <v>0</v>
      </c>
      <c r="F89" s="401">
        <f>SUMIF('1) Tableau budgétaire 1 initial'!$K$249:$K$258,LEFT($C89,1),'1) Tableau budgétaire 1 initial'!$F$249:$F$258)</f>
        <v>0</v>
      </c>
      <c r="G89" s="41">
        <f t="shared" si="48"/>
        <v>0</v>
      </c>
      <c r="H89" s="397"/>
      <c r="I89" s="398"/>
      <c r="J89" s="34" t="s">
        <v>48</v>
      </c>
      <c r="K89" s="401">
        <f>SUMIF('1) Tableau budgétaire 1_Révisé'!$K$315:$K$324,LEFT($C89,1),'1) Tableau budgétaire 1_Révisé'!$D$315:$D$324)</f>
        <v>0</v>
      </c>
      <c r="L89" s="401">
        <f>SUMIF('1) Tableau budgétaire 1_Révisé'!$K$315:$K$324,LEFT($C89,1),'1) Tableau budgétaire 1_Révisé'!$E$315:$E$324)</f>
        <v>0</v>
      </c>
      <c r="M89" s="401">
        <f>SUMIF('1) Tableau budgétaire 1_Révisé'!$K$315:$K$324,LEFT($C89,1),'1) Tableau budgétaire 1_Révisé'!$F$315:$F$324)</f>
        <v>0</v>
      </c>
      <c r="N89" s="41">
        <f t="shared" si="49"/>
        <v>0</v>
      </c>
      <c r="O89" s="402"/>
      <c r="P89" s="397"/>
      <c r="Q89" s="398"/>
      <c r="R89" s="34" t="s">
        <v>48</v>
      </c>
      <c r="S89" s="401">
        <f>SUMIF('1) Tableau budgétaire 1_Révisé'!$V$315:$V$324,LEFT($R89,1),'1) Tableau budgétaire 1_Révisé'!$O$315:$O$324)</f>
        <v>0</v>
      </c>
      <c r="T89" s="401">
        <f>SUMIF('1) Tableau budgétaire 1_Révisé'!$V$315:$V$324,LEFT($R89,1),'1) Tableau budgétaire 1_Révisé'!$P$315:$P$324)</f>
        <v>0</v>
      </c>
      <c r="U89" s="401">
        <f>SUMIF('1) Tableau budgétaire 1_Révisé'!$K$315:$K$324,LEFT($C89,1),'1) Tableau budgétaire 1_Révisé'!$F$315:$F$324)</f>
        <v>0</v>
      </c>
      <c r="V89" s="41">
        <f t="shared" si="51"/>
        <v>0</v>
      </c>
    </row>
    <row r="90" spans="2:22" x14ac:dyDescent="0.35">
      <c r="B90" s="398"/>
      <c r="C90" s="33" t="s">
        <v>49</v>
      </c>
      <c r="D90" s="401">
        <f>SUMIF('1) Tableau budgétaire 1 initial'!$K$249:$K$258,LEFT($C90,1),'1) Tableau budgétaire 1 initial'!$D$249:$D$258)</f>
        <v>0</v>
      </c>
      <c r="E90" s="401">
        <f>SUMIF('1) Tableau budgétaire 1 initial'!$K$249:$K$258,LEFT($C90,1),'1) Tableau budgétaire 1 initial'!$E$249:$E$258)</f>
        <v>0</v>
      </c>
      <c r="F90" s="401">
        <f>SUMIF('1) Tableau budgétaire 1 initial'!$K$249:$K$258,LEFT($C90,1),'1) Tableau budgétaire 1 initial'!$F$249:$F$258)</f>
        <v>0</v>
      </c>
      <c r="G90" s="41">
        <f t="shared" si="48"/>
        <v>0</v>
      </c>
      <c r="H90" s="397"/>
      <c r="I90" s="398"/>
      <c r="J90" s="33" t="s">
        <v>49</v>
      </c>
      <c r="K90" s="401">
        <f>SUMIF('1) Tableau budgétaire 1_Révisé'!$K$315:$K$324,LEFT($C90,1),'1) Tableau budgétaire 1_Révisé'!$D$315:$D$324)</f>
        <v>0</v>
      </c>
      <c r="L90" s="401">
        <f>SUMIF('1) Tableau budgétaire 1_Révisé'!$K$315:$K$324,LEFT($C90,1),'1) Tableau budgétaire 1_Révisé'!$E$315:$E$324)</f>
        <v>0</v>
      </c>
      <c r="M90" s="401">
        <f>SUMIF('1) Tableau budgétaire 1_Révisé'!$K$315:$K$324,LEFT($C90,1),'1) Tableau budgétaire 1_Révisé'!$F$315:$F$324)</f>
        <v>0</v>
      </c>
      <c r="N90" s="41">
        <f t="shared" si="49"/>
        <v>0</v>
      </c>
      <c r="O90" s="402"/>
      <c r="P90" s="397"/>
      <c r="Q90" s="398"/>
      <c r="R90" s="33" t="s">
        <v>49</v>
      </c>
      <c r="S90" s="401">
        <f>SUMIF('1) Tableau budgétaire 1_Révisé'!$V$315:$V$324,LEFT($R90,1),'1) Tableau budgétaire 1_Révisé'!$O$315:$O$324)</f>
        <v>0</v>
      </c>
      <c r="T90" s="401">
        <f>SUMIF('1) Tableau budgétaire 1_Révisé'!$V$315:$V$324,LEFT($R90,1),'1) Tableau budgétaire 1_Révisé'!$P$315:$P$324)</f>
        <v>0</v>
      </c>
      <c r="U90" s="401">
        <f>SUMIF('1) Tableau budgétaire 1_Révisé'!$K$315:$K$324,LEFT($C90,1),'1) Tableau budgétaire 1_Révisé'!$F$315:$F$324)</f>
        <v>0</v>
      </c>
      <c r="V90" s="41">
        <f t="shared" si="51"/>
        <v>0</v>
      </c>
    </row>
    <row r="91" spans="2:22" x14ac:dyDescent="0.35">
      <c r="B91" s="398"/>
      <c r="C91" s="33" t="s">
        <v>50</v>
      </c>
      <c r="D91" s="401">
        <f>SUMIF('1) Tableau budgétaire 1 initial'!$K$249:$K$258,LEFT($C91,1),'1) Tableau budgétaire 1 initial'!$D$249:$D$258)</f>
        <v>0</v>
      </c>
      <c r="E91" s="401">
        <f>SUMIF('1) Tableau budgétaire 1 initial'!$K$249:$K$258,LEFT($C91,1),'1) Tableau budgétaire 1 initial'!$E$249:$E$258)</f>
        <v>0</v>
      </c>
      <c r="F91" s="401">
        <f>SUMIF('1) Tableau budgétaire 1 initial'!$K$249:$K$258,LEFT($C91,1),'1) Tableau budgétaire 1 initial'!$F$249:$F$258)</f>
        <v>0</v>
      </c>
      <c r="G91" s="41">
        <f t="shared" si="48"/>
        <v>0</v>
      </c>
      <c r="H91" s="397"/>
      <c r="I91" s="398"/>
      <c r="J91" s="33" t="s">
        <v>50</v>
      </c>
      <c r="K91" s="401">
        <f>SUMIF('1) Tableau budgétaire 1_Révisé'!$K$315:$K$324,LEFT($C91,1),'1) Tableau budgétaire 1_Révisé'!$D$315:$D$324)</f>
        <v>0</v>
      </c>
      <c r="L91" s="401">
        <f>SUMIF('1) Tableau budgétaire 1_Révisé'!$K$315:$K$324,LEFT($C91,1),'1) Tableau budgétaire 1_Révisé'!$E$315:$E$324)</f>
        <v>0</v>
      </c>
      <c r="M91" s="401">
        <f>SUMIF('1) Tableau budgétaire 1_Révisé'!$K$315:$K$324,LEFT($C91,1),'1) Tableau budgétaire 1_Révisé'!$F$315:$F$324)</f>
        <v>0</v>
      </c>
      <c r="N91" s="41">
        <f t="shared" si="49"/>
        <v>0</v>
      </c>
      <c r="O91" s="402"/>
      <c r="P91" s="397"/>
      <c r="Q91" s="398"/>
      <c r="R91" s="33" t="s">
        <v>50</v>
      </c>
      <c r="S91" s="401">
        <f>SUMIF('1) Tableau budgétaire 1_Révisé'!$V$315:$V$324,LEFT($R91,1),'1) Tableau budgétaire 1_Révisé'!$O$315:$O$324)</f>
        <v>0</v>
      </c>
      <c r="T91" s="401">
        <f>SUMIF('1) Tableau budgétaire 1_Révisé'!$V$315:$V$324,LEFT($R91,1),'1) Tableau budgétaire 1_Révisé'!$P$315:$P$324)</f>
        <v>0</v>
      </c>
      <c r="U91" s="401">
        <f>SUMIF('1) Tableau budgétaire 1_Révisé'!$K$315:$K$324,LEFT($C91,1),'1) Tableau budgétaire 1_Révisé'!$F$315:$F$324)</f>
        <v>0</v>
      </c>
      <c r="V91" s="41">
        <f t="shared" si="51"/>
        <v>0</v>
      </c>
    </row>
    <row r="92" spans="2:22" ht="31" x14ac:dyDescent="0.35">
      <c r="B92" s="397"/>
      <c r="C92" s="33" t="s">
        <v>51</v>
      </c>
      <c r="D92" s="401">
        <f>SUMIF('1) Tableau budgétaire 1 initial'!$K$249:$K$258,LEFT($C92,1),'1) Tableau budgétaire 1 initial'!$D$249:$D$258)</f>
        <v>0</v>
      </c>
      <c r="E92" s="401">
        <f>SUMIF('1) Tableau budgétaire 1 initial'!$K$249:$K$258,LEFT($C92,1),'1) Tableau budgétaire 1 initial'!$E$249:$E$258)</f>
        <v>0</v>
      </c>
      <c r="F92" s="401">
        <f>SUMIF('1) Tableau budgétaire 1 initial'!$K$249:$K$258,LEFT($C92,1),'1) Tableau budgétaire 1 initial'!$F$249:$F$258)</f>
        <v>0</v>
      </c>
      <c r="G92" s="41">
        <f t="shared" si="48"/>
        <v>0</v>
      </c>
      <c r="H92" s="397"/>
      <c r="I92" s="397"/>
      <c r="J92" s="33" t="s">
        <v>51</v>
      </c>
      <c r="K92" s="401">
        <f>SUMIF('1) Tableau budgétaire 1_Révisé'!$K$315:$K$324,LEFT($C92,1),'1) Tableau budgétaire 1_Révisé'!$D$315:$D$324)</f>
        <v>0</v>
      </c>
      <c r="L92" s="401">
        <f>SUMIF('1) Tableau budgétaire 1_Révisé'!$K$315:$K$324,LEFT($C92,1),'1) Tableau budgétaire 1_Révisé'!$E$315:$E$324)</f>
        <v>0</v>
      </c>
      <c r="M92" s="401">
        <f>SUMIF('1) Tableau budgétaire 1_Révisé'!$K$315:$K$324,LEFT($C92,1),'1) Tableau budgétaire 1_Révisé'!$F$315:$F$324)</f>
        <v>0</v>
      </c>
      <c r="N92" s="41">
        <f t="shared" si="49"/>
        <v>0</v>
      </c>
      <c r="O92" s="402"/>
      <c r="P92" s="397"/>
      <c r="Q92" s="397"/>
      <c r="R92" s="33" t="s">
        <v>51</v>
      </c>
      <c r="S92" s="401">
        <f>SUMIF('1) Tableau budgétaire 1_Révisé'!$V$315:$V$324,LEFT($R92,1),'1) Tableau budgétaire 1_Révisé'!$O$315:$O$324)</f>
        <v>0</v>
      </c>
      <c r="T92" s="401">
        <f>SUMIF('1) Tableau budgétaire 1_Révisé'!$V$315:$V$324,LEFT($R92,1),'1) Tableau budgétaire 1_Révisé'!$P$315:$P$324)</f>
        <v>0</v>
      </c>
      <c r="U92" s="401">
        <f>SUMIF('1) Tableau budgétaire 1_Révisé'!$K$315:$K$324,LEFT($C92,1),'1) Tableau budgétaire 1_Révisé'!$F$315:$F$324)</f>
        <v>0</v>
      </c>
      <c r="V92" s="41">
        <f t="shared" si="51"/>
        <v>0</v>
      </c>
    </row>
    <row r="93" spans="2:22" x14ac:dyDescent="0.35">
      <c r="B93" s="397"/>
      <c r="C93" s="38" t="s">
        <v>497</v>
      </c>
      <c r="D93" s="47">
        <f t="shared" ref="D93:E93" si="52">SUM(D86:D92)</f>
        <v>0</v>
      </c>
      <c r="E93" s="47">
        <f t="shared" si="52"/>
        <v>0</v>
      </c>
      <c r="F93" s="47">
        <f t="shared" ref="F93" si="53">SUM(F86:F92)</f>
        <v>0</v>
      </c>
      <c r="G93" s="41">
        <f t="shared" si="48"/>
        <v>0</v>
      </c>
      <c r="H93" s="397"/>
      <c r="I93" s="397"/>
      <c r="J93" s="38" t="s">
        <v>497</v>
      </c>
      <c r="K93" s="47">
        <f t="shared" ref="K93:L93" si="54">SUM(K86:K92)</f>
        <v>0</v>
      </c>
      <c r="L93" s="47">
        <f t="shared" si="54"/>
        <v>0</v>
      </c>
      <c r="M93" s="47">
        <f t="shared" ref="M93" si="55">SUM(M86:M92)</f>
        <v>0</v>
      </c>
      <c r="N93" s="41">
        <f t="shared" si="49"/>
        <v>0</v>
      </c>
      <c r="O93" s="402"/>
      <c r="P93" s="397"/>
      <c r="Q93" s="397"/>
      <c r="R93" s="38" t="s">
        <v>497</v>
      </c>
      <c r="S93" s="47">
        <f t="shared" ref="S93:U93" si="56">SUM(S86:S92)</f>
        <v>0</v>
      </c>
      <c r="T93" s="47">
        <f t="shared" si="56"/>
        <v>0</v>
      </c>
      <c r="U93" s="47">
        <f t="shared" si="56"/>
        <v>0</v>
      </c>
      <c r="V93" s="41">
        <f t="shared" si="51"/>
        <v>0</v>
      </c>
    </row>
    <row r="94" spans="2:22" s="37" customFormat="1" x14ac:dyDescent="0.35">
      <c r="B94" s="398"/>
      <c r="C94" s="48"/>
      <c r="D94" s="49"/>
      <c r="E94" s="49"/>
      <c r="F94" s="49"/>
      <c r="G94" s="50"/>
      <c r="H94" s="398"/>
      <c r="I94" s="398"/>
      <c r="J94" s="48"/>
      <c r="K94" s="49"/>
      <c r="L94" s="49"/>
      <c r="M94" s="49"/>
      <c r="N94" s="50"/>
      <c r="O94" s="402"/>
      <c r="P94" s="398"/>
      <c r="Q94" s="398"/>
      <c r="R94" s="48"/>
      <c r="S94" s="49"/>
      <c r="T94" s="49"/>
      <c r="U94" s="49"/>
      <c r="V94" s="50"/>
    </row>
    <row r="95" spans="2:22" ht="25.5" customHeight="1" x14ac:dyDescent="0.35">
      <c r="B95" s="397"/>
      <c r="C95" s="397"/>
      <c r="D95" s="397"/>
      <c r="E95" s="397"/>
      <c r="F95" s="397"/>
      <c r="G95" s="397"/>
      <c r="H95" s="397"/>
      <c r="I95" s="397"/>
      <c r="J95" s="397"/>
      <c r="K95" s="397"/>
      <c r="L95" s="397"/>
      <c r="M95" s="397"/>
      <c r="N95" s="397"/>
      <c r="O95" s="402"/>
      <c r="P95" s="397"/>
      <c r="Q95" s="397"/>
      <c r="R95" s="397"/>
      <c r="S95" s="397"/>
      <c r="T95" s="397"/>
      <c r="U95" s="397"/>
      <c r="V95" s="397"/>
    </row>
    <row r="96" spans="2:22" x14ac:dyDescent="0.35">
      <c r="B96" s="669" t="s">
        <v>508</v>
      </c>
      <c r="C96" s="670"/>
      <c r="D96" s="670"/>
      <c r="E96" s="670"/>
      <c r="F96" s="670"/>
      <c r="G96" s="671"/>
      <c r="H96" s="397"/>
      <c r="I96" s="669" t="s">
        <v>508</v>
      </c>
      <c r="J96" s="670"/>
      <c r="K96" s="670"/>
      <c r="L96" s="670"/>
      <c r="M96" s="670"/>
      <c r="N96" s="671"/>
      <c r="O96" s="402"/>
      <c r="P96" s="397"/>
      <c r="Q96" s="669" t="s">
        <v>508</v>
      </c>
      <c r="R96" s="670"/>
      <c r="S96" s="670"/>
      <c r="T96" s="670"/>
      <c r="U96" s="670"/>
      <c r="V96" s="671"/>
    </row>
    <row r="97" spans="3:22" x14ac:dyDescent="0.35">
      <c r="C97" s="669" t="s">
        <v>282</v>
      </c>
      <c r="D97" s="670"/>
      <c r="E97" s="670"/>
      <c r="F97" s="670"/>
      <c r="G97" s="671"/>
      <c r="H97" s="397"/>
      <c r="I97" s="397"/>
      <c r="J97" s="669" t="s">
        <v>282</v>
      </c>
      <c r="K97" s="670"/>
      <c r="L97" s="670"/>
      <c r="M97" s="670"/>
      <c r="N97" s="671"/>
      <c r="O97" s="402"/>
      <c r="P97" s="397"/>
      <c r="Q97" s="397"/>
      <c r="R97" s="669" t="s">
        <v>282</v>
      </c>
      <c r="S97" s="670"/>
      <c r="T97" s="670"/>
      <c r="U97" s="670"/>
      <c r="V97" s="671"/>
    </row>
    <row r="98" spans="3:22" ht="22.5" customHeight="1" thickBot="1" x14ac:dyDescent="0.4">
      <c r="C98" s="44" t="s">
        <v>509</v>
      </c>
      <c r="D98" s="45">
        <f>'1) Tableau budgétaire 1 initial'!D288</f>
        <v>77000</v>
      </c>
      <c r="E98" s="45">
        <f>'1) Tableau budgétaire 1 initial'!E288</f>
        <v>0</v>
      </c>
      <c r="F98" s="45">
        <f>'1) Tableau budgétaire 1 initial'!F288</f>
        <v>0</v>
      </c>
      <c r="G98" s="46">
        <f>SUM(D98:F98)</f>
        <v>77000</v>
      </c>
      <c r="H98" s="397"/>
      <c r="I98" s="397"/>
      <c r="J98" s="44" t="s">
        <v>509</v>
      </c>
      <c r="K98" s="45">
        <f>'1) Tableau budgétaire 1_Révisé'!D358</f>
        <v>77000</v>
      </c>
      <c r="L98" s="45">
        <f>'1) Tableau budgétaire 1_Révisé'!E358</f>
        <v>0</v>
      </c>
      <c r="M98" s="45">
        <f>'1) Tableau budgétaire 1_Révisé'!F358</f>
        <v>0</v>
      </c>
      <c r="N98" s="46">
        <f>SUM(K98:M98)</f>
        <v>77000</v>
      </c>
      <c r="O98" s="402"/>
      <c r="P98" s="397"/>
      <c r="Q98" s="397"/>
      <c r="R98" s="44" t="s">
        <v>509</v>
      </c>
      <c r="S98" s="45">
        <f t="shared" ref="S98:U98" si="57">SUM(S99:S105)</f>
        <v>101000</v>
      </c>
      <c r="T98" s="45">
        <f t="shared" si="57"/>
        <v>0</v>
      </c>
      <c r="U98" s="45">
        <f t="shared" si="57"/>
        <v>0</v>
      </c>
      <c r="V98" s="46">
        <f>SUM(S98:U98)</f>
        <v>101000</v>
      </c>
    </row>
    <row r="99" spans="3:22" x14ac:dyDescent="0.35">
      <c r="C99" s="42" t="s">
        <v>45</v>
      </c>
      <c r="D99" s="401">
        <f>SUMIF('1) Tableau budgétaire 1 initial'!$K$263:$K$287,LEFT($C99,1),'1) Tableau budgétaire 1 initial'!$D$263:$D$287)</f>
        <v>0</v>
      </c>
      <c r="E99" s="401">
        <f>SUMIF('1) Tableau budgétaire 1 initial'!$K$263:$K$287,LEFT($C99,1),'1) Tableau budgétaire 1 initial'!$E$263:$E$287)</f>
        <v>0</v>
      </c>
      <c r="F99" s="401">
        <f>SUMIF('1) Tableau budgétaire 1 initial'!$K$263:$K$287,LEFT($C99,1),'1) Tableau budgétaire 1 initial'!$F$263:$F$287)</f>
        <v>0</v>
      </c>
      <c r="G99" s="43">
        <f t="shared" ref="G99:G106" si="58">SUM(D99:F99)</f>
        <v>0</v>
      </c>
      <c r="H99" s="397"/>
      <c r="I99" s="397"/>
      <c r="J99" s="42" t="s">
        <v>45</v>
      </c>
      <c r="K99" s="401">
        <f>SUMIF('1) Tableau budgétaire 1_Révisé'!$K$329:$K$353,LEFT($C99,1),'1) Tableau budgétaire 1_Révisé'!$D$329:$D$353)</f>
        <v>0</v>
      </c>
      <c r="L99" s="401">
        <f>SUMIF('1) Tableau budgétaire 1_Révisé'!$K$329:$K$353,LEFT($C99,1),'1) Tableau budgétaire 1_Révisé'!$E$329:$E$353)</f>
        <v>0</v>
      </c>
      <c r="M99" s="401">
        <f>SUMIF('1) Tableau budgétaire 1_Révisé'!$K$329:$K$353,LEFT($C99,1),'1) Tableau budgétaire 1_Révisé'!$F$329:$F$353)</f>
        <v>0</v>
      </c>
      <c r="N99" s="43">
        <f t="shared" ref="N99:N106" si="59">SUM(K99:M99)</f>
        <v>0</v>
      </c>
      <c r="O99" s="402"/>
      <c r="P99" s="397"/>
      <c r="Q99" s="397"/>
      <c r="R99" s="42" t="s">
        <v>45</v>
      </c>
      <c r="S99" s="401">
        <f>SUMIF('1) Tableau budgétaire 1_Révisé'!$V$329:$V$357,LEFT($R99,1),'1) Tableau budgétaire 1_Révisé'!$O$329:$O$357)</f>
        <v>0</v>
      </c>
      <c r="T99" s="401">
        <f>SUMIF('1) Tableau budgétaire 1_Révisé'!$V$329:$V$357,LEFT($R99,1),'1) Tableau budgétaire 1_Révisé'!$P$329:$P$357)</f>
        <v>0</v>
      </c>
      <c r="U99" s="401">
        <f>SUMIF('1) Tableau budgétaire 1_Révisé'!$K$329:$K$353,LEFT($C99,1),'1) Tableau budgétaire 1_Révisé'!$F$329:$F$353)</f>
        <v>0</v>
      </c>
      <c r="V99" s="43">
        <f t="shared" ref="V99:V106" si="60">SUM(S99:U99)</f>
        <v>0</v>
      </c>
    </row>
    <row r="100" spans="3:22" x14ac:dyDescent="0.35">
      <c r="C100" s="33" t="s">
        <v>46</v>
      </c>
      <c r="D100" s="401">
        <f>SUMIF('1) Tableau budgétaire 1 initial'!$K$263:$K$287,LEFT($C100,1),'1) Tableau budgétaire 1 initial'!$D$263:$D$287)</f>
        <v>0</v>
      </c>
      <c r="E100" s="401">
        <f>SUMIF('1) Tableau budgétaire 1 initial'!$K$263:$K$287,LEFT($C100,1),'1) Tableau budgétaire 1 initial'!$E$263:$E$287)</f>
        <v>0</v>
      </c>
      <c r="F100" s="401">
        <f>SUMIF('1) Tableau budgétaire 1 initial'!$K$263:$K$287,LEFT($C100,1),'1) Tableau budgétaire 1 initial'!$F$263:$F$287)</f>
        <v>0</v>
      </c>
      <c r="G100" s="41">
        <f t="shared" si="58"/>
        <v>0</v>
      </c>
      <c r="H100" s="397"/>
      <c r="I100" s="397"/>
      <c r="J100" s="33" t="s">
        <v>46</v>
      </c>
      <c r="K100" s="401">
        <f>SUMIF('1) Tableau budgétaire 1_Révisé'!$K$329:$K$353,LEFT($C100,1),'1) Tableau budgétaire 1_Révisé'!$D$329:$D$353)</f>
        <v>0</v>
      </c>
      <c r="L100" s="401">
        <f>SUMIF('1) Tableau budgétaire 1_Révisé'!$K$329:$K$353,LEFT($C100,1),'1) Tableau budgétaire 1_Révisé'!$E$329:$E$353)</f>
        <v>0</v>
      </c>
      <c r="M100" s="401">
        <f>SUMIF('1) Tableau budgétaire 1_Révisé'!$K$329:$K$353,LEFT($C100,1),'1) Tableau budgétaire 1_Révisé'!$F$329:$F$353)</f>
        <v>0</v>
      </c>
      <c r="N100" s="41">
        <f t="shared" si="59"/>
        <v>0</v>
      </c>
      <c r="O100" s="402"/>
      <c r="P100" s="397"/>
      <c r="Q100" s="397"/>
      <c r="R100" s="33" t="s">
        <v>46</v>
      </c>
      <c r="S100" s="401">
        <f>SUMIF('1) Tableau budgétaire 1_Révisé'!$V$329:$V$357,LEFT($R100,1),'1) Tableau budgétaire 1_Révisé'!$O$329:$O$357)</f>
        <v>0</v>
      </c>
      <c r="T100" s="401">
        <f>SUMIF('1) Tableau budgétaire 1_Révisé'!$V$329:$V$357,LEFT($R100,1),'1) Tableau budgétaire 1_Révisé'!$P$329:$P$357)</f>
        <v>0</v>
      </c>
      <c r="U100" s="401">
        <f>SUMIF('1) Tableau budgétaire 1_Révisé'!$K$329:$K$353,LEFT($C100,1),'1) Tableau budgétaire 1_Révisé'!$F$329:$F$353)</f>
        <v>0</v>
      </c>
      <c r="V100" s="41">
        <f t="shared" si="60"/>
        <v>0</v>
      </c>
    </row>
    <row r="101" spans="3:22" ht="15.75" customHeight="1" x14ac:dyDescent="0.35">
      <c r="C101" s="33" t="s">
        <v>47</v>
      </c>
      <c r="D101" s="401">
        <f>SUMIF('1) Tableau budgétaire 1 initial'!$K$263:$K$287,LEFT($C101,1),'1) Tableau budgétaire 1 initial'!$D$263:$D$287)</f>
        <v>0</v>
      </c>
      <c r="E101" s="401">
        <f>SUMIF('1) Tableau budgétaire 1 initial'!$K$263:$K$287,LEFT($C101,1),'1) Tableau budgétaire 1 initial'!$E$263:$E$287)</f>
        <v>0</v>
      </c>
      <c r="F101" s="401">
        <f>SUMIF('1) Tableau budgétaire 1 initial'!$K$263:$K$287,LEFT($C101,1),'1) Tableau budgétaire 1 initial'!$F$263:$F$287)</f>
        <v>0</v>
      </c>
      <c r="G101" s="41">
        <f t="shared" si="58"/>
        <v>0</v>
      </c>
      <c r="H101" s="397"/>
      <c r="I101" s="397"/>
      <c r="J101" s="33" t="s">
        <v>47</v>
      </c>
      <c r="K101" s="401">
        <f>SUMIF('1) Tableau budgétaire 1_Révisé'!$K$329:$K$353,LEFT($C101,1),'1) Tableau budgétaire 1_Révisé'!$D$329:$D$353)</f>
        <v>0</v>
      </c>
      <c r="L101" s="401">
        <f>SUMIF('1) Tableau budgétaire 1_Révisé'!$K$329:$K$353,LEFT($C101,1),'1) Tableau budgétaire 1_Révisé'!$E$329:$E$353)</f>
        <v>0</v>
      </c>
      <c r="M101" s="401">
        <f>SUMIF('1) Tableau budgétaire 1_Révisé'!$K$329:$K$353,LEFT($C101,1),'1) Tableau budgétaire 1_Révisé'!$F$329:$F$353)</f>
        <v>0</v>
      </c>
      <c r="N101" s="41">
        <f t="shared" si="59"/>
        <v>0</v>
      </c>
      <c r="O101" s="402"/>
      <c r="P101" s="397"/>
      <c r="Q101" s="397"/>
      <c r="R101" s="33" t="s">
        <v>47</v>
      </c>
      <c r="S101" s="401">
        <f>SUMIF('1) Tableau budgétaire 1_Révisé'!$V$329:$V$357,LEFT($R101,1),'1) Tableau budgétaire 1_Révisé'!$O$329:$O$357)</f>
        <v>0</v>
      </c>
      <c r="T101" s="401">
        <f>SUMIF('1) Tableau budgétaire 1_Révisé'!$V$329:$V$357,LEFT($R101,1),'1) Tableau budgétaire 1_Révisé'!$P$329:$P$357)</f>
        <v>0</v>
      </c>
      <c r="U101" s="401">
        <f>SUMIF('1) Tableau budgétaire 1_Révisé'!$K$329:$K$353,LEFT($C101,1),'1) Tableau budgétaire 1_Révisé'!$F$329:$F$353)</f>
        <v>0</v>
      </c>
      <c r="V101" s="41">
        <f t="shared" si="60"/>
        <v>0</v>
      </c>
    </row>
    <row r="102" spans="3:22" x14ac:dyDescent="0.35">
      <c r="C102" s="34" t="s">
        <v>48</v>
      </c>
      <c r="D102" s="401">
        <f>SUMIF('1) Tableau budgétaire 1 initial'!$K$263:$K$287,LEFT($C102,1),'1) Tableau budgétaire 1 initial'!$D$263:$D$287)</f>
        <v>45000</v>
      </c>
      <c r="E102" s="401">
        <f>SUMIF('1) Tableau budgétaire 1 initial'!$K$263:$K$287,LEFT($C102,1),'1) Tableau budgétaire 1 initial'!$E$263:$E$287)</f>
        <v>0</v>
      </c>
      <c r="F102" s="401">
        <f>SUMIF('1) Tableau budgétaire 1 initial'!$K$263:$K$287,LEFT($C102,1),'1) Tableau budgétaire 1 initial'!$F$263:$F$287)</f>
        <v>0</v>
      </c>
      <c r="G102" s="41">
        <f t="shared" si="58"/>
        <v>45000</v>
      </c>
      <c r="H102" s="397"/>
      <c r="I102" s="397"/>
      <c r="J102" s="34" t="s">
        <v>48</v>
      </c>
      <c r="K102" s="401">
        <f>SUMIF('1) Tableau budgétaire 1_Révisé'!$K$329:$K$353,LEFT($C102,1),'1) Tableau budgétaire 1_Révisé'!$D$329:$D$353)</f>
        <v>45000</v>
      </c>
      <c r="L102" s="401">
        <f>SUMIF('1) Tableau budgétaire 1_Révisé'!$K$329:$K$353,LEFT($C102,1),'1) Tableau budgétaire 1_Révisé'!$E$329:$E$353)</f>
        <v>0</v>
      </c>
      <c r="M102" s="401">
        <f>SUMIF('1) Tableau budgétaire 1_Révisé'!$K$329:$K$353,LEFT($C102,1),'1) Tableau budgétaire 1_Révisé'!$F$329:$F$353)</f>
        <v>0</v>
      </c>
      <c r="N102" s="41">
        <f t="shared" si="59"/>
        <v>45000</v>
      </c>
      <c r="O102" s="402"/>
      <c r="P102" s="397"/>
      <c r="Q102" s="397"/>
      <c r="R102" s="34" t="s">
        <v>48</v>
      </c>
      <c r="S102" s="401">
        <f>SUMIF('1) Tableau budgétaire 1_Révisé'!$V$329:$V$357,LEFT($R102,1),'1) Tableau budgétaire 1_Révisé'!$O$329:$O$357)</f>
        <v>50000</v>
      </c>
      <c r="T102" s="401">
        <f>SUMIF('1) Tableau budgétaire 1_Révisé'!$V$329:$V$357,LEFT($R102,1),'1) Tableau budgétaire 1_Révisé'!$P$329:$P$357)</f>
        <v>0</v>
      </c>
      <c r="U102" s="401">
        <f>SUMIF('1) Tableau budgétaire 1_Révisé'!$K$329:$K$353,LEFT($C102,1),'1) Tableau budgétaire 1_Révisé'!$F$329:$F$353)</f>
        <v>0</v>
      </c>
      <c r="V102" s="41">
        <f t="shared" si="60"/>
        <v>50000</v>
      </c>
    </row>
    <row r="103" spans="3:22" x14ac:dyDescent="0.35">
      <c r="C103" s="33" t="s">
        <v>49</v>
      </c>
      <c r="D103" s="401">
        <f>SUMIF('1) Tableau budgétaire 1 initial'!$K$263:$K$287,LEFT($C103,1),'1) Tableau budgétaire 1 initial'!$D$263:$D$287)</f>
        <v>7000</v>
      </c>
      <c r="E103" s="401">
        <f>SUMIF('1) Tableau budgétaire 1 initial'!$K$263:$K$287,LEFT($C103,1),'1) Tableau budgétaire 1 initial'!$E$263:$E$287)</f>
        <v>0</v>
      </c>
      <c r="F103" s="401">
        <f>SUMIF('1) Tableau budgétaire 1 initial'!$K$263:$K$287,LEFT($C103,1),'1) Tableau budgétaire 1 initial'!$F$263:$F$287)</f>
        <v>0</v>
      </c>
      <c r="G103" s="41">
        <f t="shared" si="58"/>
        <v>7000</v>
      </c>
      <c r="H103" s="397"/>
      <c r="I103" s="397"/>
      <c r="J103" s="33" t="s">
        <v>49</v>
      </c>
      <c r="K103" s="401">
        <f>SUMIF('1) Tableau budgétaire 1_Révisé'!$K$329:$K$353,LEFT($C103,1),'1) Tableau budgétaire 1_Révisé'!$D$329:$D$353)</f>
        <v>7000</v>
      </c>
      <c r="L103" s="401">
        <f>SUMIF('1) Tableau budgétaire 1_Révisé'!$K$329:$K$353,LEFT($C103,1),'1) Tableau budgétaire 1_Révisé'!$E$329:$E$353)</f>
        <v>0</v>
      </c>
      <c r="M103" s="401">
        <f>SUMIF('1) Tableau budgétaire 1_Révisé'!$K$329:$K$353,LEFT($C103,1),'1) Tableau budgétaire 1_Révisé'!$F$329:$F$353)</f>
        <v>0</v>
      </c>
      <c r="N103" s="41">
        <f t="shared" si="59"/>
        <v>7000</v>
      </c>
      <c r="O103" s="402"/>
      <c r="P103" s="397"/>
      <c r="Q103" s="397"/>
      <c r="R103" s="33" t="s">
        <v>49</v>
      </c>
      <c r="S103" s="401">
        <f>SUMIF('1) Tableau budgétaire 1_Révisé'!$V$329:$V$357,LEFT($R103,1),'1) Tableau budgétaire 1_Révisé'!$O$329:$O$357)</f>
        <v>14000</v>
      </c>
      <c r="T103" s="401">
        <f>SUMIF('1) Tableau budgétaire 1_Révisé'!$V$329:$V$357,LEFT($R103,1),'1) Tableau budgétaire 1_Révisé'!$P$329:$P$357)</f>
        <v>0</v>
      </c>
      <c r="U103" s="401">
        <f>SUMIF('1) Tableau budgétaire 1_Révisé'!$K$329:$K$353,LEFT($C103,1),'1) Tableau budgétaire 1_Révisé'!$F$329:$F$353)</f>
        <v>0</v>
      </c>
      <c r="V103" s="41">
        <f t="shared" si="60"/>
        <v>14000</v>
      </c>
    </row>
    <row r="104" spans="3:22" x14ac:dyDescent="0.35">
      <c r="C104" s="33" t="s">
        <v>50</v>
      </c>
      <c r="D104" s="401">
        <f>SUMIF('1) Tableau budgétaire 1 initial'!$K$263:$K$287,LEFT($C104,1),'1) Tableau budgétaire 1 initial'!$D$263:$D$287)</f>
        <v>15000</v>
      </c>
      <c r="E104" s="401">
        <f>SUMIF('1) Tableau budgétaire 1 initial'!$K$263:$K$287,LEFT($C104,1),'1) Tableau budgétaire 1 initial'!$E$263:$E$287)</f>
        <v>0</v>
      </c>
      <c r="F104" s="401">
        <f>SUMIF('1) Tableau budgétaire 1 initial'!$K$263:$K$287,LEFT($C104,1),'1) Tableau budgétaire 1 initial'!$F$263:$F$287)</f>
        <v>0</v>
      </c>
      <c r="G104" s="41">
        <f t="shared" si="58"/>
        <v>15000</v>
      </c>
      <c r="H104" s="397"/>
      <c r="I104" s="397"/>
      <c r="J104" s="33" t="s">
        <v>50</v>
      </c>
      <c r="K104" s="401">
        <f>SUMIF('1) Tableau budgétaire 1_Révisé'!$K$329:$K$353,LEFT($C104,1),'1) Tableau budgétaire 1_Révisé'!$D$329:$D$353)</f>
        <v>15000</v>
      </c>
      <c r="L104" s="401">
        <f>SUMIF('1) Tableau budgétaire 1_Révisé'!$K$329:$K$353,LEFT($C104,1),'1) Tableau budgétaire 1_Révisé'!$E$329:$E$353)</f>
        <v>0</v>
      </c>
      <c r="M104" s="401">
        <f>SUMIF('1) Tableau budgétaire 1_Révisé'!$K$329:$K$353,LEFT($C104,1),'1) Tableau budgétaire 1_Révisé'!$F$329:$F$353)</f>
        <v>0</v>
      </c>
      <c r="N104" s="41">
        <f t="shared" si="59"/>
        <v>15000</v>
      </c>
      <c r="O104" s="402"/>
      <c r="P104" s="397"/>
      <c r="Q104" s="397"/>
      <c r="R104" s="33" t="s">
        <v>50</v>
      </c>
      <c r="S104" s="401">
        <f>SUMIF('1) Tableau budgétaire 1_Révisé'!$V$329:$V$357,LEFT($R104,1),'1) Tableau budgétaire 1_Révisé'!$O$329:$O$357)</f>
        <v>15000</v>
      </c>
      <c r="T104" s="401">
        <f>SUMIF('1) Tableau budgétaire 1_Révisé'!$V$329:$V$357,LEFT($R104,1),'1) Tableau budgétaire 1_Révisé'!$P$329:$P$357)</f>
        <v>0</v>
      </c>
      <c r="U104" s="401">
        <f>SUMIF('1) Tableau budgétaire 1_Révisé'!$K$329:$K$353,LEFT($C104,1),'1) Tableau budgétaire 1_Révisé'!$F$329:$F$353)</f>
        <v>0</v>
      </c>
      <c r="V104" s="41">
        <f t="shared" si="60"/>
        <v>15000</v>
      </c>
    </row>
    <row r="105" spans="3:22" ht="31" x14ac:dyDescent="0.35">
      <c r="C105" s="33" t="s">
        <v>51</v>
      </c>
      <c r="D105" s="401">
        <f>SUMIF('1) Tableau budgétaire 1 initial'!$K$263:$K$287,LEFT($C105,1),'1) Tableau budgétaire 1 initial'!$D$263:$D$287)</f>
        <v>10000</v>
      </c>
      <c r="E105" s="401">
        <f>SUMIF('1) Tableau budgétaire 1 initial'!$K$263:$K$287,LEFT($C105,1),'1) Tableau budgétaire 1 initial'!$E$263:$E$287)</f>
        <v>0</v>
      </c>
      <c r="F105" s="401">
        <f>SUMIF('1) Tableau budgétaire 1 initial'!$K$263:$K$287,LEFT($C105,1),'1) Tableau budgétaire 1 initial'!$F$263:$F$287)</f>
        <v>0</v>
      </c>
      <c r="G105" s="41">
        <f t="shared" si="58"/>
        <v>10000</v>
      </c>
      <c r="H105" s="397"/>
      <c r="I105" s="397"/>
      <c r="J105" s="33" t="s">
        <v>51</v>
      </c>
      <c r="K105" s="401">
        <f>SUMIF('1) Tableau budgétaire 1_Révisé'!$K$329:$K$353,LEFT($C105,1),'1) Tableau budgétaire 1_Révisé'!$D$329:$D$353)</f>
        <v>10000</v>
      </c>
      <c r="L105" s="401">
        <f>SUMIF('1) Tableau budgétaire 1_Révisé'!$K$329:$K$353,LEFT($C105,1),'1) Tableau budgétaire 1_Révisé'!$E$329:$E$353)</f>
        <v>0</v>
      </c>
      <c r="M105" s="401">
        <f>SUMIF('1) Tableau budgétaire 1_Révisé'!$K$329:$K$353,LEFT($C105,1),'1) Tableau budgétaire 1_Révisé'!$F$329:$F$353)</f>
        <v>0</v>
      </c>
      <c r="N105" s="41">
        <f t="shared" si="59"/>
        <v>10000</v>
      </c>
      <c r="O105" s="402"/>
      <c r="P105" s="397"/>
      <c r="Q105" s="397"/>
      <c r="R105" s="33" t="s">
        <v>51</v>
      </c>
      <c r="S105" s="401">
        <f>SUMIF('1) Tableau budgétaire 1_Révisé'!$V$329:$V$357,LEFT($R105,1),'1) Tableau budgétaire 1_Révisé'!$O$329:$O$357)</f>
        <v>22000</v>
      </c>
      <c r="T105" s="401">
        <f>SUMIF('1) Tableau budgétaire 1_Révisé'!$V$329:$V$357,LEFT($R105,1),'1) Tableau budgétaire 1_Révisé'!$P$329:$P$357)</f>
        <v>0</v>
      </c>
      <c r="U105" s="401">
        <f>SUMIF('1) Tableau budgétaire 1_Révisé'!$K$329:$K$353,LEFT($C105,1),'1) Tableau budgétaire 1_Révisé'!$F$329:$F$353)</f>
        <v>0</v>
      </c>
      <c r="V105" s="41">
        <f t="shared" si="60"/>
        <v>22000</v>
      </c>
    </row>
    <row r="106" spans="3:22" x14ac:dyDescent="0.35">
      <c r="C106" s="38" t="s">
        <v>497</v>
      </c>
      <c r="D106" s="47">
        <f>SUM(D99:D105)</f>
        <v>77000</v>
      </c>
      <c r="E106" s="47">
        <f>SUM(E99:E105)</f>
        <v>0</v>
      </c>
      <c r="F106" s="47">
        <f t="shared" ref="F106" si="61">SUM(F99:F105)</f>
        <v>0</v>
      </c>
      <c r="G106" s="41">
        <f t="shared" si="58"/>
        <v>77000</v>
      </c>
      <c r="H106" s="397"/>
      <c r="I106" s="397"/>
      <c r="J106" s="38" t="s">
        <v>497</v>
      </c>
      <c r="K106" s="47">
        <f>SUM(K99:K105)</f>
        <v>77000</v>
      </c>
      <c r="L106" s="47">
        <f>SUM(L99:L105)</f>
        <v>0</v>
      </c>
      <c r="M106" s="47">
        <f t="shared" ref="M106" si="62">SUM(M99:M105)</f>
        <v>0</v>
      </c>
      <c r="N106" s="41">
        <f t="shared" si="59"/>
        <v>77000</v>
      </c>
      <c r="O106" s="402"/>
      <c r="P106" s="397"/>
      <c r="Q106" s="397"/>
      <c r="R106" s="38" t="s">
        <v>497</v>
      </c>
      <c r="S106" s="47">
        <f>SUM(S99:S105)</f>
        <v>101000</v>
      </c>
      <c r="T106" s="47">
        <f>SUM(T99:T105)</f>
        <v>0</v>
      </c>
      <c r="U106" s="47">
        <f t="shared" ref="U106" si="63">SUM(U99:U105)</f>
        <v>0</v>
      </c>
      <c r="V106" s="41">
        <f t="shared" si="60"/>
        <v>101000</v>
      </c>
    </row>
    <row r="107" spans="3:22" s="37" customFormat="1" x14ac:dyDescent="0.35">
      <c r="C107" s="48"/>
      <c r="D107" s="49"/>
      <c r="E107" s="49"/>
      <c r="F107" s="49"/>
      <c r="G107" s="50"/>
      <c r="H107" s="398"/>
      <c r="I107" s="398"/>
      <c r="J107" s="48"/>
      <c r="K107" s="49"/>
      <c r="L107" s="49"/>
      <c r="M107" s="49"/>
      <c r="N107" s="50"/>
      <c r="O107" s="402"/>
      <c r="P107" s="398"/>
      <c r="Q107" s="398"/>
      <c r="R107" s="48"/>
      <c r="S107" s="49"/>
      <c r="T107" s="49"/>
      <c r="U107" s="49"/>
      <c r="V107" s="50"/>
    </row>
    <row r="108" spans="3:22" ht="15.75" customHeight="1" x14ac:dyDescent="0.35">
      <c r="C108" s="669" t="s">
        <v>22</v>
      </c>
      <c r="D108" s="670"/>
      <c r="E108" s="670"/>
      <c r="F108" s="670"/>
      <c r="G108" s="671"/>
      <c r="H108" s="397"/>
      <c r="I108" s="397"/>
      <c r="J108" s="669" t="s">
        <v>22</v>
      </c>
      <c r="K108" s="670"/>
      <c r="L108" s="670"/>
      <c r="M108" s="670"/>
      <c r="N108" s="671"/>
      <c r="O108" s="402"/>
      <c r="P108" s="397"/>
      <c r="Q108" s="397"/>
      <c r="R108" s="669" t="s">
        <v>22</v>
      </c>
      <c r="S108" s="670"/>
      <c r="T108" s="670"/>
      <c r="U108" s="670"/>
      <c r="V108" s="671"/>
    </row>
    <row r="109" spans="3:22" ht="16" thickBot="1" x14ac:dyDescent="0.4">
      <c r="C109" s="44" t="s">
        <v>510</v>
      </c>
      <c r="D109" s="45">
        <f>'1) Tableau budgétaire 1_Révisé'!D388</f>
        <v>0</v>
      </c>
      <c r="E109" s="45">
        <f>'1) Tableau budgétaire 1_Révisé'!E388</f>
        <v>73891.8</v>
      </c>
      <c r="F109" s="45">
        <f>'1) Tableau budgétaire 1_Révisé'!F388</f>
        <v>0</v>
      </c>
      <c r="G109" s="46">
        <f t="shared" ref="G109:G117" si="64">SUM(D109:F109)</f>
        <v>73891.8</v>
      </c>
      <c r="H109" s="397"/>
      <c r="I109" s="397"/>
      <c r="J109" s="44" t="s">
        <v>510</v>
      </c>
      <c r="K109" s="45">
        <f>'1) Tableau budgétaire 1_Révisé'!D388</f>
        <v>0</v>
      </c>
      <c r="L109" s="45">
        <f>'1) Tableau budgétaire 1_Révisé'!E388</f>
        <v>73891.8</v>
      </c>
      <c r="M109" s="45">
        <f>'1) Tableau budgétaire 1_Révisé'!F388</f>
        <v>0</v>
      </c>
      <c r="N109" s="46">
        <f t="shared" ref="N109:N117" si="65">SUM(K109:M109)</f>
        <v>73891.8</v>
      </c>
      <c r="O109" s="402"/>
      <c r="P109" s="397"/>
      <c r="Q109" s="397"/>
      <c r="R109" s="44" t="s">
        <v>510</v>
      </c>
      <c r="S109" s="45">
        <f t="shared" ref="S109:U109" si="66">SUM(S110:S116)</f>
        <v>5000</v>
      </c>
      <c r="T109" s="45">
        <f t="shared" si="66"/>
        <v>74578.09</v>
      </c>
      <c r="U109" s="45">
        <f t="shared" si="66"/>
        <v>0</v>
      </c>
      <c r="V109" s="46">
        <f t="shared" ref="V109:V117" si="67">SUM(S109:U109)</f>
        <v>79578.09</v>
      </c>
    </row>
    <row r="110" spans="3:22" x14ac:dyDescent="0.35">
      <c r="C110" s="42" t="s">
        <v>45</v>
      </c>
      <c r="D110" s="401">
        <f>SUMIF('1) Tableau budgétaire 1 initial'!$K$290:$K$314,LEFT($C110,1),'1) Tableau budgétaire 1 initial'!$D$290:$D$314)</f>
        <v>0</v>
      </c>
      <c r="E110" s="401">
        <f>SUMIF('1) Tableau budgétaire 1 initial'!$K$290:$K$314,LEFT($C110,1),'1) Tableau budgétaire 1 initial'!$E$290:$E$314)</f>
        <v>0</v>
      </c>
      <c r="F110" s="401">
        <f>SUMIF('1) Tableau budgétaire 1 initial'!$K$290:$K$314,LEFT($C110,1),'1) Tableau budgétaire 1 initial'!$F$290:$F$314)</f>
        <v>0</v>
      </c>
      <c r="G110" s="43">
        <f t="shared" si="64"/>
        <v>0</v>
      </c>
      <c r="H110" s="397"/>
      <c r="I110" s="397"/>
      <c r="J110" s="42" t="s">
        <v>45</v>
      </c>
      <c r="K110" s="401">
        <f>SUMIF('1) Tableau budgétaire 1_Révisé'!$K$360:$K$387,LEFT($C110,1),'1) Tableau budgétaire 1_Révisé'!$D$360:$D$387)</f>
        <v>0</v>
      </c>
      <c r="L110" s="401">
        <f>SUMIF('1) Tableau budgétaire 1_Révisé'!$K$360:$K$387,LEFT($C110,1),'1) Tableau budgétaire 1_Révisé'!$E$360:$E$387)</f>
        <v>0</v>
      </c>
      <c r="M110" s="401">
        <f>SUMIF('1) Tableau budgétaire 1_Révisé'!$K$360:$K$387,LEFT($C110,1),'1) Tableau budgétaire 1_Révisé'!$F$360:$F$387)</f>
        <v>0</v>
      </c>
      <c r="N110" s="43">
        <f t="shared" si="65"/>
        <v>0</v>
      </c>
      <c r="O110" s="402"/>
      <c r="P110" s="397"/>
      <c r="Q110" s="397"/>
      <c r="R110" s="42" t="s">
        <v>45</v>
      </c>
      <c r="S110" s="401">
        <f>SUMIF('1) Tableau budgétaire 1_Révisé'!$V$360:$V$387,LEFT($R110,1),'1) Tableau budgétaire 1_Révisé'!$O$360:$O$387)</f>
        <v>0</v>
      </c>
      <c r="T110" s="401">
        <f>SUMIF('1) Tableau budgétaire 1_Révisé'!$V$360:$V$387,LEFT($R110,1),'1) Tableau budgétaire 1_Révisé'!$P$360:$P$387)</f>
        <v>0</v>
      </c>
      <c r="U110" s="401">
        <f>SUMIF('1) Tableau budgétaire 1_Révisé'!$K$360:$K$387,LEFT($C110,1),'1) Tableau budgétaire 1_Révisé'!$F$360:$F$387)</f>
        <v>0</v>
      </c>
      <c r="V110" s="43">
        <f t="shared" si="67"/>
        <v>0</v>
      </c>
    </row>
    <row r="111" spans="3:22" x14ac:dyDescent="0.35">
      <c r="C111" s="33" t="s">
        <v>46</v>
      </c>
      <c r="D111" s="401">
        <f>SUMIF('1) Tableau budgétaire 1 initial'!$K$290:$K$314,LEFT($C111,1),'1) Tableau budgétaire 1 initial'!$D$290:$D$314)</f>
        <v>0</v>
      </c>
      <c r="E111" s="401">
        <f>SUMIF('1) Tableau budgétaire 1 initial'!$K$290:$K$314,LEFT($C111,1),'1) Tableau budgétaire 1 initial'!$E$290:$E$314)</f>
        <v>0</v>
      </c>
      <c r="F111" s="401">
        <f>SUMIF('1) Tableau budgétaire 1 initial'!$K$290:$K$314,LEFT($C111,1),'1) Tableau budgétaire 1 initial'!$F$290:$F$314)</f>
        <v>0</v>
      </c>
      <c r="G111" s="41">
        <f t="shared" si="64"/>
        <v>0</v>
      </c>
      <c r="H111" s="397"/>
      <c r="I111" s="397"/>
      <c r="J111" s="33" t="s">
        <v>46</v>
      </c>
      <c r="K111" s="401">
        <f>SUMIF('1) Tableau budgétaire 1_Révisé'!$K$360:$K$387,LEFT($C111,1),'1) Tableau budgétaire 1_Révisé'!$D$360:$D$387)</f>
        <v>0</v>
      </c>
      <c r="L111" s="401">
        <f>SUMIF('1) Tableau budgétaire 1_Révisé'!$K$360:$K$387,LEFT($C111,1),'1) Tableau budgétaire 1_Révisé'!$E$360:$E$387)</f>
        <v>0</v>
      </c>
      <c r="M111" s="401">
        <f>SUMIF('1) Tableau budgétaire 1_Révisé'!$K$360:$K$387,LEFT($C111,1),'1) Tableau budgétaire 1_Révisé'!$F$360:$F$387)</f>
        <v>0</v>
      </c>
      <c r="N111" s="41">
        <f t="shared" si="65"/>
        <v>0</v>
      </c>
      <c r="O111" s="402"/>
      <c r="P111" s="397"/>
      <c r="Q111" s="397"/>
      <c r="R111" s="33" t="s">
        <v>46</v>
      </c>
      <c r="S111" s="401">
        <f>SUMIF('1) Tableau budgétaire 1_Révisé'!$V$360:$V$387,LEFT($R111,1),'1) Tableau budgétaire 1_Révisé'!$O$360:$O$387)</f>
        <v>0</v>
      </c>
      <c r="T111" s="401">
        <f>SUMIF('1) Tableau budgétaire 1_Révisé'!$V$360:$V$387,LEFT($R111,1),'1) Tableau budgétaire 1_Révisé'!$P$360:$P$387)</f>
        <v>5636</v>
      </c>
      <c r="U111" s="401">
        <f>SUMIF('1) Tableau budgétaire 1_Révisé'!$K$360:$K$387,LEFT($C111,1),'1) Tableau budgétaire 1_Révisé'!$F$360:$F$387)</f>
        <v>0</v>
      </c>
      <c r="V111" s="41">
        <f t="shared" si="67"/>
        <v>5636</v>
      </c>
    </row>
    <row r="112" spans="3:22" ht="31" x14ac:dyDescent="0.35">
      <c r="C112" s="33" t="s">
        <v>47</v>
      </c>
      <c r="D112" s="401">
        <f>SUMIF('1) Tableau budgétaire 1 initial'!$K$290:$K$314,LEFT($C112,1),'1) Tableau budgétaire 1 initial'!$D$290:$D$314)</f>
        <v>0</v>
      </c>
      <c r="E112" s="401">
        <f>SUMIF('1) Tableau budgétaire 1 initial'!$K$290:$K$314,LEFT($C112,1),'1) Tableau budgétaire 1 initial'!$E$290:$E$314)</f>
        <v>0</v>
      </c>
      <c r="F112" s="401">
        <f>SUMIF('1) Tableau budgétaire 1 initial'!$K$290:$K$314,LEFT($C112,1),'1) Tableau budgétaire 1 initial'!$F$290:$F$314)</f>
        <v>0</v>
      </c>
      <c r="G112" s="41">
        <f t="shared" si="64"/>
        <v>0</v>
      </c>
      <c r="H112" s="397"/>
      <c r="I112" s="397"/>
      <c r="J112" s="33" t="s">
        <v>47</v>
      </c>
      <c r="K112" s="401">
        <f>SUMIF('1) Tableau budgétaire 1_Révisé'!$K$360:$K$387,LEFT($C112,1),'1) Tableau budgétaire 1_Révisé'!$D$360:$D$387)</f>
        <v>0</v>
      </c>
      <c r="L112" s="401">
        <f>SUMIF('1) Tableau budgétaire 1_Révisé'!$K$360:$K$387,LEFT($C112,1),'1) Tableau budgétaire 1_Révisé'!$E$360:$E$387)</f>
        <v>0</v>
      </c>
      <c r="M112" s="401">
        <f>SUMIF('1) Tableau budgétaire 1_Révisé'!$K$360:$K$387,LEFT($C112,1),'1) Tableau budgétaire 1_Révisé'!$F$360:$F$387)</f>
        <v>0</v>
      </c>
      <c r="N112" s="41">
        <f t="shared" si="65"/>
        <v>0</v>
      </c>
      <c r="O112" s="402"/>
      <c r="P112" s="397"/>
      <c r="Q112" s="397"/>
      <c r="R112" s="33" t="s">
        <v>47</v>
      </c>
      <c r="S112" s="401">
        <f>SUMIF('1) Tableau budgétaire 1_Révisé'!$V$360:$V$387,LEFT($R112,1),'1) Tableau budgétaire 1_Révisé'!$O$360:$O$387)</f>
        <v>0</v>
      </c>
      <c r="T112" s="401">
        <f>SUMIF('1) Tableau budgétaire 1_Révisé'!$V$360:$V$387,LEFT($R112,1),'1) Tableau budgétaire 1_Révisé'!$P$360:$P$387)</f>
        <v>0</v>
      </c>
      <c r="U112" s="401">
        <f>SUMIF('1) Tableau budgétaire 1_Révisé'!$K$360:$K$387,LEFT($C112,1),'1) Tableau budgétaire 1_Révisé'!$F$360:$F$387)</f>
        <v>0</v>
      </c>
      <c r="V112" s="41">
        <f t="shared" si="67"/>
        <v>0</v>
      </c>
    </row>
    <row r="113" spans="3:22" x14ac:dyDescent="0.35">
      <c r="C113" s="34" t="s">
        <v>48</v>
      </c>
      <c r="D113" s="401">
        <f>SUMIF('1) Tableau budgétaire 1 initial'!$K$290:$K$314,LEFT($C113,1),'1) Tableau budgétaire 1 initial'!$D$290:$D$314)</f>
        <v>0</v>
      </c>
      <c r="E113" s="401">
        <f>SUMIF('1) Tableau budgétaire 1 initial'!$K$290:$K$314,LEFT($C113,1),'1) Tableau budgétaire 1 initial'!$E$290:$E$314)</f>
        <v>0</v>
      </c>
      <c r="F113" s="401">
        <f>SUMIF('1) Tableau budgétaire 1 initial'!$K$290:$K$314,LEFT($C113,1),'1) Tableau budgétaire 1 initial'!$F$290:$F$314)</f>
        <v>0</v>
      </c>
      <c r="G113" s="41">
        <f t="shared" si="64"/>
        <v>0</v>
      </c>
      <c r="H113" s="397"/>
      <c r="I113" s="397"/>
      <c r="J113" s="34" t="s">
        <v>48</v>
      </c>
      <c r="K113" s="401">
        <f>SUMIF('1) Tableau budgétaire 1_Révisé'!$K$360:$K$387,LEFT($C113,1),'1) Tableau budgétaire 1_Révisé'!$D$360:$D$387)</f>
        <v>0</v>
      </c>
      <c r="L113" s="401">
        <f>SUMIF('1) Tableau budgétaire 1_Révisé'!$K$360:$K$387,LEFT($C113,1),'1) Tableau budgétaire 1_Révisé'!$E$360:$E$387)</f>
        <v>0</v>
      </c>
      <c r="M113" s="401">
        <f>SUMIF('1) Tableau budgétaire 1_Révisé'!$K$360:$K$387,LEFT($C113,1),'1) Tableau budgétaire 1_Révisé'!$F$360:$F$387)</f>
        <v>0</v>
      </c>
      <c r="N113" s="41">
        <f t="shared" si="65"/>
        <v>0</v>
      </c>
      <c r="O113" s="402"/>
      <c r="P113" s="397"/>
      <c r="Q113" s="397"/>
      <c r="R113" s="34" t="s">
        <v>48</v>
      </c>
      <c r="S113" s="401">
        <f>SUMIF('1) Tableau budgétaire 1_Révisé'!$V$360:$V$387,LEFT($R113,1),'1) Tableau budgétaire 1_Révisé'!$O$360:$O$387)</f>
        <v>0</v>
      </c>
      <c r="T113" s="401">
        <f>SUMIF('1) Tableau budgétaire 1_Révisé'!$V$360:$V$387,LEFT($R113,1),'1) Tableau budgétaire 1_Révisé'!$P$360:$P$387)</f>
        <v>0</v>
      </c>
      <c r="U113" s="401">
        <f>SUMIF('1) Tableau budgétaire 1_Révisé'!$K$360:$K$387,LEFT($C113,1),'1) Tableau budgétaire 1_Révisé'!$F$360:$F$387)</f>
        <v>0</v>
      </c>
      <c r="V113" s="41">
        <f t="shared" si="67"/>
        <v>0</v>
      </c>
    </row>
    <row r="114" spans="3:22" x14ac:dyDescent="0.35">
      <c r="C114" s="33" t="s">
        <v>49</v>
      </c>
      <c r="D114" s="401">
        <f>SUMIF('1) Tableau budgétaire 1 initial'!$K$290:$K$314,LEFT($C114,1),'1) Tableau budgétaire 1 initial'!$D$290:$D$314)</f>
        <v>0</v>
      </c>
      <c r="E114" s="401">
        <f>SUMIF('1) Tableau budgétaire 1 initial'!$K$290:$K$314,LEFT($C114,1),'1) Tableau budgétaire 1 initial'!$E$290:$E$314)</f>
        <v>0</v>
      </c>
      <c r="F114" s="401">
        <f>SUMIF('1) Tableau budgétaire 1 initial'!$K$290:$K$314,LEFT($C114,1),'1) Tableau budgétaire 1 initial'!$F$290:$F$314)</f>
        <v>0</v>
      </c>
      <c r="G114" s="41">
        <f t="shared" si="64"/>
        <v>0</v>
      </c>
      <c r="H114" s="397"/>
      <c r="I114" s="397"/>
      <c r="J114" s="33" t="s">
        <v>49</v>
      </c>
      <c r="K114" s="401">
        <f>SUMIF('1) Tableau budgétaire 1_Révisé'!$K$360:$K$387,LEFT($C114,1),'1) Tableau budgétaire 1_Révisé'!$D$360:$D$387)</f>
        <v>0</v>
      </c>
      <c r="L114" s="401">
        <f>SUMIF('1) Tableau budgétaire 1_Révisé'!$K$360:$K$387,LEFT($C114,1),'1) Tableau budgétaire 1_Révisé'!$E$360:$E$387)</f>
        <v>0</v>
      </c>
      <c r="M114" s="401">
        <f>SUMIF('1) Tableau budgétaire 1_Révisé'!$K$360:$K$387,LEFT($C114,1),'1) Tableau budgétaire 1_Révisé'!$F$360:$F$387)</f>
        <v>0</v>
      </c>
      <c r="N114" s="41">
        <f t="shared" si="65"/>
        <v>0</v>
      </c>
      <c r="O114" s="402"/>
      <c r="P114" s="397"/>
      <c r="Q114" s="397"/>
      <c r="R114" s="33" t="s">
        <v>49</v>
      </c>
      <c r="S114" s="401">
        <f>SUMIF('1) Tableau budgétaire 1_Révisé'!$V$360:$V$387,LEFT($R114,1),'1) Tableau budgétaire 1_Révisé'!$O$360:$O$387)</f>
        <v>0</v>
      </c>
      <c r="T114" s="401">
        <f>SUMIF('1) Tableau budgétaire 1_Révisé'!$V$360:$V$387,LEFT($R114,1),'1) Tableau budgétaire 1_Révisé'!$P$360:$P$387)</f>
        <v>14000</v>
      </c>
      <c r="U114" s="401">
        <f>SUMIF('1) Tableau budgétaire 1_Révisé'!$K$360:$K$387,LEFT($C114,1),'1) Tableau budgétaire 1_Révisé'!$F$360:$F$387)</f>
        <v>0</v>
      </c>
      <c r="V114" s="41">
        <f t="shared" si="67"/>
        <v>14000</v>
      </c>
    </row>
    <row r="115" spans="3:22" x14ac:dyDescent="0.35">
      <c r="C115" s="33" t="s">
        <v>50</v>
      </c>
      <c r="D115" s="401">
        <f>SUMIF('1) Tableau budgétaire 1 initial'!$K$290:$K$314,LEFT($C115,1),'1) Tableau budgétaire 1 initial'!$D$290:$D$314)</f>
        <v>0</v>
      </c>
      <c r="E115" s="401">
        <f>SUMIF('1) Tableau budgétaire 1 initial'!$K$290:$K$314,LEFT($C115,1),'1) Tableau budgétaire 1 initial'!$E$290:$E$314)</f>
        <v>0</v>
      </c>
      <c r="F115" s="401">
        <f>SUMIF('1) Tableau budgétaire 1 initial'!$K$290:$K$314,LEFT($C115,1),'1) Tableau budgétaire 1 initial'!$F$290:$F$314)</f>
        <v>0</v>
      </c>
      <c r="G115" s="41">
        <f t="shared" si="64"/>
        <v>0</v>
      </c>
      <c r="H115" s="397"/>
      <c r="I115" s="397"/>
      <c r="J115" s="33" t="s">
        <v>50</v>
      </c>
      <c r="K115" s="401">
        <f>SUMIF('1) Tableau budgétaire 1_Révisé'!$K$360:$K$387,LEFT($C115,1),'1) Tableau budgétaire 1_Révisé'!$D$360:$D$387)</f>
        <v>0</v>
      </c>
      <c r="L115" s="401">
        <f>SUMIF('1) Tableau budgétaire 1_Révisé'!$K$360:$K$387,LEFT($C115,1),'1) Tableau budgétaire 1_Révisé'!$E$360:$E$387)</f>
        <v>0</v>
      </c>
      <c r="M115" s="401">
        <f>SUMIF('1) Tableau budgétaire 1_Révisé'!$K$360:$K$387,LEFT($C115,1),'1) Tableau budgétaire 1_Révisé'!$F$360:$F$387)</f>
        <v>0</v>
      </c>
      <c r="N115" s="41">
        <f t="shared" si="65"/>
        <v>0</v>
      </c>
      <c r="O115" s="402"/>
      <c r="P115" s="397"/>
      <c r="Q115" s="397"/>
      <c r="R115" s="33" t="s">
        <v>50</v>
      </c>
      <c r="S115" s="401">
        <f>SUMIF('1) Tableau budgétaire 1_Révisé'!$V$360:$V$387,LEFT($R115,1),'1) Tableau budgétaire 1_Révisé'!$O$360:$O$387)</f>
        <v>0</v>
      </c>
      <c r="T115" s="401">
        <f>SUMIF('1) Tableau budgétaire 1_Révisé'!$V$360:$V$387,LEFT($R115,1),'1) Tableau budgétaire 1_Révisé'!$P$360:$P$387)</f>
        <v>10600</v>
      </c>
      <c r="U115" s="401">
        <f>SUMIF('1) Tableau budgétaire 1_Révisé'!$K$360:$K$387,LEFT($C115,1),'1) Tableau budgétaire 1_Révisé'!$F$360:$F$387)</f>
        <v>0</v>
      </c>
      <c r="V115" s="41">
        <f t="shared" si="67"/>
        <v>10600</v>
      </c>
    </row>
    <row r="116" spans="3:22" ht="31" x14ac:dyDescent="0.35">
      <c r="C116" s="33" t="s">
        <v>51</v>
      </c>
      <c r="D116" s="401">
        <f>SUMIF('1) Tableau budgétaire 1 initial'!$K$290:$K$314,LEFT($C116,1),'1) Tableau budgétaire 1 initial'!$D$290:$D$314)</f>
        <v>0</v>
      </c>
      <c r="E116" s="401">
        <f>SUMIF('1) Tableau budgétaire 1 initial'!$K$290:$K$314,LEFT($C116,1),'1) Tableau budgétaire 1 initial'!$E$290:$E$314)</f>
        <v>73891.8</v>
      </c>
      <c r="F116" s="401">
        <f>SUMIF('1) Tableau budgétaire 1 initial'!$K$290:$K$314,LEFT($C116,1),'1) Tableau budgétaire 1 initial'!$F$290:$F$314)</f>
        <v>0</v>
      </c>
      <c r="G116" s="41">
        <f t="shared" si="64"/>
        <v>73891.8</v>
      </c>
      <c r="H116" s="397"/>
      <c r="I116" s="397"/>
      <c r="J116" s="33" t="s">
        <v>51</v>
      </c>
      <c r="K116" s="401">
        <f>SUMIF('1) Tableau budgétaire 1_Révisé'!$K$360:$K$387,LEFT($C116,1),'1) Tableau budgétaire 1_Révisé'!$D$360:$D$387)</f>
        <v>0</v>
      </c>
      <c r="L116" s="401">
        <f>SUMIF('1) Tableau budgétaire 1_Révisé'!$K$360:$K$387,LEFT($C116,1),'1) Tableau budgétaire 1_Révisé'!$E$360:$E$387)</f>
        <v>73891.8</v>
      </c>
      <c r="M116" s="401">
        <f>SUMIF('1) Tableau budgétaire 1_Révisé'!$K$360:$K$387,LEFT($C116,1),'1) Tableau budgétaire 1_Révisé'!$F$360:$F$387)</f>
        <v>0</v>
      </c>
      <c r="N116" s="41">
        <f t="shared" si="65"/>
        <v>73891.8</v>
      </c>
      <c r="O116" s="402"/>
      <c r="P116" s="397"/>
      <c r="Q116" s="397"/>
      <c r="R116" s="33" t="s">
        <v>51</v>
      </c>
      <c r="S116" s="401">
        <f>SUMIF('1) Tableau budgétaire 1_Révisé'!$V$360:$V$387,LEFT($R116,1),'1) Tableau budgétaire 1_Révisé'!$O$360:$O$387)</f>
        <v>5000</v>
      </c>
      <c r="T116" s="401">
        <f>SUMIF('1) Tableau budgétaire 1_Révisé'!$V$360:$V$387,LEFT($R116,1),'1) Tableau budgétaire 1_Révisé'!$P$360:$P$387)</f>
        <v>44342.09</v>
      </c>
      <c r="U116" s="401">
        <f>SUMIF('1) Tableau budgétaire 1_Révisé'!$K$360:$K$387,LEFT($C116,1),'1) Tableau budgétaire 1_Révisé'!$F$360:$F$387)</f>
        <v>0</v>
      </c>
      <c r="V116" s="41">
        <f t="shared" si="67"/>
        <v>49342.09</v>
      </c>
    </row>
    <row r="117" spans="3:22" x14ac:dyDescent="0.35">
      <c r="C117" s="38" t="s">
        <v>497</v>
      </c>
      <c r="D117" s="47">
        <f t="shared" ref="D117:E117" si="68">SUM(D110:D116)</f>
        <v>0</v>
      </c>
      <c r="E117" s="47">
        <f t="shared" si="68"/>
        <v>73891.8</v>
      </c>
      <c r="F117" s="47">
        <f t="shared" ref="F117" si="69">SUM(F110:F116)</f>
        <v>0</v>
      </c>
      <c r="G117" s="41">
        <f t="shared" si="64"/>
        <v>73891.8</v>
      </c>
      <c r="H117" s="397"/>
      <c r="I117" s="397"/>
      <c r="J117" s="38" t="s">
        <v>497</v>
      </c>
      <c r="K117" s="47">
        <f t="shared" ref="K117:L117" si="70">SUM(K110:K116)</f>
        <v>0</v>
      </c>
      <c r="L117" s="47">
        <f t="shared" si="70"/>
        <v>73891.8</v>
      </c>
      <c r="M117" s="47">
        <f t="shared" ref="M117" si="71">SUM(M110:M116)</f>
        <v>0</v>
      </c>
      <c r="N117" s="41">
        <f t="shared" si="65"/>
        <v>73891.8</v>
      </c>
      <c r="O117" s="402"/>
      <c r="P117" s="397"/>
      <c r="Q117" s="397"/>
      <c r="R117" s="38" t="s">
        <v>497</v>
      </c>
      <c r="S117" s="47">
        <f t="shared" ref="S117:U117" si="72">SUM(S110:S116)</f>
        <v>5000</v>
      </c>
      <c r="T117" s="47">
        <f t="shared" si="72"/>
        <v>74578.09</v>
      </c>
      <c r="U117" s="47">
        <f t="shared" si="72"/>
        <v>0</v>
      </c>
      <c r="V117" s="41">
        <f t="shared" si="67"/>
        <v>79578.09</v>
      </c>
    </row>
    <row r="118" spans="3:22" s="37" customFormat="1" x14ac:dyDescent="0.35">
      <c r="C118" s="48"/>
      <c r="D118" s="49"/>
      <c r="E118" s="49"/>
      <c r="F118" s="49"/>
      <c r="G118" s="50"/>
      <c r="H118" s="398"/>
      <c r="I118" s="398"/>
      <c r="J118" s="48"/>
      <c r="K118" s="49"/>
      <c r="L118" s="49"/>
      <c r="M118" s="49"/>
      <c r="N118" s="50"/>
      <c r="O118" s="402"/>
      <c r="P118" s="398"/>
      <c r="Q118" s="398"/>
      <c r="R118" s="48"/>
      <c r="S118" s="49"/>
      <c r="T118" s="49"/>
      <c r="U118" s="49"/>
      <c r="V118" s="50"/>
    </row>
    <row r="119" spans="3:22" x14ac:dyDescent="0.35">
      <c r="C119" s="669" t="s">
        <v>318</v>
      </c>
      <c r="D119" s="670"/>
      <c r="E119" s="670"/>
      <c r="F119" s="670"/>
      <c r="G119" s="671"/>
      <c r="H119" s="397"/>
      <c r="I119" s="397"/>
      <c r="J119" s="669" t="s">
        <v>318</v>
      </c>
      <c r="K119" s="670"/>
      <c r="L119" s="670"/>
      <c r="M119" s="670"/>
      <c r="N119" s="671"/>
      <c r="O119" s="402"/>
      <c r="P119" s="397"/>
      <c r="Q119" s="397"/>
      <c r="R119" s="669" t="s">
        <v>318</v>
      </c>
      <c r="S119" s="670"/>
      <c r="T119" s="670"/>
      <c r="U119" s="670"/>
      <c r="V119" s="671"/>
    </row>
    <row r="120" spans="3:22" ht="16" thickBot="1" x14ac:dyDescent="0.4">
      <c r="C120" s="44" t="s">
        <v>511</v>
      </c>
      <c r="D120" s="45">
        <f>'1) Tableau budgétaire 1_Révisé'!D400</f>
        <v>0</v>
      </c>
      <c r="E120" s="45">
        <f>'1) Tableau budgétaire 1_Révisé'!E400</f>
        <v>0</v>
      </c>
      <c r="F120" s="45">
        <f>'1) Tableau budgétaire 1_Révisé'!F400</f>
        <v>0</v>
      </c>
      <c r="G120" s="46">
        <f t="shared" ref="G120:G128" si="73">SUM(D120:F120)</f>
        <v>0</v>
      </c>
      <c r="H120" s="397"/>
      <c r="I120" s="397"/>
      <c r="J120" s="44" t="s">
        <v>511</v>
      </c>
      <c r="K120" s="45">
        <f>'1) Tableau budgétaire 1_Révisé'!D400</f>
        <v>0</v>
      </c>
      <c r="L120" s="45">
        <f>'1) Tableau budgétaire 1_Révisé'!E400</f>
        <v>0</v>
      </c>
      <c r="M120" s="45">
        <f>'1) Tableau budgétaire 1_Révisé'!F400</f>
        <v>0</v>
      </c>
      <c r="N120" s="46">
        <f t="shared" ref="N120:N128" si="74">SUM(K120:M120)</f>
        <v>0</v>
      </c>
      <c r="O120" s="402"/>
      <c r="P120" s="397"/>
      <c r="Q120" s="397"/>
      <c r="R120" s="44" t="s">
        <v>511</v>
      </c>
      <c r="S120" s="45">
        <f t="shared" ref="S120:U120" si="75">SUM(S121:S127)</f>
        <v>0</v>
      </c>
      <c r="T120" s="45">
        <f t="shared" si="75"/>
        <v>0</v>
      </c>
      <c r="U120" s="45">
        <f t="shared" si="75"/>
        <v>0</v>
      </c>
      <c r="V120" s="46">
        <f t="shared" ref="V120:V128" si="76">SUM(S120:U120)</f>
        <v>0</v>
      </c>
    </row>
    <row r="121" spans="3:22" x14ac:dyDescent="0.35">
      <c r="C121" s="42" t="s">
        <v>45</v>
      </c>
      <c r="D121" s="401">
        <f>SUMIF('1) Tableau budgétaire 1 initial'!$K$317:$K$326,LEFT($C121,1),'1) Tableau budgétaire 1 initial'!$D$317:$D$326)</f>
        <v>0</v>
      </c>
      <c r="E121" s="401">
        <f>SUMIF('1) Tableau budgétaire 1 initial'!$K$317:$K$326,LEFT($C121,1),'1) Tableau budgétaire 1 initial'!$E$317:$E$326)</f>
        <v>0</v>
      </c>
      <c r="F121" s="401">
        <f>SUMIF('1) Tableau budgétaire 1 initial'!$K$317:$K$326,LEFT($C121,1),'1) Tableau budgétaire 1 initial'!$F$317:$F$326)</f>
        <v>0</v>
      </c>
      <c r="G121" s="43">
        <f t="shared" si="73"/>
        <v>0</v>
      </c>
      <c r="H121" s="397"/>
      <c r="I121" s="397"/>
      <c r="J121" s="42" t="s">
        <v>45</v>
      </c>
      <c r="K121" s="401">
        <f>SUMIF('1) Tableau budgétaire 1_Révisé'!$K$390:$K$399,LEFT($C121,1),'1) Tableau budgétaire 1_Révisé'!$D$390:$D$399)</f>
        <v>0</v>
      </c>
      <c r="L121" s="401">
        <f>SUMIF('1) Tableau budgétaire 1_Révisé'!$K$390:$K$399,LEFT($C121,1),'1) Tableau budgétaire 1_Révisé'!$E$390:$E$399)</f>
        <v>0</v>
      </c>
      <c r="M121" s="401">
        <f>SUMIF('1) Tableau budgétaire 1_Révisé'!$K$390:$K$399,LEFT($C121,1),'1) Tableau budgétaire 1_Révisé'!$F$390:$F$399)</f>
        <v>0</v>
      </c>
      <c r="N121" s="43">
        <f t="shared" si="74"/>
        <v>0</v>
      </c>
      <c r="O121" s="402"/>
      <c r="P121" s="397"/>
      <c r="Q121" s="397"/>
      <c r="R121" s="42" t="s">
        <v>45</v>
      </c>
      <c r="S121" s="401">
        <f>SUMIF('1) Tableau budgétaire 1_Révisé'!$V$390:$V$399,LEFT($R121,1),'1) Tableau budgétaire 1_Révisé'!$O$390:$O$399)</f>
        <v>0</v>
      </c>
      <c r="T121" s="401">
        <f>SUMIF('1) Tableau budgétaire 1_Révisé'!$V$390:$V$399,LEFT($R121,1),'1) Tableau budgétaire 1_Révisé'!$P$390:$P$399)</f>
        <v>0</v>
      </c>
      <c r="U121" s="401">
        <f>SUMIF('1) Tableau budgétaire 1_Révisé'!$K$390:$K$399,LEFT($C121,1),'1) Tableau budgétaire 1_Révisé'!$F$390:$F$399)</f>
        <v>0</v>
      </c>
      <c r="V121" s="43">
        <f t="shared" si="76"/>
        <v>0</v>
      </c>
    </row>
    <row r="122" spans="3:22" x14ac:dyDescent="0.35">
      <c r="C122" s="33" t="s">
        <v>46</v>
      </c>
      <c r="D122" s="401">
        <f>SUMIF('1) Tableau budgétaire 1 initial'!$K$317:$K$326,LEFT($C122,1),'1) Tableau budgétaire 1 initial'!$D$317:$D$326)</f>
        <v>0</v>
      </c>
      <c r="E122" s="401">
        <f>SUMIF('1) Tableau budgétaire 1 initial'!$K$317:$K$326,LEFT($C122,1),'1) Tableau budgétaire 1 initial'!$E$317:$E$326)</f>
        <v>0</v>
      </c>
      <c r="F122" s="401">
        <f>SUMIF('1) Tableau budgétaire 1 initial'!$K$317:$K$326,LEFT($C122,1),'1) Tableau budgétaire 1 initial'!$F$317:$F$326)</f>
        <v>0</v>
      </c>
      <c r="G122" s="41">
        <f t="shared" si="73"/>
        <v>0</v>
      </c>
      <c r="H122" s="397"/>
      <c r="I122" s="397"/>
      <c r="J122" s="33" t="s">
        <v>46</v>
      </c>
      <c r="K122" s="401">
        <f>SUMIF('1) Tableau budgétaire 1_Révisé'!$K$390:$K$399,LEFT($C122,1),'1) Tableau budgétaire 1_Révisé'!$D$390:$D$399)</f>
        <v>0</v>
      </c>
      <c r="L122" s="401">
        <f>SUMIF('1) Tableau budgétaire 1_Révisé'!$K$390:$K$399,LEFT($C122,1),'1) Tableau budgétaire 1_Révisé'!$E$390:$E$399)</f>
        <v>0</v>
      </c>
      <c r="M122" s="401">
        <f>SUMIF('1) Tableau budgétaire 1_Révisé'!$K$390:$K$399,LEFT($C122,1),'1) Tableau budgétaire 1_Révisé'!$F$390:$F$399)</f>
        <v>0</v>
      </c>
      <c r="N122" s="41">
        <f t="shared" si="74"/>
        <v>0</v>
      </c>
      <c r="O122" s="402"/>
      <c r="P122" s="397"/>
      <c r="Q122" s="397"/>
      <c r="R122" s="33" t="s">
        <v>46</v>
      </c>
      <c r="S122" s="401">
        <f>SUMIF('1) Tableau budgétaire 1_Révisé'!$V$390:$V$399,LEFT($R122,1),'1) Tableau budgétaire 1_Révisé'!$O$390:$O$399)</f>
        <v>0</v>
      </c>
      <c r="T122" s="401">
        <f>SUMIF('1) Tableau budgétaire 1_Révisé'!$V$390:$V$399,LEFT($R122,1),'1) Tableau budgétaire 1_Révisé'!$P$390:$P$399)</f>
        <v>0</v>
      </c>
      <c r="U122" s="401">
        <f>SUMIF('1) Tableau budgétaire 1_Révisé'!$K$390:$K$399,LEFT($C122,1),'1) Tableau budgétaire 1_Révisé'!$F$390:$F$399)</f>
        <v>0</v>
      </c>
      <c r="V122" s="41">
        <f t="shared" si="76"/>
        <v>0</v>
      </c>
    </row>
    <row r="123" spans="3:22" ht="31" x14ac:dyDescent="0.35">
      <c r="C123" s="33" t="s">
        <v>47</v>
      </c>
      <c r="D123" s="401">
        <f>SUMIF('1) Tableau budgétaire 1 initial'!$K$317:$K$326,LEFT($C123,1),'1) Tableau budgétaire 1 initial'!$D$317:$D$326)</f>
        <v>0</v>
      </c>
      <c r="E123" s="401">
        <f>SUMIF('1) Tableau budgétaire 1 initial'!$K$317:$K$326,LEFT($C123,1),'1) Tableau budgétaire 1 initial'!$E$317:$E$326)</f>
        <v>0</v>
      </c>
      <c r="F123" s="401">
        <f>SUMIF('1) Tableau budgétaire 1 initial'!$K$317:$K$326,LEFT($C123,1),'1) Tableau budgétaire 1 initial'!$F$317:$F$326)</f>
        <v>0</v>
      </c>
      <c r="G123" s="41">
        <f t="shared" si="73"/>
        <v>0</v>
      </c>
      <c r="H123" s="397"/>
      <c r="I123" s="397"/>
      <c r="J123" s="33" t="s">
        <v>47</v>
      </c>
      <c r="K123" s="401">
        <f>SUMIF('1) Tableau budgétaire 1_Révisé'!$K$390:$K$399,LEFT($C123,1),'1) Tableau budgétaire 1_Révisé'!$D$390:$D$399)</f>
        <v>0</v>
      </c>
      <c r="L123" s="401">
        <f>SUMIF('1) Tableau budgétaire 1_Révisé'!$K$390:$K$399,LEFT($C123,1),'1) Tableau budgétaire 1_Révisé'!$E$390:$E$399)</f>
        <v>0</v>
      </c>
      <c r="M123" s="401">
        <f>SUMIF('1) Tableau budgétaire 1_Révisé'!$K$390:$K$399,LEFT($C123,1),'1) Tableau budgétaire 1_Révisé'!$F$390:$F$399)</f>
        <v>0</v>
      </c>
      <c r="N123" s="41">
        <f t="shared" si="74"/>
        <v>0</v>
      </c>
      <c r="O123" s="402"/>
      <c r="P123" s="397"/>
      <c r="Q123" s="397"/>
      <c r="R123" s="33" t="s">
        <v>47</v>
      </c>
      <c r="S123" s="401">
        <f>SUMIF('1) Tableau budgétaire 1_Révisé'!$V$390:$V$399,LEFT($R123,1),'1) Tableau budgétaire 1_Révisé'!$O$390:$O$399)</f>
        <v>0</v>
      </c>
      <c r="T123" s="401">
        <f>SUMIF('1) Tableau budgétaire 1_Révisé'!$V$390:$V$399,LEFT($R123,1),'1) Tableau budgétaire 1_Révisé'!$P$390:$P$399)</f>
        <v>0</v>
      </c>
      <c r="U123" s="401">
        <f>SUMIF('1) Tableau budgétaire 1_Révisé'!$K$390:$K$399,LEFT($C123,1),'1) Tableau budgétaire 1_Révisé'!$F$390:$F$399)</f>
        <v>0</v>
      </c>
      <c r="V123" s="41">
        <f t="shared" si="76"/>
        <v>0</v>
      </c>
    </row>
    <row r="124" spans="3:22" x14ac:dyDescent="0.35">
      <c r="C124" s="34" t="s">
        <v>48</v>
      </c>
      <c r="D124" s="401">
        <f>SUMIF('1) Tableau budgétaire 1 initial'!$K$317:$K$326,LEFT($C124,1),'1) Tableau budgétaire 1 initial'!$D$317:$D$326)</f>
        <v>0</v>
      </c>
      <c r="E124" s="401">
        <f>SUMIF('1) Tableau budgétaire 1 initial'!$K$317:$K$326,LEFT($C124,1),'1) Tableau budgétaire 1 initial'!$E$317:$E$326)</f>
        <v>0</v>
      </c>
      <c r="F124" s="401">
        <f>SUMIF('1) Tableau budgétaire 1 initial'!$K$317:$K$326,LEFT($C124,1),'1) Tableau budgétaire 1 initial'!$F$317:$F$326)</f>
        <v>0</v>
      </c>
      <c r="G124" s="41">
        <f t="shared" si="73"/>
        <v>0</v>
      </c>
      <c r="H124" s="397"/>
      <c r="I124" s="397"/>
      <c r="J124" s="34" t="s">
        <v>48</v>
      </c>
      <c r="K124" s="401">
        <f>SUMIF('1) Tableau budgétaire 1_Révisé'!$K$390:$K$399,LEFT($C124,1),'1) Tableau budgétaire 1_Révisé'!$D$390:$D$399)</f>
        <v>0</v>
      </c>
      <c r="L124" s="401">
        <f>SUMIF('1) Tableau budgétaire 1_Révisé'!$K$390:$K$399,LEFT($C124,1),'1) Tableau budgétaire 1_Révisé'!$E$390:$E$399)</f>
        <v>0</v>
      </c>
      <c r="M124" s="401">
        <f>SUMIF('1) Tableau budgétaire 1_Révisé'!$K$390:$K$399,LEFT($C124,1),'1) Tableau budgétaire 1_Révisé'!$F$390:$F$399)</f>
        <v>0</v>
      </c>
      <c r="N124" s="41">
        <f t="shared" si="74"/>
        <v>0</v>
      </c>
      <c r="O124" s="402"/>
      <c r="P124" s="397"/>
      <c r="Q124" s="397"/>
      <c r="R124" s="34" t="s">
        <v>48</v>
      </c>
      <c r="S124" s="401">
        <f>SUMIF('1) Tableau budgétaire 1_Révisé'!$V$390:$V$399,LEFT($R124,1),'1) Tableau budgétaire 1_Révisé'!$O$390:$O$399)</f>
        <v>0</v>
      </c>
      <c r="T124" s="401">
        <f>SUMIF('1) Tableau budgétaire 1_Révisé'!$V$390:$V$399,LEFT($R124,1),'1) Tableau budgétaire 1_Révisé'!$P$390:$P$399)</f>
        <v>0</v>
      </c>
      <c r="U124" s="401">
        <f>SUMIF('1) Tableau budgétaire 1_Révisé'!$K$390:$K$399,LEFT($C124,1),'1) Tableau budgétaire 1_Révisé'!$F$390:$F$399)</f>
        <v>0</v>
      </c>
      <c r="V124" s="41">
        <f t="shared" si="76"/>
        <v>0</v>
      </c>
    </row>
    <row r="125" spans="3:22" x14ac:dyDescent="0.35">
      <c r="C125" s="33" t="s">
        <v>49</v>
      </c>
      <c r="D125" s="401">
        <f>SUMIF('1) Tableau budgétaire 1 initial'!$K$317:$K$326,LEFT($C125,1),'1) Tableau budgétaire 1 initial'!$D$317:$D$326)</f>
        <v>0</v>
      </c>
      <c r="E125" s="401">
        <f>SUMIF('1) Tableau budgétaire 1 initial'!$K$317:$K$326,LEFT($C125,1),'1) Tableau budgétaire 1 initial'!$E$317:$E$326)</f>
        <v>0</v>
      </c>
      <c r="F125" s="401">
        <f>SUMIF('1) Tableau budgétaire 1 initial'!$K$317:$K$326,LEFT($C125,1),'1) Tableau budgétaire 1 initial'!$F$317:$F$326)</f>
        <v>0</v>
      </c>
      <c r="G125" s="41">
        <f t="shared" si="73"/>
        <v>0</v>
      </c>
      <c r="H125" s="397"/>
      <c r="I125" s="397"/>
      <c r="J125" s="33" t="s">
        <v>49</v>
      </c>
      <c r="K125" s="401">
        <f>SUMIF('1) Tableau budgétaire 1_Révisé'!$K$390:$K$399,LEFT($C125,1),'1) Tableau budgétaire 1_Révisé'!$D$390:$D$399)</f>
        <v>0</v>
      </c>
      <c r="L125" s="401">
        <f>SUMIF('1) Tableau budgétaire 1_Révisé'!$K$390:$K$399,LEFT($C125,1),'1) Tableau budgétaire 1_Révisé'!$E$390:$E$399)</f>
        <v>0</v>
      </c>
      <c r="M125" s="401">
        <f>SUMIF('1) Tableau budgétaire 1_Révisé'!$K$390:$K$399,LEFT($C125,1),'1) Tableau budgétaire 1_Révisé'!$F$390:$F$399)</f>
        <v>0</v>
      </c>
      <c r="N125" s="41">
        <f t="shared" si="74"/>
        <v>0</v>
      </c>
      <c r="O125" s="402"/>
      <c r="P125" s="397"/>
      <c r="Q125" s="397"/>
      <c r="R125" s="33" t="s">
        <v>49</v>
      </c>
      <c r="S125" s="401">
        <f>SUMIF('1) Tableau budgétaire 1_Révisé'!$V$390:$V$399,LEFT($R125,1),'1) Tableau budgétaire 1_Révisé'!$O$390:$O$399)</f>
        <v>0</v>
      </c>
      <c r="T125" s="401">
        <f>SUMIF('1) Tableau budgétaire 1_Révisé'!$V$390:$V$399,LEFT($R125,1),'1) Tableau budgétaire 1_Révisé'!$P$390:$P$399)</f>
        <v>0</v>
      </c>
      <c r="U125" s="401">
        <f>SUMIF('1) Tableau budgétaire 1_Révisé'!$K$390:$K$399,LEFT($C125,1),'1) Tableau budgétaire 1_Révisé'!$F$390:$F$399)</f>
        <v>0</v>
      </c>
      <c r="V125" s="41">
        <f t="shared" si="76"/>
        <v>0</v>
      </c>
    </row>
    <row r="126" spans="3:22" x14ac:dyDescent="0.35">
      <c r="C126" s="33" t="s">
        <v>50</v>
      </c>
      <c r="D126" s="401">
        <f>SUMIF('1) Tableau budgétaire 1 initial'!$K$317:$K$326,LEFT($C126,1),'1) Tableau budgétaire 1 initial'!$D$317:$D$326)</f>
        <v>0</v>
      </c>
      <c r="E126" s="401">
        <f>SUMIF('1) Tableau budgétaire 1 initial'!$K$317:$K$326,LEFT($C126,1),'1) Tableau budgétaire 1 initial'!$E$317:$E$326)</f>
        <v>0</v>
      </c>
      <c r="F126" s="401">
        <f>SUMIF('1) Tableau budgétaire 1 initial'!$K$317:$K$326,LEFT($C126,1),'1) Tableau budgétaire 1 initial'!$F$317:$F$326)</f>
        <v>0</v>
      </c>
      <c r="G126" s="41">
        <f t="shared" si="73"/>
        <v>0</v>
      </c>
      <c r="H126" s="397"/>
      <c r="I126" s="397"/>
      <c r="J126" s="33" t="s">
        <v>50</v>
      </c>
      <c r="K126" s="401">
        <f>SUMIF('1) Tableau budgétaire 1_Révisé'!$K$390:$K$399,LEFT($C126,1),'1) Tableau budgétaire 1_Révisé'!$D$390:$D$399)</f>
        <v>0</v>
      </c>
      <c r="L126" s="401">
        <f>SUMIF('1) Tableau budgétaire 1_Révisé'!$K$390:$K$399,LEFT($C126,1),'1) Tableau budgétaire 1_Révisé'!$E$390:$E$399)</f>
        <v>0</v>
      </c>
      <c r="M126" s="401">
        <f>SUMIF('1) Tableau budgétaire 1_Révisé'!$K$390:$K$399,LEFT($C126,1),'1) Tableau budgétaire 1_Révisé'!$F$390:$F$399)</f>
        <v>0</v>
      </c>
      <c r="N126" s="41">
        <f t="shared" si="74"/>
        <v>0</v>
      </c>
      <c r="O126" s="402"/>
      <c r="P126" s="397"/>
      <c r="Q126" s="397"/>
      <c r="R126" s="33" t="s">
        <v>50</v>
      </c>
      <c r="S126" s="401">
        <f>SUMIF('1) Tableau budgétaire 1_Révisé'!$V$390:$V$399,LEFT($R126,1),'1) Tableau budgétaire 1_Révisé'!$O$390:$O$399)</f>
        <v>0</v>
      </c>
      <c r="T126" s="401">
        <f>SUMIF('1) Tableau budgétaire 1_Révisé'!$V$390:$V$399,LEFT($R126,1),'1) Tableau budgétaire 1_Révisé'!$P$390:$P$399)</f>
        <v>0</v>
      </c>
      <c r="U126" s="401">
        <f>SUMIF('1) Tableau budgétaire 1_Révisé'!$K$390:$K$399,LEFT($C126,1),'1) Tableau budgétaire 1_Révisé'!$F$390:$F$399)</f>
        <v>0</v>
      </c>
      <c r="V126" s="41">
        <f t="shared" si="76"/>
        <v>0</v>
      </c>
    </row>
    <row r="127" spans="3:22" ht="31" x14ac:dyDescent="0.35">
      <c r="C127" s="33" t="s">
        <v>51</v>
      </c>
      <c r="D127" s="401">
        <f>SUMIF('1) Tableau budgétaire 1 initial'!$K$317:$K$326,LEFT($C127,1),'1) Tableau budgétaire 1 initial'!$D$317:$D$326)</f>
        <v>0</v>
      </c>
      <c r="E127" s="401">
        <f>SUMIF('1) Tableau budgétaire 1 initial'!$K$317:$K$326,LEFT($C127,1),'1) Tableau budgétaire 1 initial'!$E$317:$E$326)</f>
        <v>0</v>
      </c>
      <c r="F127" s="401">
        <f>SUMIF('1) Tableau budgétaire 1 initial'!$K$317:$K$326,LEFT($C127,1),'1) Tableau budgétaire 1 initial'!$F$317:$F$326)</f>
        <v>0</v>
      </c>
      <c r="G127" s="41">
        <f t="shared" si="73"/>
        <v>0</v>
      </c>
      <c r="H127" s="397"/>
      <c r="I127" s="397"/>
      <c r="J127" s="33" t="s">
        <v>51</v>
      </c>
      <c r="K127" s="401">
        <f>SUMIF('1) Tableau budgétaire 1_Révisé'!$K$390:$K$399,LEFT($C127,1),'1) Tableau budgétaire 1_Révisé'!$D$390:$D$399)</f>
        <v>0</v>
      </c>
      <c r="L127" s="401">
        <f>SUMIF('1) Tableau budgétaire 1_Révisé'!$K$390:$K$399,LEFT($C127,1),'1) Tableau budgétaire 1_Révisé'!$E$390:$E$399)</f>
        <v>0</v>
      </c>
      <c r="M127" s="401">
        <f>SUMIF('1) Tableau budgétaire 1_Révisé'!$K$390:$K$399,LEFT($C127,1),'1) Tableau budgétaire 1_Révisé'!$F$390:$F$399)</f>
        <v>0</v>
      </c>
      <c r="N127" s="41">
        <f t="shared" si="74"/>
        <v>0</v>
      </c>
      <c r="O127" s="402"/>
      <c r="P127" s="397"/>
      <c r="Q127" s="397"/>
      <c r="R127" s="33" t="s">
        <v>51</v>
      </c>
      <c r="S127" s="401">
        <f>SUMIF('1) Tableau budgétaire 1_Révisé'!$V$390:$V$399,LEFT($R127,1),'1) Tableau budgétaire 1_Révisé'!$O$390:$O$399)</f>
        <v>0</v>
      </c>
      <c r="T127" s="401">
        <f>SUMIF('1) Tableau budgétaire 1_Révisé'!$V$390:$V$399,LEFT($R127,1),'1) Tableau budgétaire 1_Révisé'!$P$390:$P$399)</f>
        <v>0</v>
      </c>
      <c r="U127" s="401">
        <f>SUMIF('1) Tableau budgétaire 1_Révisé'!$K$390:$K$399,LEFT($C127,1),'1) Tableau budgétaire 1_Révisé'!$F$390:$F$399)</f>
        <v>0</v>
      </c>
      <c r="V127" s="41">
        <f t="shared" si="76"/>
        <v>0</v>
      </c>
    </row>
    <row r="128" spans="3:22" x14ac:dyDescent="0.35">
      <c r="C128" s="38" t="s">
        <v>497</v>
      </c>
      <c r="D128" s="47">
        <f t="shared" ref="D128:E128" si="77">SUM(D121:D127)</f>
        <v>0</v>
      </c>
      <c r="E128" s="47">
        <f t="shared" si="77"/>
        <v>0</v>
      </c>
      <c r="F128" s="47">
        <f t="shared" ref="F128" si="78">SUM(F121:F127)</f>
        <v>0</v>
      </c>
      <c r="G128" s="41">
        <f t="shared" si="73"/>
        <v>0</v>
      </c>
      <c r="H128" s="397"/>
      <c r="I128" s="397"/>
      <c r="J128" s="38" t="s">
        <v>497</v>
      </c>
      <c r="K128" s="47">
        <f t="shared" ref="K128:L128" si="79">SUM(K121:K127)</f>
        <v>0</v>
      </c>
      <c r="L128" s="47">
        <f t="shared" si="79"/>
        <v>0</v>
      </c>
      <c r="M128" s="47">
        <f t="shared" ref="M128" si="80">SUM(M121:M127)</f>
        <v>0</v>
      </c>
      <c r="N128" s="41">
        <f t="shared" si="74"/>
        <v>0</v>
      </c>
      <c r="O128" s="402"/>
      <c r="P128" s="397"/>
      <c r="Q128" s="397"/>
      <c r="R128" s="38" t="s">
        <v>497</v>
      </c>
      <c r="S128" s="47">
        <f t="shared" ref="S128:U128" si="81">SUM(S121:S127)</f>
        <v>0</v>
      </c>
      <c r="T128" s="47">
        <f t="shared" si="81"/>
        <v>0</v>
      </c>
      <c r="U128" s="47">
        <f t="shared" si="81"/>
        <v>0</v>
      </c>
      <c r="V128" s="41">
        <f t="shared" si="76"/>
        <v>0</v>
      </c>
    </row>
    <row r="129" spans="2:22" s="37" customFormat="1" x14ac:dyDescent="0.35">
      <c r="B129" s="398"/>
      <c r="C129" s="48"/>
      <c r="D129" s="49"/>
      <c r="E129" s="49"/>
      <c r="F129" s="49"/>
      <c r="G129" s="50"/>
      <c r="H129" s="398"/>
      <c r="I129" s="398"/>
      <c r="J129" s="48"/>
      <c r="K129" s="49"/>
      <c r="L129" s="49"/>
      <c r="M129" s="49"/>
      <c r="N129" s="50"/>
      <c r="O129" s="402"/>
      <c r="P129" s="398"/>
      <c r="Q129" s="398"/>
      <c r="R129" s="48"/>
      <c r="S129" s="49"/>
      <c r="T129" s="49"/>
      <c r="U129" s="49"/>
      <c r="V129" s="50"/>
    </row>
    <row r="130" spans="2:22" x14ac:dyDescent="0.35">
      <c r="B130" s="397"/>
      <c r="C130" s="397"/>
      <c r="D130" s="398"/>
      <c r="E130" s="398"/>
      <c r="F130" s="398"/>
      <c r="G130" s="397"/>
      <c r="H130" s="397"/>
      <c r="I130" s="397"/>
      <c r="J130" s="397"/>
      <c r="K130" s="398"/>
      <c r="L130" s="398"/>
      <c r="M130" s="398"/>
      <c r="N130" s="397"/>
      <c r="O130" s="402"/>
      <c r="P130" s="397"/>
      <c r="Q130" s="397"/>
      <c r="R130" s="397"/>
      <c r="S130" s="398"/>
      <c r="T130" s="398"/>
      <c r="U130" s="398"/>
      <c r="V130" s="397"/>
    </row>
    <row r="131" spans="2:22" x14ac:dyDescent="0.35">
      <c r="B131" s="669" t="s">
        <v>512</v>
      </c>
      <c r="C131" s="670"/>
      <c r="D131" s="670"/>
      <c r="E131" s="670"/>
      <c r="F131" s="670"/>
      <c r="G131" s="671"/>
      <c r="H131" s="397"/>
      <c r="I131" s="669" t="s">
        <v>512</v>
      </c>
      <c r="J131" s="670"/>
      <c r="K131" s="670"/>
      <c r="L131" s="670"/>
      <c r="M131" s="670"/>
      <c r="N131" s="671"/>
      <c r="O131" s="402"/>
      <c r="P131" s="397"/>
      <c r="Q131" s="669" t="s">
        <v>512</v>
      </c>
      <c r="R131" s="670"/>
      <c r="S131" s="670"/>
      <c r="T131" s="670"/>
      <c r="U131" s="670"/>
      <c r="V131" s="671"/>
    </row>
    <row r="132" spans="2:22" x14ac:dyDescent="0.35">
      <c r="B132" s="397"/>
      <c r="C132" s="669" t="s">
        <v>24</v>
      </c>
      <c r="D132" s="670"/>
      <c r="E132" s="670"/>
      <c r="F132" s="670"/>
      <c r="G132" s="671"/>
      <c r="H132" s="397"/>
      <c r="I132" s="397"/>
      <c r="J132" s="669" t="s">
        <v>24</v>
      </c>
      <c r="K132" s="670"/>
      <c r="L132" s="670"/>
      <c r="M132" s="670"/>
      <c r="N132" s="671"/>
      <c r="O132" s="402"/>
      <c r="P132" s="397"/>
      <c r="Q132" s="397"/>
      <c r="R132" s="669" t="s">
        <v>24</v>
      </c>
      <c r="S132" s="670"/>
      <c r="T132" s="670"/>
      <c r="U132" s="670"/>
      <c r="V132" s="671"/>
    </row>
    <row r="133" spans="2:22" ht="24" customHeight="1" thickBot="1" x14ac:dyDescent="0.4">
      <c r="B133" s="397"/>
      <c r="C133" s="44" t="s">
        <v>513</v>
      </c>
      <c r="D133" s="45">
        <f>'1) Tableau budgétaire 1_Révisé'!D429</f>
        <v>26656.909</v>
      </c>
      <c r="E133" s="45">
        <f>'1) Tableau budgétaire 1_Révisé'!E429</f>
        <v>0</v>
      </c>
      <c r="F133" s="45">
        <f>'1) Tableau budgétaire 1_Révisé'!F429</f>
        <v>0</v>
      </c>
      <c r="G133" s="46">
        <f>SUM(D133:F133)</f>
        <v>26656.909</v>
      </c>
      <c r="H133" s="397"/>
      <c r="I133" s="397"/>
      <c r="J133" s="44" t="s">
        <v>513</v>
      </c>
      <c r="K133" s="45">
        <f>'1) Tableau budgétaire 1_Révisé'!D429</f>
        <v>26656.909</v>
      </c>
      <c r="L133" s="45">
        <f>'1) Tableau budgétaire 1_Révisé'!E429</f>
        <v>0</v>
      </c>
      <c r="M133" s="45">
        <f>'1) Tableau budgétaire 1_Révisé'!F429</f>
        <v>0</v>
      </c>
      <c r="N133" s="46">
        <f>SUM(K133:M133)</f>
        <v>26656.909</v>
      </c>
      <c r="O133" s="402"/>
      <c r="P133" s="397"/>
      <c r="Q133" s="397"/>
      <c r="R133" s="44" t="s">
        <v>513</v>
      </c>
      <c r="S133" s="45">
        <f t="shared" ref="S133:U133" si="82">SUM(S134:S140)</f>
        <v>26656.909</v>
      </c>
      <c r="T133" s="45">
        <f t="shared" si="82"/>
        <v>0</v>
      </c>
      <c r="U133" s="45">
        <f t="shared" si="82"/>
        <v>0</v>
      </c>
      <c r="V133" s="46">
        <f>SUM(S133:U133)</f>
        <v>26656.909</v>
      </c>
    </row>
    <row r="134" spans="2:22" x14ac:dyDescent="0.35">
      <c r="B134" s="397"/>
      <c r="C134" s="42" t="s">
        <v>45</v>
      </c>
      <c r="D134" s="401">
        <f>SUMIF('1) Tableau budgétaire 1 initial'!$K$331:$K$355,LEFT($C134,1),'1) Tableau budgétaire 1 initial'!$D$331:$D$355)</f>
        <v>0</v>
      </c>
      <c r="E134" s="401">
        <f>SUMIF('1) Tableau budgétaire 1 initial'!$K$331:$K$355,LEFT($C134,1),'1) Tableau budgétaire 1 initial'!$E$331:$E$355)</f>
        <v>0</v>
      </c>
      <c r="F134" s="401">
        <f>SUMIF('1) Tableau budgétaire 1 initial'!$K$331:$K$355,LEFT($C134,1),'1) Tableau budgétaire 1 initial'!$F$331:$F$355)</f>
        <v>0</v>
      </c>
      <c r="G134" s="43">
        <f t="shared" ref="G134:G141" si="83">SUM(D134:F134)</f>
        <v>0</v>
      </c>
      <c r="H134" s="397"/>
      <c r="I134" s="397"/>
      <c r="J134" s="42" t="s">
        <v>45</v>
      </c>
      <c r="K134" s="401">
        <f>SUMIF('1) Tableau budgétaire 1_Révisé'!$K$404:$K$428,LEFT($C134,1),'1) Tableau budgétaire 1_Révisé'!$D$404:$D$428)</f>
        <v>0</v>
      </c>
      <c r="L134" s="401">
        <f>SUMIF('1) Tableau budgétaire 1_Révisé'!$K$404:$K$428,LEFT($C134,1),'1) Tableau budgétaire 1_Révisé'!$E$404:$E$428)</f>
        <v>0</v>
      </c>
      <c r="M134" s="401">
        <f>SUMIF('1) Tableau budgétaire 1_Révisé'!$K$404:$K$428,LEFT($C134,1),'1) Tableau budgétaire 1_Révisé'!$F$404:$F$428)</f>
        <v>0</v>
      </c>
      <c r="N134" s="43">
        <f t="shared" ref="N134:N141" si="84">SUM(K134:M134)</f>
        <v>0</v>
      </c>
      <c r="O134" s="402"/>
      <c r="P134" s="397"/>
      <c r="Q134" s="397"/>
      <c r="R134" s="42" t="s">
        <v>45</v>
      </c>
      <c r="S134" s="401">
        <f>SUMIF('1) Tableau budgétaire 1_Révisé'!$V$404:$V$428,LEFT($R134,1),'1) Tableau budgétaire 1_Révisé'!$O$404:$O$428)</f>
        <v>0</v>
      </c>
      <c r="T134" s="401">
        <f>SUMIF('1) Tableau budgétaire 1_Révisé'!$V$404:$V$428,LEFT($R134,1),'1) Tableau budgétaire 1_Révisé'!$P$404:$P$428)</f>
        <v>0</v>
      </c>
      <c r="U134" s="401">
        <f>SUMIF('1) Tableau budgétaire 1_Révisé'!$K$404:$K$428,LEFT($C134,1),'1) Tableau budgétaire 1_Révisé'!$F$404:$F$428)</f>
        <v>0</v>
      </c>
      <c r="V134" s="43">
        <f t="shared" ref="V134:V141" si="85">SUM(S134:U134)</f>
        <v>0</v>
      </c>
    </row>
    <row r="135" spans="2:22" x14ac:dyDescent="0.35">
      <c r="B135" s="397"/>
      <c r="C135" s="33" t="s">
        <v>46</v>
      </c>
      <c r="D135" s="401">
        <f>SUMIF('1) Tableau budgétaire 1 initial'!$K$331:$K$355,LEFT($C135,1),'1) Tableau budgétaire 1 initial'!$D$331:$D$355)</f>
        <v>0</v>
      </c>
      <c r="E135" s="401">
        <f>SUMIF('1) Tableau budgétaire 1 initial'!$K$331:$K$355,LEFT($C135,1),'1) Tableau budgétaire 1 initial'!$E$331:$E$355)</f>
        <v>0</v>
      </c>
      <c r="F135" s="401">
        <f>SUMIF('1) Tableau budgétaire 1 initial'!$K$331:$K$355,LEFT($C135,1),'1) Tableau budgétaire 1 initial'!$F$331:$F$355)</f>
        <v>0</v>
      </c>
      <c r="G135" s="41">
        <f t="shared" si="83"/>
        <v>0</v>
      </c>
      <c r="H135" s="397"/>
      <c r="I135" s="397"/>
      <c r="J135" s="33" t="s">
        <v>46</v>
      </c>
      <c r="K135" s="401">
        <f>SUMIF('1) Tableau budgétaire 1_Révisé'!$K$404:$K$428,LEFT($C135,1),'1) Tableau budgétaire 1_Révisé'!$D$404:$D$428)</f>
        <v>0</v>
      </c>
      <c r="L135" s="401">
        <f>SUMIF('1) Tableau budgétaire 1_Révisé'!$K$404:$K$428,LEFT($C135,1),'1) Tableau budgétaire 1_Révisé'!$E$404:$E$428)</f>
        <v>0</v>
      </c>
      <c r="M135" s="401">
        <f>SUMIF('1) Tableau budgétaire 1_Révisé'!$K$404:$K$428,LEFT($C135,1),'1) Tableau budgétaire 1_Révisé'!$F$404:$F$428)</f>
        <v>0</v>
      </c>
      <c r="N135" s="41">
        <f t="shared" si="84"/>
        <v>0</v>
      </c>
      <c r="O135" s="402"/>
      <c r="P135" s="397"/>
      <c r="Q135" s="397"/>
      <c r="R135" s="33" t="s">
        <v>46</v>
      </c>
      <c r="S135" s="401">
        <f>SUMIF('1) Tableau budgétaire 1_Révisé'!$V$404:$V$428,LEFT($R135,1),'1) Tableau budgétaire 1_Révisé'!$O$404:$O$428)</f>
        <v>0</v>
      </c>
      <c r="T135" s="401">
        <f>SUMIF('1) Tableau budgétaire 1_Révisé'!$V$404:$V$428,LEFT($R135,1),'1) Tableau budgétaire 1_Révisé'!$P$404:$P$428)</f>
        <v>0</v>
      </c>
      <c r="U135" s="401">
        <f>SUMIF('1) Tableau budgétaire 1_Révisé'!$K$404:$K$428,LEFT($C135,1),'1) Tableau budgétaire 1_Révisé'!$F$404:$F$428)</f>
        <v>0</v>
      </c>
      <c r="V135" s="41">
        <f t="shared" si="85"/>
        <v>0</v>
      </c>
    </row>
    <row r="136" spans="2:22" ht="31" x14ac:dyDescent="0.35">
      <c r="B136" s="397"/>
      <c r="C136" s="33" t="s">
        <v>47</v>
      </c>
      <c r="D136" s="401">
        <f>SUMIF('1) Tableau budgétaire 1 initial'!$K$331:$K$355,LEFT($C136,1),'1) Tableau budgétaire 1 initial'!$D$331:$D$355)</f>
        <v>0</v>
      </c>
      <c r="E136" s="401">
        <f>SUMIF('1) Tableau budgétaire 1 initial'!$K$331:$K$355,LEFT($C136,1),'1) Tableau budgétaire 1 initial'!$E$331:$E$355)</f>
        <v>0</v>
      </c>
      <c r="F136" s="401">
        <f>SUMIF('1) Tableau budgétaire 1 initial'!$K$331:$K$355,LEFT($C136,1),'1) Tableau budgétaire 1 initial'!$F$331:$F$355)</f>
        <v>0</v>
      </c>
      <c r="G136" s="41">
        <f t="shared" si="83"/>
        <v>0</v>
      </c>
      <c r="H136" s="397"/>
      <c r="I136" s="397"/>
      <c r="J136" s="33" t="s">
        <v>47</v>
      </c>
      <c r="K136" s="401">
        <f>SUMIF('1) Tableau budgétaire 1_Révisé'!$K$404:$K$428,LEFT($C136,1),'1) Tableau budgétaire 1_Révisé'!$D$404:$D$428)</f>
        <v>0</v>
      </c>
      <c r="L136" s="401">
        <f>SUMIF('1) Tableau budgétaire 1_Révisé'!$K$404:$K$428,LEFT($C136,1),'1) Tableau budgétaire 1_Révisé'!$E$404:$E$428)</f>
        <v>0</v>
      </c>
      <c r="M136" s="401">
        <f>SUMIF('1) Tableau budgétaire 1_Révisé'!$K$404:$K$428,LEFT($C136,1),'1) Tableau budgétaire 1_Révisé'!$F$404:$F$428)</f>
        <v>0</v>
      </c>
      <c r="N136" s="41">
        <f t="shared" si="84"/>
        <v>0</v>
      </c>
      <c r="O136" s="402"/>
      <c r="P136" s="397"/>
      <c r="Q136" s="397"/>
      <c r="R136" s="33" t="s">
        <v>47</v>
      </c>
      <c r="S136" s="401">
        <f>SUMIF('1) Tableau budgétaire 1_Révisé'!$V$404:$V$428,LEFT($R136,1),'1) Tableau budgétaire 1_Révisé'!$O$404:$O$428)</f>
        <v>0</v>
      </c>
      <c r="T136" s="401">
        <f>SUMIF('1) Tableau budgétaire 1_Révisé'!$V$404:$V$428,LEFT($R136,1),'1) Tableau budgétaire 1_Révisé'!$P$404:$P$428)</f>
        <v>0</v>
      </c>
      <c r="U136" s="401">
        <f>SUMIF('1) Tableau budgétaire 1_Révisé'!$K$404:$K$428,LEFT($C136,1),'1) Tableau budgétaire 1_Révisé'!$F$404:$F$428)</f>
        <v>0</v>
      </c>
      <c r="V136" s="41">
        <f t="shared" si="85"/>
        <v>0</v>
      </c>
    </row>
    <row r="137" spans="2:22" x14ac:dyDescent="0.35">
      <c r="B137" s="397"/>
      <c r="C137" s="34" t="s">
        <v>48</v>
      </c>
      <c r="D137" s="401">
        <f>SUMIF('1) Tableau budgétaire 1 initial'!$K$331:$K$355,LEFT($C137,1),'1) Tableau budgétaire 1 initial'!$D$331:$D$355)</f>
        <v>13943.93</v>
      </c>
      <c r="E137" s="401">
        <f>SUMIF('1) Tableau budgétaire 1 initial'!$K$331:$K$355,LEFT($C137,1),'1) Tableau budgétaire 1 initial'!$E$331:$E$355)</f>
        <v>0</v>
      </c>
      <c r="F137" s="401">
        <f>SUMIF('1) Tableau budgétaire 1 initial'!$K$331:$K$355,LEFT($C137,1),'1) Tableau budgétaire 1 initial'!$F$331:$F$355)</f>
        <v>0</v>
      </c>
      <c r="G137" s="41">
        <f t="shared" si="83"/>
        <v>13943.93</v>
      </c>
      <c r="H137" s="397"/>
      <c r="I137" s="397"/>
      <c r="J137" s="34" t="s">
        <v>48</v>
      </c>
      <c r="K137" s="401">
        <f>SUMIF('1) Tableau budgétaire 1_Révisé'!$K$404:$K$428,LEFT($C137,1),'1) Tableau budgétaire 1_Révisé'!$D$404:$D$428)</f>
        <v>13943.93</v>
      </c>
      <c r="L137" s="401">
        <f>SUMIF('1) Tableau budgétaire 1_Révisé'!$K$404:$K$428,LEFT($C137,1),'1) Tableau budgétaire 1_Révisé'!$E$404:$E$428)</f>
        <v>0</v>
      </c>
      <c r="M137" s="401">
        <f>SUMIF('1) Tableau budgétaire 1_Révisé'!$K$404:$K$428,LEFT($C137,1),'1) Tableau budgétaire 1_Révisé'!$F$404:$F$428)</f>
        <v>0</v>
      </c>
      <c r="N137" s="41">
        <f t="shared" si="84"/>
        <v>13943.93</v>
      </c>
      <c r="O137" s="402"/>
      <c r="P137" s="397"/>
      <c r="Q137" s="397"/>
      <c r="R137" s="34" t="s">
        <v>48</v>
      </c>
      <c r="S137" s="401">
        <f>SUMIF('1) Tableau budgétaire 1_Révisé'!$V$404:$V$428,LEFT($R137,1),'1) Tableau budgétaire 1_Révisé'!$O$404:$O$428)</f>
        <v>13943.93</v>
      </c>
      <c r="T137" s="401">
        <f>SUMIF('1) Tableau budgétaire 1_Révisé'!$V$404:$V$428,LEFT($R137,1),'1) Tableau budgétaire 1_Révisé'!$P$404:$P$428)</f>
        <v>0</v>
      </c>
      <c r="U137" s="401">
        <f>SUMIF('1) Tableau budgétaire 1_Révisé'!$K$404:$K$428,LEFT($C137,1),'1) Tableau budgétaire 1_Révisé'!$F$404:$F$428)</f>
        <v>0</v>
      </c>
      <c r="V137" s="41">
        <f t="shared" si="85"/>
        <v>13943.93</v>
      </c>
    </row>
    <row r="138" spans="2:22" x14ac:dyDescent="0.35">
      <c r="B138" s="397"/>
      <c r="C138" s="33" t="s">
        <v>49</v>
      </c>
      <c r="D138" s="401">
        <f>SUMIF('1) Tableau budgétaire 1 initial'!$K$331:$K$355,LEFT($C138,1),'1) Tableau budgétaire 1 initial'!$D$331:$D$355)</f>
        <v>0</v>
      </c>
      <c r="E138" s="401">
        <f>SUMIF('1) Tableau budgétaire 1 initial'!$K$331:$K$355,LEFT($C138,1),'1) Tableau budgétaire 1 initial'!$E$331:$E$355)</f>
        <v>0</v>
      </c>
      <c r="F138" s="401">
        <f>SUMIF('1) Tableau budgétaire 1 initial'!$K$331:$K$355,LEFT($C138,1),'1) Tableau budgétaire 1 initial'!$F$331:$F$355)</f>
        <v>0</v>
      </c>
      <c r="G138" s="41">
        <f t="shared" si="83"/>
        <v>0</v>
      </c>
      <c r="H138" s="397"/>
      <c r="I138" s="397"/>
      <c r="J138" s="33" t="s">
        <v>49</v>
      </c>
      <c r="K138" s="401">
        <f>SUMIF('1) Tableau budgétaire 1_Révisé'!$K$404:$K$428,LEFT($C138,1),'1) Tableau budgétaire 1_Révisé'!$D$404:$D$428)</f>
        <v>0</v>
      </c>
      <c r="L138" s="401">
        <f>SUMIF('1) Tableau budgétaire 1_Révisé'!$K$404:$K$428,LEFT($C138,1),'1) Tableau budgétaire 1_Révisé'!$E$404:$E$428)</f>
        <v>0</v>
      </c>
      <c r="M138" s="401">
        <f>SUMIF('1) Tableau budgétaire 1_Révisé'!$K$404:$K$428,LEFT($C138,1),'1) Tableau budgétaire 1_Révisé'!$F$404:$F$428)</f>
        <v>0</v>
      </c>
      <c r="N138" s="41">
        <f t="shared" si="84"/>
        <v>0</v>
      </c>
      <c r="O138" s="402"/>
      <c r="P138" s="397"/>
      <c r="Q138" s="397"/>
      <c r="R138" s="33" t="s">
        <v>49</v>
      </c>
      <c r="S138" s="401">
        <f>SUMIF('1) Tableau budgétaire 1_Révisé'!$V$404:$V$428,LEFT($R138,1),'1) Tableau budgétaire 1_Révisé'!$O$404:$O$428)</f>
        <v>0</v>
      </c>
      <c r="T138" s="401">
        <f>SUMIF('1) Tableau budgétaire 1_Révisé'!$V$404:$V$428,LEFT($R138,1),'1) Tableau budgétaire 1_Révisé'!$P$404:$P$428)</f>
        <v>0</v>
      </c>
      <c r="U138" s="401">
        <f>SUMIF('1) Tableau budgétaire 1_Révisé'!$K$404:$K$428,LEFT($C138,1),'1) Tableau budgétaire 1_Révisé'!$F$404:$F$428)</f>
        <v>0</v>
      </c>
      <c r="V138" s="41">
        <f t="shared" si="85"/>
        <v>0</v>
      </c>
    </row>
    <row r="139" spans="2:22" x14ac:dyDescent="0.35">
      <c r="B139" s="397"/>
      <c r="C139" s="33" t="s">
        <v>50</v>
      </c>
      <c r="D139" s="401">
        <f>SUMIF('1) Tableau budgétaire 1 initial'!$K$331:$K$355,LEFT($C139,1),'1) Tableau budgétaire 1 initial'!$D$331:$D$355)</f>
        <v>10212.978999999999</v>
      </c>
      <c r="E139" s="401">
        <f>SUMIF('1) Tableau budgétaire 1 initial'!$K$331:$K$355,LEFT($C139,1),'1) Tableau budgétaire 1 initial'!$E$331:$E$355)</f>
        <v>0</v>
      </c>
      <c r="F139" s="401">
        <f>SUMIF('1) Tableau budgétaire 1 initial'!$K$331:$K$355,LEFT($C139,1),'1) Tableau budgétaire 1 initial'!$F$331:$F$355)</f>
        <v>0</v>
      </c>
      <c r="G139" s="41">
        <f t="shared" si="83"/>
        <v>10212.978999999999</v>
      </c>
      <c r="H139" s="397"/>
      <c r="I139" s="397"/>
      <c r="J139" s="33" t="s">
        <v>50</v>
      </c>
      <c r="K139" s="401">
        <f>SUMIF('1) Tableau budgétaire 1_Révisé'!$K$404:$K$428,LEFT($C139,1),'1) Tableau budgétaire 1_Révisé'!$D$404:$D$428)</f>
        <v>10212.978999999999</v>
      </c>
      <c r="L139" s="401">
        <f>SUMIF('1) Tableau budgétaire 1_Révisé'!$K$404:$K$428,LEFT($C139,1),'1) Tableau budgétaire 1_Révisé'!$E$404:$E$428)</f>
        <v>0</v>
      </c>
      <c r="M139" s="401">
        <f>SUMIF('1) Tableau budgétaire 1_Révisé'!$K$404:$K$428,LEFT($C139,1),'1) Tableau budgétaire 1_Révisé'!$F$404:$F$428)</f>
        <v>0</v>
      </c>
      <c r="N139" s="41">
        <f t="shared" si="84"/>
        <v>10212.978999999999</v>
      </c>
      <c r="O139" s="402"/>
      <c r="P139" s="397"/>
      <c r="Q139" s="397"/>
      <c r="R139" s="33" t="s">
        <v>50</v>
      </c>
      <c r="S139" s="401">
        <f>SUMIF('1) Tableau budgétaire 1_Révisé'!$V$404:$V$428,LEFT($R139,1),'1) Tableau budgétaire 1_Révisé'!$O$404:$O$428)</f>
        <v>10212.978999999999</v>
      </c>
      <c r="T139" s="401">
        <f>SUMIF('1) Tableau budgétaire 1_Révisé'!$V$404:$V$428,LEFT($R139,1),'1) Tableau budgétaire 1_Révisé'!$P$404:$P$428)</f>
        <v>0</v>
      </c>
      <c r="U139" s="401">
        <f>SUMIF('1) Tableau budgétaire 1_Révisé'!$K$404:$K$428,LEFT($C139,1),'1) Tableau budgétaire 1_Révisé'!$F$404:$F$428)</f>
        <v>0</v>
      </c>
      <c r="V139" s="41">
        <f t="shared" si="85"/>
        <v>10212.978999999999</v>
      </c>
    </row>
    <row r="140" spans="2:22" ht="31" x14ac:dyDescent="0.35">
      <c r="B140" s="397"/>
      <c r="C140" s="33" t="s">
        <v>51</v>
      </c>
      <c r="D140" s="401">
        <f>SUMIF('1) Tableau budgétaire 1 initial'!$K$331:$K$355,LEFT($C140,1),'1) Tableau budgétaire 1 initial'!$D$331:$D$355)</f>
        <v>2500</v>
      </c>
      <c r="E140" s="401">
        <f>SUMIF('1) Tableau budgétaire 1 initial'!$K$331:$K$355,LEFT($C140,1),'1) Tableau budgétaire 1 initial'!$E$331:$E$355)</f>
        <v>0</v>
      </c>
      <c r="F140" s="401">
        <f>SUMIF('1) Tableau budgétaire 1 initial'!$K$331:$K$355,LEFT($C140,1),'1) Tableau budgétaire 1 initial'!$F$331:$F$355)</f>
        <v>0</v>
      </c>
      <c r="G140" s="41">
        <f t="shared" si="83"/>
        <v>2500</v>
      </c>
      <c r="H140" s="397"/>
      <c r="I140" s="397"/>
      <c r="J140" s="33" t="s">
        <v>51</v>
      </c>
      <c r="K140" s="401">
        <f>SUMIF('1) Tableau budgétaire 1_Révisé'!$K$404:$K$428,LEFT($C140,1),'1) Tableau budgétaire 1_Révisé'!$D$404:$D$428)</f>
        <v>2500</v>
      </c>
      <c r="L140" s="401">
        <f>SUMIF('1) Tableau budgétaire 1_Révisé'!$K$404:$K$428,LEFT($C140,1),'1) Tableau budgétaire 1_Révisé'!$E$404:$E$428)</f>
        <v>0</v>
      </c>
      <c r="M140" s="401">
        <f>SUMIF('1) Tableau budgétaire 1_Révisé'!$K$404:$K$428,LEFT($C140,1),'1) Tableau budgétaire 1_Révisé'!$F$404:$F$428)</f>
        <v>0</v>
      </c>
      <c r="N140" s="41">
        <f t="shared" si="84"/>
        <v>2500</v>
      </c>
      <c r="O140" s="402"/>
      <c r="P140" s="397"/>
      <c r="Q140" s="397"/>
      <c r="R140" s="33" t="s">
        <v>51</v>
      </c>
      <c r="S140" s="401">
        <f>SUMIF('1) Tableau budgétaire 1_Révisé'!$V$404:$V$428,LEFT($R140,1),'1) Tableau budgétaire 1_Révisé'!$O$404:$O$428)</f>
        <v>2500</v>
      </c>
      <c r="T140" s="401">
        <f>SUMIF('1) Tableau budgétaire 1_Révisé'!$V$404:$V$428,LEFT($R140,1),'1) Tableau budgétaire 1_Révisé'!$P$404:$P$428)</f>
        <v>0</v>
      </c>
      <c r="U140" s="401">
        <f>SUMIF('1) Tableau budgétaire 1_Révisé'!$K$404:$K$428,LEFT($C140,1),'1) Tableau budgétaire 1_Révisé'!$F$404:$F$428)</f>
        <v>0</v>
      </c>
      <c r="V140" s="41">
        <f t="shared" si="85"/>
        <v>2500</v>
      </c>
    </row>
    <row r="141" spans="2:22" x14ac:dyDescent="0.35">
      <c r="B141" s="397"/>
      <c r="C141" s="38" t="s">
        <v>497</v>
      </c>
      <c r="D141" s="47">
        <f>SUM(D134:D140)</f>
        <v>26656.909</v>
      </c>
      <c r="E141" s="47">
        <f>SUM(E134:E140)</f>
        <v>0</v>
      </c>
      <c r="F141" s="47">
        <f t="shared" ref="F141" si="86">SUM(F134:F140)</f>
        <v>0</v>
      </c>
      <c r="G141" s="41">
        <f t="shared" si="83"/>
        <v>26656.909</v>
      </c>
      <c r="H141" s="397"/>
      <c r="I141" s="397"/>
      <c r="J141" s="38" t="s">
        <v>497</v>
      </c>
      <c r="K141" s="47">
        <f>SUM(K134:K140)</f>
        <v>26656.909</v>
      </c>
      <c r="L141" s="47">
        <f>SUM(L134:L140)</f>
        <v>0</v>
      </c>
      <c r="M141" s="47">
        <f t="shared" ref="M141" si="87">SUM(M134:M140)</f>
        <v>0</v>
      </c>
      <c r="N141" s="41">
        <f t="shared" si="84"/>
        <v>26656.909</v>
      </c>
      <c r="O141" s="402"/>
      <c r="P141" s="397"/>
      <c r="Q141" s="397"/>
      <c r="R141" s="38" t="s">
        <v>497</v>
      </c>
      <c r="S141" s="47">
        <f>SUM(S134:S140)</f>
        <v>26656.909</v>
      </c>
      <c r="T141" s="47">
        <f>SUM(T134:T140)</f>
        <v>0</v>
      </c>
      <c r="U141" s="47">
        <f t="shared" ref="U141" si="88">SUM(U134:U140)</f>
        <v>0</v>
      </c>
      <c r="V141" s="41">
        <f t="shared" si="85"/>
        <v>26656.909</v>
      </c>
    </row>
    <row r="142" spans="2:22" s="37" customFormat="1" ht="15.75" customHeight="1" x14ac:dyDescent="0.35">
      <c r="B142" s="398"/>
      <c r="C142" s="48"/>
      <c r="D142" s="49"/>
      <c r="E142" s="49"/>
      <c r="F142" s="49"/>
      <c r="G142" s="50"/>
      <c r="H142" s="398"/>
      <c r="I142" s="398"/>
      <c r="J142" s="48"/>
      <c r="K142" s="49"/>
      <c r="L142" s="49"/>
      <c r="M142" s="49"/>
      <c r="N142" s="50"/>
      <c r="O142" s="402"/>
      <c r="P142" s="398"/>
      <c r="Q142" s="398"/>
      <c r="R142" s="48"/>
      <c r="S142" s="49"/>
      <c r="T142" s="49"/>
      <c r="U142" s="49"/>
      <c r="V142" s="50"/>
    </row>
    <row r="143" spans="2:22" ht="15.75" customHeight="1" x14ac:dyDescent="0.35">
      <c r="B143" s="397"/>
      <c r="C143" s="669" t="s">
        <v>514</v>
      </c>
      <c r="D143" s="670"/>
      <c r="E143" s="670"/>
      <c r="F143" s="670"/>
      <c r="G143" s="671"/>
      <c r="H143" s="397"/>
      <c r="I143" s="397"/>
      <c r="J143" s="669" t="s">
        <v>514</v>
      </c>
      <c r="K143" s="670"/>
      <c r="L143" s="670"/>
      <c r="M143" s="670"/>
      <c r="N143" s="671"/>
      <c r="O143" s="402"/>
      <c r="P143" s="397"/>
      <c r="Q143" s="397"/>
      <c r="R143" s="669" t="s">
        <v>514</v>
      </c>
      <c r="S143" s="670"/>
      <c r="T143" s="670"/>
      <c r="U143" s="670"/>
      <c r="V143" s="671"/>
    </row>
    <row r="144" spans="2:22" ht="16" thickBot="1" x14ac:dyDescent="0.4">
      <c r="B144" s="397"/>
      <c r="C144" s="44" t="s">
        <v>515</v>
      </c>
      <c r="D144" s="45">
        <f>'1) Tableau budgétaire 1_Révisé'!D476</f>
        <v>46000</v>
      </c>
      <c r="E144" s="45">
        <f>'1) Tableau budgétaire 1_Révisé'!E476</f>
        <v>0</v>
      </c>
      <c r="F144" s="45">
        <f>'1) Tableau budgétaire 1_Révisé'!F476</f>
        <v>0</v>
      </c>
      <c r="G144" s="46">
        <f t="shared" ref="G144:G152" si="89">SUM(D144:F144)</f>
        <v>46000</v>
      </c>
      <c r="H144" s="397"/>
      <c r="I144" s="397"/>
      <c r="J144" s="44" t="s">
        <v>515</v>
      </c>
      <c r="K144" s="45">
        <f>'1) Tableau budgétaire 1_Révisé'!D476</f>
        <v>46000</v>
      </c>
      <c r="L144" s="45">
        <f>'1) Tableau budgétaire 1_Révisé'!E476</f>
        <v>0</v>
      </c>
      <c r="M144" s="45">
        <f>'1) Tableau budgétaire 1_Révisé'!F476</f>
        <v>0</v>
      </c>
      <c r="N144" s="46">
        <f t="shared" ref="N144:N147" si="90">SUM(K144:M144)</f>
        <v>46000</v>
      </c>
      <c r="O144" s="402"/>
      <c r="P144" s="397"/>
      <c r="Q144" s="397"/>
      <c r="R144" s="44" t="s">
        <v>515</v>
      </c>
      <c r="S144" s="45">
        <f t="shared" ref="S144:U144" si="91">SUM(S145:S151)</f>
        <v>142000</v>
      </c>
      <c r="T144" s="45">
        <f t="shared" si="91"/>
        <v>0</v>
      </c>
      <c r="U144" s="45">
        <f t="shared" si="91"/>
        <v>0</v>
      </c>
      <c r="V144" s="46">
        <f t="shared" ref="V144:V147" si="92">SUM(S144:U144)</f>
        <v>142000</v>
      </c>
    </row>
    <row r="145" spans="3:22" x14ac:dyDescent="0.35">
      <c r="C145" s="42" t="s">
        <v>45</v>
      </c>
      <c r="D145" s="401">
        <f>SUMIF('1) Tableau budgétaire 1_Révisé'!$K$431:$K$475,LEFT($C145,1),'1) Tableau budgétaire 1_Révisé'!$D$431:$D$475)</f>
        <v>0</v>
      </c>
      <c r="E145" s="401">
        <f>SUMIF('1) Tableau budgétaire 1_Révisé'!$K$431:$K$475,LEFT($C145,1),'1) Tableau budgétaire 1_Révisé'!$E$431:$E$475)</f>
        <v>0</v>
      </c>
      <c r="F145" s="401">
        <f>SUMIF('1) Tableau budgétaire 1_Révisé'!$K$431:$K$475,LEFT($C145,1),'1) Tableau budgétaire 1_Révisé'!$F$431:$F$475)</f>
        <v>0</v>
      </c>
      <c r="G145" s="43">
        <f t="shared" si="89"/>
        <v>0</v>
      </c>
      <c r="H145" s="397"/>
      <c r="I145" s="397"/>
      <c r="J145" s="42" t="s">
        <v>45</v>
      </c>
      <c r="K145" s="401">
        <f>SUMIF('1) Tableau budgétaire 1_Révisé'!$K$431:$K$475,LEFT($C145,1),'1) Tableau budgétaire 1_Révisé'!$D$431:$D$475)</f>
        <v>0</v>
      </c>
      <c r="L145" s="401">
        <f>SUMIF('1) Tableau budgétaire 1_Révisé'!$K$431:$K$475,LEFT($C145,1),'1) Tableau budgétaire 1_Révisé'!$E$431:$E$475)</f>
        <v>0</v>
      </c>
      <c r="M145" s="401">
        <f>SUMIF('1) Tableau budgétaire 1_Révisé'!$K$431:$K$475,LEFT($C145,1),'1) Tableau budgétaire 1_Révisé'!$F$431:$F$475)</f>
        <v>0</v>
      </c>
      <c r="N145" s="43">
        <f t="shared" si="90"/>
        <v>0</v>
      </c>
      <c r="O145" s="402"/>
      <c r="P145" s="397"/>
      <c r="Q145" s="397"/>
      <c r="R145" s="42" t="s">
        <v>45</v>
      </c>
      <c r="S145" s="401">
        <f>SUMIF('1) Tableau budgétaire 1_Révisé'!$V$431:$V$475,LEFT($R145,1),'1) Tableau budgétaire 1_Révisé'!$O$431:$O$475)</f>
        <v>0</v>
      </c>
      <c r="T145" s="401">
        <f>SUMIF('1) Tableau budgétaire 1_Révisé'!$V$431:$V$475,LEFT($R145,1),'1) Tableau budgétaire 1_Révisé'!$P$431:$P$475)</f>
        <v>0</v>
      </c>
      <c r="U145" s="401">
        <f>SUMIF('1) Tableau budgétaire 1_Révisé'!$K$431:$K$475,LEFT($C145,1),'1) Tableau budgétaire 1_Révisé'!$F$431:$F$475)</f>
        <v>0</v>
      </c>
      <c r="V145" s="43">
        <f t="shared" si="92"/>
        <v>0</v>
      </c>
    </row>
    <row r="146" spans="3:22" x14ac:dyDescent="0.35">
      <c r="C146" s="33" t="s">
        <v>46</v>
      </c>
      <c r="D146" s="401">
        <f>SUMIF('1) Tableau budgétaire 1_Révisé'!$K$431:$K$475,LEFT($C146,1),'1) Tableau budgétaire 1_Révisé'!$D$431:$D$475)</f>
        <v>0</v>
      </c>
      <c r="E146" s="401">
        <f>SUMIF('1) Tableau budgétaire 1_Révisé'!$K$431:$K$475,LEFT($C146,1),'1) Tableau budgétaire 1_Révisé'!$E$431:$E$475)</f>
        <v>0</v>
      </c>
      <c r="F146" s="401">
        <f>SUMIF('1) Tableau budgétaire 1_Révisé'!$K$431:$K$475,LEFT($C146,1),'1) Tableau budgétaire 1_Révisé'!$F$431:$F$475)</f>
        <v>0</v>
      </c>
      <c r="G146" s="41">
        <f t="shared" si="89"/>
        <v>0</v>
      </c>
      <c r="H146" s="397"/>
      <c r="I146" s="397"/>
      <c r="J146" s="33" t="s">
        <v>46</v>
      </c>
      <c r="K146" s="401">
        <f>SUMIF('1) Tableau budgétaire 1_Révisé'!$K$431:$K$475,LEFT($C146,1),'1) Tableau budgétaire 1_Révisé'!$D$431:$D$475)</f>
        <v>0</v>
      </c>
      <c r="L146" s="401">
        <f>SUMIF('1) Tableau budgétaire 1_Révisé'!$K$431:$K$475,LEFT($C146,1),'1) Tableau budgétaire 1_Révisé'!$E$431:$E$475)</f>
        <v>0</v>
      </c>
      <c r="M146" s="401">
        <f>SUMIF('1) Tableau budgétaire 1_Révisé'!$K$431:$K$475,LEFT($C146,1),'1) Tableau budgétaire 1_Révisé'!$F$431:$F$475)</f>
        <v>0</v>
      </c>
      <c r="N146" s="41">
        <f t="shared" si="90"/>
        <v>0</v>
      </c>
      <c r="O146" s="402"/>
      <c r="P146" s="397"/>
      <c r="Q146" s="397"/>
      <c r="R146" s="33" t="s">
        <v>46</v>
      </c>
      <c r="S146" s="401">
        <f>SUMIF('1) Tableau budgétaire 1_Révisé'!$V$431:$V$475,LEFT($R146,1),'1) Tableau budgétaire 1_Révisé'!$O$431:$O$475)</f>
        <v>29000</v>
      </c>
      <c r="T146" s="401">
        <f>SUMIF('1) Tableau budgétaire 1_Révisé'!$V$431:$V$475,LEFT($R146,1),'1) Tableau budgétaire 1_Révisé'!$P$431:$P$475)</f>
        <v>0</v>
      </c>
      <c r="U146" s="401">
        <f>SUMIF('1) Tableau budgétaire 1_Révisé'!$K$431:$K$475,LEFT($C146,1),'1) Tableau budgétaire 1_Révisé'!$F$431:$F$475)</f>
        <v>0</v>
      </c>
      <c r="V146" s="41">
        <f t="shared" si="92"/>
        <v>29000</v>
      </c>
    </row>
    <row r="147" spans="3:22" ht="31" x14ac:dyDescent="0.35">
      <c r="C147" s="33" t="s">
        <v>47</v>
      </c>
      <c r="D147" s="401">
        <f>SUMIF('1) Tableau budgétaire 1_Révisé'!$K$431:$K$475,LEFT($C147,1),'1) Tableau budgétaire 1_Révisé'!$D$431:$D$475)</f>
        <v>0</v>
      </c>
      <c r="E147" s="401">
        <f>SUMIF('1) Tableau budgétaire 1_Révisé'!$K$431:$K$475,LEFT($C147,1),'1) Tableau budgétaire 1_Révisé'!$E$431:$E$475)</f>
        <v>0</v>
      </c>
      <c r="F147" s="401">
        <f>SUMIF('1) Tableau budgétaire 1_Révisé'!$K$431:$K$475,LEFT($C147,1),'1) Tableau budgétaire 1_Révisé'!$F$431:$F$475)</f>
        <v>0</v>
      </c>
      <c r="G147" s="41">
        <f t="shared" si="89"/>
        <v>0</v>
      </c>
      <c r="H147" s="397"/>
      <c r="I147" s="397"/>
      <c r="J147" s="33" t="s">
        <v>47</v>
      </c>
      <c r="K147" s="401">
        <f>SUMIF('1) Tableau budgétaire 1_Révisé'!$K$431:$K$475,LEFT($C147,1),'1) Tableau budgétaire 1_Révisé'!$D$431:$D$475)</f>
        <v>0</v>
      </c>
      <c r="L147" s="401">
        <f>SUMIF('1) Tableau budgétaire 1_Révisé'!$K$431:$K$475,LEFT($C147,1),'1) Tableau budgétaire 1_Révisé'!$E$431:$E$475)</f>
        <v>0</v>
      </c>
      <c r="M147" s="401">
        <f>SUMIF('1) Tableau budgétaire 1_Révisé'!$K$431:$K$475,LEFT($C147,1),'1) Tableau budgétaire 1_Révisé'!$F$431:$F$475)</f>
        <v>0</v>
      </c>
      <c r="N147" s="41">
        <f t="shared" si="90"/>
        <v>0</v>
      </c>
      <c r="O147" s="402"/>
      <c r="P147" s="397"/>
      <c r="Q147" s="397"/>
      <c r="R147" s="33" t="s">
        <v>47</v>
      </c>
      <c r="S147" s="401">
        <f>SUMIF('1) Tableau budgétaire 1_Révisé'!$V$431:$V$475,LEFT($R147,1),'1) Tableau budgétaire 1_Révisé'!$O$431:$O$475)</f>
        <v>0</v>
      </c>
      <c r="T147" s="401">
        <f>SUMIF('1) Tableau budgétaire 1_Révisé'!$V$431:$V$475,LEFT($R147,1),'1) Tableau budgétaire 1_Révisé'!$P$431:$P$475)</f>
        <v>0</v>
      </c>
      <c r="U147" s="401">
        <f>SUMIF('1) Tableau budgétaire 1_Révisé'!$K$431:$K$475,LEFT($C147,1),'1) Tableau budgétaire 1_Révisé'!$F$431:$F$475)</f>
        <v>0</v>
      </c>
      <c r="V147" s="41">
        <f t="shared" si="92"/>
        <v>0</v>
      </c>
    </row>
    <row r="148" spans="3:22" ht="15.75" customHeight="1" x14ac:dyDescent="0.35">
      <c r="C148" s="34" t="s">
        <v>48</v>
      </c>
      <c r="D148" s="401">
        <f>SUMIF('1) Tableau budgétaire 1_Révisé'!$K$431:$K$475,LEFT($C148,1),'1) Tableau budgétaire 1_Révisé'!$D$431:$D$475)</f>
        <v>12000</v>
      </c>
      <c r="E148" s="401">
        <f>SUMIF('1) Tableau budgétaire 1_Révisé'!$K$431:$K$475,LEFT($C148,1),'1) Tableau budgétaire 1_Révisé'!$E$431:$E$475)</f>
        <v>0</v>
      </c>
      <c r="F148" s="401">
        <f>SUMIF('1) Tableau budgétaire 1_Révisé'!$K$431:$K$475,LEFT($C148,1),'1) Tableau budgétaire 1_Révisé'!$F$431:$F$475)</f>
        <v>0</v>
      </c>
      <c r="G148" s="41">
        <f>SUM(D148:F148)</f>
        <v>12000</v>
      </c>
      <c r="H148" s="397"/>
      <c r="I148" s="397"/>
      <c r="J148" s="34" t="s">
        <v>48</v>
      </c>
      <c r="K148" s="401">
        <f>SUMIF('1) Tableau budgétaire 1_Révisé'!$K$431:$K$475,LEFT($C148,1),'1) Tableau budgétaire 1_Révisé'!$D$431:$D$475)</f>
        <v>12000</v>
      </c>
      <c r="L148" s="401">
        <f>SUMIF('1) Tableau budgétaire 1_Révisé'!$K$431:$K$475,LEFT($C148,1),'1) Tableau budgétaire 1_Révisé'!$E$431:$E$475)</f>
        <v>0</v>
      </c>
      <c r="M148" s="401">
        <f>SUMIF('1) Tableau budgétaire 1_Révisé'!$K$431:$K$475,LEFT($C148,1),'1) Tableau budgétaire 1_Révisé'!$F$431:$F$475)</f>
        <v>0</v>
      </c>
      <c r="N148" s="41">
        <f>SUM(K148:M148)</f>
        <v>12000</v>
      </c>
      <c r="O148" s="402"/>
      <c r="P148" s="397"/>
      <c r="Q148" s="397"/>
      <c r="R148" s="34" t="s">
        <v>48</v>
      </c>
      <c r="S148" s="401">
        <f>SUMIF('1) Tableau budgétaire 1_Révisé'!$V$431:$V$475,LEFT($R148,1),'1) Tableau budgétaire 1_Révisé'!$O$431:$O$475)</f>
        <v>12000</v>
      </c>
      <c r="T148" s="401">
        <f>SUMIF('1) Tableau budgétaire 1_Révisé'!$V$431:$V$475,LEFT($R148,1),'1) Tableau budgétaire 1_Révisé'!$P$431:$P$475)</f>
        <v>0</v>
      </c>
      <c r="U148" s="401">
        <f>SUMIF('1) Tableau budgétaire 1_Révisé'!$K$431:$K$475,LEFT($C148,1),'1) Tableau budgétaire 1_Révisé'!$F$431:$F$475)</f>
        <v>0</v>
      </c>
      <c r="V148" s="41">
        <f>SUM(S148:U148)</f>
        <v>12000</v>
      </c>
    </row>
    <row r="149" spans="3:22" x14ac:dyDescent="0.35">
      <c r="C149" s="33" t="s">
        <v>49</v>
      </c>
      <c r="D149" s="401">
        <f>SUMIF('1) Tableau budgétaire 1_Révisé'!$K$431:$K$475,LEFT($C149,1),'1) Tableau budgétaire 1_Révisé'!$D$431:$D$475)</f>
        <v>6000</v>
      </c>
      <c r="E149" s="401">
        <f>SUMIF('1) Tableau budgétaire 1_Révisé'!$K$431:$K$475,LEFT($C149,1),'1) Tableau budgétaire 1_Révisé'!$E$431:$E$475)</f>
        <v>0</v>
      </c>
      <c r="F149" s="401">
        <f>SUMIF('1) Tableau budgétaire 1_Révisé'!$K$431:$K$475,LEFT($C149,1),'1) Tableau budgétaire 1_Révisé'!$F$431:$F$475)</f>
        <v>0</v>
      </c>
      <c r="G149" s="41">
        <f t="shared" si="89"/>
        <v>6000</v>
      </c>
      <c r="H149" s="397"/>
      <c r="I149" s="397"/>
      <c r="J149" s="33" t="s">
        <v>49</v>
      </c>
      <c r="K149" s="401">
        <f>SUMIF('1) Tableau budgétaire 1_Révisé'!$K$431:$K$475,LEFT($C149,1),'1) Tableau budgétaire 1_Révisé'!$D$431:$D$475)</f>
        <v>6000</v>
      </c>
      <c r="L149" s="401">
        <f>SUMIF('1) Tableau budgétaire 1_Révisé'!$K$431:$K$475,LEFT($C149,1),'1) Tableau budgétaire 1_Révisé'!$E$431:$E$475)</f>
        <v>0</v>
      </c>
      <c r="M149" s="401">
        <f>SUMIF('1) Tableau budgétaire 1_Révisé'!$K$431:$K$475,LEFT($C149,1),'1) Tableau budgétaire 1_Révisé'!$F$431:$F$475)</f>
        <v>0</v>
      </c>
      <c r="N149" s="41">
        <f t="shared" ref="N149:N152" si="93">SUM(K149:M149)</f>
        <v>6000</v>
      </c>
      <c r="O149" s="402"/>
      <c r="P149" s="397"/>
      <c r="Q149" s="397"/>
      <c r="R149" s="33" t="s">
        <v>49</v>
      </c>
      <c r="S149" s="401">
        <f>SUMIF('1) Tableau budgétaire 1_Révisé'!$V$431:$V$475,LEFT($R149,1),'1) Tableau budgétaire 1_Révisé'!$O$431:$O$475)</f>
        <v>6000</v>
      </c>
      <c r="T149" s="401">
        <f>SUMIF('1) Tableau budgétaire 1_Révisé'!$V$431:$V$475,LEFT($R149,1),'1) Tableau budgétaire 1_Révisé'!$P$431:$P$475)</f>
        <v>0</v>
      </c>
      <c r="U149" s="401">
        <f>SUMIF('1) Tableau budgétaire 1_Révisé'!$K$431:$K$475,LEFT($C149,1),'1) Tableau budgétaire 1_Révisé'!$F$431:$F$475)</f>
        <v>0</v>
      </c>
      <c r="V149" s="41">
        <f t="shared" ref="V149:V152" si="94">SUM(S149:U149)</f>
        <v>6000</v>
      </c>
    </row>
    <row r="150" spans="3:22" x14ac:dyDescent="0.35">
      <c r="C150" s="33" t="s">
        <v>50</v>
      </c>
      <c r="D150" s="401">
        <f>SUMIF('1) Tableau budgétaire 1_Révisé'!$K$431:$K$475,LEFT($C150,1),'1) Tableau budgétaire 1_Révisé'!$D$431:$D$475)</f>
        <v>10000</v>
      </c>
      <c r="E150" s="401">
        <f>SUMIF('1) Tableau budgétaire 1_Révisé'!$K$431:$K$475,LEFT($C150,1),'1) Tableau budgétaire 1_Révisé'!$E$431:$E$475)</f>
        <v>0</v>
      </c>
      <c r="F150" s="401">
        <f>SUMIF('1) Tableau budgétaire 1_Révisé'!$K$431:$K$475,LEFT($C150,1),'1) Tableau budgétaire 1_Révisé'!$F$431:$F$475)</f>
        <v>0</v>
      </c>
      <c r="G150" s="41">
        <f t="shared" si="89"/>
        <v>10000</v>
      </c>
      <c r="H150" s="397"/>
      <c r="I150" s="397"/>
      <c r="J150" s="33" t="s">
        <v>50</v>
      </c>
      <c r="K150" s="401">
        <f>SUMIF('1) Tableau budgétaire 1_Révisé'!$K$431:$K$475,LEFT($C150,1),'1) Tableau budgétaire 1_Révisé'!$D$431:$D$475)</f>
        <v>10000</v>
      </c>
      <c r="L150" s="401">
        <f>SUMIF('1) Tableau budgétaire 1_Révisé'!$K$431:$K$475,LEFT($C150,1),'1) Tableau budgétaire 1_Révisé'!$E$431:$E$475)</f>
        <v>0</v>
      </c>
      <c r="M150" s="401">
        <f>SUMIF('1) Tableau budgétaire 1_Révisé'!$K$431:$K$475,LEFT($C150,1),'1) Tableau budgétaire 1_Révisé'!$F$431:$F$475)</f>
        <v>0</v>
      </c>
      <c r="N150" s="41">
        <f t="shared" si="93"/>
        <v>10000</v>
      </c>
      <c r="O150" s="402"/>
      <c r="P150" s="397"/>
      <c r="Q150" s="397"/>
      <c r="R150" s="33" t="s">
        <v>50</v>
      </c>
      <c r="S150" s="401">
        <f>SUMIF('1) Tableau budgétaire 1_Révisé'!$V$431:$V$475,LEFT($R150,1),'1) Tableau budgétaire 1_Révisé'!$O$431:$O$475)</f>
        <v>15000</v>
      </c>
      <c r="T150" s="401">
        <f>SUMIF('1) Tableau budgétaire 1_Révisé'!$V$431:$V$475,LEFT($R150,1),'1) Tableau budgétaire 1_Révisé'!$P$431:$P$475)</f>
        <v>0</v>
      </c>
      <c r="U150" s="401">
        <f>SUMIF('1) Tableau budgétaire 1_Révisé'!$K$431:$K$475,LEFT($C150,1),'1) Tableau budgétaire 1_Révisé'!$F$431:$F$475)</f>
        <v>0</v>
      </c>
      <c r="V150" s="41">
        <f t="shared" si="94"/>
        <v>15000</v>
      </c>
    </row>
    <row r="151" spans="3:22" ht="31" x14ac:dyDescent="0.35">
      <c r="C151" s="33" t="s">
        <v>51</v>
      </c>
      <c r="D151" s="401">
        <f>SUMIF('1) Tableau budgétaire 1_Révisé'!$K$431:$K$475,LEFT($C151,1),'1) Tableau budgétaire 1_Révisé'!$D$431:$D$475)</f>
        <v>18000</v>
      </c>
      <c r="E151" s="401">
        <f>SUMIF('1) Tableau budgétaire 1_Révisé'!$K$431:$K$475,LEFT($C151,1),'1) Tableau budgétaire 1_Révisé'!$E$431:$E$475)</f>
        <v>0</v>
      </c>
      <c r="F151" s="401">
        <f>SUMIF('1) Tableau budgétaire 1_Révisé'!$K$431:$K$475,LEFT($C151,1),'1) Tableau budgétaire 1_Révisé'!$F$431:$F$475)</f>
        <v>0</v>
      </c>
      <c r="G151" s="41">
        <f t="shared" si="89"/>
        <v>18000</v>
      </c>
      <c r="H151" s="397"/>
      <c r="I151" s="397"/>
      <c r="J151" s="33" t="s">
        <v>51</v>
      </c>
      <c r="K151" s="401">
        <f>SUMIF('1) Tableau budgétaire 1_Révisé'!$K$431:$K$475,LEFT($C151,1),'1) Tableau budgétaire 1_Révisé'!$D$431:$D$475)</f>
        <v>18000</v>
      </c>
      <c r="L151" s="401">
        <f>SUMIF('1) Tableau budgétaire 1_Révisé'!$K$431:$K$475,LEFT($C151,1),'1) Tableau budgétaire 1_Révisé'!$E$431:$E$475)</f>
        <v>0</v>
      </c>
      <c r="M151" s="401">
        <f>SUMIF('1) Tableau budgétaire 1_Révisé'!$K$431:$K$475,LEFT($C151,1),'1) Tableau budgétaire 1_Révisé'!$F$431:$F$475)</f>
        <v>0</v>
      </c>
      <c r="N151" s="41">
        <f t="shared" si="93"/>
        <v>18000</v>
      </c>
      <c r="O151" s="402"/>
      <c r="P151" s="397"/>
      <c r="Q151" s="397"/>
      <c r="R151" s="33" t="s">
        <v>51</v>
      </c>
      <c r="S151" s="401">
        <f>SUMIF('1) Tableau budgétaire 1_Révisé'!$V$431:$V$475,LEFT($R151,1),'1) Tableau budgétaire 1_Révisé'!$O$431:$O$475)</f>
        <v>80000</v>
      </c>
      <c r="T151" s="401">
        <f>SUMIF('1) Tableau budgétaire 1_Révisé'!$V$431:$V$475,LEFT($R151,1),'1) Tableau budgétaire 1_Révisé'!$P$431:$P$475)</f>
        <v>0</v>
      </c>
      <c r="U151" s="401">
        <f>SUMIF('1) Tableau budgétaire 1_Révisé'!$K$431:$K$475,LEFT($C151,1),'1) Tableau budgétaire 1_Révisé'!$F$431:$F$475)</f>
        <v>0</v>
      </c>
      <c r="V151" s="41">
        <f t="shared" si="94"/>
        <v>80000</v>
      </c>
    </row>
    <row r="152" spans="3:22" ht="15.75" customHeight="1" x14ac:dyDescent="0.35">
      <c r="C152" s="38" t="s">
        <v>497</v>
      </c>
      <c r="D152" s="47">
        <f t="shared" ref="D152:E152" si="95">SUM(D145:D151)</f>
        <v>46000</v>
      </c>
      <c r="E152" s="47">
        <f t="shared" si="95"/>
        <v>0</v>
      </c>
      <c r="F152" s="47">
        <f t="shared" ref="F152" si="96">SUM(F145:F151)</f>
        <v>0</v>
      </c>
      <c r="G152" s="41">
        <f t="shared" si="89"/>
        <v>46000</v>
      </c>
      <c r="H152" s="397"/>
      <c r="I152" s="397"/>
      <c r="J152" s="38" t="s">
        <v>497</v>
      </c>
      <c r="K152" s="47">
        <f t="shared" ref="K152:L152" si="97">SUM(K145:K151)</f>
        <v>46000</v>
      </c>
      <c r="L152" s="47">
        <f t="shared" si="97"/>
        <v>0</v>
      </c>
      <c r="M152" s="47">
        <f t="shared" ref="M152" si="98">SUM(M145:M151)</f>
        <v>0</v>
      </c>
      <c r="N152" s="41">
        <f t="shared" si="93"/>
        <v>46000</v>
      </c>
      <c r="O152" s="402"/>
      <c r="P152" s="397"/>
      <c r="Q152" s="397"/>
      <c r="R152" s="38" t="s">
        <v>497</v>
      </c>
      <c r="S152" s="47">
        <f t="shared" ref="S152:U152" si="99">SUM(S145:S151)</f>
        <v>142000</v>
      </c>
      <c r="T152" s="47">
        <f t="shared" si="99"/>
        <v>0</v>
      </c>
      <c r="U152" s="47">
        <f t="shared" si="99"/>
        <v>0</v>
      </c>
      <c r="V152" s="41">
        <f t="shared" si="94"/>
        <v>142000</v>
      </c>
    </row>
    <row r="153" spans="3:22" s="37" customFormat="1" ht="15.75" customHeight="1" x14ac:dyDescent="0.35">
      <c r="C153" s="48"/>
      <c r="D153" s="49"/>
      <c r="E153" s="49"/>
      <c r="F153" s="49"/>
      <c r="G153" s="50"/>
      <c r="H153" s="398"/>
      <c r="I153" s="398"/>
      <c r="J153" s="48"/>
      <c r="K153" s="49"/>
      <c r="L153" s="49"/>
      <c r="M153" s="49"/>
      <c r="N153" s="50"/>
      <c r="O153" s="402"/>
      <c r="P153" s="398"/>
      <c r="Q153" s="398"/>
      <c r="R153" s="48"/>
      <c r="S153" s="49"/>
      <c r="T153" s="49"/>
      <c r="U153" s="49"/>
      <c r="V153" s="50"/>
    </row>
    <row r="154" spans="3:22" ht="15.75" customHeight="1" x14ac:dyDescent="0.35">
      <c r="C154" s="669" t="s">
        <v>26</v>
      </c>
      <c r="D154" s="670"/>
      <c r="E154" s="670"/>
      <c r="F154" s="670"/>
      <c r="G154" s="671"/>
      <c r="H154" s="397"/>
      <c r="I154" s="397"/>
      <c r="J154" s="669" t="s">
        <v>26</v>
      </c>
      <c r="K154" s="670"/>
      <c r="L154" s="670"/>
      <c r="M154" s="670"/>
      <c r="N154" s="671"/>
      <c r="O154" s="402"/>
      <c r="P154" s="397"/>
      <c r="Q154" s="397"/>
      <c r="R154" s="669" t="s">
        <v>26</v>
      </c>
      <c r="S154" s="670"/>
      <c r="T154" s="670"/>
      <c r="U154" s="670"/>
      <c r="V154" s="671"/>
    </row>
    <row r="155" spans="3:22" ht="16" thickBot="1" x14ac:dyDescent="0.4">
      <c r="C155" s="44" t="s">
        <v>516</v>
      </c>
      <c r="D155" s="45">
        <f>'1) Tableau budgétaire 1_Révisé'!D504</f>
        <v>78689.72</v>
      </c>
      <c r="E155" s="45">
        <f>'1) Tableau budgétaire 1_Révisé'!E504</f>
        <v>0</v>
      </c>
      <c r="F155" s="45">
        <f>'1) Tableau budgétaire 1_Révisé'!F504</f>
        <v>0</v>
      </c>
      <c r="G155" s="46">
        <f t="shared" ref="G155:G162" si="100">SUM(D155:F155)</f>
        <v>78689.72</v>
      </c>
      <c r="H155" s="397"/>
      <c r="I155" s="397"/>
      <c r="J155" s="44" t="s">
        <v>516</v>
      </c>
      <c r="K155" s="45">
        <f>'1) Tableau budgétaire 1_Révisé'!D504</f>
        <v>78689.72</v>
      </c>
      <c r="L155" s="45">
        <f>'1) Tableau budgétaire 1_Révisé'!E504</f>
        <v>0</v>
      </c>
      <c r="M155" s="45">
        <f>'1) Tableau budgétaire 1_Révisé'!F504</f>
        <v>0</v>
      </c>
      <c r="N155" s="46">
        <f t="shared" ref="N155:N162" si="101">SUM(K155:M155)</f>
        <v>78689.72</v>
      </c>
      <c r="O155" s="402"/>
      <c r="P155" s="397"/>
      <c r="Q155" s="397"/>
      <c r="R155" s="44" t="s">
        <v>516</v>
      </c>
      <c r="S155" s="45">
        <f t="shared" ref="S155:U155" si="102">SUM(S156:S162)</f>
        <v>78689.72</v>
      </c>
      <c r="T155" s="45">
        <f t="shared" si="102"/>
        <v>0</v>
      </c>
      <c r="U155" s="45">
        <f t="shared" si="102"/>
        <v>0</v>
      </c>
      <c r="V155" s="46">
        <f t="shared" ref="V155:V162" si="103">SUM(S155:U155)</f>
        <v>78689.72</v>
      </c>
    </row>
    <row r="156" spans="3:22" x14ac:dyDescent="0.35">
      <c r="C156" s="42" t="s">
        <v>45</v>
      </c>
      <c r="D156" s="401">
        <f>SUMIF('1) Tableau budgétaire 1 initial'!$K$385:$K$410,LEFT($C156,1),'1) Tableau budgétaire 1 initial'!$D$385:$D$410)</f>
        <v>0</v>
      </c>
      <c r="E156" s="401">
        <f>SUMIF('1) Tableau budgétaire 1 initial'!$K$385:$K$410,LEFT($C156,1),'1) Tableau budgétaire 1 initial'!$E$385:$E$410)</f>
        <v>0</v>
      </c>
      <c r="F156" s="401">
        <f>SUMIF('1) Tableau budgétaire 1 initial'!$K$385:$K$410,LEFT($C156,1),'1) Tableau budgétaire 1 initial'!$F$385:$F$410)</f>
        <v>0</v>
      </c>
      <c r="G156" s="43">
        <f t="shared" si="100"/>
        <v>0</v>
      </c>
      <c r="H156" s="397"/>
      <c r="I156" s="397"/>
      <c r="J156" s="42" t="s">
        <v>45</v>
      </c>
      <c r="K156" s="401">
        <f>SUMIF('1) Tableau budgétaire 1_Révisé'!$K$478:$K$503,LEFT($C156,1),'1) Tableau budgétaire 1_Révisé'!$D$478:$D$503)</f>
        <v>0</v>
      </c>
      <c r="L156" s="401">
        <f>SUMIF('1) Tableau budgétaire 1_Révisé'!$K$478:$K$503,LEFT($C156,1),'1) Tableau budgétaire 1_Révisé'!$E$478:$E$503)</f>
        <v>0</v>
      </c>
      <c r="M156" s="401">
        <f>SUMIF('1) Tableau budgétaire 1_Révisé'!$K$478:$K$503,LEFT($C156,1),'1) Tableau budgétaire 1_Révisé'!$F$478:$F$503)</f>
        <v>0</v>
      </c>
      <c r="N156" s="43">
        <f t="shared" si="101"/>
        <v>0</v>
      </c>
      <c r="O156" s="402"/>
      <c r="P156" s="397"/>
      <c r="Q156" s="397"/>
      <c r="R156" s="42" t="s">
        <v>45</v>
      </c>
      <c r="S156" s="401">
        <f>SUMIF('1) Tableau budgétaire 1_Révisé'!$V$478:$V$503,LEFT($R156,1),'1) Tableau budgétaire 1_Révisé'!$O$478:$O$503)</f>
        <v>0</v>
      </c>
      <c r="T156" s="401">
        <f>SUMIF('1) Tableau budgétaire 1_Révisé'!$V$478:$V$503,LEFT($R156,1),'1) Tableau budgétaire 1_Révisé'!$P$478:$P$503)</f>
        <v>0</v>
      </c>
      <c r="U156" s="401">
        <f>SUMIF('1) Tableau budgétaire 1_Révisé'!$K$478:$K$503,LEFT($C156,1),'1) Tableau budgétaire 1_Révisé'!$F$478:$F$503)</f>
        <v>0</v>
      </c>
      <c r="V156" s="43">
        <f t="shared" si="103"/>
        <v>0</v>
      </c>
    </row>
    <row r="157" spans="3:22" x14ac:dyDescent="0.35">
      <c r="C157" s="33" t="s">
        <v>46</v>
      </c>
      <c r="D157" s="401">
        <f>SUMIF('1) Tableau budgétaire 1 initial'!$K$385:$K$410,LEFT($C157,1),'1) Tableau budgétaire 1 initial'!$D$385:$D$410)</f>
        <v>0</v>
      </c>
      <c r="E157" s="401">
        <f>SUMIF('1) Tableau budgétaire 1 initial'!$K$385:$K$410,LEFT($C157,1),'1) Tableau budgétaire 1 initial'!$E$385:$E$410)</f>
        <v>0</v>
      </c>
      <c r="F157" s="401">
        <f>SUMIF('1) Tableau budgétaire 1 initial'!$K$385:$K$410,LEFT($C157,1),'1) Tableau budgétaire 1 initial'!$F$385:$F$410)</f>
        <v>0</v>
      </c>
      <c r="G157" s="41">
        <f t="shared" si="100"/>
        <v>0</v>
      </c>
      <c r="H157" s="397"/>
      <c r="I157" s="397"/>
      <c r="J157" s="33" t="s">
        <v>46</v>
      </c>
      <c r="K157" s="401">
        <f>SUMIF('1) Tableau budgétaire 1_Révisé'!$K$478:$K$503,LEFT($C157,1),'1) Tableau budgétaire 1_Révisé'!$D$478:$D$503)</f>
        <v>0</v>
      </c>
      <c r="L157" s="401">
        <f>SUMIF('1) Tableau budgétaire 1_Révisé'!$K$478:$K$503,LEFT($C157,1),'1) Tableau budgétaire 1_Révisé'!$E$478:$E$503)</f>
        <v>0</v>
      </c>
      <c r="M157" s="401">
        <f>SUMIF('1) Tableau budgétaire 1_Révisé'!$K$478:$K$503,LEFT($C157,1),'1) Tableau budgétaire 1_Révisé'!$F$478:$F$503)</f>
        <v>0</v>
      </c>
      <c r="N157" s="41">
        <f t="shared" si="101"/>
        <v>0</v>
      </c>
      <c r="O157" s="402"/>
      <c r="P157" s="397"/>
      <c r="Q157" s="397"/>
      <c r="R157" s="33" t="s">
        <v>46</v>
      </c>
      <c r="S157" s="401">
        <f>SUMIF('1) Tableau budgétaire 1_Révisé'!$V$478:$V$503,LEFT($R157,1),'1) Tableau budgétaire 1_Révisé'!$O$478:$O$503)</f>
        <v>0</v>
      </c>
      <c r="T157" s="401">
        <f>SUMIF('1) Tableau budgétaire 1_Révisé'!$V$478:$V$503,LEFT($R157,1),'1) Tableau budgétaire 1_Révisé'!$P$478:$P$503)</f>
        <v>0</v>
      </c>
      <c r="U157" s="401">
        <f>SUMIF('1) Tableau budgétaire 1_Révisé'!$K$478:$K$503,LEFT($C157,1),'1) Tableau budgétaire 1_Révisé'!$F$478:$F$503)</f>
        <v>0</v>
      </c>
      <c r="V157" s="41">
        <f t="shared" si="103"/>
        <v>0</v>
      </c>
    </row>
    <row r="158" spans="3:22" ht="15.75" customHeight="1" x14ac:dyDescent="0.35">
      <c r="C158" s="33" t="s">
        <v>47</v>
      </c>
      <c r="D158" s="401">
        <f>SUMIF('1) Tableau budgétaire 1 initial'!$K$385:$K$410,LEFT($C158,1),'1) Tableau budgétaire 1 initial'!$D$385:$D$410)</f>
        <v>7500</v>
      </c>
      <c r="E158" s="401">
        <f>SUMIF('1) Tableau budgétaire 1 initial'!$K$385:$K$410,LEFT($C158,1),'1) Tableau budgétaire 1 initial'!$E$385:$E$410)</f>
        <v>0</v>
      </c>
      <c r="F158" s="401">
        <f>SUMIF('1) Tableau budgétaire 1 initial'!$K$385:$K$410,LEFT($C158,1),'1) Tableau budgétaire 1 initial'!$F$385:$F$410)</f>
        <v>0</v>
      </c>
      <c r="G158" s="41">
        <f t="shared" si="100"/>
        <v>7500</v>
      </c>
      <c r="H158" s="397"/>
      <c r="I158" s="397"/>
      <c r="J158" s="33" t="s">
        <v>47</v>
      </c>
      <c r="K158" s="401">
        <f>SUMIF('1) Tableau budgétaire 1_Révisé'!$K$478:$K$503,LEFT($C158,1),'1) Tableau budgétaire 1_Révisé'!$D$478:$D$503)</f>
        <v>7500</v>
      </c>
      <c r="L158" s="401">
        <f>SUMIF('1) Tableau budgétaire 1_Révisé'!$K$478:$K$503,LEFT($C158,1),'1) Tableau budgétaire 1_Révisé'!$E$478:$E$503)</f>
        <v>0</v>
      </c>
      <c r="M158" s="401">
        <f>SUMIF('1) Tableau budgétaire 1_Révisé'!$K$478:$K$503,LEFT($C158,1),'1) Tableau budgétaire 1_Révisé'!$F$478:$F$503)</f>
        <v>0</v>
      </c>
      <c r="N158" s="41">
        <f t="shared" si="101"/>
        <v>7500</v>
      </c>
      <c r="O158" s="402"/>
      <c r="P158" s="397"/>
      <c r="Q158" s="397"/>
      <c r="R158" s="33" t="s">
        <v>47</v>
      </c>
      <c r="S158" s="401">
        <f>SUMIF('1) Tableau budgétaire 1_Révisé'!$V$478:$V$503,LEFT($R158,1),'1) Tableau budgétaire 1_Révisé'!$O$478:$O$503)</f>
        <v>7500</v>
      </c>
      <c r="T158" s="401">
        <f>SUMIF('1) Tableau budgétaire 1_Révisé'!$V$478:$V$503,LEFT($R158,1),'1) Tableau budgétaire 1_Révisé'!$P$478:$P$503)</f>
        <v>0</v>
      </c>
      <c r="U158" s="401">
        <f>SUMIF('1) Tableau budgétaire 1_Révisé'!$K$478:$K$503,LEFT($C158,1),'1) Tableau budgétaire 1_Révisé'!$F$478:$F$503)</f>
        <v>0</v>
      </c>
      <c r="V158" s="41">
        <f t="shared" si="103"/>
        <v>7500</v>
      </c>
    </row>
    <row r="159" spans="3:22" x14ac:dyDescent="0.35">
      <c r="C159" s="34" t="s">
        <v>48</v>
      </c>
      <c r="D159" s="401">
        <f>SUMIF('1) Tableau budgétaire 1 initial'!$K$385:$K$410,LEFT($C159,1),'1) Tableau budgétaire 1 initial'!$D$385:$D$410)</f>
        <v>31000</v>
      </c>
      <c r="E159" s="401">
        <f>SUMIF('1) Tableau budgétaire 1 initial'!$K$385:$K$410,LEFT($C159,1),'1) Tableau budgétaire 1 initial'!$E$385:$E$410)</f>
        <v>0</v>
      </c>
      <c r="F159" s="401">
        <f>SUMIF('1) Tableau budgétaire 1 initial'!$K$385:$K$410,LEFT($C159,1),'1) Tableau budgétaire 1 initial'!$F$385:$F$410)</f>
        <v>0</v>
      </c>
      <c r="G159" s="41">
        <f t="shared" si="100"/>
        <v>31000</v>
      </c>
      <c r="H159" s="397"/>
      <c r="I159" s="397"/>
      <c r="J159" s="34" t="s">
        <v>48</v>
      </c>
      <c r="K159" s="401">
        <f>SUMIF('1) Tableau budgétaire 1_Révisé'!$K$478:$K$503,LEFT($C159,1),'1) Tableau budgétaire 1_Révisé'!$D$478:$D$503)</f>
        <v>31000</v>
      </c>
      <c r="L159" s="401">
        <f>SUMIF('1) Tableau budgétaire 1_Révisé'!$K$478:$K$503,LEFT($C159,1),'1) Tableau budgétaire 1_Révisé'!$E$478:$E$503)</f>
        <v>0</v>
      </c>
      <c r="M159" s="401">
        <f>SUMIF('1) Tableau budgétaire 1_Révisé'!$K$478:$K$503,LEFT($C159,1),'1) Tableau budgétaire 1_Révisé'!$F$478:$F$503)</f>
        <v>0</v>
      </c>
      <c r="N159" s="41">
        <f t="shared" si="101"/>
        <v>31000</v>
      </c>
      <c r="O159" s="402"/>
      <c r="P159" s="397"/>
      <c r="Q159" s="397"/>
      <c r="R159" s="34" t="s">
        <v>48</v>
      </c>
      <c r="S159" s="401">
        <f>SUMIF('1) Tableau budgétaire 1_Révisé'!$V$478:$V$503,LEFT($R159,1),'1) Tableau budgétaire 1_Révisé'!$O$478:$O$503)</f>
        <v>31000</v>
      </c>
      <c r="T159" s="401">
        <f>SUMIF('1) Tableau budgétaire 1_Révisé'!$V$478:$V$503,LEFT($R159,1),'1) Tableau budgétaire 1_Révisé'!$P$478:$P$503)</f>
        <v>0</v>
      </c>
      <c r="U159" s="401">
        <f>SUMIF('1) Tableau budgétaire 1_Révisé'!$K$478:$K$503,LEFT($C159,1),'1) Tableau budgétaire 1_Révisé'!$F$478:$F$503)</f>
        <v>0</v>
      </c>
      <c r="V159" s="41">
        <f t="shared" si="103"/>
        <v>31000</v>
      </c>
    </row>
    <row r="160" spans="3:22" x14ac:dyDescent="0.35">
      <c r="C160" s="33" t="s">
        <v>49</v>
      </c>
      <c r="D160" s="401">
        <f>SUMIF('1) Tableau budgétaire 1 initial'!$K$385:$K$410,LEFT($C160,1),'1) Tableau budgétaire 1 initial'!$D$385:$D$410)</f>
        <v>3900</v>
      </c>
      <c r="E160" s="401">
        <f>SUMIF('1) Tableau budgétaire 1 initial'!$K$385:$K$410,LEFT($C160,1),'1) Tableau budgétaire 1 initial'!$E$385:$E$410)</f>
        <v>0</v>
      </c>
      <c r="F160" s="401">
        <f>SUMIF('1) Tableau budgétaire 1 initial'!$K$385:$K$410,LEFT($C160,1),'1) Tableau budgétaire 1 initial'!$F$385:$F$410)</f>
        <v>0</v>
      </c>
      <c r="G160" s="41">
        <f t="shared" si="100"/>
        <v>3900</v>
      </c>
      <c r="H160" s="397"/>
      <c r="I160" s="397"/>
      <c r="J160" s="33" t="s">
        <v>49</v>
      </c>
      <c r="K160" s="401">
        <f>SUMIF('1) Tableau budgétaire 1_Révisé'!$K$478:$K$503,LEFT($C160,1),'1) Tableau budgétaire 1_Révisé'!$D$478:$D$503)</f>
        <v>3900</v>
      </c>
      <c r="L160" s="401">
        <f>SUMIF('1) Tableau budgétaire 1_Révisé'!$K$478:$K$503,LEFT($C160,1),'1) Tableau budgétaire 1_Révisé'!$E$478:$E$503)</f>
        <v>0</v>
      </c>
      <c r="M160" s="401">
        <f>SUMIF('1) Tableau budgétaire 1_Révisé'!$K$478:$K$503,LEFT($C160,1),'1) Tableau budgétaire 1_Révisé'!$F$478:$F$503)</f>
        <v>0</v>
      </c>
      <c r="N160" s="41">
        <f t="shared" si="101"/>
        <v>3900</v>
      </c>
      <c r="O160" s="402"/>
      <c r="P160" s="397"/>
      <c r="Q160" s="397"/>
      <c r="R160" s="33" t="s">
        <v>49</v>
      </c>
      <c r="S160" s="401">
        <f>SUMIF('1) Tableau budgétaire 1_Révisé'!$V$478:$V$503,LEFT($R160,1),'1) Tableau budgétaire 1_Révisé'!$O$478:$O$503)</f>
        <v>3900</v>
      </c>
      <c r="T160" s="401">
        <f>SUMIF('1) Tableau budgétaire 1_Révisé'!$V$478:$V$503,LEFT($R160,1),'1) Tableau budgétaire 1_Révisé'!$P$478:$P$503)</f>
        <v>0</v>
      </c>
      <c r="U160" s="401">
        <f>SUMIF('1) Tableau budgétaire 1_Révisé'!$K$478:$K$503,LEFT($C160,1),'1) Tableau budgétaire 1_Révisé'!$F$478:$F$503)</f>
        <v>0</v>
      </c>
      <c r="V160" s="41">
        <f t="shared" si="103"/>
        <v>3900</v>
      </c>
    </row>
    <row r="161" spans="3:22" x14ac:dyDescent="0.35">
      <c r="C161" s="33" t="s">
        <v>50</v>
      </c>
      <c r="D161" s="401">
        <f>SUMIF('1) Tableau budgétaire 1 initial'!$K$385:$K$410,LEFT($C161,1),'1) Tableau budgétaire 1 initial'!$D$385:$D$410)</f>
        <v>0</v>
      </c>
      <c r="E161" s="401">
        <f>SUMIF('1) Tableau budgétaire 1 initial'!$K$385:$K$410,LEFT($C161,1),'1) Tableau budgétaire 1 initial'!$E$385:$E$410)</f>
        <v>0</v>
      </c>
      <c r="F161" s="401">
        <f>SUMIF('1) Tableau budgétaire 1 initial'!$K$385:$K$410,LEFT($C161,1),'1) Tableau budgétaire 1 initial'!$F$385:$F$410)</f>
        <v>0</v>
      </c>
      <c r="G161" s="41">
        <f t="shared" si="100"/>
        <v>0</v>
      </c>
      <c r="H161" s="397"/>
      <c r="I161" s="397"/>
      <c r="J161" s="33" t="s">
        <v>50</v>
      </c>
      <c r="K161" s="401">
        <f>SUMIF('1) Tableau budgétaire 1_Révisé'!$K$478:$K$503,LEFT($C161,1),'1) Tableau budgétaire 1_Révisé'!$D$478:$D$503)</f>
        <v>0</v>
      </c>
      <c r="L161" s="401">
        <f>SUMIF('1) Tableau budgétaire 1_Révisé'!$K$478:$K$503,LEFT($C161,1),'1) Tableau budgétaire 1_Révisé'!$E$478:$E$503)</f>
        <v>0</v>
      </c>
      <c r="M161" s="401">
        <f>SUMIF('1) Tableau budgétaire 1_Révisé'!$K$478:$K$503,LEFT($C161,1),'1) Tableau budgétaire 1_Révisé'!$F$478:$F$503)</f>
        <v>0</v>
      </c>
      <c r="N161" s="41">
        <f t="shared" si="101"/>
        <v>0</v>
      </c>
      <c r="O161" s="402"/>
      <c r="P161" s="397"/>
      <c r="Q161" s="397"/>
      <c r="R161" s="33" t="s">
        <v>50</v>
      </c>
      <c r="S161" s="401">
        <f>SUMIF('1) Tableau budgétaire 1_Révisé'!$V$478:$V$503,LEFT($R161,1),'1) Tableau budgétaire 1_Révisé'!$O$478:$O$503)</f>
        <v>0</v>
      </c>
      <c r="T161" s="401">
        <f>SUMIF('1) Tableau budgétaire 1_Révisé'!$V$478:$V$503,LEFT($R161,1),'1) Tableau budgétaire 1_Révisé'!$P$478:$P$503)</f>
        <v>0</v>
      </c>
      <c r="U161" s="401">
        <f>SUMIF('1) Tableau budgétaire 1_Révisé'!$K$478:$K$503,LEFT($C161,1),'1) Tableau budgétaire 1_Révisé'!$F$478:$F$503)</f>
        <v>0</v>
      </c>
      <c r="V161" s="41">
        <f t="shared" si="103"/>
        <v>0</v>
      </c>
    </row>
    <row r="162" spans="3:22" ht="15.75" customHeight="1" x14ac:dyDescent="0.35">
      <c r="C162" s="33" t="s">
        <v>51</v>
      </c>
      <c r="D162" s="401">
        <f>SUMIF('1) Tableau budgétaire 1 initial'!$K$385:$K$410,LEFT($C162,1),'1) Tableau budgétaire 1 initial'!$D$385:$D$410)</f>
        <v>36289.72</v>
      </c>
      <c r="E162" s="401">
        <f>SUMIF('1) Tableau budgétaire 1 initial'!$K$385:$K$410,LEFT($C162,1),'1) Tableau budgétaire 1 initial'!$E$385:$E$410)</f>
        <v>0</v>
      </c>
      <c r="F162" s="401">
        <f>SUMIF('1) Tableau budgétaire 1 initial'!$K$385:$K$410,LEFT($C162,1),'1) Tableau budgétaire 1 initial'!$F$385:$F$410)</f>
        <v>0</v>
      </c>
      <c r="G162" s="41">
        <f t="shared" si="100"/>
        <v>36289.72</v>
      </c>
      <c r="H162" s="397"/>
      <c r="I162" s="397"/>
      <c r="J162" s="33" t="s">
        <v>51</v>
      </c>
      <c r="K162" s="401">
        <f>SUMIF('1) Tableau budgétaire 1_Révisé'!$K$478:$K$503,LEFT($C162,1),'1) Tableau budgétaire 1_Révisé'!$D$478:$D$503)</f>
        <v>36289.72</v>
      </c>
      <c r="L162" s="401">
        <f>SUMIF('1) Tableau budgétaire 1_Révisé'!$K$478:$K$503,LEFT($C162,1),'1) Tableau budgétaire 1_Révisé'!$E$478:$E$503)</f>
        <v>0</v>
      </c>
      <c r="M162" s="401">
        <f>SUMIF('1) Tableau budgétaire 1_Révisé'!$K$478:$K$503,LEFT($C162,1),'1) Tableau budgétaire 1_Révisé'!$F$478:$F$503)</f>
        <v>0</v>
      </c>
      <c r="N162" s="41">
        <f t="shared" si="101"/>
        <v>36289.72</v>
      </c>
      <c r="O162" s="402"/>
      <c r="P162" s="397"/>
      <c r="Q162" s="397"/>
      <c r="R162" s="33" t="s">
        <v>51</v>
      </c>
      <c r="S162" s="401">
        <f>SUMIF('1) Tableau budgétaire 1_Révisé'!$V$478:$V$503,LEFT($R162,1),'1) Tableau budgétaire 1_Révisé'!$O$478:$O$503)</f>
        <v>36289.72</v>
      </c>
      <c r="T162" s="401">
        <f>SUMIF('1) Tableau budgétaire 1_Révisé'!$V$478:$V$503,LEFT($R162,1),'1) Tableau budgétaire 1_Révisé'!$P$478:$P$503)</f>
        <v>0</v>
      </c>
      <c r="U162" s="401">
        <f>SUMIF('1) Tableau budgétaire 1_Révisé'!$K$478:$K$503,LEFT($C162,1),'1) Tableau budgétaire 1_Révisé'!$F$478:$F$503)</f>
        <v>0</v>
      </c>
      <c r="V162" s="41">
        <f t="shared" si="103"/>
        <v>36289.72</v>
      </c>
    </row>
    <row r="163" spans="3:22" ht="15.75" customHeight="1" x14ac:dyDescent="0.35">
      <c r="C163" s="38" t="s">
        <v>497</v>
      </c>
      <c r="D163" s="47">
        <f t="shared" ref="D163:E163" si="104">SUM(D156:D162)</f>
        <v>78689.72</v>
      </c>
      <c r="E163" s="47">
        <f t="shared" si="104"/>
        <v>0</v>
      </c>
      <c r="F163" s="47">
        <f t="shared" ref="F163" si="105">SUM(F156:F162)</f>
        <v>0</v>
      </c>
      <c r="G163" s="41">
        <f>SUM(D163:F163)</f>
        <v>78689.72</v>
      </c>
      <c r="H163" s="397"/>
      <c r="I163" s="397"/>
      <c r="J163" s="38" t="s">
        <v>497</v>
      </c>
      <c r="K163" s="47">
        <f t="shared" ref="K163:L163" si="106">SUM(K156:K162)</f>
        <v>78689.72</v>
      </c>
      <c r="L163" s="47">
        <f t="shared" si="106"/>
        <v>0</v>
      </c>
      <c r="M163" s="47">
        <f t="shared" ref="M163" si="107">SUM(M156:M162)</f>
        <v>0</v>
      </c>
      <c r="N163" s="41">
        <f>SUM(K163:M163)</f>
        <v>78689.72</v>
      </c>
      <c r="O163" s="402"/>
      <c r="P163" s="397"/>
      <c r="Q163" s="397"/>
      <c r="R163" s="38" t="s">
        <v>497</v>
      </c>
      <c r="S163" s="47">
        <f t="shared" ref="S163:U163" si="108">SUM(S156:S162)</f>
        <v>78689.72</v>
      </c>
      <c r="T163" s="47">
        <f t="shared" si="108"/>
        <v>0</v>
      </c>
      <c r="U163" s="47">
        <f t="shared" si="108"/>
        <v>0</v>
      </c>
      <c r="V163" s="41">
        <f>SUM(S163:U163)</f>
        <v>78689.72</v>
      </c>
    </row>
    <row r="164" spans="3:22" s="37" customFormat="1" ht="15.75" customHeight="1" x14ac:dyDescent="0.35">
      <c r="C164" s="48"/>
      <c r="D164" s="49"/>
      <c r="E164" s="49"/>
      <c r="F164" s="49"/>
      <c r="G164" s="50"/>
      <c r="H164" s="398"/>
      <c r="I164" s="398"/>
      <c r="J164" s="48"/>
      <c r="K164" s="49"/>
      <c r="L164" s="49"/>
      <c r="M164" s="49"/>
      <c r="N164" s="50"/>
      <c r="O164" s="402"/>
      <c r="P164" s="398"/>
      <c r="Q164" s="398"/>
      <c r="R164" s="48"/>
      <c r="S164" s="49"/>
      <c r="T164" s="49"/>
      <c r="U164" s="49"/>
      <c r="V164" s="50"/>
    </row>
    <row r="165" spans="3:22" ht="15.75" customHeight="1" x14ac:dyDescent="0.35">
      <c r="C165" s="669" t="s">
        <v>378</v>
      </c>
      <c r="D165" s="670"/>
      <c r="E165" s="670"/>
      <c r="F165" s="670"/>
      <c r="G165" s="671"/>
      <c r="H165" s="397"/>
      <c r="I165" s="397"/>
      <c r="J165" s="669" t="s">
        <v>378</v>
      </c>
      <c r="K165" s="670"/>
      <c r="L165" s="670"/>
      <c r="M165" s="670"/>
      <c r="N165" s="671"/>
      <c r="O165" s="402"/>
      <c r="P165" s="397"/>
      <c r="Q165" s="397"/>
      <c r="R165" s="669" t="s">
        <v>378</v>
      </c>
      <c r="S165" s="670"/>
      <c r="T165" s="670"/>
      <c r="U165" s="670"/>
      <c r="V165" s="671"/>
    </row>
    <row r="166" spans="3:22" ht="22.5" customHeight="1" thickBot="1" x14ac:dyDescent="0.4">
      <c r="C166" s="44" t="s">
        <v>517</v>
      </c>
      <c r="D166" s="45">
        <f>'1) Tableau budgétaire 1 initial'!D423</f>
        <v>0</v>
      </c>
      <c r="E166" s="45">
        <f>'1) Tableau budgétaire 1 initial'!E423</f>
        <v>0</v>
      </c>
      <c r="F166" s="45">
        <f>'1) Tableau budgétaire 1 initial'!F423</f>
        <v>0</v>
      </c>
      <c r="G166" s="46">
        <f t="shared" ref="G166:G174" si="109">SUM(D166:F166)</f>
        <v>0</v>
      </c>
      <c r="H166" s="397"/>
      <c r="I166" s="397"/>
      <c r="J166" s="44" t="s">
        <v>517</v>
      </c>
      <c r="K166" s="45">
        <f>'1) Tableau budgétaire 1_Révisé'!D516</f>
        <v>0</v>
      </c>
      <c r="L166" s="45">
        <f>'1) Tableau budgétaire 1_Révisé'!E516</f>
        <v>0</v>
      </c>
      <c r="M166" s="45">
        <f>'1) Tableau budgétaire 1_Révisé'!F516</f>
        <v>0</v>
      </c>
      <c r="N166" s="46">
        <f t="shared" ref="N166:N174" si="110">SUM(K166:M166)</f>
        <v>0</v>
      </c>
      <c r="O166" s="402"/>
      <c r="P166" s="397"/>
      <c r="Q166" s="397"/>
      <c r="R166" s="44" t="s">
        <v>517</v>
      </c>
      <c r="S166" s="45">
        <f t="shared" ref="S166:U166" si="111">SUM(S167:S173)</f>
        <v>0</v>
      </c>
      <c r="T166" s="45">
        <f t="shared" si="111"/>
        <v>0</v>
      </c>
      <c r="U166" s="45">
        <f t="shared" si="111"/>
        <v>0</v>
      </c>
      <c r="V166" s="46">
        <f t="shared" ref="V166:V174" si="112">SUM(S166:U166)</f>
        <v>0</v>
      </c>
    </row>
    <row r="167" spans="3:22" x14ac:dyDescent="0.35">
      <c r="C167" s="42" t="s">
        <v>45</v>
      </c>
      <c r="D167" s="401">
        <f>SUMIF('1) Tableau budgétaire 1 initial'!$K$413:$K$422,LEFT($C167,1),'1) Tableau budgétaire 1 initial'!$D$413:$D$422)</f>
        <v>0</v>
      </c>
      <c r="E167" s="401">
        <f>SUMIF('1) Tableau budgétaire 1 initial'!$K$413:$K$422,LEFT($C167,1),'1) Tableau budgétaire 1 initial'!$E$413:$E$422)</f>
        <v>0</v>
      </c>
      <c r="F167" s="401">
        <f>SUMIF('1) Tableau budgétaire 1 initial'!$K$413:$K$422,LEFT($C167,1),'1) Tableau budgétaire 1 initial'!$F$413:$F$422)</f>
        <v>0</v>
      </c>
      <c r="G167" s="43">
        <f t="shared" si="109"/>
        <v>0</v>
      </c>
      <c r="H167" s="397"/>
      <c r="I167" s="397"/>
      <c r="J167" s="42" t="s">
        <v>45</v>
      </c>
      <c r="K167" s="401">
        <f>SUMIF('1) Tableau budgétaire 1_Révisé'!$K$506:$K$515,LEFT($C167,1),'1) Tableau budgétaire 1_Révisé'!$D$506:$D$515)</f>
        <v>0</v>
      </c>
      <c r="L167" s="401">
        <f>SUMIF('1) Tableau budgétaire 1_Révisé'!$K$506:$K$515,LEFT($C167,1),'1) Tableau budgétaire 1_Révisé'!$E$506:$E$515)</f>
        <v>0</v>
      </c>
      <c r="M167" s="401">
        <f>SUMIF('1) Tableau budgétaire 1_Révisé'!$K$506:$K$515,LEFT($C167,1),'1) Tableau budgétaire 1_Révisé'!$F$506:$F$515)</f>
        <v>0</v>
      </c>
      <c r="N167" s="43">
        <f t="shared" si="110"/>
        <v>0</v>
      </c>
      <c r="O167" s="402"/>
      <c r="P167" s="397"/>
      <c r="Q167" s="397"/>
      <c r="R167" s="42" t="s">
        <v>45</v>
      </c>
      <c r="S167" s="401">
        <f>SUMIF('1) Tableau budgétaire 1_Révisé'!$V$506:$V$515,LEFT($R167,1),'1) Tableau budgétaire 1_Révisé'!$O$506:$O$515)</f>
        <v>0</v>
      </c>
      <c r="T167" s="401">
        <f>SUMIF('1) Tableau budgétaire 1_Révisé'!$V$506:$V$515,LEFT($R167,1),'1) Tableau budgétaire 1_Révisé'!$P$506:$P$515)</f>
        <v>0</v>
      </c>
      <c r="U167" s="401">
        <f>SUMIF('1) Tableau budgétaire 1_Révisé'!$K$506:$K$515,LEFT($C167,1),'1) Tableau budgétaire 1_Révisé'!$F$506:$F$515)</f>
        <v>0</v>
      </c>
      <c r="V167" s="43">
        <f t="shared" si="112"/>
        <v>0</v>
      </c>
    </row>
    <row r="168" spans="3:22" x14ac:dyDescent="0.35">
      <c r="C168" s="33" t="s">
        <v>46</v>
      </c>
      <c r="D168" s="401">
        <f>SUMIF('1) Tableau budgétaire 1 initial'!$K$413:$K$422,LEFT($C168,1),'1) Tableau budgétaire 1 initial'!$D$413:$D$422)</f>
        <v>0</v>
      </c>
      <c r="E168" s="401">
        <f>SUMIF('1) Tableau budgétaire 1 initial'!$K$413:$K$422,LEFT($C168,1),'1) Tableau budgétaire 1 initial'!$E$413:$E$422)</f>
        <v>0</v>
      </c>
      <c r="F168" s="401">
        <f>SUMIF('1) Tableau budgétaire 1 initial'!$K$413:$K$422,LEFT($C168,1),'1) Tableau budgétaire 1 initial'!$F$413:$F$422)</f>
        <v>0</v>
      </c>
      <c r="G168" s="41">
        <f t="shared" si="109"/>
        <v>0</v>
      </c>
      <c r="H168" s="397"/>
      <c r="I168" s="397"/>
      <c r="J168" s="33" t="s">
        <v>46</v>
      </c>
      <c r="K168" s="401">
        <f>SUMIF('1) Tableau budgétaire 1_Révisé'!$K$506:$K$515,LEFT($C168,1),'1) Tableau budgétaire 1_Révisé'!$D$506:$D$515)</f>
        <v>0</v>
      </c>
      <c r="L168" s="401">
        <f>SUMIF('1) Tableau budgétaire 1_Révisé'!$K$506:$K$515,LEFT($C168,1),'1) Tableau budgétaire 1_Révisé'!$E$506:$E$515)</f>
        <v>0</v>
      </c>
      <c r="M168" s="401">
        <f>SUMIF('1) Tableau budgétaire 1_Révisé'!$K$506:$K$515,LEFT($C168,1),'1) Tableau budgétaire 1_Révisé'!$F$506:$F$515)</f>
        <v>0</v>
      </c>
      <c r="N168" s="41">
        <f t="shared" si="110"/>
        <v>0</v>
      </c>
      <c r="O168" s="402"/>
      <c r="P168" s="397"/>
      <c r="Q168" s="397"/>
      <c r="R168" s="33" t="s">
        <v>46</v>
      </c>
      <c r="S168" s="401">
        <f>SUMIF('1) Tableau budgétaire 1_Révisé'!$V$506:$V$515,LEFT($R168,1),'1) Tableau budgétaire 1_Révisé'!$O$506:$O$515)</f>
        <v>0</v>
      </c>
      <c r="T168" s="401">
        <f>SUMIF('1) Tableau budgétaire 1_Révisé'!$V$506:$V$515,LEFT($R168,1),'1) Tableau budgétaire 1_Révisé'!$P$506:$P$515)</f>
        <v>0</v>
      </c>
      <c r="U168" s="401">
        <f>SUMIF('1) Tableau budgétaire 1_Révisé'!$K$506:$K$515,LEFT($C168,1),'1) Tableau budgétaire 1_Révisé'!$F$506:$F$515)</f>
        <v>0</v>
      </c>
      <c r="V168" s="41">
        <f t="shared" si="112"/>
        <v>0</v>
      </c>
    </row>
    <row r="169" spans="3:22" ht="31" x14ac:dyDescent="0.35">
      <c r="C169" s="33" t="s">
        <v>47</v>
      </c>
      <c r="D169" s="401">
        <f>SUMIF('1) Tableau budgétaire 1 initial'!$K$413:$K$422,LEFT($C169,1),'1) Tableau budgétaire 1 initial'!$D$413:$D$422)</f>
        <v>0</v>
      </c>
      <c r="E169" s="401">
        <f>SUMIF('1) Tableau budgétaire 1 initial'!$K$413:$K$422,LEFT($C169,1),'1) Tableau budgétaire 1 initial'!$E$413:$E$422)</f>
        <v>0</v>
      </c>
      <c r="F169" s="401">
        <f>SUMIF('1) Tableau budgétaire 1 initial'!$K$413:$K$422,LEFT($C169,1),'1) Tableau budgétaire 1 initial'!$F$413:$F$422)</f>
        <v>0</v>
      </c>
      <c r="G169" s="41">
        <f t="shared" si="109"/>
        <v>0</v>
      </c>
      <c r="H169" s="397"/>
      <c r="I169" s="397"/>
      <c r="J169" s="33" t="s">
        <v>47</v>
      </c>
      <c r="K169" s="401">
        <f>SUMIF('1) Tableau budgétaire 1_Révisé'!$K$506:$K$515,LEFT($C169,1),'1) Tableau budgétaire 1_Révisé'!$D$506:$D$515)</f>
        <v>0</v>
      </c>
      <c r="L169" s="401">
        <f>SUMIF('1) Tableau budgétaire 1_Révisé'!$K$506:$K$515,LEFT($C169,1),'1) Tableau budgétaire 1_Révisé'!$E$506:$E$515)</f>
        <v>0</v>
      </c>
      <c r="M169" s="401">
        <f>SUMIF('1) Tableau budgétaire 1_Révisé'!$K$506:$K$515,LEFT($C169,1),'1) Tableau budgétaire 1_Révisé'!$F$506:$F$515)</f>
        <v>0</v>
      </c>
      <c r="N169" s="41">
        <f t="shared" si="110"/>
        <v>0</v>
      </c>
      <c r="O169" s="402"/>
      <c r="P169" s="397"/>
      <c r="Q169" s="397"/>
      <c r="R169" s="33" t="s">
        <v>47</v>
      </c>
      <c r="S169" s="401">
        <f>SUMIF('1) Tableau budgétaire 1_Révisé'!$V$506:$V$515,LEFT($R169,1),'1) Tableau budgétaire 1_Révisé'!$O$506:$O$515)</f>
        <v>0</v>
      </c>
      <c r="T169" s="401">
        <f>SUMIF('1) Tableau budgétaire 1_Révisé'!$V$506:$V$515,LEFT($R169,1),'1) Tableau budgétaire 1_Révisé'!$P$506:$P$515)</f>
        <v>0</v>
      </c>
      <c r="U169" s="401">
        <f>SUMIF('1) Tableau budgétaire 1_Révisé'!$K$506:$K$515,LEFT($C169,1),'1) Tableau budgétaire 1_Révisé'!$F$506:$F$515)</f>
        <v>0</v>
      </c>
      <c r="V169" s="41">
        <f t="shared" si="112"/>
        <v>0</v>
      </c>
    </row>
    <row r="170" spans="3:22" ht="15.75" customHeight="1" x14ac:dyDescent="0.35">
      <c r="C170" s="34" t="s">
        <v>48</v>
      </c>
      <c r="D170" s="401">
        <f>SUMIF('1) Tableau budgétaire 1 initial'!$K$413:$K$422,LEFT($C170,1),'1) Tableau budgétaire 1 initial'!$D$413:$D$422)</f>
        <v>0</v>
      </c>
      <c r="E170" s="401">
        <f>SUMIF('1) Tableau budgétaire 1 initial'!$K$413:$K$422,LEFT($C170,1),'1) Tableau budgétaire 1 initial'!$E$413:$E$422)</f>
        <v>0</v>
      </c>
      <c r="F170" s="401">
        <f>SUMIF('1) Tableau budgétaire 1 initial'!$K$413:$K$422,LEFT($C170,1),'1) Tableau budgétaire 1 initial'!$F$413:$F$422)</f>
        <v>0</v>
      </c>
      <c r="G170" s="41">
        <f t="shared" si="109"/>
        <v>0</v>
      </c>
      <c r="H170" s="397"/>
      <c r="I170" s="397"/>
      <c r="J170" s="34" t="s">
        <v>48</v>
      </c>
      <c r="K170" s="401">
        <f>SUMIF('1) Tableau budgétaire 1_Révisé'!$K$506:$K$515,LEFT($C170,1),'1) Tableau budgétaire 1_Révisé'!$D$506:$D$515)</f>
        <v>0</v>
      </c>
      <c r="L170" s="401">
        <f>SUMIF('1) Tableau budgétaire 1_Révisé'!$K$506:$K$515,LEFT($C170,1),'1) Tableau budgétaire 1_Révisé'!$E$506:$E$515)</f>
        <v>0</v>
      </c>
      <c r="M170" s="401">
        <f>SUMIF('1) Tableau budgétaire 1_Révisé'!$K$506:$K$515,LEFT($C170,1),'1) Tableau budgétaire 1_Révisé'!$F$506:$F$515)</f>
        <v>0</v>
      </c>
      <c r="N170" s="41">
        <f t="shared" si="110"/>
        <v>0</v>
      </c>
      <c r="O170" s="402"/>
      <c r="P170" s="397"/>
      <c r="Q170" s="397"/>
      <c r="R170" s="34" t="s">
        <v>48</v>
      </c>
      <c r="S170" s="401">
        <f>SUMIF('1) Tableau budgétaire 1_Révisé'!$V$506:$V$515,LEFT($R170,1),'1) Tableau budgétaire 1_Révisé'!$O$506:$O$515)</f>
        <v>0</v>
      </c>
      <c r="T170" s="401">
        <f>SUMIF('1) Tableau budgétaire 1_Révisé'!$V$506:$V$515,LEFT($R170,1),'1) Tableau budgétaire 1_Révisé'!$P$506:$P$515)</f>
        <v>0</v>
      </c>
      <c r="U170" s="401">
        <f>SUMIF('1) Tableau budgétaire 1_Révisé'!$K$506:$K$515,LEFT($C170,1),'1) Tableau budgétaire 1_Révisé'!$F$506:$F$515)</f>
        <v>0</v>
      </c>
      <c r="V170" s="41">
        <f t="shared" si="112"/>
        <v>0</v>
      </c>
    </row>
    <row r="171" spans="3:22" x14ac:dyDescent="0.35">
      <c r="C171" s="33" t="s">
        <v>49</v>
      </c>
      <c r="D171" s="401">
        <f>SUMIF('1) Tableau budgétaire 1 initial'!$K$413:$K$422,LEFT($C171,1),'1) Tableau budgétaire 1 initial'!$D$413:$D$422)</f>
        <v>0</v>
      </c>
      <c r="E171" s="401">
        <f>SUMIF('1) Tableau budgétaire 1 initial'!$K$413:$K$422,LEFT($C171,1),'1) Tableau budgétaire 1 initial'!$E$413:$E$422)</f>
        <v>0</v>
      </c>
      <c r="F171" s="401">
        <f>SUMIF('1) Tableau budgétaire 1 initial'!$K$413:$K$422,LEFT($C171,1),'1) Tableau budgétaire 1 initial'!$F$413:$F$422)</f>
        <v>0</v>
      </c>
      <c r="G171" s="41">
        <f t="shared" si="109"/>
        <v>0</v>
      </c>
      <c r="H171" s="397"/>
      <c r="I171" s="397"/>
      <c r="J171" s="33" t="s">
        <v>49</v>
      </c>
      <c r="K171" s="401">
        <f>SUMIF('1) Tableau budgétaire 1_Révisé'!$K$506:$K$515,LEFT($C171,1),'1) Tableau budgétaire 1_Révisé'!$D$506:$D$515)</f>
        <v>0</v>
      </c>
      <c r="L171" s="401">
        <f>SUMIF('1) Tableau budgétaire 1_Révisé'!$K$506:$K$515,LEFT($C171,1),'1) Tableau budgétaire 1_Révisé'!$E$506:$E$515)</f>
        <v>0</v>
      </c>
      <c r="M171" s="401">
        <f>SUMIF('1) Tableau budgétaire 1_Révisé'!$K$506:$K$515,LEFT($C171,1),'1) Tableau budgétaire 1_Révisé'!$F$506:$F$515)</f>
        <v>0</v>
      </c>
      <c r="N171" s="41">
        <f t="shared" si="110"/>
        <v>0</v>
      </c>
      <c r="O171" s="402"/>
      <c r="P171" s="397"/>
      <c r="Q171" s="397"/>
      <c r="R171" s="33" t="s">
        <v>49</v>
      </c>
      <c r="S171" s="401">
        <f>SUMIF('1) Tableau budgétaire 1_Révisé'!$V$506:$V$515,LEFT($R171,1),'1) Tableau budgétaire 1_Révisé'!$O$506:$O$515)</f>
        <v>0</v>
      </c>
      <c r="T171" s="401">
        <f>SUMIF('1) Tableau budgétaire 1_Révisé'!$V$506:$V$515,LEFT($R171,1),'1) Tableau budgétaire 1_Révisé'!$P$506:$P$515)</f>
        <v>0</v>
      </c>
      <c r="U171" s="401">
        <f>SUMIF('1) Tableau budgétaire 1_Révisé'!$K$506:$K$515,LEFT($C171,1),'1) Tableau budgétaire 1_Révisé'!$F$506:$F$515)</f>
        <v>0</v>
      </c>
      <c r="V171" s="41">
        <f t="shared" si="112"/>
        <v>0</v>
      </c>
    </row>
    <row r="172" spans="3:22" x14ac:dyDescent="0.35">
      <c r="C172" s="33" t="s">
        <v>50</v>
      </c>
      <c r="D172" s="401">
        <f>SUMIF('1) Tableau budgétaire 1 initial'!$K$413:$K$422,LEFT($C172,1),'1) Tableau budgétaire 1 initial'!$D$413:$D$422)</f>
        <v>0</v>
      </c>
      <c r="E172" s="401">
        <f>SUMIF('1) Tableau budgétaire 1 initial'!$K$413:$K$422,LEFT($C172,1),'1) Tableau budgétaire 1 initial'!$E$413:$E$422)</f>
        <v>0</v>
      </c>
      <c r="F172" s="401">
        <f>SUMIF('1) Tableau budgétaire 1 initial'!$K$413:$K$422,LEFT($C172,1),'1) Tableau budgétaire 1 initial'!$F$413:$F$422)</f>
        <v>0</v>
      </c>
      <c r="G172" s="41">
        <f t="shared" si="109"/>
        <v>0</v>
      </c>
      <c r="H172" s="397"/>
      <c r="I172" s="397"/>
      <c r="J172" s="33" t="s">
        <v>50</v>
      </c>
      <c r="K172" s="401">
        <f>SUMIF('1) Tableau budgétaire 1_Révisé'!$K$506:$K$515,LEFT($C172,1),'1) Tableau budgétaire 1_Révisé'!$D$506:$D$515)</f>
        <v>0</v>
      </c>
      <c r="L172" s="401">
        <f>SUMIF('1) Tableau budgétaire 1_Révisé'!$K$506:$K$515,LEFT($C172,1),'1) Tableau budgétaire 1_Révisé'!$E$506:$E$515)</f>
        <v>0</v>
      </c>
      <c r="M172" s="401">
        <f>SUMIF('1) Tableau budgétaire 1_Révisé'!$K$506:$K$515,LEFT($C172,1),'1) Tableau budgétaire 1_Révisé'!$F$506:$F$515)</f>
        <v>0</v>
      </c>
      <c r="N172" s="41">
        <f t="shared" si="110"/>
        <v>0</v>
      </c>
      <c r="O172" s="402"/>
      <c r="P172" s="397"/>
      <c r="Q172" s="397"/>
      <c r="R172" s="33" t="s">
        <v>50</v>
      </c>
      <c r="S172" s="401">
        <f>SUMIF('1) Tableau budgétaire 1_Révisé'!$V$506:$V$515,LEFT($R172,1),'1) Tableau budgétaire 1_Révisé'!$O$506:$O$515)</f>
        <v>0</v>
      </c>
      <c r="T172" s="401">
        <f>SUMIF('1) Tableau budgétaire 1_Révisé'!$V$506:$V$515,LEFT($R172,1),'1) Tableau budgétaire 1_Révisé'!$P$506:$P$515)</f>
        <v>0</v>
      </c>
      <c r="U172" s="401">
        <f>SUMIF('1) Tableau budgétaire 1_Révisé'!$K$506:$K$515,LEFT($C172,1),'1) Tableau budgétaire 1_Révisé'!$F$506:$F$515)</f>
        <v>0</v>
      </c>
      <c r="V172" s="41">
        <f t="shared" si="112"/>
        <v>0</v>
      </c>
    </row>
    <row r="173" spans="3:22" ht="31" x14ac:dyDescent="0.35">
      <c r="C173" s="33" t="s">
        <v>51</v>
      </c>
      <c r="D173" s="401">
        <f>SUMIF('1) Tableau budgétaire 1 initial'!$K$413:$K$422,LEFT($C173,1),'1) Tableau budgétaire 1 initial'!$D$413:$D$422)</f>
        <v>0</v>
      </c>
      <c r="E173" s="401">
        <f>SUMIF('1) Tableau budgétaire 1 initial'!$K$413:$K$422,LEFT($C173,1),'1) Tableau budgétaire 1 initial'!$E$413:$E$422)</f>
        <v>0</v>
      </c>
      <c r="F173" s="401">
        <f>SUMIF('1) Tableau budgétaire 1 initial'!$K$413:$K$422,LEFT($C173,1),'1) Tableau budgétaire 1 initial'!$F$413:$F$422)</f>
        <v>0</v>
      </c>
      <c r="G173" s="41">
        <f t="shared" si="109"/>
        <v>0</v>
      </c>
      <c r="H173" s="397"/>
      <c r="I173" s="397"/>
      <c r="J173" s="33" t="s">
        <v>51</v>
      </c>
      <c r="K173" s="401">
        <f>SUMIF('1) Tableau budgétaire 1_Révisé'!$K$506:$K$515,LEFT($C173,1),'1) Tableau budgétaire 1_Révisé'!$D$506:$D$515)</f>
        <v>0</v>
      </c>
      <c r="L173" s="401">
        <f>SUMIF('1) Tableau budgétaire 1_Révisé'!$K$506:$K$515,LEFT($C173,1),'1) Tableau budgétaire 1_Révisé'!$E$506:$E$515)</f>
        <v>0</v>
      </c>
      <c r="M173" s="401">
        <f>SUMIF('1) Tableau budgétaire 1_Révisé'!$K$506:$K$515,LEFT($C173,1),'1) Tableau budgétaire 1_Révisé'!$F$506:$F$515)</f>
        <v>0</v>
      </c>
      <c r="N173" s="41">
        <f t="shared" si="110"/>
        <v>0</v>
      </c>
      <c r="O173" s="402"/>
      <c r="P173" s="397"/>
      <c r="Q173" s="397"/>
      <c r="R173" s="33" t="s">
        <v>51</v>
      </c>
      <c r="S173" s="401">
        <f>SUMIF('1) Tableau budgétaire 1_Révisé'!$V$506:$V$515,LEFT($R173,1),'1) Tableau budgétaire 1_Révisé'!$O$506:$O$515)</f>
        <v>0</v>
      </c>
      <c r="T173" s="401">
        <f>SUMIF('1) Tableau budgétaire 1_Révisé'!$V$506:$V$515,LEFT($R173,1),'1) Tableau budgétaire 1_Révisé'!$P$506:$P$515)</f>
        <v>0</v>
      </c>
      <c r="U173" s="401">
        <f>SUMIF('1) Tableau budgétaire 1_Révisé'!$K$506:$K$515,LEFT($C173,1),'1) Tableau budgétaire 1_Révisé'!$F$506:$F$515)</f>
        <v>0</v>
      </c>
      <c r="V173" s="41">
        <f t="shared" si="112"/>
        <v>0</v>
      </c>
    </row>
    <row r="174" spans="3:22" ht="15.75" customHeight="1" x14ac:dyDescent="0.35">
      <c r="C174" s="38" t="s">
        <v>497</v>
      </c>
      <c r="D174" s="47">
        <f t="shared" ref="D174:E174" si="113">SUM(D167:D173)</f>
        <v>0</v>
      </c>
      <c r="E174" s="47">
        <f t="shared" si="113"/>
        <v>0</v>
      </c>
      <c r="F174" s="47">
        <f t="shared" ref="F174" si="114">SUM(F167:F173)</f>
        <v>0</v>
      </c>
      <c r="G174" s="41">
        <f t="shared" si="109"/>
        <v>0</v>
      </c>
      <c r="H174" s="397"/>
      <c r="I174" s="397"/>
      <c r="J174" s="38" t="s">
        <v>497</v>
      </c>
      <c r="K174" s="47">
        <f t="shared" ref="K174:L174" si="115">SUM(K167:K173)</f>
        <v>0</v>
      </c>
      <c r="L174" s="47">
        <f t="shared" si="115"/>
        <v>0</v>
      </c>
      <c r="M174" s="47">
        <f t="shared" ref="M174" si="116">SUM(M167:M173)</f>
        <v>0</v>
      </c>
      <c r="N174" s="41">
        <f t="shared" si="110"/>
        <v>0</v>
      </c>
      <c r="O174" s="402"/>
      <c r="P174" s="397"/>
      <c r="Q174" s="397"/>
      <c r="R174" s="38" t="s">
        <v>497</v>
      </c>
      <c r="S174" s="47">
        <f t="shared" ref="S174:U174" si="117">SUM(S167:S173)</f>
        <v>0</v>
      </c>
      <c r="T174" s="47">
        <f t="shared" si="117"/>
        <v>0</v>
      </c>
      <c r="U174" s="47">
        <f t="shared" si="117"/>
        <v>0</v>
      </c>
      <c r="V174" s="41">
        <f t="shared" si="112"/>
        <v>0</v>
      </c>
    </row>
    <row r="175" spans="3:22" ht="15.75" customHeight="1" x14ac:dyDescent="0.35">
      <c r="C175" s="397"/>
      <c r="D175" s="398"/>
      <c r="E175" s="398"/>
      <c r="F175" s="398"/>
      <c r="G175" s="397"/>
      <c r="H175" s="397"/>
      <c r="I175" s="397"/>
      <c r="J175" s="397"/>
      <c r="K175" s="398"/>
      <c r="L175" s="398"/>
      <c r="M175" s="398"/>
      <c r="N175" s="397"/>
      <c r="O175" s="402"/>
      <c r="P175" s="397"/>
      <c r="Q175" s="397"/>
      <c r="R175" s="397"/>
      <c r="S175" s="398"/>
      <c r="T175" s="398"/>
      <c r="U175" s="398"/>
      <c r="V175" s="397"/>
    </row>
    <row r="176" spans="3:22" ht="18" customHeight="1" x14ac:dyDescent="0.35">
      <c r="C176" s="669" t="s">
        <v>518</v>
      </c>
      <c r="D176" s="670"/>
      <c r="E176" s="670"/>
      <c r="F176" s="670"/>
      <c r="G176" s="671"/>
      <c r="H176" s="397"/>
      <c r="I176" s="397"/>
      <c r="J176" s="669" t="s">
        <v>518</v>
      </c>
      <c r="K176" s="670"/>
      <c r="L176" s="670"/>
      <c r="M176" s="670"/>
      <c r="N176" s="671"/>
      <c r="O176" s="402"/>
      <c r="P176" s="397"/>
      <c r="Q176" s="397"/>
      <c r="R176" s="669" t="s">
        <v>518</v>
      </c>
      <c r="S176" s="670"/>
      <c r="T176" s="670"/>
      <c r="U176" s="670"/>
      <c r="V176" s="671"/>
    </row>
    <row r="177" spans="3:24" ht="16" thickBot="1" x14ac:dyDescent="0.4">
      <c r="C177" s="44" t="s">
        <v>519</v>
      </c>
      <c r="D177" s="45">
        <f>'1) Tableau budgétaire 1 initial'!D447</f>
        <v>574951.70872</v>
      </c>
      <c r="E177" s="45">
        <f>'1) Tableau budgétaire 1 initial'!E447</f>
        <v>138212</v>
      </c>
      <c r="F177" s="45">
        <f>'1) Tableau budgétaire 1 initial'!F447</f>
        <v>0</v>
      </c>
      <c r="G177" s="46">
        <f t="shared" ref="G177:G185" si="118">SUM(D177:F177)</f>
        <v>713163.70872</v>
      </c>
      <c r="H177" s="397"/>
      <c r="I177" s="397"/>
      <c r="J177" s="44" t="s">
        <v>519</v>
      </c>
      <c r="K177" s="45">
        <f>'1) Tableau budgétaire 1_Révisé'!D561</f>
        <v>499951.70872</v>
      </c>
      <c r="L177" s="45">
        <f>'1) Tableau budgétaire 1_Révisé'!E561</f>
        <v>138212</v>
      </c>
      <c r="M177" s="45">
        <f>'1) Tableau budgétaire 1_Révisé'!F561</f>
        <v>0</v>
      </c>
      <c r="N177" s="46">
        <f t="shared" ref="N177:N185" si="119">SUM(K177:M177)</f>
        <v>638163.70872</v>
      </c>
      <c r="O177" s="402"/>
      <c r="P177" s="397"/>
      <c r="Q177" s="397"/>
      <c r="R177" s="44" t="s">
        <v>519</v>
      </c>
      <c r="S177" s="45">
        <f t="shared" ref="S177:U177" si="120">SUM(S178:S184)</f>
        <v>786073.19871999999</v>
      </c>
      <c r="T177" s="45">
        <f t="shared" si="120"/>
        <v>317909</v>
      </c>
      <c r="U177" s="45">
        <f t="shared" si="120"/>
        <v>0</v>
      </c>
      <c r="V177" s="46">
        <f t="shared" ref="V177:V185" si="121">SUM(S177:U177)</f>
        <v>1103982.19872</v>
      </c>
    </row>
    <row r="178" spans="3:24" x14ac:dyDescent="0.35">
      <c r="C178" s="42" t="s">
        <v>45</v>
      </c>
      <c r="D178" s="401">
        <f>SUMIF('1) Tableau budgétaire 1 initial'!$K$426:$K$446,LEFT($C178,1),'1) Tableau budgétaire 1 initial'!$D$426:$D$446)</f>
        <v>281221.70872</v>
      </c>
      <c r="E178" s="401">
        <f>SUMIF('1) Tableau budgétaire 1 initial'!$K$426:$K$446,LEFT($C178,1),'1) Tableau budgétaire 1 initial'!$E$426:$E$446)</f>
        <v>68652</v>
      </c>
      <c r="F178" s="401">
        <f>SUMIF('1) Tableau budgétaire 1 initial'!$K$426:$K$446,LEFT($C178,1),'1) Tableau budgétaire 1 initial'!$F$426:$F$446)</f>
        <v>0</v>
      </c>
      <c r="G178" s="43">
        <f t="shared" si="118"/>
        <v>349873.70872</v>
      </c>
      <c r="H178" s="397"/>
      <c r="I178" s="397"/>
      <c r="J178" s="42" t="s">
        <v>45</v>
      </c>
      <c r="K178" s="380">
        <f>SUMIF('1) Tableau budgétaire 1_Révisé'!$K$519:$K$539,LEFT($C178,1),'1) Tableau budgétaire 1_Révisé'!$D$519:$D$539)</f>
        <v>206221.70872</v>
      </c>
      <c r="L178" s="380">
        <f>SUMIF('1) Tableau budgétaire 1_Révisé'!$K$519:$K$539,LEFT($C178,1),'1) Tableau budgétaire 1_Révisé'!$E$519:$E$539)</f>
        <v>68652</v>
      </c>
      <c r="M178" s="380">
        <f>SUMIF('1) Tableau budgétaire 1_Révisé'!$K$519:$K$539,LEFT($C178,1),'1) Tableau budgétaire 1_Révisé'!$F$519:$F$539)</f>
        <v>0</v>
      </c>
      <c r="N178" s="388">
        <f t="shared" si="119"/>
        <v>274873.70872</v>
      </c>
      <c r="O178" s="402"/>
      <c r="P178" s="397"/>
      <c r="Q178" s="397"/>
      <c r="R178" s="42" t="s">
        <v>45</v>
      </c>
      <c r="S178" s="243">
        <f>SUMIF('1) Tableau budgétaire 1_Révisé'!$V$519:$V$560,LEFT($R178,1),'1) Tableau budgétaire 1_Révisé'!$O$519:$O$560)</f>
        <v>340451.82871999999</v>
      </c>
      <c r="T178" s="401">
        <f>SUMIF('1) Tableau budgétaire 1_Révisé'!$V$519:$V$560,LEFT($R178,1),'1) Tableau budgétaire 1_Révisé'!$P$519:$P$560)</f>
        <v>151715</v>
      </c>
      <c r="U178" s="401">
        <f>SUMIF('1) Tableau budgétaire 1_Révisé'!$K$519:$K$539,LEFT($C178,1),'1) Tableau budgétaire 1_Révisé'!$F$519:$F$539)</f>
        <v>0</v>
      </c>
      <c r="V178" s="284">
        <f t="shared" si="121"/>
        <v>492166.82871999999</v>
      </c>
    </row>
    <row r="179" spans="3:24" x14ac:dyDescent="0.35">
      <c r="C179" s="33" t="s">
        <v>46</v>
      </c>
      <c r="D179" s="401">
        <f>SUMIF('1) Tableau budgétaire 1 initial'!$K$426:$K$446,LEFT($C179,1),'1) Tableau budgétaire 1 initial'!$D$426:$D$446)</f>
        <v>0</v>
      </c>
      <c r="E179" s="401">
        <f>SUMIF('1) Tableau budgétaire 1 initial'!$K$426:$K$446,LEFT($C179,1),'1) Tableau budgétaire 1 initial'!$E$426:$E$446)</f>
        <v>0</v>
      </c>
      <c r="F179" s="401">
        <f>SUMIF('1) Tableau budgétaire 1 initial'!$K$426:$K$446,LEFT($C179,1),'1) Tableau budgétaire 1 initial'!$F$426:$F$446)</f>
        <v>0</v>
      </c>
      <c r="G179" s="41">
        <f t="shared" si="118"/>
        <v>0</v>
      </c>
      <c r="H179" s="397"/>
      <c r="I179" s="397"/>
      <c r="J179" s="33" t="s">
        <v>46</v>
      </c>
      <c r="K179" s="380">
        <f>SUMIF('1) Tableau budgétaire 1_Révisé'!$K$519:$K$539,LEFT($C179,1),'1) Tableau budgétaire 1_Révisé'!$D$519:$D$539)</f>
        <v>0</v>
      </c>
      <c r="L179" s="380">
        <f>SUMIF('1) Tableau budgétaire 1_Révisé'!$K$519:$K$539,LEFT($C179,1),'1) Tableau budgétaire 1_Révisé'!$E$519:$E$539)</f>
        <v>0</v>
      </c>
      <c r="M179" s="380">
        <f>SUMIF('1) Tableau budgétaire 1_Révisé'!$K$519:$K$539,LEFT($C179,1),'1) Tableau budgétaire 1_Révisé'!$F$519:$F$539)</f>
        <v>0</v>
      </c>
      <c r="N179" s="278">
        <f t="shared" si="119"/>
        <v>0</v>
      </c>
      <c r="O179" s="402"/>
      <c r="P179" s="397"/>
      <c r="Q179" s="397"/>
      <c r="R179" s="33" t="s">
        <v>46</v>
      </c>
      <c r="S179" s="243">
        <f>SUMIF('1) Tableau budgétaire 1_Révisé'!$V$519:$V$560,LEFT($R179,1),'1) Tableau budgétaire 1_Révisé'!$O$519:$O$560)</f>
        <v>0</v>
      </c>
      <c r="T179" s="401">
        <f>SUMIF('1) Tableau budgétaire 1_Révisé'!$V$519:$V$560,LEFT($R179,1),'1) Tableau budgétaire 1_Révisé'!$P$519:$P$560)</f>
        <v>0</v>
      </c>
      <c r="U179" s="401">
        <f>SUMIF('1) Tableau budgétaire 1_Révisé'!$K$519:$K$539,LEFT($C179,1),'1) Tableau budgétaire 1_Révisé'!$F$519:$F$539)</f>
        <v>0</v>
      </c>
      <c r="V179" s="41">
        <f t="shared" si="121"/>
        <v>0</v>
      </c>
    </row>
    <row r="180" spans="3:24" ht="31" x14ac:dyDescent="0.35">
      <c r="C180" s="33" t="s">
        <v>47</v>
      </c>
      <c r="D180" s="401">
        <f>SUMIF('1) Tableau budgétaire 1 initial'!$K$426:$K$446,LEFT($C180,1),'1) Tableau budgétaire 1 initial'!$D$426:$D$446)</f>
        <v>70000</v>
      </c>
      <c r="E180" s="401">
        <f>SUMIF('1) Tableau budgétaire 1 initial'!$K$426:$K$446,LEFT($C180,1),'1) Tableau budgétaire 1 initial'!$E$426:$E$446)</f>
        <v>0</v>
      </c>
      <c r="F180" s="401">
        <f>SUMIF('1) Tableau budgétaire 1 initial'!$K$426:$K$446,LEFT($C180,1),'1) Tableau budgétaire 1 initial'!$F$426:$F$446)</f>
        <v>0</v>
      </c>
      <c r="G180" s="41">
        <f t="shared" si="118"/>
        <v>70000</v>
      </c>
      <c r="H180" s="397"/>
      <c r="I180" s="397"/>
      <c r="J180" s="33" t="s">
        <v>47</v>
      </c>
      <c r="K180" s="380">
        <f>SUMIF('1) Tableau budgétaire 1_Révisé'!$K$519:$K$539,LEFT($C180,1),'1) Tableau budgétaire 1_Révisé'!$D$519:$D$539)</f>
        <v>70000</v>
      </c>
      <c r="L180" s="380">
        <f>SUMIF('1) Tableau budgétaire 1_Révisé'!$K$519:$K$539,LEFT($C180,1),'1) Tableau budgétaire 1_Révisé'!$E$519:$E$539)</f>
        <v>0</v>
      </c>
      <c r="M180" s="380">
        <f>SUMIF('1) Tableau budgétaire 1_Révisé'!$K$519:$K$539,LEFT($C180,1),'1) Tableau budgétaire 1_Révisé'!$F$519:$F$539)</f>
        <v>0</v>
      </c>
      <c r="N180" s="278">
        <f t="shared" si="119"/>
        <v>70000</v>
      </c>
      <c r="O180" s="402"/>
      <c r="P180" s="397"/>
      <c r="Q180" s="397"/>
      <c r="R180" s="33" t="s">
        <v>47</v>
      </c>
      <c r="S180" s="243">
        <f>SUMIF('1) Tableau budgétaire 1_Révisé'!$V$519:$V$560,LEFT($R180,1),'1) Tableau budgétaire 1_Révisé'!$O$519:$O$560)</f>
        <v>70000</v>
      </c>
      <c r="T180" s="401">
        <f>SUMIF('1) Tableau budgétaire 1_Révisé'!$V$519:$V$560,LEFT($R180,1),'1) Tableau budgétaire 1_Révisé'!$P$519:$P$560)</f>
        <v>7172</v>
      </c>
      <c r="U180" s="401">
        <f>SUMIF('1) Tableau budgétaire 1_Révisé'!$K$519:$K$539,LEFT($C180,1),'1) Tableau budgétaire 1_Révisé'!$F$519:$F$539)</f>
        <v>0</v>
      </c>
      <c r="V180" s="41">
        <f t="shared" si="121"/>
        <v>77172</v>
      </c>
    </row>
    <row r="181" spans="3:24" ht="15.75" customHeight="1" x14ac:dyDescent="0.35">
      <c r="C181" s="34" t="s">
        <v>48</v>
      </c>
      <c r="D181" s="401">
        <f>SUMIF('1) Tableau budgétaire 1 initial'!$K$426:$K$446,LEFT($C181,1),'1) Tableau budgétaire 1 initial'!$D$426:$D$446)</f>
        <v>50000</v>
      </c>
      <c r="E181" s="401">
        <f>SUMIF('1) Tableau budgétaire 1 initial'!$K$426:$K$446,LEFT($C181,1),'1) Tableau budgétaire 1 initial'!$E$426:$E$446)</f>
        <v>0</v>
      </c>
      <c r="F181" s="401">
        <f>SUMIF('1) Tableau budgétaire 1 initial'!$K$426:$K$446,LEFT($C181,1),'1) Tableau budgétaire 1 initial'!$F$426:$F$446)</f>
        <v>0</v>
      </c>
      <c r="G181" s="41">
        <f t="shared" si="118"/>
        <v>50000</v>
      </c>
      <c r="H181" s="397"/>
      <c r="I181" s="397"/>
      <c r="J181" s="34" t="s">
        <v>48</v>
      </c>
      <c r="K181" s="380">
        <f>SUMIF('1) Tableau budgétaire 1_Révisé'!$K$519:$K$539,LEFT($C181,1),'1) Tableau budgétaire 1_Révisé'!$D$519:$D$539)</f>
        <v>50000</v>
      </c>
      <c r="L181" s="380">
        <f>SUMIF('1) Tableau budgétaire 1_Révisé'!$K$519:$K$539,LEFT($C181,1),'1) Tableau budgétaire 1_Révisé'!$E$519:$E$539)</f>
        <v>0</v>
      </c>
      <c r="M181" s="380">
        <f>SUMIF('1) Tableau budgétaire 1_Révisé'!$K$519:$K$539,LEFT($C181,1),'1) Tableau budgétaire 1_Révisé'!$F$519:$F$539)</f>
        <v>0</v>
      </c>
      <c r="N181" s="278">
        <f t="shared" si="119"/>
        <v>50000</v>
      </c>
      <c r="O181" s="402"/>
      <c r="P181" s="397"/>
      <c r="Q181" s="397"/>
      <c r="R181" s="34" t="s">
        <v>48</v>
      </c>
      <c r="S181" s="243">
        <f>SUMIF('1) Tableau budgétaire 1_Révisé'!$V$519:$V$560,LEFT($R181,1),'1) Tableau budgétaire 1_Révisé'!$O$519:$O$560)</f>
        <v>90000</v>
      </c>
      <c r="T181" s="401">
        <f>SUMIF('1) Tableau budgétaire 1_Révisé'!$V$519:$V$560,LEFT($R181,1),'1) Tableau budgétaire 1_Révisé'!$P$519:$P$560)</f>
        <v>0</v>
      </c>
      <c r="U181" s="401">
        <f>SUMIF('1) Tableau budgétaire 1_Révisé'!$K$519:$K$539,LEFT($C181,1),'1) Tableau budgétaire 1_Révisé'!$F$519:$F$539)</f>
        <v>0</v>
      </c>
      <c r="V181" s="41">
        <f t="shared" si="121"/>
        <v>90000</v>
      </c>
    </row>
    <row r="182" spans="3:24" ht="15.75" customHeight="1" x14ac:dyDescent="0.35">
      <c r="C182" s="33" t="s">
        <v>49</v>
      </c>
      <c r="D182" s="401">
        <f>SUMIF('1) Tableau budgétaire 1 initial'!$K$426:$K$446,LEFT($C182,1),'1) Tableau budgétaire 1 initial'!$D$426:$D$446)</f>
        <v>0</v>
      </c>
      <c r="E182" s="401">
        <f>SUMIF('1) Tableau budgétaire 1 initial'!$K$426:$K$446,LEFT($C182,1),'1) Tableau budgétaire 1 initial'!$E$426:$E$446)</f>
        <v>0</v>
      </c>
      <c r="F182" s="401">
        <f>SUMIF('1) Tableau budgétaire 1 initial'!$K$426:$K$446,LEFT($C182,1),'1) Tableau budgétaire 1 initial'!$F$426:$F$446)</f>
        <v>0</v>
      </c>
      <c r="G182" s="41">
        <f t="shared" si="118"/>
        <v>0</v>
      </c>
      <c r="H182" s="397"/>
      <c r="I182" s="397"/>
      <c r="J182" s="33" t="s">
        <v>49</v>
      </c>
      <c r="K182" s="380">
        <f>SUMIF('1) Tableau budgétaire 1_Révisé'!$K$519:$K$539,LEFT($C182,1),'1) Tableau budgétaire 1_Révisé'!$D$519:$D$539)</f>
        <v>0</v>
      </c>
      <c r="L182" s="380">
        <f>SUMIF('1) Tableau budgétaire 1_Révisé'!$K$519:$K$539,LEFT($C182,1),'1) Tableau budgétaire 1_Révisé'!$E$519:$E$539)</f>
        <v>0</v>
      </c>
      <c r="M182" s="380">
        <f>SUMIF('1) Tableau budgétaire 1_Révisé'!$K$519:$K$539,LEFT($C182,1),'1) Tableau budgétaire 1_Révisé'!$F$519:$F$539)</f>
        <v>0</v>
      </c>
      <c r="N182" s="278">
        <f t="shared" si="119"/>
        <v>0</v>
      </c>
      <c r="O182" s="402"/>
      <c r="P182" s="397"/>
      <c r="Q182" s="397"/>
      <c r="R182" s="33" t="s">
        <v>49</v>
      </c>
      <c r="S182" s="243">
        <f>SUMIF('1) Tableau budgétaire 1_Révisé'!$V$519:$V$560,LEFT($R182,1),'1) Tableau budgétaire 1_Révisé'!$O$519:$O$560)</f>
        <v>0</v>
      </c>
      <c r="T182" s="401">
        <f>SUMIF('1) Tableau budgétaire 1_Révisé'!$V$519:$V$560,LEFT($R182,1),'1) Tableau budgétaire 1_Révisé'!$P$519:$P$560)</f>
        <v>57791</v>
      </c>
      <c r="U182" s="401">
        <f>SUMIF('1) Tableau budgétaire 1_Révisé'!$K$519:$K$539,LEFT($C182,1),'1) Tableau budgétaire 1_Révisé'!$F$519:$F$539)</f>
        <v>0</v>
      </c>
      <c r="V182" s="41">
        <f t="shared" si="121"/>
        <v>57791</v>
      </c>
    </row>
    <row r="183" spans="3:24" x14ac:dyDescent="0.35">
      <c r="C183" s="33" t="s">
        <v>50</v>
      </c>
      <c r="D183" s="401">
        <f>SUMIF('1) Tableau budgétaire 1 initial'!$K$426:$K$446,LEFT($C183,1),'1) Tableau budgétaire 1 initial'!$D$426:$D$446)</f>
        <v>0</v>
      </c>
      <c r="E183" s="401">
        <f>SUMIF('1) Tableau budgétaire 1 initial'!$K$426:$K$446,LEFT($C183,1),'1) Tableau budgétaire 1 initial'!$E$426:$E$446)</f>
        <v>0</v>
      </c>
      <c r="F183" s="401">
        <f>SUMIF('1) Tableau budgétaire 1 initial'!$K$426:$K$446,LEFT($C183,1),'1) Tableau budgétaire 1 initial'!$F$426:$F$446)</f>
        <v>0</v>
      </c>
      <c r="G183" s="41">
        <f t="shared" si="118"/>
        <v>0</v>
      </c>
      <c r="H183" s="397"/>
      <c r="I183" s="397"/>
      <c r="J183" s="33" t="s">
        <v>50</v>
      </c>
      <c r="K183" s="380">
        <f>SUMIF('1) Tableau budgétaire 1_Révisé'!$K$519:$K$539,LEFT($C183,1),'1) Tableau budgétaire 1_Révisé'!$D$519:$D$539)</f>
        <v>0</v>
      </c>
      <c r="L183" s="380">
        <f>SUMIF('1) Tableau budgétaire 1_Révisé'!$K$519:$K$539,LEFT($C183,1),'1) Tableau budgétaire 1_Révisé'!$E$519:$E$539)</f>
        <v>0</v>
      </c>
      <c r="M183" s="380">
        <f>SUMIF('1) Tableau budgétaire 1_Révisé'!$K$519:$K$539,LEFT($C183,1),'1) Tableau budgétaire 1_Révisé'!$F$519:$F$539)</f>
        <v>0</v>
      </c>
      <c r="N183" s="278">
        <f t="shared" si="119"/>
        <v>0</v>
      </c>
      <c r="O183" s="402"/>
      <c r="P183" s="397"/>
      <c r="Q183" s="397"/>
      <c r="R183" s="33" t="s">
        <v>50</v>
      </c>
      <c r="S183" s="243">
        <f>SUMIF('1) Tableau budgétaire 1_Révisé'!$V$519:$V$560,LEFT($R183,1),'1) Tableau budgétaire 1_Révisé'!$O$519:$O$560)</f>
        <v>0</v>
      </c>
      <c r="T183" s="401">
        <f>SUMIF('1) Tableau budgétaire 1_Révisé'!$V$519:$V$560,LEFT($R183,1),'1) Tableau budgétaire 1_Révisé'!$P$519:$P$560)</f>
        <v>0</v>
      </c>
      <c r="U183" s="401">
        <f>SUMIF('1) Tableau budgétaire 1_Révisé'!$K$519:$K$539,LEFT($C183,1),'1) Tableau budgétaire 1_Révisé'!$F$519:$F$539)</f>
        <v>0</v>
      </c>
      <c r="V183" s="41">
        <f t="shared" si="121"/>
        <v>0</v>
      </c>
    </row>
    <row r="184" spans="3:24" ht="15.75" customHeight="1" x14ac:dyDescent="0.35">
      <c r="C184" s="33" t="s">
        <v>51</v>
      </c>
      <c r="D184" s="401">
        <f>SUMIF('1) Tableau budgétaire 1 initial'!$K$426:$K$446,LEFT($C184,1),'1) Tableau budgétaire 1 initial'!$D$426:$D$446)</f>
        <v>173730</v>
      </c>
      <c r="E184" s="401">
        <f>SUMIF('1) Tableau budgétaire 1 initial'!$K$426:$K$446,LEFT($C184,1),'1) Tableau budgétaire 1 initial'!$E$426:$E$446)</f>
        <v>69560</v>
      </c>
      <c r="F184" s="401">
        <f>SUMIF('1) Tableau budgétaire 1 initial'!$K$426:$K$446,LEFT($C184,1),'1) Tableau budgétaire 1 initial'!$F$426:$F$446)</f>
        <v>0</v>
      </c>
      <c r="G184" s="41">
        <f t="shared" si="118"/>
        <v>243290</v>
      </c>
      <c r="H184" s="397"/>
      <c r="I184" s="397"/>
      <c r="J184" s="33" t="s">
        <v>51</v>
      </c>
      <c r="K184" s="380">
        <f>SUMIF('1) Tableau budgétaire 1_Révisé'!$K$519:$K$539,LEFT($C184,1),'1) Tableau budgétaire 1_Révisé'!$D$519:$D$539)</f>
        <v>173730</v>
      </c>
      <c r="L184" s="380">
        <f>SUMIF('1) Tableau budgétaire 1_Révisé'!$K$519:$K$539,LEFT($C184,1),'1) Tableau budgétaire 1_Révisé'!$E$519:$E$539)</f>
        <v>69560</v>
      </c>
      <c r="M184" s="380">
        <f>SUMIF('1) Tableau budgétaire 1_Révisé'!$K$519:$K$539,LEFT($C184,1),'1) Tableau budgétaire 1_Révisé'!$F$519:$F$539)</f>
        <v>0</v>
      </c>
      <c r="N184" s="278">
        <f t="shared" si="119"/>
        <v>243290</v>
      </c>
      <c r="O184" s="402"/>
      <c r="P184" s="397"/>
      <c r="Q184" s="397"/>
      <c r="R184" s="33" t="s">
        <v>51</v>
      </c>
      <c r="S184" s="243">
        <f>SUMIF('1) Tableau budgétaire 1_Révisé'!$V$519:$V$560,LEFT($R184,1),'1) Tableau budgétaire 1_Révisé'!$O$519:$O$560)</f>
        <v>285621.37</v>
      </c>
      <c r="T184" s="401">
        <f>SUMIF('1) Tableau budgétaire 1_Révisé'!$V$519:$V$560,LEFT($R184,1),'1) Tableau budgétaire 1_Révisé'!$P$519:$P$560)</f>
        <v>101231</v>
      </c>
      <c r="U184" s="401">
        <f>SUMIF('1) Tableau budgétaire 1_Révisé'!$K$519:$K$539,LEFT($C184,1),'1) Tableau budgétaire 1_Révisé'!$F$519:$F$539)</f>
        <v>0</v>
      </c>
      <c r="V184" s="41">
        <f t="shared" si="121"/>
        <v>386852.37</v>
      </c>
    </row>
    <row r="185" spans="3:24" ht="15.75" customHeight="1" x14ac:dyDescent="0.35">
      <c r="C185" s="38" t="s">
        <v>497</v>
      </c>
      <c r="D185" s="47">
        <f t="shared" ref="D185:F185" si="122">SUM(D178:D184)</f>
        <v>574951.70872</v>
      </c>
      <c r="E185" s="47">
        <f t="shared" si="122"/>
        <v>138212</v>
      </c>
      <c r="F185" s="47">
        <f t="shared" si="122"/>
        <v>0</v>
      </c>
      <c r="G185" s="41">
        <f t="shared" si="118"/>
        <v>713163.70872</v>
      </c>
      <c r="H185" s="397"/>
      <c r="I185" s="397"/>
      <c r="J185" s="38" t="s">
        <v>497</v>
      </c>
      <c r="K185" s="389">
        <f t="shared" ref="K185:M185" si="123">SUM(K178:K184)</f>
        <v>499951.70872</v>
      </c>
      <c r="L185" s="389">
        <f t="shared" si="123"/>
        <v>138212</v>
      </c>
      <c r="M185" s="389">
        <f t="shared" si="123"/>
        <v>0</v>
      </c>
      <c r="N185" s="278">
        <f t="shared" si="119"/>
        <v>638163.70872</v>
      </c>
      <c r="O185" s="402"/>
      <c r="P185" s="397"/>
      <c r="Q185" s="397"/>
      <c r="R185" s="38" t="s">
        <v>497</v>
      </c>
      <c r="S185" s="47">
        <f t="shared" ref="S185:U185" si="124">SUM(S178:S184)</f>
        <v>786073.19871999999</v>
      </c>
      <c r="T185" s="47">
        <f t="shared" si="124"/>
        <v>317909</v>
      </c>
      <c r="U185" s="47">
        <f t="shared" si="124"/>
        <v>0</v>
      </c>
      <c r="V185" s="41">
        <f t="shared" si="121"/>
        <v>1103982.19872</v>
      </c>
    </row>
    <row r="186" spans="3:24" ht="15.75" customHeight="1" thickBot="1" x14ac:dyDescent="0.4">
      <c r="C186" s="397"/>
      <c r="D186" s="398"/>
      <c r="E186" s="398"/>
      <c r="F186" s="398"/>
      <c r="G186" s="397"/>
      <c r="H186" s="397"/>
      <c r="I186" s="397"/>
      <c r="J186" s="397"/>
      <c r="K186" s="398"/>
      <c r="L186" s="398"/>
      <c r="M186" s="398"/>
      <c r="N186" s="397"/>
      <c r="O186" s="402"/>
      <c r="P186" s="397"/>
      <c r="Q186" s="397"/>
      <c r="R186" s="397"/>
      <c r="S186" s="398"/>
      <c r="T186" s="398"/>
      <c r="U186" s="398"/>
      <c r="V186" s="397"/>
    </row>
    <row r="187" spans="3:24" ht="19.5" customHeight="1" thickBot="1" x14ac:dyDescent="0.4">
      <c r="C187" s="585" t="s">
        <v>44</v>
      </c>
      <c r="D187" s="672"/>
      <c r="E187" s="672"/>
      <c r="F187" s="672"/>
      <c r="G187" s="673"/>
      <c r="H187" s="397"/>
      <c r="I187" s="397"/>
      <c r="J187" s="585" t="s">
        <v>44</v>
      </c>
      <c r="K187" s="672"/>
      <c r="L187" s="672"/>
      <c r="M187" s="672"/>
      <c r="N187" s="673"/>
      <c r="O187" s="402"/>
      <c r="P187" s="397"/>
      <c r="Q187" s="397"/>
      <c r="R187" s="585" t="s">
        <v>44</v>
      </c>
      <c r="S187" s="672"/>
      <c r="T187" s="672"/>
      <c r="U187" s="672"/>
      <c r="V187" s="673"/>
    </row>
    <row r="188" spans="3:24" ht="43.5" customHeight="1" thickBot="1" x14ac:dyDescent="0.4">
      <c r="C188" s="152"/>
      <c r="D188" s="159" t="s">
        <v>42</v>
      </c>
      <c r="E188" s="160" t="s">
        <v>43</v>
      </c>
      <c r="F188" s="160" t="s">
        <v>520</v>
      </c>
      <c r="G188" s="613" t="s">
        <v>521</v>
      </c>
      <c r="H188" s="397"/>
      <c r="I188" s="397"/>
      <c r="J188" s="152"/>
      <c r="K188" s="159" t="s">
        <v>42</v>
      </c>
      <c r="L188" s="160" t="s">
        <v>43</v>
      </c>
      <c r="M188" s="160" t="s">
        <v>520</v>
      </c>
      <c r="N188" s="613" t="s">
        <v>521</v>
      </c>
      <c r="O188" s="402"/>
      <c r="P188" s="397"/>
      <c r="Q188" s="397"/>
      <c r="R188" s="152"/>
      <c r="S188" s="159" t="s">
        <v>42</v>
      </c>
      <c r="T188" s="160" t="s">
        <v>43</v>
      </c>
      <c r="U188" s="160" t="s">
        <v>520</v>
      </c>
      <c r="V188" s="613" t="s">
        <v>521</v>
      </c>
    </row>
    <row r="189" spans="3:24" ht="19.5" customHeight="1" thickBot="1" x14ac:dyDescent="0.4">
      <c r="C189" s="53"/>
      <c r="D189" s="163" t="str">
        <f>'1) Tableau budgétaire 1_Révisé'!D13</f>
        <v>PNUD</v>
      </c>
      <c r="E189" s="163" t="str">
        <f>'1) Tableau budgétaire 1_Révisé'!E13</f>
        <v>FAO</v>
      </c>
      <c r="F189" s="163">
        <f>'1) Tableau budgétaire 1_Révisé'!F13</f>
        <v>0</v>
      </c>
      <c r="G189" s="674"/>
      <c r="H189" s="397"/>
      <c r="I189" s="397"/>
      <c r="J189" s="53"/>
      <c r="K189" s="163" t="str">
        <f>'1) Tableau budgétaire 1_Révisé'!D13</f>
        <v>PNUD</v>
      </c>
      <c r="L189" s="163" t="str">
        <f>'1) Tableau budgétaire 1_Révisé'!E13</f>
        <v>FAO</v>
      </c>
      <c r="M189" s="163">
        <f>'1) Tableau budgétaire 1_Révisé'!F13</f>
        <v>0</v>
      </c>
      <c r="N189" s="674"/>
      <c r="O189" s="402"/>
      <c r="P189" s="397"/>
      <c r="Q189" s="397"/>
      <c r="R189" s="53"/>
      <c r="S189" s="163" t="s">
        <v>7</v>
      </c>
      <c r="T189" s="163" t="s">
        <v>8</v>
      </c>
      <c r="U189" s="163">
        <f>'1) Tableau budgétaire 1_Révisé'!N13</f>
        <v>0</v>
      </c>
      <c r="V189" s="674"/>
    </row>
    <row r="190" spans="3:24" x14ac:dyDescent="0.35">
      <c r="C190" s="142" t="s">
        <v>45</v>
      </c>
      <c r="D190" s="162">
        <f t="shared" ref="D190:F191" si="125">SUM(D167,D156,D145,D134,D121,D110,D99,D86,D75,D64,D52,D41,D30,D19,D178)</f>
        <v>281221.70872</v>
      </c>
      <c r="E190" s="146">
        <f>SUM(E167,E156,E145,E134,E121,E110,E99,E86,E75,E64,E52,E41,E30,E19,E178)</f>
        <v>68652</v>
      </c>
      <c r="F190" s="146">
        <f t="shared" si="125"/>
        <v>0</v>
      </c>
      <c r="G190" s="144">
        <f>SUM(D190:F190)</f>
        <v>349873.70872</v>
      </c>
      <c r="H190" s="397"/>
      <c r="I190" s="397"/>
      <c r="J190" s="142" t="s">
        <v>45</v>
      </c>
      <c r="K190" s="381">
        <f t="shared" ref="K190" si="126">SUM(K167,K156,K145,K134,K121,K110,K99,K86,K75,K64,K52,K41,K30,K19,K178)</f>
        <v>206221.70872</v>
      </c>
      <c r="L190" s="382">
        <f>SUM(L167,L156,L145,L134,L121,L110,L99,L86,L75,L64,L52,L41,L30,L19,L178)</f>
        <v>68652</v>
      </c>
      <c r="M190" s="382">
        <f t="shared" ref="M190" si="127">SUM(M167,M156,M145,M134,M121,M110,M99,M86,M75,M64,M52,M41,M30,M19,M178)</f>
        <v>0</v>
      </c>
      <c r="N190" s="383">
        <f>SUM(K190:M190)</f>
        <v>274873.70872</v>
      </c>
      <c r="O190" s="403"/>
      <c r="P190" s="397"/>
      <c r="Q190" s="397"/>
      <c r="R190" s="142" t="s">
        <v>45</v>
      </c>
      <c r="S190" s="280">
        <f t="shared" ref="S190:S191" si="128">SUM(S167,S156,S145,S134,S121,S110,S99,S86,S75,S64,S52,S41,S30,S19,S178)</f>
        <v>340451.82871999999</v>
      </c>
      <c r="T190" s="146">
        <f>SUM(T167,T156,T145,T134,T121,T110,T99,T86,T75,T64,T52,T41,T30,T19,T178)</f>
        <v>156715</v>
      </c>
      <c r="U190" s="146">
        <f t="shared" ref="U190:U191" si="129">SUM(U167,U156,U145,U134,U121,U110,U99,U86,U75,U64,U52,U41,U30,U19,U178)</f>
        <v>0</v>
      </c>
      <c r="V190" s="283">
        <f>SUM(S190:U190)</f>
        <v>497166.82871999999</v>
      </c>
      <c r="W190" s="447"/>
      <c r="X190" s="447"/>
    </row>
    <row r="191" spans="3:24" ht="34.5" customHeight="1" x14ac:dyDescent="0.35">
      <c r="C191" s="143" t="s">
        <v>46</v>
      </c>
      <c r="D191" s="404">
        <f t="shared" si="125"/>
        <v>10000</v>
      </c>
      <c r="E191" s="279">
        <f>SUM(E168,E157,E146,E135,E122,E111,E100,E87,E76,E65,E53,E42,E31,E20,E179)</f>
        <v>246120</v>
      </c>
      <c r="F191" s="293">
        <f t="shared" si="125"/>
        <v>0</v>
      </c>
      <c r="G191" s="145">
        <f>SUM(D191:F191)</f>
        <v>256120</v>
      </c>
      <c r="H191" s="397"/>
      <c r="I191" s="397"/>
      <c r="J191" s="143" t="s">
        <v>46</v>
      </c>
      <c r="K191" s="384">
        <f t="shared" ref="K191" si="130">SUM(K168,K157,K146,K135,K122,K111,K100,K87,K76,K65,K53,K42,K31,K20,K179)</f>
        <v>10000</v>
      </c>
      <c r="L191" s="279">
        <f>SUM(L168,L157,L146,L135,L122,L111,L100,L87,L76,L65,L53,L42,L31,L20,L179)</f>
        <v>276720</v>
      </c>
      <c r="M191" s="279">
        <f t="shared" ref="M191" si="131">SUM(M168,M157,M146,M135,M122,M111,M100,M87,M76,M65,M53,M42,M31,M20,M179)</f>
        <v>0</v>
      </c>
      <c r="N191" s="385">
        <f>SUM(K191:M191)</f>
        <v>286720</v>
      </c>
      <c r="O191" s="403"/>
      <c r="P191" s="397"/>
      <c r="Q191" s="397"/>
      <c r="R191" s="143" t="s">
        <v>46</v>
      </c>
      <c r="S191" s="404">
        <f t="shared" si="128"/>
        <v>156000</v>
      </c>
      <c r="T191" s="242">
        <f>SUM(T168,T157,T146,T135,T122,T111,T100,T87,T76,T65,T53,T42,T31,T20,T179)</f>
        <v>338771</v>
      </c>
      <c r="U191" s="293">
        <f t="shared" si="129"/>
        <v>0</v>
      </c>
      <c r="V191" s="282">
        <f>SUM(S191:U191)</f>
        <v>494771</v>
      </c>
      <c r="W191" s="447"/>
      <c r="X191" s="447"/>
    </row>
    <row r="192" spans="3:24" ht="48" customHeight="1" x14ac:dyDescent="0.35">
      <c r="C192" s="143" t="s">
        <v>47</v>
      </c>
      <c r="D192" s="404">
        <f>SUM(D169,D158,D147,D136,D123,D112,D101,D88,D77,D66,D54,D43,D32,D21,D180)</f>
        <v>77500</v>
      </c>
      <c r="E192" s="293">
        <f>SUM(E169,E158,E147,E136,E123,E112,E101,E88,E77,E66,E54,E43,E32,E21,E180)</f>
        <v>0</v>
      </c>
      <c r="F192" s="293">
        <f>SUM(F169,F158,F147,F136,F123,F112,F101,F88,F77,F66,F54,F43,F32,F21,F180)</f>
        <v>0</v>
      </c>
      <c r="G192" s="145">
        <f t="shared" ref="G192:G196" si="132">SUM(D192:F192)</f>
        <v>77500</v>
      </c>
      <c r="H192" s="397"/>
      <c r="I192" s="397"/>
      <c r="J192" s="143" t="s">
        <v>47</v>
      </c>
      <c r="K192" s="384">
        <f>SUM(K169,K158,K147,K136,K123,K112,K101,K88,K77,K66,K54,K43,K32,K21,K180)</f>
        <v>77500</v>
      </c>
      <c r="L192" s="279">
        <f>SUM(L169,L158,L147,L136,L123,L112,L101,L88,L77,L66,L54,L43,L32,L21,L180)</f>
        <v>0</v>
      </c>
      <c r="M192" s="279">
        <f>SUM(M169,M158,M147,M136,M123,M112,M101,M88,M77,M66,M54,M43,M32,M21,M180)</f>
        <v>0</v>
      </c>
      <c r="N192" s="385">
        <f t="shared" ref="N192:N196" si="133">SUM(K192:M192)</f>
        <v>77500</v>
      </c>
      <c r="O192" s="403"/>
      <c r="P192" s="397"/>
      <c r="Q192" s="397"/>
      <c r="R192" s="143" t="s">
        <v>47</v>
      </c>
      <c r="S192" s="404">
        <f>SUM(S169,S158,S147,S136,S123,S112,S101,S88,S77,S66,S54,S43,S32,S21,S180)</f>
        <v>77500</v>
      </c>
      <c r="T192" s="293">
        <f>SUM(T169,T158,T147,T136,T123,T112,T101,T88,T77,T66,T54,T43,T32,T21,T180)</f>
        <v>12572</v>
      </c>
      <c r="U192" s="293">
        <f>SUM(U169,U158,U147,U136,U123,U112,U101,U88,U77,U66,U54,U43,U32,U21,U180)</f>
        <v>0</v>
      </c>
      <c r="V192" s="145">
        <f t="shared" ref="V192:V196" si="134">SUM(S192:U192)</f>
        <v>90072</v>
      </c>
      <c r="W192" s="447"/>
      <c r="X192" s="447"/>
    </row>
    <row r="193" spans="3:24" ht="33" customHeight="1" x14ac:dyDescent="0.35">
      <c r="C193" s="141" t="s">
        <v>48</v>
      </c>
      <c r="D193" s="404">
        <f>SUM(D170,D159,D148,D137,D124,D113,D102,D89,D78,D67,D55,D44,D33,D22,D181)</f>
        <v>158943.93</v>
      </c>
      <c r="E193" s="279">
        <f>SUM(E170,E159,E148,E137,E124,E113,E102,E89,E78,E67,E55,E44,E33,E22,E181)</f>
        <v>115000</v>
      </c>
      <c r="F193" s="293">
        <f>SUM(F170,F159,F148,F137,F124,F113,F102,F89,F78,F67,F55,F44,F33,F22,F181)</f>
        <v>0</v>
      </c>
      <c r="G193" s="145">
        <f t="shared" si="132"/>
        <v>273943.93</v>
      </c>
      <c r="H193" s="397"/>
      <c r="I193" s="397"/>
      <c r="J193" s="141" t="s">
        <v>48</v>
      </c>
      <c r="K193" s="384">
        <f>SUM(K170,K159,K148,K137,K124,K113,K102,K89,K78,K67,K55,K44,K33,K22,K181)</f>
        <v>208943.93</v>
      </c>
      <c r="L193" s="279">
        <f>SUM(L170,L159,L148,L137,L124,L113,L102,L89,L78,L67,L55,L44,L33,L22,L181)</f>
        <v>116374</v>
      </c>
      <c r="M193" s="279">
        <f>SUM(M170,M159,M148,M137,M124,M113,M102,M89,M78,M67,M55,M44,M33,M22,M181)</f>
        <v>0</v>
      </c>
      <c r="N193" s="385">
        <f t="shared" si="133"/>
        <v>325317.93</v>
      </c>
      <c r="O193" s="403"/>
      <c r="P193" s="397"/>
      <c r="Q193" s="397"/>
      <c r="R193" s="141" t="s">
        <v>48</v>
      </c>
      <c r="S193" s="281">
        <f>SUM(S170,S159,S148,S137,S124,S113,S102,S89,S78,S67,S55,S44,S33,S22,S181)</f>
        <v>271443.93</v>
      </c>
      <c r="T193" s="242">
        <f>SUM(T170,T159,T148,T137,T124,T113,T102,T89,T78,T67,T55,T44,T33,T22,T181)</f>
        <v>419932</v>
      </c>
      <c r="U193" s="293">
        <f>SUM(U170,U159,U148,U137,U124,U113,U102,U89,U78,U67,U55,U44,U33,U22,U181)</f>
        <v>0</v>
      </c>
      <c r="V193" s="282">
        <f t="shared" si="134"/>
        <v>691375.92999999993</v>
      </c>
      <c r="W193" s="447"/>
      <c r="X193" s="447"/>
    </row>
    <row r="194" spans="3:24" ht="21" customHeight="1" x14ac:dyDescent="0.35">
      <c r="C194" s="143" t="s">
        <v>49</v>
      </c>
      <c r="D194" s="404">
        <f>SUM(D171,D160,D149,D138,D125,D114,D103,D90,D79,D68,D56,D45,D34,D23,D182)</f>
        <v>26400</v>
      </c>
      <c r="E194" s="293">
        <f>SUM(E171,E160,E149,E138,E125,E114,E103,E90,E79,E68,E56,E45,E34,E23,E182)</f>
        <v>25000</v>
      </c>
      <c r="F194" s="293">
        <f>SUM(F171,F160,F149,F138,F125,F114,F103,F90,F79,F68,F56,F45,F34,F23,F182)</f>
        <v>0</v>
      </c>
      <c r="G194" s="145">
        <f t="shared" si="132"/>
        <v>51400</v>
      </c>
      <c r="H194" s="259"/>
      <c r="I194" s="397"/>
      <c r="J194" s="143" t="s">
        <v>49</v>
      </c>
      <c r="K194" s="384">
        <f>SUM(K171,K160,K149,K138,K125,K114,K103,K90,K79,K68,K56,K45,K34,K23,K182)</f>
        <v>26400</v>
      </c>
      <c r="L194" s="279">
        <f>SUM(L171,L160,L149,L138,L125,L114,L103,L90,L79,L68,L56,L45,L34,L23,L182)</f>
        <v>25000</v>
      </c>
      <c r="M194" s="279">
        <f>SUM(M171,M160,M149,M138,M125,M114,M103,M90,M79,M68,M56,M45,M34,M23,M182)</f>
        <v>0</v>
      </c>
      <c r="N194" s="385">
        <f t="shared" si="133"/>
        <v>51400</v>
      </c>
      <c r="O194" s="403"/>
      <c r="P194" s="397"/>
      <c r="Q194" s="397"/>
      <c r="R194" s="143" t="s">
        <v>49</v>
      </c>
      <c r="S194" s="404">
        <f>SUM(S171,S160,S149,S138,S125,S114,S103,S90,S79,S68,S56,S45,S34,S23,S182)</f>
        <v>33400</v>
      </c>
      <c r="T194" s="293">
        <f>SUM(T171,T160,T149,T138,T125,T114,T103,T90,T79,T68,T56,T45,T34,T23,T182)</f>
        <v>117391</v>
      </c>
      <c r="U194" s="293">
        <f>SUM(U171,U160,U149,U138,U125,U114,U103,U90,U79,U68,U56,U45,U34,U23,U182)</f>
        <v>0</v>
      </c>
      <c r="V194" s="145">
        <f t="shared" si="134"/>
        <v>150791</v>
      </c>
      <c r="W194" s="447"/>
      <c r="X194" s="447"/>
    </row>
    <row r="195" spans="3:24" ht="39.75" customHeight="1" x14ac:dyDescent="0.35">
      <c r="C195" s="143" t="s">
        <v>50</v>
      </c>
      <c r="D195" s="404">
        <f>SUM(D172,D161,D150,D139,D126,D115,D104,D91,D80,D69,D57,D46,D35,D24,D183)</f>
        <v>679760.43900000001</v>
      </c>
      <c r="E195" s="279">
        <f>SUM(E172,E161,E150,E139,E126,E115,E104,E91,E80,E69,E57,E46,E35,E24,,E183)</f>
        <v>156879</v>
      </c>
      <c r="F195" s="293">
        <f>SUM(F172,F161,F150,F139,F126,F115,F104,F91,F80,F69,F57,F46,F35,F24,F183)</f>
        <v>0</v>
      </c>
      <c r="G195" s="145">
        <f t="shared" si="132"/>
        <v>836639.43900000001</v>
      </c>
      <c r="H195" s="259"/>
      <c r="I195" s="397"/>
      <c r="J195" s="143" t="s">
        <v>50</v>
      </c>
      <c r="K195" s="384">
        <f>SUM(K172,K161,K150,K139,K126,K115,K104,K91,K80,K69,K57,K46,K35,K24,K183)</f>
        <v>704760.43900000001</v>
      </c>
      <c r="L195" s="279">
        <f>SUM(L172,L161,L150,L139,L126,L115,L104,L91,L80,L69,L57,L46,L35,L24,,L183)</f>
        <v>124905</v>
      </c>
      <c r="M195" s="279">
        <f>SUM(M172,M161,M150,M139,M126,M115,M104,M91,M80,M69,M57,M46,M35,M24,M183)</f>
        <v>0</v>
      </c>
      <c r="N195" s="385">
        <f t="shared" si="133"/>
        <v>829665.43900000001</v>
      </c>
      <c r="O195" s="403"/>
      <c r="P195" s="397"/>
      <c r="Q195" s="397"/>
      <c r="R195" s="143" t="s">
        <v>50</v>
      </c>
      <c r="S195" s="281">
        <f>SUM(S172,S161,S150,S139,S126,S115,S104,S91,S80,S69,S57,S46,S35,S24,S183)</f>
        <v>890143.66899999999</v>
      </c>
      <c r="T195" s="242">
        <f>SUM(T172,T161,T150,T139,T126,T115,T104,T91,T80,T69,T57,T46,T35,T24,,T183)</f>
        <v>179621.77</v>
      </c>
      <c r="U195" s="293">
        <f>SUM(U172,U161,U150,U139,U126,U115,U104,U91,U80,U69,U57,U46,U35,U24,U183)</f>
        <v>0</v>
      </c>
      <c r="V195" s="282">
        <f t="shared" si="134"/>
        <v>1069765.439</v>
      </c>
      <c r="W195" s="447"/>
      <c r="X195" s="447"/>
    </row>
    <row r="196" spans="3:24" ht="31" x14ac:dyDescent="0.35">
      <c r="C196" s="143" t="s">
        <v>51</v>
      </c>
      <c r="D196" s="404">
        <f>SUM(D173,D162,D151,D140,D127,D116,D105,D92,D81,D70,D58,D47,D36,D25,D184)</f>
        <v>275519.71999999997</v>
      </c>
      <c r="E196" s="293">
        <f>SUM(E173,E162,E151,E140,E127,E116,E105,E92,E81,E70,E58,E47,E36,E25,E184)</f>
        <v>215451.8</v>
      </c>
      <c r="F196" s="293">
        <f>SUM(F173,F162,F151,F140,F127,F116,F105,F92,F81,F70,F58,F47,F36,F25,F184)</f>
        <v>0</v>
      </c>
      <c r="G196" s="145">
        <f t="shared" si="132"/>
        <v>490971.51999999996</v>
      </c>
      <c r="H196" s="259"/>
      <c r="I196" s="397"/>
      <c r="J196" s="143" t="s">
        <v>51</v>
      </c>
      <c r="K196" s="384">
        <f>SUM(K173,K162,K151,K140,K127,K116,K105,K92,K81,K70,K58,K47,K36,K25,K184)</f>
        <v>275519.71999999997</v>
      </c>
      <c r="L196" s="279">
        <f>SUM(L173,L162,L151,L140,L127,L116,L105,L92,L81,L70,L58,L47,L36,L25,L184)</f>
        <v>215451.8</v>
      </c>
      <c r="M196" s="279">
        <f>SUM(M173,M162,M151,M140,M127,M116,M105,M92,M81,M70,M58,M47,M36,M25,M184)</f>
        <v>0</v>
      </c>
      <c r="N196" s="385">
        <f t="shared" si="133"/>
        <v>490971.51999999996</v>
      </c>
      <c r="O196" s="403"/>
      <c r="P196" s="397"/>
      <c r="Q196" s="397"/>
      <c r="R196" s="143" t="s">
        <v>51</v>
      </c>
      <c r="S196" s="404">
        <f>SUM(S173,S162,S151,S140,S127,S116,S105,S92,S81,S70,S58,S47,S36,S25,S184)</f>
        <v>537411.09</v>
      </c>
      <c r="T196" s="293">
        <f>SUM(T173,T162,T151,T140,T127,T116,T105,T92,T81,T70,T58,T47,T36,T25,T184)</f>
        <v>206964.47</v>
      </c>
      <c r="U196" s="293">
        <f>SUM(U173,U162,U151,U140,U127,U116,U105,U92,U81,U70,U58,U47,U36,U25,U184)</f>
        <v>0</v>
      </c>
      <c r="V196" s="145">
        <f t="shared" si="134"/>
        <v>744375.55999999994</v>
      </c>
      <c r="W196" s="447"/>
      <c r="X196" s="447"/>
    </row>
    <row r="197" spans="3:24" ht="22.5" customHeight="1" x14ac:dyDescent="0.35">
      <c r="C197" s="405" t="s">
        <v>52</v>
      </c>
      <c r="D197" s="406">
        <f>SUM(D190:D196)</f>
        <v>1509345.7977199999</v>
      </c>
      <c r="E197" s="154">
        <f>SUM(E190:E196)</f>
        <v>827102.8</v>
      </c>
      <c r="F197" s="154">
        <f t="shared" ref="F197" si="135">SUM(F190:F196)</f>
        <v>0</v>
      </c>
      <c r="G197" s="145">
        <f>SUM(D197:F197)</f>
        <v>2336448.59772</v>
      </c>
      <c r="H197" s="259"/>
      <c r="I197" s="397"/>
      <c r="J197" s="405" t="s">
        <v>52</v>
      </c>
      <c r="K197" s="386">
        <f>SUM(K190:K196)</f>
        <v>1509345.7977199999</v>
      </c>
      <c r="L197" s="387">
        <f>SUM(L190:L196)</f>
        <v>827102.8</v>
      </c>
      <c r="M197" s="387">
        <f t="shared" ref="M197" si="136">SUM(M190:M196)</f>
        <v>0</v>
      </c>
      <c r="N197" s="385">
        <f>SUM(K197:M197)</f>
        <v>2336448.59772</v>
      </c>
      <c r="O197" s="403"/>
      <c r="P197" s="397"/>
      <c r="Q197" s="397"/>
      <c r="R197" s="405" t="s">
        <v>52</v>
      </c>
      <c r="S197" s="406">
        <f>SUM(S190:S196)</f>
        <v>2306350.5177199999</v>
      </c>
      <c r="T197" s="154">
        <f>SUM(T190:T196)</f>
        <v>1431967.24</v>
      </c>
      <c r="U197" s="154">
        <f t="shared" ref="U197" si="137">SUM(U190:U196)</f>
        <v>0</v>
      </c>
      <c r="V197" s="145">
        <f>SUM(S197:U197)</f>
        <v>3738317.7577200001</v>
      </c>
      <c r="W197" s="446"/>
    </row>
    <row r="198" spans="3:24" ht="22.5" customHeight="1" x14ac:dyDescent="0.35">
      <c r="C198" s="405" t="s">
        <v>53</v>
      </c>
      <c r="D198" s="406">
        <f>D197*0.07</f>
        <v>105654.2058404</v>
      </c>
      <c r="E198" s="407">
        <f>E197*0.07</f>
        <v>57897.196000000011</v>
      </c>
      <c r="F198" s="407">
        <f t="shared" ref="F198:G198" si="138">F197*0.07</f>
        <v>0</v>
      </c>
      <c r="G198" s="408">
        <f t="shared" si="138"/>
        <v>163551.40184040001</v>
      </c>
      <c r="H198" s="259"/>
      <c r="I198" s="397"/>
      <c r="J198" s="405" t="s">
        <v>53</v>
      </c>
      <c r="K198" s="406">
        <f>K197*0.07</f>
        <v>105654.2058404</v>
      </c>
      <c r="L198" s="407">
        <f>L197*0.07</f>
        <v>57897.196000000011</v>
      </c>
      <c r="M198" s="407">
        <f t="shared" ref="M198:N198" si="139">M197*0.07</f>
        <v>0</v>
      </c>
      <c r="N198" s="408">
        <f t="shared" si="139"/>
        <v>163551.40184040001</v>
      </c>
      <c r="O198" s="403"/>
      <c r="P198" s="397"/>
      <c r="Q198" s="397"/>
      <c r="R198" s="405" t="s">
        <v>53</v>
      </c>
      <c r="S198" s="406">
        <f>S197*0.07</f>
        <v>161444.53624040002</v>
      </c>
      <c r="T198" s="407">
        <f>T197*0.07</f>
        <v>100237.70680000001</v>
      </c>
      <c r="U198" s="407">
        <f t="shared" ref="U198:V198" si="140">U197*0.07</f>
        <v>0</v>
      </c>
      <c r="V198" s="408">
        <f t="shared" si="140"/>
        <v>261682.24304040003</v>
      </c>
    </row>
    <row r="199" spans="3:24" ht="22.5" customHeight="1" thickBot="1" x14ac:dyDescent="0.4">
      <c r="C199" s="153" t="s">
        <v>11</v>
      </c>
      <c r="D199" s="155">
        <f>SUM(D197:D198)</f>
        <v>1615000.0035603999</v>
      </c>
      <c r="E199" s="150">
        <f>SUM(E197:E198)</f>
        <v>884999.99600000004</v>
      </c>
      <c r="F199" s="150">
        <f t="shared" ref="F199:G199" si="141">SUM(F197:F198)</f>
        <v>0</v>
      </c>
      <c r="G199" s="151">
        <f t="shared" si="141"/>
        <v>2499999.9995603999</v>
      </c>
      <c r="H199" s="259"/>
      <c r="I199" s="397"/>
      <c r="J199" s="153" t="s">
        <v>11</v>
      </c>
      <c r="K199" s="155">
        <f>SUM(K197:K198)</f>
        <v>1615000.0035603999</v>
      </c>
      <c r="L199" s="150">
        <f>SUM(L197:L198)</f>
        <v>884999.99600000004</v>
      </c>
      <c r="M199" s="150">
        <f t="shared" ref="M199:N199" si="142">SUM(M197:M198)</f>
        <v>0</v>
      </c>
      <c r="N199" s="151">
        <f t="shared" si="142"/>
        <v>2499999.9995603999</v>
      </c>
      <c r="O199" s="403"/>
      <c r="P199" s="397"/>
      <c r="Q199" s="397"/>
      <c r="R199" s="153" t="s">
        <v>11</v>
      </c>
      <c r="S199" s="155">
        <f>SUM(S197:S198)</f>
        <v>2467795.0539603997</v>
      </c>
      <c r="T199" s="150">
        <f>SUM(T197:T198)</f>
        <v>1532204.9468</v>
      </c>
      <c r="U199" s="150">
        <f t="shared" ref="U199:V199" si="143">SUM(U197:U198)</f>
        <v>0</v>
      </c>
      <c r="V199" s="151">
        <f t="shared" si="143"/>
        <v>4000000.0007604002</v>
      </c>
    </row>
    <row r="200" spans="3:24" ht="15.75" customHeight="1" x14ac:dyDescent="0.35">
      <c r="C200" s="397"/>
      <c r="D200" s="398"/>
      <c r="E200" s="398"/>
      <c r="F200" s="398"/>
      <c r="G200" s="397"/>
      <c r="H200" s="19"/>
      <c r="I200" s="19"/>
      <c r="J200" s="19"/>
      <c r="K200" s="19"/>
      <c r="L200" s="19"/>
      <c r="M200" s="19"/>
      <c r="N200" s="409"/>
      <c r="O200" s="410"/>
      <c r="P200" s="397"/>
      <c r="Q200" s="19"/>
      <c r="R200" s="19"/>
      <c r="S200" s="19"/>
      <c r="T200" s="19"/>
      <c r="U200" s="19"/>
      <c r="V200" s="409"/>
    </row>
    <row r="201" spans="3:24" ht="15.75" customHeight="1" x14ac:dyDescent="0.35">
      <c r="C201" s="397"/>
      <c r="D201" s="398"/>
      <c r="E201" s="398"/>
      <c r="F201" s="398"/>
      <c r="G201" s="397"/>
      <c r="H201" s="19"/>
      <c r="I201" s="19"/>
      <c r="J201" s="19"/>
      <c r="K201" s="19"/>
      <c r="L201" s="19"/>
      <c r="M201" s="19"/>
      <c r="N201" s="409"/>
      <c r="O201" s="398"/>
      <c r="P201" s="397"/>
      <c r="Q201" s="19"/>
      <c r="R201" s="19"/>
      <c r="S201" s="19"/>
      <c r="T201" s="19"/>
      <c r="U201" s="19"/>
      <c r="V201" s="409"/>
    </row>
    <row r="202" spans="3:24" ht="15.75" customHeight="1" x14ac:dyDescent="0.35">
      <c r="C202" s="397"/>
      <c r="D202" s="398"/>
      <c r="E202" s="398"/>
      <c r="F202" s="398"/>
      <c r="G202" s="397"/>
      <c r="H202" s="397"/>
      <c r="I202" s="397"/>
      <c r="J202" s="397"/>
      <c r="K202" s="397"/>
      <c r="L202" s="397"/>
      <c r="M202" s="397"/>
      <c r="N202" s="39"/>
      <c r="O202" s="397"/>
      <c r="P202" s="397"/>
      <c r="Q202" s="397"/>
      <c r="R202" s="397"/>
      <c r="S202" s="397"/>
      <c r="T202" s="446"/>
      <c r="U202" s="397"/>
      <c r="V202" s="39"/>
    </row>
    <row r="203" spans="3:24" ht="15.75" customHeight="1" x14ac:dyDescent="0.35">
      <c r="C203" s="397"/>
      <c r="D203" s="398"/>
      <c r="E203" s="398"/>
      <c r="F203" s="398"/>
      <c r="G203" s="397"/>
      <c r="H203" s="28"/>
      <c r="I203" s="28"/>
      <c r="J203" s="28"/>
      <c r="K203" s="397"/>
      <c r="L203" s="397"/>
      <c r="M203" s="397"/>
      <c r="N203" s="39"/>
      <c r="O203" s="397"/>
      <c r="P203" s="397"/>
      <c r="Q203" s="28"/>
      <c r="R203" s="28"/>
      <c r="S203" s="397"/>
      <c r="T203" s="397"/>
      <c r="U203" s="397"/>
      <c r="V203" s="39"/>
    </row>
    <row r="204" spans="3:24" ht="15.75" customHeight="1" x14ac:dyDescent="0.35">
      <c r="C204" s="397"/>
      <c r="D204" s="398"/>
      <c r="E204" s="398"/>
      <c r="F204" s="398"/>
      <c r="G204" s="397"/>
      <c r="H204" s="28"/>
      <c r="I204" s="28"/>
      <c r="J204" s="28"/>
      <c r="K204" s="397"/>
      <c r="L204" s="397"/>
      <c r="M204" s="397"/>
      <c r="N204" s="397"/>
      <c r="O204" s="397"/>
      <c r="P204" s="397"/>
      <c r="Q204" s="28"/>
      <c r="R204" s="28"/>
      <c r="S204" s="397"/>
      <c r="T204" s="397"/>
      <c r="U204" s="397"/>
      <c r="V204" s="397"/>
    </row>
    <row r="205" spans="3:24" ht="40.5" customHeight="1" x14ac:dyDescent="0.35">
      <c r="C205" s="397"/>
      <c r="D205" s="398"/>
      <c r="E205" s="398"/>
      <c r="F205" s="398"/>
      <c r="G205" s="397"/>
      <c r="H205" s="28"/>
      <c r="I205" s="28"/>
      <c r="J205" s="28"/>
      <c r="K205" s="397"/>
      <c r="L205" s="397"/>
      <c r="M205" s="397"/>
      <c r="N205" s="40"/>
      <c r="O205" s="397"/>
      <c r="P205" s="397"/>
      <c r="Q205" s="28"/>
      <c r="R205" s="28"/>
      <c r="S205" s="397"/>
      <c r="T205" s="397"/>
      <c r="U205" s="397"/>
      <c r="V205" s="40"/>
    </row>
    <row r="206" spans="3:24" ht="24.75" customHeight="1" x14ac:dyDescent="0.35">
      <c r="C206" s="397"/>
      <c r="D206" s="398"/>
      <c r="E206" s="398"/>
      <c r="F206" s="398"/>
      <c r="G206" s="397"/>
      <c r="H206" s="28"/>
      <c r="I206" s="28"/>
      <c r="J206" s="28"/>
      <c r="K206" s="397"/>
      <c r="L206" s="397"/>
      <c r="M206" s="397"/>
      <c r="N206" s="40"/>
      <c r="O206" s="397"/>
      <c r="P206" s="397"/>
      <c r="Q206" s="28"/>
      <c r="R206" s="28"/>
      <c r="S206" s="397"/>
      <c r="T206" s="397"/>
      <c r="U206" s="397"/>
      <c r="V206" s="40"/>
    </row>
    <row r="207" spans="3:24" ht="41.25" customHeight="1" x14ac:dyDescent="0.35">
      <c r="C207" s="397"/>
      <c r="D207" s="398"/>
      <c r="E207" s="398"/>
      <c r="F207" s="398"/>
      <c r="G207" s="397"/>
      <c r="H207" s="411"/>
      <c r="I207" s="411"/>
      <c r="J207" s="28"/>
      <c r="K207" s="397"/>
      <c r="L207" s="397"/>
      <c r="M207" s="397"/>
      <c r="N207" s="40"/>
      <c r="O207" s="397"/>
      <c r="P207" s="397"/>
      <c r="Q207" s="411"/>
      <c r="R207" s="28"/>
      <c r="S207" s="397"/>
      <c r="T207" s="397"/>
      <c r="U207" s="397"/>
      <c r="V207" s="40"/>
    </row>
    <row r="208" spans="3:24" ht="51.75" customHeight="1" x14ac:dyDescent="0.35">
      <c r="C208" s="397"/>
      <c r="D208" s="398"/>
      <c r="E208" s="398"/>
      <c r="F208" s="398"/>
      <c r="G208" s="397"/>
      <c r="H208" s="411"/>
      <c r="I208" s="411"/>
      <c r="J208" s="28"/>
      <c r="K208" s="397"/>
      <c r="L208" s="397"/>
      <c r="M208" s="397"/>
      <c r="N208" s="40"/>
      <c r="O208" s="397"/>
      <c r="P208" s="397"/>
      <c r="Q208" s="411"/>
      <c r="R208" s="28"/>
      <c r="S208" s="397"/>
      <c r="T208" s="397"/>
      <c r="U208" s="397"/>
      <c r="V208" s="40"/>
    </row>
    <row r="209" spans="3:22" ht="42" customHeight="1" x14ac:dyDescent="0.35">
      <c r="C209" s="397"/>
      <c r="D209" s="398"/>
      <c r="E209" s="398"/>
      <c r="F209" s="398"/>
      <c r="G209" s="397"/>
      <c r="H209" s="28"/>
      <c r="I209" s="28"/>
      <c r="J209" s="28"/>
      <c r="K209" s="397"/>
      <c r="L209" s="397"/>
      <c r="M209" s="397"/>
      <c r="N209" s="40"/>
      <c r="O209" s="397"/>
      <c r="P209" s="397"/>
      <c r="Q209" s="28"/>
      <c r="R209" s="28"/>
      <c r="S209" s="397"/>
      <c r="T209" s="397"/>
      <c r="U209" s="397"/>
      <c r="V209" s="40"/>
    </row>
    <row r="210" spans="3:22" s="37" customFormat="1" ht="42" customHeight="1" x14ac:dyDescent="0.35">
      <c r="C210" s="397"/>
      <c r="D210" s="398"/>
      <c r="E210" s="398"/>
      <c r="F210" s="398"/>
      <c r="G210" s="397"/>
      <c r="H210" s="397"/>
      <c r="I210" s="397"/>
      <c r="J210" s="28"/>
      <c r="K210" s="397"/>
      <c r="L210" s="397"/>
      <c r="M210" s="397"/>
      <c r="N210" s="40"/>
      <c r="O210" s="397"/>
      <c r="P210" s="398"/>
      <c r="Q210" s="397"/>
      <c r="R210" s="28"/>
      <c r="S210" s="397"/>
      <c r="T210" s="397"/>
      <c r="U210" s="397"/>
      <c r="V210" s="40"/>
    </row>
    <row r="211" spans="3:22" s="37" customFormat="1" ht="42" customHeight="1" x14ac:dyDescent="0.35">
      <c r="C211" s="397"/>
      <c r="D211" s="398"/>
      <c r="E211" s="398"/>
      <c r="F211" s="398"/>
      <c r="G211" s="397"/>
      <c r="H211" s="397"/>
      <c r="I211" s="397"/>
      <c r="J211" s="28"/>
      <c r="K211" s="397"/>
      <c r="L211" s="397"/>
      <c r="M211" s="397"/>
      <c r="N211" s="397"/>
      <c r="O211" s="397"/>
      <c r="P211" s="398"/>
      <c r="Q211" s="398"/>
      <c r="R211" s="398"/>
      <c r="S211" s="398"/>
      <c r="T211" s="398"/>
      <c r="U211" s="398"/>
      <c r="V211" s="398"/>
    </row>
    <row r="212" spans="3:22" s="37" customFormat="1" ht="63.75" customHeight="1" x14ac:dyDescent="0.35">
      <c r="C212" s="397"/>
      <c r="D212" s="398"/>
      <c r="E212" s="398"/>
      <c r="F212" s="398"/>
      <c r="G212" s="397"/>
      <c r="H212" s="397"/>
      <c r="I212" s="397"/>
      <c r="J212" s="39"/>
      <c r="K212" s="397"/>
      <c r="L212" s="397"/>
      <c r="M212" s="397"/>
      <c r="N212" s="397"/>
      <c r="O212" s="397"/>
      <c r="P212" s="398"/>
      <c r="Q212" s="398"/>
      <c r="R212" s="398"/>
      <c r="S212" s="398"/>
      <c r="T212" s="398"/>
      <c r="U212" s="398"/>
      <c r="V212" s="398"/>
    </row>
    <row r="213" spans="3:22" s="37" customFormat="1" ht="42" customHeight="1" x14ac:dyDescent="0.35">
      <c r="C213" s="397"/>
      <c r="D213" s="398"/>
      <c r="E213" s="398"/>
      <c r="F213" s="398"/>
      <c r="G213" s="397"/>
      <c r="H213" s="397"/>
      <c r="I213" s="397"/>
      <c r="J213" s="397"/>
      <c r="K213" s="397"/>
      <c r="L213" s="397"/>
      <c r="M213" s="397"/>
      <c r="N213" s="397"/>
      <c r="O213" s="39"/>
      <c r="P213" s="398"/>
      <c r="Q213" s="398"/>
      <c r="R213" s="398"/>
      <c r="S213" s="398"/>
      <c r="T213" s="398"/>
      <c r="U213" s="398"/>
      <c r="V213" s="398"/>
    </row>
    <row r="214" spans="3:22" ht="23.25" customHeight="1" x14ac:dyDescent="0.35">
      <c r="C214" s="397"/>
      <c r="D214" s="398"/>
      <c r="E214" s="398"/>
      <c r="F214" s="398"/>
      <c r="G214" s="397"/>
      <c r="H214" s="397"/>
      <c r="I214" s="397"/>
      <c r="J214" s="397"/>
      <c r="K214" s="397"/>
      <c r="L214" s="397"/>
      <c r="M214" s="397"/>
      <c r="N214" s="397"/>
      <c r="O214" s="397"/>
      <c r="P214" s="397"/>
      <c r="Q214" s="397"/>
      <c r="R214" s="397"/>
      <c r="S214" s="397"/>
      <c r="T214" s="397"/>
      <c r="U214" s="397"/>
      <c r="V214" s="397"/>
    </row>
    <row r="215" spans="3:22" ht="27.75" customHeight="1" x14ac:dyDescent="0.35">
      <c r="C215" s="397"/>
      <c r="D215" s="398"/>
      <c r="E215" s="398"/>
      <c r="F215" s="398"/>
      <c r="G215" s="397"/>
      <c r="H215" s="397"/>
      <c r="I215" s="397"/>
      <c r="J215" s="397"/>
      <c r="K215" s="397"/>
      <c r="L215" s="397"/>
      <c r="M215" s="397"/>
      <c r="N215" s="397"/>
      <c r="O215" s="397"/>
      <c r="P215" s="397"/>
      <c r="Q215" s="397"/>
      <c r="R215" s="397"/>
      <c r="S215" s="397"/>
      <c r="T215" s="397"/>
      <c r="U215" s="397"/>
      <c r="V215" s="397"/>
    </row>
    <row r="216" spans="3:22" ht="55.5" customHeight="1" x14ac:dyDescent="0.35">
      <c r="C216" s="397"/>
      <c r="D216" s="398"/>
      <c r="E216" s="398"/>
      <c r="F216" s="398"/>
      <c r="G216" s="397"/>
      <c r="H216" s="397"/>
      <c r="I216" s="397"/>
      <c r="J216" s="397"/>
      <c r="K216" s="397"/>
      <c r="L216" s="397"/>
      <c r="M216" s="397"/>
      <c r="N216" s="397"/>
      <c r="O216" s="397"/>
      <c r="P216" s="397"/>
      <c r="Q216" s="397"/>
      <c r="R216" s="397"/>
      <c r="S216" s="397"/>
      <c r="T216" s="397"/>
      <c r="U216" s="397"/>
      <c r="V216" s="397"/>
    </row>
    <row r="217" spans="3:22" ht="57.75" customHeight="1" x14ac:dyDescent="0.35">
      <c r="C217" s="397"/>
      <c r="D217" s="398"/>
      <c r="E217" s="398"/>
      <c r="F217" s="398"/>
      <c r="G217" s="397"/>
      <c r="H217" s="397"/>
      <c r="I217" s="397"/>
      <c r="J217" s="397"/>
      <c r="K217" s="397"/>
      <c r="L217" s="397"/>
      <c r="M217" s="397"/>
      <c r="N217" s="397"/>
      <c r="O217" s="397"/>
      <c r="P217" s="397"/>
      <c r="Q217" s="397"/>
      <c r="R217" s="397"/>
      <c r="S217" s="397"/>
      <c r="T217" s="397"/>
      <c r="U217" s="397"/>
      <c r="V217" s="397"/>
    </row>
    <row r="218" spans="3:22" ht="21.75" customHeight="1" x14ac:dyDescent="0.35">
      <c r="C218" s="397"/>
      <c r="D218" s="398"/>
      <c r="E218" s="398"/>
      <c r="F218" s="398"/>
      <c r="G218" s="397"/>
      <c r="H218" s="397"/>
      <c r="I218" s="397"/>
      <c r="J218" s="397"/>
      <c r="K218" s="397"/>
      <c r="L218" s="397"/>
      <c r="M218" s="397"/>
      <c r="N218" s="397"/>
      <c r="O218" s="397"/>
      <c r="P218" s="397"/>
      <c r="Q218" s="397"/>
      <c r="R218" s="397"/>
      <c r="S218" s="397"/>
      <c r="T218" s="397"/>
      <c r="U218" s="397"/>
      <c r="V218" s="397"/>
    </row>
    <row r="219" spans="3:22" ht="49.5" customHeight="1" x14ac:dyDescent="0.35">
      <c r="C219" s="397"/>
      <c r="D219" s="398"/>
      <c r="E219" s="398"/>
      <c r="F219" s="398"/>
      <c r="G219" s="397"/>
      <c r="H219" s="397"/>
      <c r="I219" s="397"/>
      <c r="J219" s="397"/>
      <c r="K219" s="397"/>
      <c r="L219" s="397"/>
      <c r="M219" s="397"/>
      <c r="N219" s="397"/>
      <c r="O219" s="397"/>
      <c r="P219" s="397"/>
      <c r="Q219" s="397"/>
      <c r="R219" s="397"/>
      <c r="S219" s="397"/>
      <c r="T219" s="397"/>
      <c r="U219" s="397"/>
      <c r="V219" s="397"/>
    </row>
    <row r="220" spans="3:22" ht="28.5" customHeight="1" x14ac:dyDescent="0.35">
      <c r="C220" s="397"/>
      <c r="D220" s="398"/>
      <c r="E220" s="398"/>
      <c r="F220" s="398"/>
      <c r="G220" s="397"/>
      <c r="H220" s="397"/>
      <c r="I220" s="397"/>
      <c r="J220" s="397"/>
      <c r="K220" s="397"/>
      <c r="L220" s="397"/>
      <c r="M220" s="397"/>
      <c r="N220" s="397"/>
      <c r="O220" s="397"/>
      <c r="P220" s="397"/>
      <c r="Q220" s="397"/>
      <c r="R220" s="397"/>
      <c r="S220" s="397"/>
      <c r="T220" s="397"/>
      <c r="U220" s="397"/>
      <c r="V220" s="397"/>
    </row>
    <row r="221" spans="3:22" ht="28.5" customHeight="1" x14ac:dyDescent="0.35">
      <c r="C221" s="397"/>
      <c r="D221" s="398"/>
      <c r="E221" s="398"/>
      <c r="F221" s="398"/>
      <c r="G221" s="397"/>
      <c r="H221" s="397"/>
      <c r="I221" s="397"/>
      <c r="J221" s="397"/>
      <c r="K221" s="397"/>
      <c r="L221" s="397"/>
      <c r="M221" s="397"/>
      <c r="N221" s="397"/>
      <c r="O221" s="397"/>
      <c r="P221" s="397"/>
      <c r="Q221" s="397"/>
      <c r="R221" s="397"/>
      <c r="S221" s="397"/>
      <c r="T221" s="397"/>
      <c r="U221" s="397"/>
      <c r="V221" s="397"/>
    </row>
    <row r="222" spans="3:22" ht="28.5" customHeight="1" x14ac:dyDescent="0.35">
      <c r="C222" s="397"/>
      <c r="D222" s="398"/>
      <c r="E222" s="398"/>
      <c r="F222" s="398"/>
      <c r="G222" s="397"/>
      <c r="H222" s="397"/>
      <c r="I222" s="397"/>
      <c r="J222" s="397"/>
      <c r="K222" s="397"/>
      <c r="L222" s="397"/>
      <c r="M222" s="397"/>
      <c r="N222" s="397"/>
      <c r="O222" s="397"/>
      <c r="P222" s="397"/>
      <c r="Q222" s="397"/>
      <c r="R222" s="397"/>
      <c r="S222" s="397"/>
      <c r="T222" s="397"/>
      <c r="U222" s="397"/>
      <c r="V222" s="397"/>
    </row>
    <row r="223" spans="3:22" ht="23.25" customHeight="1" x14ac:dyDescent="0.35">
      <c r="C223" s="397"/>
      <c r="D223" s="398"/>
      <c r="E223" s="398"/>
      <c r="F223" s="398"/>
      <c r="G223" s="397"/>
      <c r="H223" s="397"/>
      <c r="I223" s="397"/>
      <c r="J223" s="397"/>
      <c r="K223" s="397"/>
      <c r="L223" s="397"/>
      <c r="M223" s="397"/>
      <c r="N223" s="397"/>
      <c r="O223" s="397"/>
      <c r="P223" s="39"/>
      <c r="Q223" s="397"/>
      <c r="R223" s="397"/>
      <c r="S223" s="397"/>
      <c r="T223" s="397"/>
      <c r="U223" s="397"/>
      <c r="V223" s="397"/>
    </row>
    <row r="224" spans="3:22" ht="43.5" customHeight="1" x14ac:dyDescent="0.35">
      <c r="C224" s="397"/>
      <c r="D224" s="398"/>
      <c r="E224" s="398"/>
      <c r="F224" s="398"/>
      <c r="G224" s="397"/>
      <c r="H224" s="397"/>
      <c r="I224" s="397"/>
      <c r="J224" s="397"/>
      <c r="K224" s="397"/>
      <c r="L224" s="397"/>
      <c r="M224" s="397"/>
      <c r="N224" s="397"/>
      <c r="O224" s="397"/>
      <c r="P224" s="39"/>
      <c r="Q224" s="397"/>
      <c r="R224" s="397"/>
      <c r="S224" s="397"/>
      <c r="T224" s="397"/>
      <c r="U224" s="397"/>
      <c r="V224" s="397"/>
    </row>
    <row r="225" spans="16:16" ht="55.5" customHeight="1" x14ac:dyDescent="0.35">
      <c r="P225" s="397"/>
    </row>
    <row r="226" spans="16:16" ht="42.75" customHeight="1" x14ac:dyDescent="0.35">
      <c r="P226" s="39"/>
    </row>
    <row r="227" spans="16:16" ht="21.75" customHeight="1" x14ac:dyDescent="0.35">
      <c r="P227" s="39"/>
    </row>
    <row r="228" spans="16:16" ht="21.75" customHeight="1" x14ac:dyDescent="0.35">
      <c r="P228" s="39"/>
    </row>
    <row r="229" spans="16:16" ht="23.25" customHeight="1" x14ac:dyDescent="0.35">
      <c r="P229" s="397"/>
    </row>
    <row r="230" spans="16:16" ht="23.25" customHeight="1" x14ac:dyDescent="0.35">
      <c r="P230" s="397"/>
    </row>
    <row r="231" spans="16:16" ht="21.75" customHeight="1" x14ac:dyDescent="0.35">
      <c r="P231" s="397"/>
    </row>
    <row r="232" spans="16:16" ht="16.5" customHeight="1" x14ac:dyDescent="0.35">
      <c r="P232" s="397"/>
    </row>
    <row r="233" spans="16:16" ht="29.25" customHeight="1" x14ac:dyDescent="0.35">
      <c r="P233" s="397"/>
    </row>
    <row r="234" spans="16:16" ht="24.75" customHeight="1" x14ac:dyDescent="0.35">
      <c r="P234" s="397"/>
    </row>
    <row r="235" spans="16:16" ht="33" customHeight="1" x14ac:dyDescent="0.35">
      <c r="P235" s="397"/>
    </row>
    <row r="237" spans="16:16" ht="15" customHeight="1" x14ac:dyDescent="0.35">
      <c r="P237" s="397"/>
    </row>
    <row r="238" spans="16:16" ht="25.5" customHeight="1" x14ac:dyDescent="0.35">
      <c r="P238" s="397"/>
    </row>
  </sheetData>
  <sheetProtection formatCells="0" formatColumns="0" formatRows="0"/>
  <mergeCells count="73">
    <mergeCell ref="R187:V187"/>
    <mergeCell ref="V188:V189"/>
    <mergeCell ref="Q12:V12"/>
    <mergeCell ref="R132:V132"/>
    <mergeCell ref="R143:V143"/>
    <mergeCell ref="R154:V154"/>
    <mergeCell ref="R165:V165"/>
    <mergeCell ref="R176:V176"/>
    <mergeCell ref="Q96:V96"/>
    <mergeCell ref="R97:V97"/>
    <mergeCell ref="R108:V108"/>
    <mergeCell ref="R119:V119"/>
    <mergeCell ref="Q131:V131"/>
    <mergeCell ref="R50:V50"/>
    <mergeCell ref="Q61:V61"/>
    <mergeCell ref="R62:V62"/>
    <mergeCell ref="R73:V73"/>
    <mergeCell ref="R84:V84"/>
    <mergeCell ref="S13:V13"/>
    <mergeCell ref="Q16:V16"/>
    <mergeCell ref="R17:V17"/>
    <mergeCell ref="R28:V28"/>
    <mergeCell ref="R39:V39"/>
    <mergeCell ref="C2:F2"/>
    <mergeCell ref="C11:F11"/>
    <mergeCell ref="B16:G16"/>
    <mergeCell ref="C17:G17"/>
    <mergeCell ref="B61:G61"/>
    <mergeCell ref="G14:G15"/>
    <mergeCell ref="C5:G5"/>
    <mergeCell ref="C28:G28"/>
    <mergeCell ref="C39:G39"/>
    <mergeCell ref="C50:G50"/>
    <mergeCell ref="D13:G13"/>
    <mergeCell ref="A12:N12"/>
    <mergeCell ref="K13:N13"/>
    <mergeCell ref="I61:N61"/>
    <mergeCell ref="C176:G176"/>
    <mergeCell ref="C6:K9"/>
    <mergeCell ref="G188:G189"/>
    <mergeCell ref="C154:G154"/>
    <mergeCell ref="C165:G165"/>
    <mergeCell ref="C143:G143"/>
    <mergeCell ref="C62:G62"/>
    <mergeCell ref="C97:G97"/>
    <mergeCell ref="C108:G108"/>
    <mergeCell ref="C119:G119"/>
    <mergeCell ref="C187:G187"/>
    <mergeCell ref="B131:G131"/>
    <mergeCell ref="C132:G132"/>
    <mergeCell ref="C73:G73"/>
    <mergeCell ref="C84:G84"/>
    <mergeCell ref="B96:G96"/>
    <mergeCell ref="J62:N62"/>
    <mergeCell ref="J50:N50"/>
    <mergeCell ref="J39:N39"/>
    <mergeCell ref="J28:N28"/>
    <mergeCell ref="I16:N16"/>
    <mergeCell ref="J17:N17"/>
    <mergeCell ref="J73:N73"/>
    <mergeCell ref="J84:N84"/>
    <mergeCell ref="I96:N96"/>
    <mergeCell ref="J97:N97"/>
    <mergeCell ref="J108:N108"/>
    <mergeCell ref="J165:N165"/>
    <mergeCell ref="J176:N176"/>
    <mergeCell ref="J187:N187"/>
    <mergeCell ref="N188:N189"/>
    <mergeCell ref="J119:N119"/>
    <mergeCell ref="I131:N131"/>
    <mergeCell ref="J132:N132"/>
    <mergeCell ref="J143:N143"/>
    <mergeCell ref="J154:N154"/>
  </mergeCells>
  <conditionalFormatting sqref="D26">
    <cfRule type="cellIs" dxfId="100" priority="91" operator="notEqual">
      <formula>$D$18</formula>
    </cfRule>
  </conditionalFormatting>
  <conditionalFormatting sqref="D37">
    <cfRule type="cellIs" dxfId="99" priority="90" operator="notEqual">
      <formula>$D$29</formula>
    </cfRule>
  </conditionalFormatting>
  <conditionalFormatting sqref="D48">
    <cfRule type="cellIs" dxfId="98" priority="89" operator="notEqual">
      <formula>$D$40</formula>
    </cfRule>
  </conditionalFormatting>
  <conditionalFormatting sqref="D59">
    <cfRule type="cellIs" dxfId="97" priority="88" operator="notEqual">
      <formula>$D$51</formula>
    </cfRule>
  </conditionalFormatting>
  <conditionalFormatting sqref="D71">
    <cfRule type="cellIs" dxfId="96" priority="87" operator="notEqual">
      <formula>$D$63</formula>
    </cfRule>
  </conditionalFormatting>
  <conditionalFormatting sqref="D82">
    <cfRule type="cellIs" dxfId="95" priority="86" operator="notEqual">
      <formula>$D$74</formula>
    </cfRule>
  </conditionalFormatting>
  <conditionalFormatting sqref="D93">
    <cfRule type="cellIs" dxfId="94" priority="85" operator="notEqual">
      <formula>$D$85</formula>
    </cfRule>
  </conditionalFormatting>
  <conditionalFormatting sqref="D106">
    <cfRule type="cellIs" dxfId="93" priority="83" operator="notEqual">
      <formula>$D$98</formula>
    </cfRule>
  </conditionalFormatting>
  <conditionalFormatting sqref="D117">
    <cfRule type="cellIs" dxfId="92" priority="82" operator="notEqual">
      <formula>$D$109</formula>
    </cfRule>
  </conditionalFormatting>
  <conditionalFormatting sqref="D128">
    <cfRule type="cellIs" dxfId="91" priority="81" operator="notEqual">
      <formula>$D$120</formula>
    </cfRule>
  </conditionalFormatting>
  <conditionalFormatting sqref="D141">
    <cfRule type="cellIs" dxfId="90" priority="79" operator="notEqual">
      <formula>$D$133</formula>
    </cfRule>
  </conditionalFormatting>
  <conditionalFormatting sqref="D152">
    <cfRule type="cellIs" dxfId="89" priority="78" operator="notEqual">
      <formula>$D$144</formula>
    </cfRule>
  </conditionalFormatting>
  <conditionalFormatting sqref="D163">
    <cfRule type="cellIs" dxfId="88" priority="77" operator="notEqual">
      <formula>$D$155</formula>
    </cfRule>
  </conditionalFormatting>
  <conditionalFormatting sqref="D174">
    <cfRule type="cellIs" dxfId="87" priority="76" operator="notEqual">
      <formula>$D$166</formula>
    </cfRule>
  </conditionalFormatting>
  <conditionalFormatting sqref="D185">
    <cfRule type="cellIs" dxfId="86" priority="75" operator="notEqual">
      <formula>$D$177</formula>
    </cfRule>
  </conditionalFormatting>
  <conditionalFormatting sqref="E48">
    <cfRule type="cellIs" dxfId="85" priority="74" operator="notEqual">
      <formula>$E$40</formula>
    </cfRule>
  </conditionalFormatting>
  <conditionalFormatting sqref="F48">
    <cfRule type="cellIs" dxfId="84" priority="73" operator="notEqual">
      <formula>$F$40</formula>
    </cfRule>
  </conditionalFormatting>
  <conditionalFormatting sqref="G26">
    <cfRule type="cellIs" dxfId="83" priority="108" operator="notEqual">
      <formula>$G$18</formula>
    </cfRule>
  </conditionalFormatting>
  <conditionalFormatting sqref="G37">
    <cfRule type="cellIs" dxfId="82" priority="107" operator="notEqual">
      <formula>$G$29</formula>
    </cfRule>
  </conditionalFormatting>
  <conditionalFormatting sqref="G59">
    <cfRule type="cellIs" dxfId="81" priority="105" operator="notEqual">
      <formula>$G$51</formula>
    </cfRule>
  </conditionalFormatting>
  <conditionalFormatting sqref="G71">
    <cfRule type="cellIs" dxfId="80" priority="104" operator="notEqual">
      <formula>$G$63</formula>
    </cfRule>
  </conditionalFormatting>
  <conditionalFormatting sqref="G82">
    <cfRule type="cellIs" dxfId="79" priority="103" operator="notEqual">
      <formula>$G$74</formula>
    </cfRule>
  </conditionalFormatting>
  <conditionalFormatting sqref="G93">
    <cfRule type="cellIs" dxfId="78" priority="102" operator="notEqual">
      <formula>$G$85</formula>
    </cfRule>
  </conditionalFormatting>
  <conditionalFormatting sqref="G106">
    <cfRule type="cellIs" dxfId="77" priority="100" operator="notEqual">
      <formula>$G$98</formula>
    </cfRule>
  </conditionalFormatting>
  <conditionalFormatting sqref="G117">
    <cfRule type="cellIs" dxfId="76" priority="99" operator="notEqual">
      <formula>$G$109</formula>
    </cfRule>
  </conditionalFormatting>
  <conditionalFormatting sqref="G128">
    <cfRule type="cellIs" dxfId="75" priority="98" operator="notEqual">
      <formula>$G$120</formula>
    </cfRule>
  </conditionalFormatting>
  <conditionalFormatting sqref="G141">
    <cfRule type="cellIs" dxfId="74" priority="96" operator="notEqual">
      <formula>$G$133</formula>
    </cfRule>
  </conditionalFormatting>
  <conditionalFormatting sqref="G152">
    <cfRule type="cellIs" dxfId="73" priority="95" operator="notEqual">
      <formula>$G$144</formula>
    </cfRule>
  </conditionalFormatting>
  <conditionalFormatting sqref="G163">
    <cfRule type="cellIs" dxfId="72" priority="94" operator="notEqual">
      <formula>$G$155</formula>
    </cfRule>
  </conditionalFormatting>
  <conditionalFormatting sqref="G174">
    <cfRule type="cellIs" dxfId="71" priority="93" operator="notEqual">
      <formula>$G$166</formula>
    </cfRule>
  </conditionalFormatting>
  <conditionalFormatting sqref="G185">
    <cfRule type="cellIs" dxfId="70" priority="92" operator="notEqual">
      <formula>$G$177</formula>
    </cfRule>
  </conditionalFormatting>
  <conditionalFormatting sqref="K26">
    <cfRule type="cellIs" dxfId="69" priority="53" operator="notEqual">
      <formula>$D$18</formula>
    </cfRule>
  </conditionalFormatting>
  <conditionalFormatting sqref="K37">
    <cfRule type="cellIs" dxfId="68" priority="55" operator="notEqual">
      <formula>$D$29</formula>
    </cfRule>
  </conditionalFormatting>
  <conditionalFormatting sqref="K48">
    <cfRule type="cellIs" dxfId="67" priority="59" operator="notEqual">
      <formula>$K$40</formula>
    </cfRule>
  </conditionalFormatting>
  <conditionalFormatting sqref="K59">
    <cfRule type="cellIs" dxfId="66" priority="60" operator="notEqual">
      <formula>$D$51</formula>
    </cfRule>
  </conditionalFormatting>
  <conditionalFormatting sqref="K71">
    <cfRule type="cellIs" dxfId="65" priority="62" operator="notEqual">
      <formula>$D$63</formula>
    </cfRule>
  </conditionalFormatting>
  <conditionalFormatting sqref="K82">
    <cfRule type="cellIs" dxfId="64" priority="42" operator="notEqual">
      <formula>$D$74</formula>
    </cfRule>
  </conditionalFormatting>
  <conditionalFormatting sqref="K93">
    <cfRule type="cellIs" dxfId="63" priority="41" operator="notEqual">
      <formula>$D$85</formula>
    </cfRule>
  </conditionalFormatting>
  <conditionalFormatting sqref="K106">
    <cfRule type="cellIs" dxfId="62" priority="40" operator="notEqual">
      <formula>$D$98</formula>
    </cfRule>
  </conditionalFormatting>
  <conditionalFormatting sqref="K117">
    <cfRule type="cellIs" dxfId="61" priority="39" operator="notEqual">
      <formula>$D$109</formula>
    </cfRule>
  </conditionalFormatting>
  <conditionalFormatting sqref="K128">
    <cfRule type="cellIs" dxfId="60" priority="38" operator="notEqual">
      <formula>$D$120</formula>
    </cfRule>
  </conditionalFormatting>
  <conditionalFormatting sqref="K141">
    <cfRule type="cellIs" dxfId="59" priority="37" operator="notEqual">
      <formula>$D$133</formula>
    </cfRule>
  </conditionalFormatting>
  <conditionalFormatting sqref="K152">
    <cfRule type="cellIs" dxfId="58" priority="36" operator="notEqual">
      <formula>$D$144</formula>
    </cfRule>
  </conditionalFormatting>
  <conditionalFormatting sqref="K163">
    <cfRule type="cellIs" dxfId="57" priority="35" operator="notEqual">
      <formula>$D$155</formula>
    </cfRule>
  </conditionalFormatting>
  <conditionalFormatting sqref="K174">
    <cfRule type="cellIs" dxfId="56" priority="34" operator="notEqual">
      <formula>$D$166</formula>
    </cfRule>
  </conditionalFormatting>
  <conditionalFormatting sqref="K185">
    <cfRule type="cellIs" dxfId="55" priority="33" operator="notEqual">
      <formula>$K$177</formula>
    </cfRule>
  </conditionalFormatting>
  <conditionalFormatting sqref="L48">
    <cfRule type="cellIs" dxfId="54" priority="58" operator="notEqual">
      <formula>$E$40</formula>
    </cfRule>
  </conditionalFormatting>
  <conditionalFormatting sqref="M48">
    <cfRule type="cellIs" dxfId="53" priority="57" operator="notEqual">
      <formula>$F$40</formula>
    </cfRule>
  </conditionalFormatting>
  <conditionalFormatting sqref="N26">
    <cfRule type="cellIs" dxfId="52" priority="54" operator="notEqual">
      <formula>$G$18</formula>
    </cfRule>
  </conditionalFormatting>
  <conditionalFormatting sqref="N37">
    <cfRule type="cellIs" dxfId="51" priority="56" operator="notEqual">
      <formula>$G$29</formula>
    </cfRule>
  </conditionalFormatting>
  <conditionalFormatting sqref="N59">
    <cfRule type="cellIs" dxfId="50" priority="61" operator="notEqual">
      <formula>$G$51</formula>
    </cfRule>
  </conditionalFormatting>
  <conditionalFormatting sqref="N71">
    <cfRule type="cellIs" dxfId="49" priority="63" operator="notEqual">
      <formula>$G$63</formula>
    </cfRule>
  </conditionalFormatting>
  <conditionalFormatting sqref="N82">
    <cfRule type="cellIs" dxfId="48" priority="52" operator="notEqual">
      <formula>$G$74</formula>
    </cfRule>
  </conditionalFormatting>
  <conditionalFormatting sqref="N93">
    <cfRule type="cellIs" dxfId="47" priority="51" operator="notEqual">
      <formula>$G$85</formula>
    </cfRule>
  </conditionalFormatting>
  <conditionalFormatting sqref="N106">
    <cfRule type="cellIs" dxfId="46" priority="50" operator="notEqual">
      <formula>$G$98</formula>
    </cfRule>
  </conditionalFormatting>
  <conditionalFormatting sqref="N117">
    <cfRule type="cellIs" dxfId="45" priority="49" operator="notEqual">
      <formula>$G$109</formula>
    </cfRule>
  </conditionalFormatting>
  <conditionalFormatting sqref="N128">
    <cfRule type="cellIs" dxfId="44" priority="48" operator="notEqual">
      <formula>$G$120</formula>
    </cfRule>
  </conditionalFormatting>
  <conditionalFormatting sqref="N141">
    <cfRule type="cellIs" dxfId="43" priority="47" operator="notEqual">
      <formula>$G$133</formula>
    </cfRule>
  </conditionalFormatting>
  <conditionalFormatting sqref="N152">
    <cfRule type="cellIs" dxfId="42" priority="46" operator="notEqual">
      <formula>$G$144</formula>
    </cfRule>
  </conditionalFormatting>
  <conditionalFormatting sqref="N163">
    <cfRule type="cellIs" dxfId="41" priority="45" operator="notEqual">
      <formula>$G$155</formula>
    </cfRule>
  </conditionalFormatting>
  <conditionalFormatting sqref="N174">
    <cfRule type="cellIs" dxfId="40" priority="44" operator="notEqual">
      <formula>$G$166</formula>
    </cfRule>
  </conditionalFormatting>
  <conditionalFormatting sqref="N185">
    <cfRule type="cellIs" dxfId="39" priority="43" operator="notEqual">
      <formula>$N$177</formula>
    </cfRule>
  </conditionalFormatting>
  <conditionalFormatting sqref="S26">
    <cfRule type="cellIs" dxfId="38" priority="22" operator="notEqual">
      <formula>$D$18</formula>
    </cfRule>
  </conditionalFormatting>
  <conditionalFormatting sqref="S37">
    <cfRule type="cellIs" dxfId="37" priority="24" operator="notEqual">
      <formula>$D$29</formula>
    </cfRule>
  </conditionalFormatting>
  <conditionalFormatting sqref="S48">
    <cfRule type="cellIs" dxfId="36" priority="1" operator="notEqual">
      <formula>$S$40</formula>
    </cfRule>
  </conditionalFormatting>
  <conditionalFormatting sqref="S59">
    <cfRule type="cellIs" dxfId="35" priority="29" operator="notEqual">
      <formula>$D$51</formula>
    </cfRule>
  </conditionalFormatting>
  <conditionalFormatting sqref="S71">
    <cfRule type="cellIs" dxfId="34" priority="31" operator="notEqual">
      <formula>$S$63</formula>
    </cfRule>
  </conditionalFormatting>
  <conditionalFormatting sqref="S82">
    <cfRule type="cellIs" dxfId="33" priority="11" operator="notEqual">
      <formula>$S$74</formula>
    </cfRule>
  </conditionalFormatting>
  <conditionalFormatting sqref="S93">
    <cfRule type="cellIs" dxfId="32" priority="10" operator="notEqual">
      <formula>$D$85</formula>
    </cfRule>
  </conditionalFormatting>
  <conditionalFormatting sqref="S106">
    <cfRule type="cellIs" dxfId="31" priority="9" operator="notEqual">
      <formula>$S$98</formula>
    </cfRule>
  </conditionalFormatting>
  <conditionalFormatting sqref="S117">
    <cfRule type="cellIs" dxfId="30" priority="8" operator="notEqual">
      <formula>$S$109</formula>
    </cfRule>
  </conditionalFormatting>
  <conditionalFormatting sqref="S128">
    <cfRule type="cellIs" dxfId="29" priority="7" operator="notEqual">
      <formula>$D$120</formula>
    </cfRule>
  </conditionalFormatting>
  <conditionalFormatting sqref="S141">
    <cfRule type="cellIs" dxfId="28" priority="6" operator="notEqual">
      <formula>$D$133</formula>
    </cfRule>
  </conditionalFormatting>
  <conditionalFormatting sqref="S152">
    <cfRule type="cellIs" dxfId="27" priority="5" operator="notEqual">
      <formula>$S$144</formula>
    </cfRule>
  </conditionalFormatting>
  <conditionalFormatting sqref="S163">
    <cfRule type="cellIs" dxfId="26" priority="4" operator="notEqual">
      <formula>$D$155</formula>
    </cfRule>
  </conditionalFormatting>
  <conditionalFormatting sqref="S174">
    <cfRule type="cellIs" dxfId="25" priority="3" operator="notEqual">
      <formula>$D$166</formula>
    </cfRule>
  </conditionalFormatting>
  <conditionalFormatting sqref="S185">
    <cfRule type="cellIs" dxfId="24" priority="2" operator="notEqual">
      <formula>$S$177</formula>
    </cfRule>
  </conditionalFormatting>
  <conditionalFormatting sqref="T48">
    <cfRule type="cellIs" dxfId="23" priority="27" operator="notEqual">
      <formula>$E$40</formula>
    </cfRule>
  </conditionalFormatting>
  <conditionalFormatting sqref="U48">
    <cfRule type="cellIs" dxfId="22" priority="26" operator="notEqual">
      <formula>$F$40</formula>
    </cfRule>
  </conditionalFormatting>
  <conditionalFormatting sqref="V26">
    <cfRule type="cellIs" dxfId="21" priority="23" operator="notEqual">
      <formula>$G$18</formula>
    </cfRule>
  </conditionalFormatting>
  <conditionalFormatting sqref="V37">
    <cfRule type="cellIs" dxfId="20" priority="25" operator="notEqual">
      <formula>$G$29</formula>
    </cfRule>
  </conditionalFormatting>
  <conditionalFormatting sqref="V59">
    <cfRule type="cellIs" dxfId="19" priority="30" operator="notEqual">
      <formula>$G$51</formula>
    </cfRule>
  </conditionalFormatting>
  <conditionalFormatting sqref="V71">
    <cfRule type="cellIs" dxfId="18" priority="32" operator="notEqual">
      <formula>$V$63</formula>
    </cfRule>
  </conditionalFormatting>
  <conditionalFormatting sqref="V82">
    <cfRule type="cellIs" dxfId="17" priority="21" operator="notEqual">
      <formula>$V$74</formula>
    </cfRule>
  </conditionalFormatting>
  <conditionalFormatting sqref="V93">
    <cfRule type="cellIs" dxfId="16" priority="20" operator="notEqual">
      <formula>$G$85</formula>
    </cfRule>
  </conditionalFormatting>
  <conditionalFormatting sqref="V106">
    <cfRule type="cellIs" dxfId="15" priority="19" operator="notEqual">
      <formula>$V$98</formula>
    </cfRule>
  </conditionalFormatting>
  <conditionalFormatting sqref="V117">
    <cfRule type="cellIs" dxfId="14" priority="18" operator="notEqual">
      <formula>$V$109</formula>
    </cfRule>
  </conditionalFormatting>
  <conditionalFormatting sqref="V128">
    <cfRule type="cellIs" dxfId="13" priority="17" operator="notEqual">
      <formula>$G$120</formula>
    </cfRule>
  </conditionalFormatting>
  <conditionalFormatting sqref="V141">
    <cfRule type="cellIs" dxfId="12" priority="16" operator="notEqual">
      <formula>$G$133</formula>
    </cfRule>
  </conditionalFormatting>
  <conditionalFormatting sqref="V152">
    <cfRule type="cellIs" dxfId="11" priority="15" operator="notEqual">
      <formula>$V$144</formula>
    </cfRule>
  </conditionalFormatting>
  <conditionalFormatting sqref="V163">
    <cfRule type="cellIs" dxfId="10" priority="14" operator="notEqual">
      <formula>$G$155</formula>
    </cfRule>
  </conditionalFormatting>
  <conditionalFormatting sqref="V174">
    <cfRule type="cellIs" dxfId="9" priority="13" operator="notEqual">
      <formula>$G$166</formula>
    </cfRule>
  </conditionalFormatting>
  <conditionalFormatting sqref="V185">
    <cfRule type="cellIs" dxfId="8" priority="12" operator="notEqual">
      <formula>$V$177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5 C173 C36 C47 C58 C70 C81 C92 C105 C116 C127 C140 C151 C162 C184 C196 J70 J58 J47 J36 J25 J173 J81 J92 J105 J116 J127 J140 J151 J162 J184 J196 R70 R58 R47 R36 R25 R173 R81 R92 R105 R116 R127 R140 R151 R162 R184 R196" xr:uid="{00000000-0002-0000-03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4 C172 C35 C46 C57 C69 C80 C91 C104 C115 C126 C139 C150 C161 C183 C195 J69 J57 J46 J35 J24 J172 J80 J91 J104 J115 J126 J139 J150 J161 J183 J195 R69 R57 R46 R35 R24 R172 R80 R91 R104 R115 R126 R139 R150 R161 R183 R195" xr:uid="{00000000-0002-0000-0300-000001000000}"/>
    <dataValidation allowBlank="1" showInputMessage="1" showErrorMessage="1" prompt="Services contracted by an organization which follow the normal procurement processes." sqref="C22 C170 C33 C44 C55 C67 C78 C89 C102 C113 C124 C137 C148 C159 C181 C193 J67 J55 J44 J33 J22 J170 J78 J89 J102 J113 J124 J137 J148 J159 J181 J193 R67 R55 R44 R33 R22 R170 R78 R89 R102 R113 R124 R137 R148 R159 R181 R193" xr:uid="{00000000-0002-0000-0300-000002000000}"/>
    <dataValidation allowBlank="1" showInputMessage="1" showErrorMessage="1" prompt="Includes staff and non-staff travel paid for by the organization directly related to a project." sqref="C23 C171 C34 C45 C56 C68 C79 C90 C103 C114 C125 C138 C149 C160 C182 C194 J68 J56 J45 J34 J23 J171 J79 J90 J103 J114 J125 J138 J149 J160 J182 J194 R68 R56 R45 R34 R23 R171 R79 R90 R103 R114 R125 R138 R149 R160 R182 R194" xr:uid="{00000000-0002-0000-03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1 C169 C32 C43 C54 C66 C77 C88 C101 C112 C123 C136 C147 C158 C180 C192 J66 J54 J43 J32 J21 J169 J77 J88 J101 J112 J123 J136 J147 J158 J180 J192 R66 R54 R43 R32 R21 R169 R77 R88 R101 R112 R123 R136 R147 R158 R180 R192" xr:uid="{00000000-0002-0000-03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20 C168 C31 C42 C53 C65 C76 C87 C100 C111 C122 C135 C146 C157 C179 C191 J65 J53 J42 J31 J20 J168 J76 J87 J100 J111 J122 J135 J146 J157 J179 J191 R65 R53 R42 R31 R20 R168 R76 R87 R100 R111 R122 R135 R146 R157 R179 R191" xr:uid="{00000000-0002-0000-0300-000005000000}"/>
    <dataValidation allowBlank="1" showInputMessage="1" showErrorMessage="1" prompt="Includes all related staff and temporary staff costs including base salary, post adjustment and all staff entitlements." sqref="C19 C167 C30 C41 C52 C64 C75 C86 C99 C110 C121 C134 C145 C156 C178 C190 J64 J52 J41 J30 J19 J167 J75 J86 J99 J110 J121 J134 J145 J156 J178 J190 R64 R52 R41 R30 R19 R167 R75 R86 R99 R110 R121 R134 R145 R156 R178 R190" xr:uid="{00000000-0002-0000-0300-000006000000}"/>
    <dataValidation allowBlank="1" showInputMessage="1" showErrorMessage="1" prompt="Output totals must match the original total from Table 1, and will show as red if not. " sqref="G26 N26 V26" xr:uid="{00000000-0002-0000-0300-000007000000}"/>
  </dataValidations>
  <pageMargins left="0.7" right="0.7" top="0.75" bottom="0.75" header="0.3" footer="0.3"/>
  <pageSetup scale="74" orientation="landscape" r:id="rId1"/>
  <rowBreaks count="1" manualBreakCount="1">
    <brk id="72" max="16383" man="1"/>
  </rowBreaks>
  <ignoredErrors>
    <ignoredError sqref="F7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pageSetUpPr fitToPage="1"/>
  </sheetPr>
  <dimension ref="B1:S26"/>
  <sheetViews>
    <sheetView showGridLines="0" showZeros="0" zoomScale="60" zoomScaleNormal="60" workbookViewId="0">
      <selection activeCell="I25" sqref="I25"/>
    </sheetView>
  </sheetViews>
  <sheetFormatPr baseColWidth="10" defaultColWidth="8.81640625" defaultRowHeight="14.5" x14ac:dyDescent="0.35"/>
  <cols>
    <col min="1" max="1" width="12.453125" customWidth="1"/>
    <col min="2" max="2" width="42.54296875" customWidth="1"/>
    <col min="3" max="3" width="18.36328125" customWidth="1"/>
    <col min="4" max="4" width="16" customWidth="1"/>
    <col min="5" max="5" width="18.81640625" hidden="1" customWidth="1"/>
    <col min="6" max="6" width="14.81640625" customWidth="1"/>
    <col min="7" max="7" width="16" customWidth="1"/>
    <col min="8" max="8" width="18.81640625" bestFit="1" customWidth="1"/>
    <col min="9" max="9" width="22.453125" bestFit="1" customWidth="1"/>
    <col min="10" max="10" width="18.81640625" bestFit="1" customWidth="1"/>
    <col min="11" max="11" width="14.90625" customWidth="1"/>
    <col min="12" max="12" width="11.81640625" bestFit="1" customWidth="1"/>
    <col min="14" max="14" width="39.81640625" customWidth="1"/>
    <col min="15" max="15" width="22.453125" bestFit="1" customWidth="1"/>
    <col min="16" max="16" width="18.81640625" bestFit="1" customWidth="1"/>
    <col min="17" max="17" width="18.81640625" hidden="1" customWidth="1"/>
    <col min="18" max="18" width="14.90625" customWidth="1"/>
    <col min="19" max="19" width="11.54296875" bestFit="1" customWidth="1"/>
  </cols>
  <sheetData>
    <row r="1" spans="2:19" ht="15" thickBot="1" x14ac:dyDescent="0.4"/>
    <row r="2" spans="2:19" s="54" customFormat="1" ht="15.5" x14ac:dyDescent="0.35">
      <c r="B2" s="689" t="s">
        <v>522</v>
      </c>
      <c r="C2" s="690"/>
      <c r="D2" s="690"/>
      <c r="E2" s="690"/>
      <c r="F2" s="691"/>
      <c r="G2" s="412"/>
      <c r="H2" s="412"/>
      <c r="I2" s="412"/>
      <c r="J2" s="412"/>
      <c r="K2" s="412"/>
      <c r="L2" s="412"/>
      <c r="M2" s="412"/>
      <c r="N2" s="412"/>
      <c r="O2" s="412"/>
      <c r="P2" s="412"/>
      <c r="Q2" s="412"/>
      <c r="R2" s="412"/>
    </row>
    <row r="3" spans="2:19" s="54" customFormat="1" ht="16" thickBot="1" x14ac:dyDescent="0.4">
      <c r="B3" s="692"/>
      <c r="C3" s="693"/>
      <c r="D3" s="693"/>
      <c r="E3" s="693"/>
      <c r="F3" s="694"/>
      <c r="G3" s="412"/>
      <c r="H3" s="412"/>
      <c r="I3" s="412"/>
      <c r="J3" s="412"/>
      <c r="K3" s="412"/>
      <c r="L3" s="412"/>
      <c r="M3" s="412"/>
      <c r="N3" s="412"/>
      <c r="O3" s="412"/>
      <c r="P3" s="412"/>
      <c r="Q3" s="412"/>
      <c r="R3" s="412"/>
    </row>
    <row r="4" spans="2:19" s="54" customFormat="1" ht="24.65" customHeight="1" thickBot="1" x14ac:dyDescent="0.75">
      <c r="B4" s="700" t="s">
        <v>412</v>
      </c>
      <c r="C4" s="701"/>
      <c r="D4" s="701"/>
      <c r="E4" s="701"/>
      <c r="F4" s="701"/>
      <c r="G4" s="701"/>
      <c r="H4" s="701"/>
      <c r="I4" s="701"/>
      <c r="J4" s="701"/>
      <c r="K4" s="701"/>
      <c r="L4" s="702"/>
      <c r="M4" s="391"/>
      <c r="N4" s="698" t="s">
        <v>523</v>
      </c>
      <c r="O4" s="698"/>
      <c r="P4" s="698"/>
      <c r="Q4" s="698"/>
      <c r="R4" s="698"/>
      <c r="S4" s="698"/>
    </row>
    <row r="5" spans="2:19" s="54" customFormat="1" ht="18" customHeight="1" x14ac:dyDescent="0.35">
      <c r="B5" s="393"/>
      <c r="C5" s="696" t="s">
        <v>2</v>
      </c>
      <c r="D5" s="696"/>
      <c r="E5" s="696"/>
      <c r="F5" s="696"/>
      <c r="G5" s="696" t="s">
        <v>3</v>
      </c>
      <c r="H5" s="696"/>
      <c r="I5" s="696" t="s">
        <v>4</v>
      </c>
      <c r="J5" s="696"/>
      <c r="K5" s="696"/>
      <c r="L5" s="615" t="s">
        <v>524</v>
      </c>
      <c r="M5" s="413"/>
      <c r="N5" s="287"/>
      <c r="O5" s="697" t="s">
        <v>940</v>
      </c>
      <c r="P5" s="697"/>
      <c r="Q5" s="697"/>
      <c r="R5" s="697"/>
      <c r="S5" s="695" t="s">
        <v>524</v>
      </c>
    </row>
    <row r="6" spans="2:19" s="54" customFormat="1" ht="31" x14ac:dyDescent="0.35">
      <c r="B6" s="288"/>
      <c r="C6" s="288" t="s">
        <v>951</v>
      </c>
      <c r="D6" s="288" t="s">
        <v>952</v>
      </c>
      <c r="E6" s="288" t="s">
        <v>527</v>
      </c>
      <c r="F6" s="695" t="s">
        <v>521</v>
      </c>
      <c r="G6" s="288" t="s">
        <v>525</v>
      </c>
      <c r="H6" s="288" t="s">
        <v>526</v>
      </c>
      <c r="I6" s="288" t="s">
        <v>525</v>
      </c>
      <c r="J6" s="288" t="s">
        <v>526</v>
      </c>
      <c r="K6" s="699" t="s">
        <v>63</v>
      </c>
      <c r="L6" s="695"/>
      <c r="M6" s="413"/>
      <c r="N6" s="288"/>
      <c r="O6" s="288" t="s">
        <v>525</v>
      </c>
      <c r="P6" s="288" t="s">
        <v>526</v>
      </c>
      <c r="Q6" s="288" t="s">
        <v>527</v>
      </c>
      <c r="R6" s="695" t="s">
        <v>521</v>
      </c>
      <c r="S6" s="695"/>
    </row>
    <row r="7" spans="2:19" s="54" customFormat="1" ht="15.5" x14ac:dyDescent="0.35">
      <c r="B7" s="288"/>
      <c r="C7" s="36" t="str">
        <f>'1) Tableau budgétaire 1_Révisé'!D13</f>
        <v>PNUD</v>
      </c>
      <c r="D7" s="36" t="str">
        <f>'1) Tableau budgétaire 1_Révisé'!E13</f>
        <v>FAO</v>
      </c>
      <c r="E7" s="36"/>
      <c r="F7" s="695"/>
      <c r="G7" s="286" t="s">
        <v>7</v>
      </c>
      <c r="H7" s="286" t="s">
        <v>8</v>
      </c>
      <c r="I7" s="286" t="s">
        <v>7</v>
      </c>
      <c r="J7" s="286" t="s">
        <v>8</v>
      </c>
      <c r="K7" s="699"/>
      <c r="L7" s="695"/>
      <c r="M7" s="413"/>
      <c r="N7" s="288"/>
      <c r="O7" s="36" t="str">
        <f>'1) Tableau budgétaire 1_Révisé'!O13</f>
        <v>PNUD</v>
      </c>
      <c r="P7" s="36" t="str">
        <f>'1) Tableau budgétaire 1_Révisé'!P13</f>
        <v>FAO</v>
      </c>
      <c r="Q7" s="36">
        <f>'1) Tableau budgétaire 1_Révisé'!Q13</f>
        <v>0</v>
      </c>
      <c r="R7" s="695"/>
      <c r="S7" s="695"/>
    </row>
    <row r="8" spans="2:19" s="54" customFormat="1" ht="15.5" x14ac:dyDescent="0.35">
      <c r="B8" s="289" t="s">
        <v>528</v>
      </c>
      <c r="C8" s="519">
        <f>'2) Tableau budgétaire 2'!D190</f>
        <v>281221.70872</v>
      </c>
      <c r="D8" s="519">
        <f>'2) Tableau budgétaire 2'!E190</f>
        <v>68652</v>
      </c>
      <c r="E8" s="519">
        <f>'2) Tableau budgétaire 2'!F190</f>
        <v>0</v>
      </c>
      <c r="F8" s="520">
        <f t="shared" ref="F8:F15" si="0">SUM(C8:E8)</f>
        <v>349873.70872</v>
      </c>
      <c r="G8" s="521">
        <f>I8-C8</f>
        <v>-75000</v>
      </c>
      <c r="H8" s="519">
        <f>J8-D8</f>
        <v>0</v>
      </c>
      <c r="I8" s="521">
        <f>'2) Tableau budgétaire 2'!K190</f>
        <v>206221.70872</v>
      </c>
      <c r="J8" s="519">
        <f>'2) Tableau budgétaire 2'!L190</f>
        <v>68652</v>
      </c>
      <c r="K8" s="522">
        <f>I8+J8</f>
        <v>274873.70872</v>
      </c>
      <c r="L8" s="290">
        <f t="shared" ref="L8:L16" si="1">(K8-F8)/F8</f>
        <v>-0.21436306338759983</v>
      </c>
      <c r="M8" s="413"/>
      <c r="N8" s="289" t="s">
        <v>528</v>
      </c>
      <c r="O8" s="519">
        <f>'2) Tableau budgétaire 2'!S190</f>
        <v>340451.82871999999</v>
      </c>
      <c r="P8" s="519">
        <f>'2) Tableau budgétaire 2'!T190</f>
        <v>156715</v>
      </c>
      <c r="Q8" s="519"/>
      <c r="R8" s="520">
        <f t="shared" ref="R8:R15" si="2">SUM(O8:Q8)</f>
        <v>497166.82871999999</v>
      </c>
      <c r="S8" s="290">
        <f>(R8-K8)/R8</f>
        <v>0.44711977380372159</v>
      </c>
    </row>
    <row r="9" spans="2:19" s="54" customFormat="1" ht="15.5" x14ac:dyDescent="0.35">
      <c r="B9" s="289" t="s">
        <v>529</v>
      </c>
      <c r="C9" s="519">
        <f>'2) Tableau budgétaire 2'!D191</f>
        <v>10000</v>
      </c>
      <c r="D9" s="519">
        <f>'2) Tableau budgétaire 2'!E191</f>
        <v>246120</v>
      </c>
      <c r="E9" s="519">
        <f>'2) Tableau budgétaire 2'!F191</f>
        <v>0</v>
      </c>
      <c r="F9" s="520">
        <f t="shared" si="0"/>
        <v>256120</v>
      </c>
      <c r="G9" s="519">
        <f t="shared" ref="G9:G16" si="3">I9-C9</f>
        <v>0</v>
      </c>
      <c r="H9" s="521">
        <f t="shared" ref="H9:H16" si="4">J9-D9</f>
        <v>30600</v>
      </c>
      <c r="I9" s="519">
        <f>'2) Tableau budgétaire 2'!K191</f>
        <v>10000</v>
      </c>
      <c r="J9" s="521">
        <f>'2) Tableau budgétaire 2'!L191</f>
        <v>276720</v>
      </c>
      <c r="K9" s="522">
        <f t="shared" ref="K9:K16" si="5">I9+J9</f>
        <v>286720</v>
      </c>
      <c r="L9" s="290">
        <f t="shared" si="1"/>
        <v>0.11947524597844761</v>
      </c>
      <c r="M9" s="413"/>
      <c r="N9" s="289" t="s">
        <v>529</v>
      </c>
      <c r="O9" s="519">
        <f>'2) Tableau budgétaire 2'!S191</f>
        <v>156000</v>
      </c>
      <c r="P9" s="519">
        <f>'2) Tableau budgétaire 2'!T191</f>
        <v>338771</v>
      </c>
      <c r="Q9" s="519"/>
      <c r="R9" s="520">
        <f t="shared" si="2"/>
        <v>494771</v>
      </c>
      <c r="S9" s="290">
        <f t="shared" ref="S9:S17" si="6">(R9-K9)/R9</f>
        <v>0.42049958465633597</v>
      </c>
    </row>
    <row r="10" spans="2:19" s="54" customFormat="1" ht="31" x14ac:dyDescent="0.35">
      <c r="B10" s="289" t="s">
        <v>530</v>
      </c>
      <c r="C10" s="519">
        <f>'2) Tableau budgétaire 2'!D192</f>
        <v>77500</v>
      </c>
      <c r="D10" s="519">
        <f>'2) Tableau budgétaire 2'!E192</f>
        <v>0</v>
      </c>
      <c r="E10" s="519">
        <f>'2) Tableau budgétaire 2'!F192</f>
        <v>0</v>
      </c>
      <c r="F10" s="520">
        <f t="shared" si="0"/>
        <v>77500</v>
      </c>
      <c r="G10" s="519">
        <f t="shared" si="3"/>
        <v>0</v>
      </c>
      <c r="H10" s="519">
        <f t="shared" si="4"/>
        <v>0</v>
      </c>
      <c r="I10" s="519">
        <f>'2) Tableau budgétaire 2'!K192</f>
        <v>77500</v>
      </c>
      <c r="J10" s="519">
        <f>'2) Tableau budgétaire 2'!L192</f>
        <v>0</v>
      </c>
      <c r="K10" s="520">
        <f t="shared" si="5"/>
        <v>77500</v>
      </c>
      <c r="L10" s="291">
        <f t="shared" si="1"/>
        <v>0</v>
      </c>
      <c r="M10" s="413"/>
      <c r="N10" s="289" t="s">
        <v>530</v>
      </c>
      <c r="O10" s="519">
        <f>'2) Tableau budgétaire 2'!S192</f>
        <v>77500</v>
      </c>
      <c r="P10" s="519">
        <f>'2) Tableau budgétaire 2'!T192</f>
        <v>12572</v>
      </c>
      <c r="Q10" s="519"/>
      <c r="R10" s="520">
        <f t="shared" si="2"/>
        <v>90072</v>
      </c>
      <c r="S10" s="290">
        <f t="shared" si="6"/>
        <v>0.13957722710720313</v>
      </c>
    </row>
    <row r="11" spans="2:19" s="54" customFormat="1" ht="15.5" x14ac:dyDescent="0.35">
      <c r="B11" s="292" t="s">
        <v>531</v>
      </c>
      <c r="C11" s="519">
        <f>'2) Tableau budgétaire 2'!D193</f>
        <v>158943.93</v>
      </c>
      <c r="D11" s="519">
        <f>'2) Tableau budgétaire 2'!E193</f>
        <v>115000</v>
      </c>
      <c r="E11" s="519">
        <f>'2) Tableau budgétaire 2'!F193</f>
        <v>0</v>
      </c>
      <c r="F11" s="520">
        <f t="shared" si="0"/>
        <v>273943.93</v>
      </c>
      <c r="G11" s="521">
        <f t="shared" si="3"/>
        <v>50000</v>
      </c>
      <c r="H11" s="521">
        <f t="shared" si="4"/>
        <v>1374</v>
      </c>
      <c r="I11" s="521">
        <f>'2) Tableau budgétaire 2'!K193</f>
        <v>208943.93</v>
      </c>
      <c r="J11" s="521">
        <f>'2) Tableau budgétaire 2'!L193</f>
        <v>116374</v>
      </c>
      <c r="K11" s="522">
        <f t="shared" si="5"/>
        <v>325317.93</v>
      </c>
      <c r="L11" s="290">
        <f t="shared" si="1"/>
        <v>0.18753472654057346</v>
      </c>
      <c r="M11" s="413"/>
      <c r="N11" s="292" t="s">
        <v>531</v>
      </c>
      <c r="O11" s="519">
        <f>'2) Tableau budgétaire 2'!S193</f>
        <v>271443.93</v>
      </c>
      <c r="P11" s="519">
        <f>'2) Tableau budgétaire 2'!T193</f>
        <v>419932</v>
      </c>
      <c r="Q11" s="519"/>
      <c r="R11" s="520">
        <f t="shared" si="2"/>
        <v>691375.92999999993</v>
      </c>
      <c r="S11" s="290">
        <f t="shared" si="6"/>
        <v>0.52946303756915569</v>
      </c>
    </row>
    <row r="12" spans="2:19" s="54" customFormat="1" ht="15.5" x14ac:dyDescent="0.35">
      <c r="B12" s="289" t="s">
        <v>532</v>
      </c>
      <c r="C12" s="519">
        <f>'2) Tableau budgétaire 2'!D194</f>
        <v>26400</v>
      </c>
      <c r="D12" s="519">
        <f>'2) Tableau budgétaire 2'!E194</f>
        <v>25000</v>
      </c>
      <c r="E12" s="519">
        <f>'2) Tableau budgétaire 2'!F194</f>
        <v>0</v>
      </c>
      <c r="F12" s="520">
        <f t="shared" si="0"/>
        <v>51400</v>
      </c>
      <c r="G12" s="519">
        <f t="shared" si="3"/>
        <v>0</v>
      </c>
      <c r="H12" s="519">
        <f t="shared" si="4"/>
        <v>0</v>
      </c>
      <c r="I12" s="519">
        <f>'2) Tableau budgétaire 2'!K194</f>
        <v>26400</v>
      </c>
      <c r="J12" s="519">
        <f>'2) Tableau budgétaire 2'!L194</f>
        <v>25000</v>
      </c>
      <c r="K12" s="520">
        <f t="shared" si="5"/>
        <v>51400</v>
      </c>
      <c r="L12" s="291">
        <f t="shared" si="1"/>
        <v>0</v>
      </c>
      <c r="M12" s="413"/>
      <c r="N12" s="289" t="s">
        <v>532</v>
      </c>
      <c r="O12" s="519">
        <f>'2) Tableau budgétaire 2'!S194</f>
        <v>33400</v>
      </c>
      <c r="P12" s="519">
        <f>'2) Tableau budgétaire 2'!T194</f>
        <v>117391</v>
      </c>
      <c r="Q12" s="519"/>
      <c r="R12" s="520">
        <f t="shared" si="2"/>
        <v>150791</v>
      </c>
      <c r="S12" s="290">
        <f t="shared" si="6"/>
        <v>0.65913084998441551</v>
      </c>
    </row>
    <row r="13" spans="2:19" s="54" customFormat="1" ht="15.5" x14ac:dyDescent="0.35">
      <c r="B13" s="289" t="s">
        <v>533</v>
      </c>
      <c r="C13" s="519">
        <f>'2) Tableau budgétaire 2'!D195</f>
        <v>679760.43900000001</v>
      </c>
      <c r="D13" s="519">
        <f>'2) Tableau budgétaire 2'!E195</f>
        <v>156879</v>
      </c>
      <c r="E13" s="519">
        <f>'2) Tableau budgétaire 2'!F195</f>
        <v>0</v>
      </c>
      <c r="F13" s="520">
        <f t="shared" si="0"/>
        <v>836639.43900000001</v>
      </c>
      <c r="G13" s="521">
        <f t="shared" si="3"/>
        <v>25000</v>
      </c>
      <c r="H13" s="521">
        <f t="shared" si="4"/>
        <v>-31974</v>
      </c>
      <c r="I13" s="521">
        <f>'2) Tableau budgétaire 2'!K195</f>
        <v>704760.43900000001</v>
      </c>
      <c r="J13" s="521">
        <f>'2) Tableau budgétaire 2'!L195</f>
        <v>124905</v>
      </c>
      <c r="K13" s="522">
        <f t="shared" si="5"/>
        <v>829665.43900000001</v>
      </c>
      <c r="L13" s="290">
        <f t="shared" si="1"/>
        <v>-8.3357294372062227E-3</v>
      </c>
      <c r="M13" s="413"/>
      <c r="N13" s="289" t="s">
        <v>533</v>
      </c>
      <c r="O13" s="519">
        <f>'2) Tableau budgétaire 2'!S195</f>
        <v>890143.66899999999</v>
      </c>
      <c r="P13" s="519">
        <f>'2) Tableau budgétaire 2'!T195</f>
        <v>179621.77</v>
      </c>
      <c r="Q13" s="519"/>
      <c r="R13" s="520">
        <f t="shared" si="2"/>
        <v>1069765.439</v>
      </c>
      <c r="S13" s="290">
        <f t="shared" si="6"/>
        <v>0.22444172455640529</v>
      </c>
    </row>
    <row r="14" spans="2:19" s="54" customFormat="1" ht="15.5" x14ac:dyDescent="0.35">
      <c r="B14" s="289" t="s">
        <v>534</v>
      </c>
      <c r="C14" s="519">
        <f>'2) Tableau budgétaire 2'!D196</f>
        <v>275519.71999999997</v>
      </c>
      <c r="D14" s="519">
        <f>'2) Tableau budgétaire 2'!E196</f>
        <v>215451.8</v>
      </c>
      <c r="E14" s="519">
        <f>'2) Tableau budgétaire 2'!F196</f>
        <v>0</v>
      </c>
      <c r="F14" s="520">
        <f t="shared" si="0"/>
        <v>490971.51999999996</v>
      </c>
      <c r="G14" s="519">
        <f t="shared" si="3"/>
        <v>0</v>
      </c>
      <c r="H14" s="519">
        <f t="shared" si="4"/>
        <v>0</v>
      </c>
      <c r="I14" s="519">
        <f>'2) Tableau budgétaire 2'!K196</f>
        <v>275519.71999999997</v>
      </c>
      <c r="J14" s="519">
        <f>'2) Tableau budgétaire 2'!L196</f>
        <v>215451.8</v>
      </c>
      <c r="K14" s="520">
        <f t="shared" si="5"/>
        <v>490971.51999999996</v>
      </c>
      <c r="L14" s="291"/>
      <c r="M14" s="413"/>
      <c r="N14" s="289" t="s">
        <v>534</v>
      </c>
      <c r="O14" s="519">
        <f>'2) Tableau budgétaire 2'!S196</f>
        <v>537411.09</v>
      </c>
      <c r="P14" s="519">
        <f>'2) Tableau budgétaire 2'!T196</f>
        <v>206964.47</v>
      </c>
      <c r="Q14" s="519"/>
      <c r="R14" s="520">
        <f t="shared" si="2"/>
        <v>744375.55999999994</v>
      </c>
      <c r="S14" s="290">
        <f t="shared" si="6"/>
        <v>0.34042498654845682</v>
      </c>
    </row>
    <row r="15" spans="2:19" s="54" customFormat="1" ht="15.5" x14ac:dyDescent="0.35">
      <c r="B15" s="414" t="s">
        <v>535</v>
      </c>
      <c r="C15" s="523">
        <f>SUM(C8:C14)</f>
        <v>1509345.7977199999</v>
      </c>
      <c r="D15" s="524">
        <f>SUM(D8:D14)</f>
        <v>827102.8</v>
      </c>
      <c r="E15" s="524">
        <f t="shared" ref="E15" si="7">SUM(E8:E14)</f>
        <v>0</v>
      </c>
      <c r="F15" s="519">
        <f t="shared" si="0"/>
        <v>2336448.59772</v>
      </c>
      <c r="G15" s="519">
        <f t="shared" si="3"/>
        <v>0</v>
      </c>
      <c r="H15" s="519">
        <f t="shared" si="4"/>
        <v>0</v>
      </c>
      <c r="I15" s="519">
        <f>'2) Tableau budgétaire 2'!K197</f>
        <v>1509345.7977199999</v>
      </c>
      <c r="J15" s="519">
        <f>'2) Tableau budgétaire 2'!L197</f>
        <v>827102.8</v>
      </c>
      <c r="K15" s="520">
        <f t="shared" si="5"/>
        <v>2336448.59772</v>
      </c>
      <c r="L15" s="291"/>
      <c r="M15" s="413"/>
      <c r="N15" s="414" t="s">
        <v>535</v>
      </c>
      <c r="O15" s="523">
        <f>SUM(O8:O14)</f>
        <v>2306350.5177199999</v>
      </c>
      <c r="P15" s="523">
        <f t="shared" ref="P15:Q15" si="8">SUM(P8:P14)</f>
        <v>1431967.24</v>
      </c>
      <c r="Q15" s="523">
        <f t="shared" si="8"/>
        <v>0</v>
      </c>
      <c r="R15" s="519">
        <f t="shared" si="2"/>
        <v>3738317.7577200001</v>
      </c>
      <c r="S15" s="290">
        <f t="shared" si="6"/>
        <v>0.37500000022871255</v>
      </c>
    </row>
    <row r="16" spans="2:19" s="54" customFormat="1" ht="15.5" x14ac:dyDescent="0.35">
      <c r="B16" s="414" t="s">
        <v>536</v>
      </c>
      <c r="C16" s="523">
        <f>C15*0.07</f>
        <v>105654.2058404</v>
      </c>
      <c r="D16" s="523">
        <f>D15*0.07</f>
        <v>57897.196000000011</v>
      </c>
      <c r="E16" s="523">
        <f>E15*0.07</f>
        <v>0</v>
      </c>
      <c r="F16" s="524">
        <f>F15*0.07</f>
        <v>163551.40184040001</v>
      </c>
      <c r="G16" s="519">
        <f t="shared" si="3"/>
        <v>0</v>
      </c>
      <c r="H16" s="519">
        <f t="shared" si="4"/>
        <v>0</v>
      </c>
      <c r="I16" s="523">
        <f>I15*0.07</f>
        <v>105654.2058404</v>
      </c>
      <c r="J16" s="523">
        <f>J15*0.07</f>
        <v>57897.196000000011</v>
      </c>
      <c r="K16" s="520">
        <f t="shared" si="5"/>
        <v>163551.40184040001</v>
      </c>
      <c r="L16" s="291">
        <f t="shared" si="1"/>
        <v>0</v>
      </c>
      <c r="M16" s="413"/>
      <c r="N16" s="414" t="s">
        <v>536</v>
      </c>
      <c r="O16" s="523">
        <f>O15*0.07</f>
        <v>161444.53624040002</v>
      </c>
      <c r="P16" s="523">
        <f t="shared" ref="P16:Q16" si="9">P15*0.07</f>
        <v>100237.70680000001</v>
      </c>
      <c r="Q16" s="523">
        <f t="shared" si="9"/>
        <v>0</v>
      </c>
      <c r="R16" s="524">
        <f>R15*0.07</f>
        <v>261682.24304040003</v>
      </c>
      <c r="S16" s="290">
        <f t="shared" si="6"/>
        <v>0.37500000022871255</v>
      </c>
    </row>
    <row r="17" spans="2:19" s="54" customFormat="1" ht="20.25" customHeight="1" x14ac:dyDescent="0.35">
      <c r="B17" s="294" t="s">
        <v>63</v>
      </c>
      <c r="C17" s="524">
        <f>SUM(C15:C16)</f>
        <v>1615000.0035603999</v>
      </c>
      <c r="D17" s="524">
        <f>SUM(D15:D16)</f>
        <v>884999.99600000004</v>
      </c>
      <c r="E17" s="524">
        <f>SUM(E15:E16)</f>
        <v>0</v>
      </c>
      <c r="F17" s="524">
        <f t="shared" ref="F17" si="10">F15+F16</f>
        <v>2499999.9995603999</v>
      </c>
      <c r="G17" s="524">
        <f>SUM(G15:G16)</f>
        <v>0</v>
      </c>
      <c r="H17" s="524">
        <f>SUM(H15:H16)</f>
        <v>0</v>
      </c>
      <c r="I17" s="524">
        <f>SUM(I15:I16)</f>
        <v>1615000.0035603999</v>
      </c>
      <c r="J17" s="524">
        <f t="shared" ref="J17:K17" si="11">SUM(J15:J16)</f>
        <v>884999.99600000004</v>
      </c>
      <c r="K17" s="524">
        <f t="shared" si="11"/>
        <v>2499999.9995603999</v>
      </c>
      <c r="L17" s="295" t="s">
        <v>537</v>
      </c>
      <c r="M17" s="413"/>
      <c r="N17" s="294" t="s">
        <v>63</v>
      </c>
      <c r="O17" s="524">
        <f>SUM(O15:O16)</f>
        <v>2467795.0539603997</v>
      </c>
      <c r="P17" s="524">
        <f>SUM(P15:P16)</f>
        <v>1532204.9468</v>
      </c>
      <c r="Q17" s="524">
        <f>SUM(Q15:Q16)</f>
        <v>0</v>
      </c>
      <c r="R17" s="524">
        <f t="shared" ref="R17" si="12">R15+R16</f>
        <v>4000000.0007604002</v>
      </c>
      <c r="S17" s="290">
        <f t="shared" si="6"/>
        <v>0.37500000022871255</v>
      </c>
    </row>
    <row r="18" spans="2:19" s="54" customFormat="1" ht="16" thickBot="1" x14ac:dyDescent="0.4">
      <c r="B18" s="412"/>
      <c r="C18" s="412"/>
      <c r="D18" s="412"/>
      <c r="E18" s="412"/>
      <c r="F18" s="412"/>
      <c r="G18" s="412"/>
      <c r="H18" s="412"/>
      <c r="I18" s="412"/>
      <c r="J18" s="412"/>
      <c r="K18" s="412"/>
      <c r="L18" s="412"/>
      <c r="M18" s="413"/>
      <c r="N18" s="412"/>
      <c r="O18" s="412"/>
      <c r="P18" s="412"/>
      <c r="Q18" s="412"/>
      <c r="R18" s="412"/>
    </row>
    <row r="19" spans="2:19" s="54" customFormat="1" ht="15.5" x14ac:dyDescent="0.35">
      <c r="B19" s="610" t="s">
        <v>538</v>
      </c>
      <c r="C19" s="611"/>
      <c r="D19" s="611"/>
      <c r="E19" s="611"/>
      <c r="F19" s="613"/>
      <c r="G19" s="412"/>
      <c r="H19" s="412"/>
      <c r="I19" s="412"/>
      <c r="J19" s="412"/>
      <c r="K19" s="412"/>
      <c r="L19" s="412"/>
      <c r="M19" s="413"/>
      <c r="N19" s="610" t="s">
        <v>538</v>
      </c>
      <c r="O19" s="611"/>
      <c r="P19" s="611"/>
      <c r="Q19" s="611"/>
      <c r="R19" s="613"/>
    </row>
    <row r="20" spans="2:19" ht="31" x14ac:dyDescent="0.35">
      <c r="B20" s="16"/>
      <c r="C20" s="14" t="s">
        <v>525</v>
      </c>
      <c r="D20" s="14" t="s">
        <v>539</v>
      </c>
      <c r="E20" s="14" t="s">
        <v>540</v>
      </c>
      <c r="F20" s="17" t="s">
        <v>400</v>
      </c>
      <c r="M20" s="392"/>
      <c r="N20" s="16"/>
      <c r="O20" s="14" t="s">
        <v>525</v>
      </c>
      <c r="P20" s="14" t="s">
        <v>539</v>
      </c>
      <c r="Q20" s="14" t="s">
        <v>540</v>
      </c>
      <c r="R20" s="17" t="s">
        <v>400</v>
      </c>
    </row>
    <row r="21" spans="2:19" ht="15.5" x14ac:dyDescent="0.35">
      <c r="B21" s="16"/>
      <c r="C21" s="14" t="str">
        <f>'1) Tableau budgétaire 1_Révisé'!D13</f>
        <v>PNUD</v>
      </c>
      <c r="D21" s="14"/>
      <c r="E21" s="14"/>
      <c r="F21" s="17"/>
      <c r="M21" s="392"/>
      <c r="N21" s="16"/>
      <c r="O21" s="13" t="str">
        <f>'1) Tableau budgétaire 1_Révisé'!D579</f>
        <v>PNUD</v>
      </c>
      <c r="P21" s="13" t="str">
        <f>'1) Tableau budgétaire 1_Révisé'!E579</f>
        <v>FAO</v>
      </c>
      <c r="Q21" s="13"/>
      <c r="R21" s="6"/>
    </row>
    <row r="22" spans="2:19" ht="23.25" customHeight="1" x14ac:dyDescent="0.35">
      <c r="B22" s="15" t="s">
        <v>541</v>
      </c>
      <c r="C22" s="525">
        <f>'1) Tableau budgétaire 1_Révisé'!D580</f>
        <v>565250.00124613987</v>
      </c>
      <c r="D22" s="525">
        <f>'1) Tableau budgétaire 1_Révisé'!E580</f>
        <v>309749.99859999999</v>
      </c>
      <c r="E22" s="13">
        <f>'1) Tableau budgétaire 1_Révisé'!F580</f>
        <v>0</v>
      </c>
      <c r="F22" s="6">
        <f>'1) Tableau budgétaire 1_Révisé'!H580</f>
        <v>0.35</v>
      </c>
      <c r="M22" s="392"/>
      <c r="N22" s="15" t="s">
        <v>541</v>
      </c>
      <c r="O22" s="13">
        <f>'1) Tableau budgétaire 1_Révisé'!O580</f>
        <v>565250.00124613987</v>
      </c>
      <c r="P22" s="13">
        <f>'1) Tableau budgétaire 1_Révisé'!P580</f>
        <v>309749.99859999999</v>
      </c>
      <c r="Q22" s="13">
        <f>'1) Tableau budgétaire 1_Révisé'!Q580</f>
        <v>0</v>
      </c>
      <c r="R22" s="442">
        <f>'1) Tableau budgétaire 1_Révisé'!S580</f>
        <v>0.21874999998557562</v>
      </c>
    </row>
    <row r="23" spans="2:19" ht="24.75" customHeight="1" x14ac:dyDescent="0.35">
      <c r="B23" s="15" t="s">
        <v>542</v>
      </c>
      <c r="C23" s="525">
        <f>'1) Tableau budgétaire 1_Révisé'!D581</f>
        <v>565250.00124613987</v>
      </c>
      <c r="D23" s="525">
        <f>'1) Tableau budgétaire 1_Révisé'!E581</f>
        <v>309749.99859999999</v>
      </c>
      <c r="E23" s="13">
        <f>'1) Tableau budgétaire 1_Révisé'!F581</f>
        <v>0</v>
      </c>
      <c r="F23" s="6">
        <f>'1) Tableau budgétaire 1_Révisé'!H581</f>
        <v>0.35</v>
      </c>
      <c r="M23" s="392"/>
      <c r="N23" s="15" t="s">
        <v>542</v>
      </c>
      <c r="O23" s="13">
        <f>'1) Tableau budgétaire 1_Révisé'!O581</f>
        <v>565250.00124613987</v>
      </c>
      <c r="P23" s="13">
        <f>'1) Tableau budgétaire 1_Révisé'!P581</f>
        <v>309749.99859999999</v>
      </c>
      <c r="Q23" s="13">
        <f>'1) Tableau budgétaire 1_Révisé'!F581</f>
        <v>0</v>
      </c>
      <c r="R23" s="442">
        <f>'1) Tableau budgétaire 1_Révisé'!S581</f>
        <v>0.21874999998557562</v>
      </c>
    </row>
    <row r="24" spans="2:19" ht="24.75" customHeight="1" x14ac:dyDescent="0.35">
      <c r="B24" s="7" t="s">
        <v>543</v>
      </c>
      <c r="C24" s="526">
        <f>'1) Tableau budgétaire 1_Révisé'!D582</f>
        <v>484500.00106811995</v>
      </c>
      <c r="D24" s="526">
        <f>'1) Tableau budgétaire 1_Révisé'!E582</f>
        <v>265499.9988</v>
      </c>
      <c r="E24" s="18">
        <f>'1) Tableau budgétaire 1_Révisé'!F582</f>
        <v>0</v>
      </c>
      <c r="F24" s="8">
        <f>'1) Tableau budgétaire 1_Révisé'!H582</f>
        <v>0.3</v>
      </c>
      <c r="M24" s="392"/>
      <c r="N24" s="15" t="s">
        <v>543</v>
      </c>
      <c r="O24" s="13">
        <f>'1) Tableau budgétaire 1_Révisé'!O582</f>
        <v>484500.00106811995</v>
      </c>
      <c r="P24" s="13">
        <f>'1) Tableau budgétaire 1_Révisé'!P582</f>
        <v>265499.9988</v>
      </c>
      <c r="Q24" s="13">
        <f>'1) Tableau budgétaire 1_Révisé'!F582</f>
        <v>0</v>
      </c>
      <c r="R24" s="442">
        <f>'1) Tableau budgétaire 1_Révisé'!S582</f>
        <v>0.18749999998763625</v>
      </c>
    </row>
    <row r="25" spans="2:19" ht="15.5" x14ac:dyDescent="0.35">
      <c r="M25" s="392"/>
      <c r="N25" s="15" t="s">
        <v>544</v>
      </c>
      <c r="O25" s="13">
        <f>'1) Tableau budgétaire 1_Révisé'!O583</f>
        <v>600000</v>
      </c>
      <c r="P25" s="13">
        <f>'1) Tableau budgétaire 1_Révisé'!P583</f>
        <v>300000</v>
      </c>
      <c r="Q25" s="13">
        <f>'1) Tableau budgétaire 1_Révisé'!F585</f>
        <v>0</v>
      </c>
      <c r="R25" s="442">
        <f>'1) Tableau budgétaire 1_Révisé'!S583</f>
        <v>0.2250000000247275</v>
      </c>
    </row>
    <row r="26" spans="2:19" ht="15.5" x14ac:dyDescent="0.35">
      <c r="M26" s="392"/>
      <c r="N26" s="7" t="s">
        <v>545</v>
      </c>
      <c r="O26" s="13">
        <f>'1) Tableau budgétaire 1_Révisé'!O584</f>
        <v>300000</v>
      </c>
      <c r="P26" s="13">
        <f>'1) Tableau budgétaire 1_Révisé'!P584</f>
        <v>300000</v>
      </c>
      <c r="Q26" s="18">
        <f>'1) Tableau budgétaire 1_Révisé'!F586</f>
        <v>0</v>
      </c>
      <c r="R26" s="442">
        <f>'1) Tableau budgétaire 1_Révisé'!S584</f>
        <v>0.150000000016485</v>
      </c>
    </row>
  </sheetData>
  <sheetProtection formatCells="0" formatColumns="0" formatRows="0"/>
  <mergeCells count="14">
    <mergeCell ref="B19:F19"/>
    <mergeCell ref="N19:R19"/>
    <mergeCell ref="B2:F3"/>
    <mergeCell ref="F6:F7"/>
    <mergeCell ref="C5:F5"/>
    <mergeCell ref="G5:H5"/>
    <mergeCell ref="O5:R5"/>
    <mergeCell ref="R6:R7"/>
    <mergeCell ref="L5:L7"/>
    <mergeCell ref="N4:S4"/>
    <mergeCell ref="S5:S7"/>
    <mergeCell ref="I5:K5"/>
    <mergeCell ref="K6:K7"/>
    <mergeCell ref="B4:L4"/>
  </mergeCells>
  <dataValidations count="7">
    <dataValidation allowBlank="1" showInputMessage="1" showErrorMessage="1" prompt="Includes all related staff and temporary staff costs including base salary, post adjustment and all staff entitlements." sqref="B8 N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N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N10" xr:uid="{00000000-0002-0000-0400-000002000000}"/>
    <dataValidation allowBlank="1" showInputMessage="1" showErrorMessage="1" prompt="Includes staff and non-staff travel paid for by the organization directly related to a project." sqref="B12 N12" xr:uid="{00000000-0002-0000-0400-000003000000}"/>
    <dataValidation allowBlank="1" showInputMessage="1" showErrorMessage="1" prompt="Services contracted by an organization which follow the normal procurement processes." sqref="B11 N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N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N14" xr:uid="{00000000-0002-0000-0400-000006000000}"/>
  </dataValidations>
  <printOptions horizontalCentered="1"/>
  <pageMargins left="0.70866141732283472" right="0.70866141732283472" top="0.74803149606299213" bottom="0.74803149606299213" header="0.31496062992125984" footer="0.31496062992125984"/>
  <pageSetup scale="60" orientation="portrait" r:id="rId1"/>
  <extLst>
    <ext xmlns:x14="http://schemas.microsoft.com/office/spreadsheetml/2009/9/main" uri="{78C0D931-6437-407d-A8EE-F0AAD7539E65}">
      <x14:conditionalFormattings>
        <x14:conditionalFormatting xmlns:xm="http://schemas.microsoft.com/office/excel/2006/main">
          <x14:cfRule type="cellIs" priority="13" operator="notEqual" id="{30940866-0873-4B4C-8F9A-D7E39227A56A}">
            <xm:f>'1) Tableau budgétaire 1_Révisé'!$D$574</xm:f>
            <x14:dxf>
              <font>
                <color rgb="FF9C0006"/>
              </font>
              <fill>
                <patternFill>
                  <bgColor rgb="FFFFC7CE"/>
                </patternFill>
              </fill>
            </x14:dxf>
          </x14:cfRule>
          <xm:sqref>C17</xm:sqref>
        </x14:conditionalFormatting>
        <x14:conditionalFormatting xmlns:xm="http://schemas.microsoft.com/office/excel/2006/main">
          <x14:cfRule type="cellIs" priority="12" operator="notEqual" id="{C66B9EC7-1980-420F-A913-A8ABF227E4A5}">
            <xm:f>'1) Tableau budgétaire 1_Révisé'!$E$574</xm:f>
            <x14:dxf>
              <font>
                <color rgb="FF9C0006"/>
              </font>
              <fill>
                <patternFill>
                  <bgColor rgb="FFFFC7CE"/>
                </patternFill>
              </fill>
            </x14:dxf>
          </x14:cfRule>
          <xm:sqref>D17</xm:sqref>
        </x14:conditionalFormatting>
        <x14:conditionalFormatting xmlns:xm="http://schemas.microsoft.com/office/excel/2006/main">
          <x14:cfRule type="cellIs" priority="11" operator="notEqual" id="{8C965A6A-9090-45DA-8790-2BD3637164FB}">
            <xm:f>'1) Tableau budgétaire 1_Révisé'!$F$574</xm:f>
            <x14:dxf>
              <font>
                <color rgb="FF9C0006"/>
              </font>
              <fill>
                <patternFill>
                  <bgColor rgb="FFFFC7CE"/>
                </patternFill>
              </fill>
            </x14:dxf>
          </x14:cfRule>
          <xm:sqref>E17</xm:sqref>
        </x14:conditionalFormatting>
        <x14:conditionalFormatting xmlns:xm="http://schemas.microsoft.com/office/excel/2006/main">
          <x14:cfRule type="cellIs" priority="1" operator="notEqual" id="{42D6CD11-1CF0-40AF-8F1B-F46683A6D2D5}">
            <xm:f>'1) Tableau budgétaire 1_Révisé'!$F$574</xm:f>
            <x14:dxf>
              <font>
                <color rgb="FF9C0006"/>
              </font>
              <fill>
                <patternFill>
                  <bgColor rgb="FFFFC7CE"/>
                </patternFill>
              </fill>
            </x14:dxf>
          </x14:cfRule>
          <xm:sqref>Q17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D47"/>
  <sheetViews>
    <sheetView showGridLines="0" showZeros="0" topLeftCell="A7" zoomScale="80" zoomScaleNormal="80" zoomScaleSheetLayoutView="70" workbookViewId="0">
      <selection activeCell="A15" sqref="A15"/>
    </sheetView>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703" t="s">
        <v>546</v>
      </c>
      <c r="C2" s="704"/>
      <c r="D2" s="705"/>
    </row>
    <row r="3" spans="2:4" ht="15" thickBot="1" x14ac:dyDescent="0.4">
      <c r="B3" s="706"/>
      <c r="C3" s="707"/>
      <c r="D3" s="708"/>
    </row>
    <row r="4" spans="2:4" ht="15" thickBot="1" x14ac:dyDescent="0.4"/>
    <row r="5" spans="2:4" x14ac:dyDescent="0.35">
      <c r="B5" s="714" t="s">
        <v>547</v>
      </c>
      <c r="C5" s="715"/>
      <c r="D5" s="716"/>
    </row>
    <row r="6" spans="2:4" ht="15" thickBot="1" x14ac:dyDescent="0.4">
      <c r="B6" s="711"/>
      <c r="C6" s="712"/>
      <c r="D6" s="713"/>
    </row>
    <row r="7" spans="2:4" x14ac:dyDescent="0.35">
      <c r="B7" s="60" t="s">
        <v>548</v>
      </c>
      <c r="C7" s="709">
        <f>SUM('1) Tableau budgétaire 1_Révisé'!D35:F35,'1) Tableau budgétaire 1_Révisé'!D62:F62,'1) Tableau budgétaire 1_Révisé'!D103:F103,'1) Tableau budgétaire 1_Révisé'!D115:F115)</f>
        <v>650430.68999999994</v>
      </c>
      <c r="D7" s="710"/>
    </row>
    <row r="8" spans="2:4" x14ac:dyDescent="0.35">
      <c r="B8" s="60" t="s">
        <v>549</v>
      </c>
      <c r="C8" s="717">
        <f>SUM(D10:D14)</f>
        <v>0</v>
      </c>
      <c r="D8" s="718"/>
    </row>
    <row r="9" spans="2:4" x14ac:dyDescent="0.35">
      <c r="B9" s="61" t="s">
        <v>550</v>
      </c>
      <c r="C9" s="62" t="s">
        <v>551</v>
      </c>
      <c r="D9" s="63" t="s">
        <v>552</v>
      </c>
    </row>
    <row r="10" spans="2:4" ht="35.15" customHeight="1" x14ac:dyDescent="0.35">
      <c r="B10" s="80"/>
      <c r="C10" s="65"/>
      <c r="D10" s="66">
        <f>$C$7*C10</f>
        <v>0</v>
      </c>
    </row>
    <row r="11" spans="2:4" ht="35.15" customHeight="1" x14ac:dyDescent="0.35">
      <c r="B11" s="80"/>
      <c r="C11" s="65"/>
      <c r="D11" s="66">
        <f>C7*C11</f>
        <v>0</v>
      </c>
    </row>
    <row r="12" spans="2:4" ht="35.15" customHeight="1" x14ac:dyDescent="0.35">
      <c r="B12" s="81"/>
      <c r="C12" s="65"/>
      <c r="D12" s="66">
        <f>C7*C12</f>
        <v>0</v>
      </c>
    </row>
    <row r="13" spans="2:4" ht="35.15" customHeight="1" x14ac:dyDescent="0.35">
      <c r="B13" s="81"/>
      <c r="C13" s="65"/>
      <c r="D13" s="66">
        <f>C7*C13</f>
        <v>0</v>
      </c>
    </row>
    <row r="14" spans="2:4" ht="35.15" customHeight="1" thickBot="1" x14ac:dyDescent="0.4">
      <c r="B14" s="82"/>
      <c r="C14" s="70"/>
      <c r="D14" s="71">
        <f>C7*C14</f>
        <v>0</v>
      </c>
    </row>
    <row r="15" spans="2:4" ht="15" thickBot="1" x14ac:dyDescent="0.4"/>
    <row r="16" spans="2:4" x14ac:dyDescent="0.35">
      <c r="B16" s="714" t="s">
        <v>553</v>
      </c>
      <c r="C16" s="715"/>
      <c r="D16" s="716"/>
    </row>
    <row r="17" spans="2:4" ht="15" thickBot="1" x14ac:dyDescent="0.4">
      <c r="B17" s="719"/>
      <c r="C17" s="720"/>
      <c r="D17" s="721"/>
    </row>
    <row r="18" spans="2:4" x14ac:dyDescent="0.35">
      <c r="B18" s="60" t="s">
        <v>548</v>
      </c>
      <c r="C18" s="709">
        <f>SUM('1) Tableau budgétaire 1_Révisé'!D257:F257,'1) Tableau budgétaire 1_Révisé'!D313:F313,'1) Tableau budgétaire 1_Révisé'!D325:F325,)</f>
        <v>745615.77</v>
      </c>
      <c r="D18" s="710"/>
    </row>
    <row r="19" spans="2:4" x14ac:dyDescent="0.35">
      <c r="B19" s="60" t="s">
        <v>549</v>
      </c>
      <c r="C19" s="717">
        <f>SUM(D21:D25)</f>
        <v>0</v>
      </c>
      <c r="D19" s="718"/>
    </row>
    <row r="20" spans="2:4" x14ac:dyDescent="0.35">
      <c r="B20" s="61" t="s">
        <v>550</v>
      </c>
      <c r="C20" s="62" t="s">
        <v>551</v>
      </c>
      <c r="D20" s="63" t="s">
        <v>552</v>
      </c>
    </row>
    <row r="21" spans="2:4" ht="35.15" customHeight="1" x14ac:dyDescent="0.35">
      <c r="B21" s="64"/>
      <c r="C21" s="65"/>
      <c r="D21" s="66">
        <f>$C$18*C21</f>
        <v>0</v>
      </c>
    </row>
    <row r="22" spans="2:4" ht="35.15" customHeight="1" x14ac:dyDescent="0.35">
      <c r="B22" s="67"/>
      <c r="C22" s="65"/>
      <c r="D22" s="66">
        <f t="shared" ref="D22:D25" si="0">$C$18*C22</f>
        <v>0</v>
      </c>
    </row>
    <row r="23" spans="2:4" ht="35.15" customHeight="1" x14ac:dyDescent="0.35">
      <c r="B23" s="68"/>
      <c r="C23" s="65"/>
      <c r="D23" s="66">
        <f t="shared" si="0"/>
        <v>0</v>
      </c>
    </row>
    <row r="24" spans="2:4" ht="35.15" customHeight="1" x14ac:dyDescent="0.35">
      <c r="B24" s="68"/>
      <c r="C24" s="65"/>
      <c r="D24" s="66">
        <f t="shared" si="0"/>
        <v>0</v>
      </c>
    </row>
    <row r="25" spans="2:4" ht="35.15" customHeight="1" thickBot="1" x14ac:dyDescent="0.4">
      <c r="B25" s="69"/>
      <c r="C25" s="70"/>
      <c r="D25" s="66">
        <f t="shared" si="0"/>
        <v>0</v>
      </c>
    </row>
    <row r="26" spans="2:4" ht="15" thickBot="1" x14ac:dyDescent="0.4"/>
    <row r="27" spans="2:4" x14ac:dyDescent="0.35">
      <c r="B27" s="714" t="s">
        <v>554</v>
      </c>
      <c r="C27" s="715"/>
      <c r="D27" s="716"/>
    </row>
    <row r="28" spans="2:4" ht="15" thickBot="1" x14ac:dyDescent="0.4">
      <c r="B28" s="711"/>
      <c r="C28" s="712"/>
      <c r="D28" s="713"/>
    </row>
    <row r="29" spans="2:4" x14ac:dyDescent="0.35">
      <c r="B29" s="60" t="s">
        <v>548</v>
      </c>
      <c r="C29" s="709">
        <f>SUM('1) Tableau budgétaire 1_Révisé'!D358:F358,'1) Tableau budgétaire 1_Révisé'!D388:F388,'1) Tableau budgétaire 1_Révisé'!D400:F400)</f>
        <v>150891.79999999999</v>
      </c>
      <c r="D29" s="710"/>
    </row>
    <row r="30" spans="2:4" x14ac:dyDescent="0.35">
      <c r="B30" s="60" t="s">
        <v>549</v>
      </c>
      <c r="C30" s="717">
        <f>SUM(D32:D36)</f>
        <v>0</v>
      </c>
      <c r="D30" s="718"/>
    </row>
    <row r="31" spans="2:4" x14ac:dyDescent="0.35">
      <c r="B31" s="61" t="s">
        <v>550</v>
      </c>
      <c r="C31" s="62" t="s">
        <v>551</v>
      </c>
      <c r="D31" s="63" t="s">
        <v>552</v>
      </c>
    </row>
    <row r="32" spans="2:4" ht="35.15" customHeight="1" x14ac:dyDescent="0.35">
      <c r="B32" s="64"/>
      <c r="C32" s="65"/>
      <c r="D32" s="66">
        <f>$C$29*C32</f>
        <v>0</v>
      </c>
    </row>
    <row r="33" spans="2:4" ht="35.15" customHeight="1" x14ac:dyDescent="0.35">
      <c r="B33" s="67"/>
      <c r="C33" s="65"/>
      <c r="D33" s="66">
        <f t="shared" ref="D33:D36" si="1">$C$29*C33</f>
        <v>0</v>
      </c>
    </row>
    <row r="34" spans="2:4" ht="35.15" customHeight="1" x14ac:dyDescent="0.35">
      <c r="B34" s="68"/>
      <c r="C34" s="65"/>
      <c r="D34" s="66">
        <f t="shared" si="1"/>
        <v>0</v>
      </c>
    </row>
    <row r="35" spans="2:4" ht="35.15" customHeight="1" x14ac:dyDescent="0.35">
      <c r="B35" s="68"/>
      <c r="C35" s="65"/>
      <c r="D35" s="66">
        <f t="shared" si="1"/>
        <v>0</v>
      </c>
    </row>
    <row r="36" spans="2:4" ht="35.15" customHeight="1" thickBot="1" x14ac:dyDescent="0.4">
      <c r="B36" s="69"/>
      <c r="C36" s="70"/>
      <c r="D36" s="66">
        <f t="shared" si="1"/>
        <v>0</v>
      </c>
    </row>
    <row r="37" spans="2:4" ht="15" thickBot="1" x14ac:dyDescent="0.4"/>
    <row r="38" spans="2:4" x14ac:dyDescent="0.35">
      <c r="B38" s="714" t="s">
        <v>555</v>
      </c>
      <c r="C38" s="715"/>
      <c r="D38" s="716"/>
    </row>
    <row r="39" spans="2:4" ht="15" thickBot="1" x14ac:dyDescent="0.4">
      <c r="B39" s="711"/>
      <c r="C39" s="712"/>
      <c r="D39" s="713"/>
    </row>
    <row r="40" spans="2:4" x14ac:dyDescent="0.35">
      <c r="B40" s="60" t="s">
        <v>548</v>
      </c>
      <c r="C40" s="709">
        <f>SUM('1) Tableau budgétaire 1_Révisé'!D429:F429,'1) Tableau budgétaire 1_Révisé'!D476:F476,'1) Tableau budgétaire 1_Révisé'!D504:F504,'1) Tableau budgétaire 1_Révisé'!D516:F516)</f>
        <v>151346.62900000002</v>
      </c>
      <c r="D40" s="710"/>
    </row>
    <row r="41" spans="2:4" x14ac:dyDescent="0.35">
      <c r="B41" s="60" t="s">
        <v>549</v>
      </c>
      <c r="C41" s="717">
        <f>SUM(D43:D47)</f>
        <v>0</v>
      </c>
      <c r="D41" s="718"/>
    </row>
    <row r="42" spans="2:4" x14ac:dyDescent="0.35">
      <c r="B42" s="61" t="s">
        <v>550</v>
      </c>
      <c r="C42" s="62" t="s">
        <v>551</v>
      </c>
      <c r="D42" s="63" t="s">
        <v>552</v>
      </c>
    </row>
    <row r="43" spans="2:4" ht="35.15" customHeight="1" x14ac:dyDescent="0.35">
      <c r="B43" s="64"/>
      <c r="C43" s="65"/>
      <c r="D43" s="66">
        <f>$C$40*C43</f>
        <v>0</v>
      </c>
    </row>
    <row r="44" spans="2:4" ht="35.15" customHeight="1" x14ac:dyDescent="0.35">
      <c r="B44" s="67"/>
      <c r="C44" s="65"/>
      <c r="D44" s="66">
        <f t="shared" ref="D44:D47" si="2">$C$40*C44</f>
        <v>0</v>
      </c>
    </row>
    <row r="45" spans="2:4" ht="35.15" customHeight="1" x14ac:dyDescent="0.35">
      <c r="B45" s="68"/>
      <c r="C45" s="65"/>
      <c r="D45" s="66">
        <f t="shared" si="2"/>
        <v>0</v>
      </c>
    </row>
    <row r="46" spans="2:4" ht="35.15" customHeight="1" x14ac:dyDescent="0.35">
      <c r="B46" s="68"/>
      <c r="C46" s="65"/>
      <c r="D46" s="66">
        <f t="shared" si="2"/>
        <v>0</v>
      </c>
    </row>
    <row r="47" spans="2:4" ht="35.15" customHeight="1" thickBot="1" x14ac:dyDescent="0.4">
      <c r="B47" s="69"/>
      <c r="C47" s="70"/>
      <c r="D47" s="71">
        <f t="shared" si="2"/>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30:D30">
    <cfRule type="cellIs" dxfId="1" priority="2" operator="greaterThan">
      <formula>$C$29</formula>
    </cfRule>
  </conditionalFormatting>
  <conditionalFormatting sqref="C41:D41">
    <cfRule type="cellIs" dxfId="0"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Sheet2!$A$1:$A$170</xm:f>
          </x14:formula1>
          <xm:sqref>B10:B14 B21:B25 B32:B36 B43:B47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B2:B15"/>
  <sheetViews>
    <sheetView showGridLines="0" workbookViewId="0">
      <selection activeCell="B9" sqref="B9"/>
    </sheetView>
  </sheetViews>
  <sheetFormatPr baseColWidth="10" defaultColWidth="8.81640625" defaultRowHeight="14.5" x14ac:dyDescent="0.35"/>
  <cols>
    <col min="1" max="1" width="9" customWidth="1"/>
    <col min="2" max="2" width="73.453125" customWidth="1"/>
  </cols>
  <sheetData>
    <row r="2" spans="2:2" ht="15" thickBot="1" x14ac:dyDescent="0.4"/>
    <row r="3" spans="2:2" ht="15" thickBot="1" x14ac:dyDescent="0.4">
      <c r="B3" s="111" t="s">
        <v>556</v>
      </c>
    </row>
    <row r="4" spans="2:2" ht="54" customHeight="1" x14ac:dyDescent="0.35">
      <c r="B4" s="112" t="s">
        <v>557</v>
      </c>
    </row>
    <row r="5" spans="2:2" ht="63.75" customHeight="1" x14ac:dyDescent="0.35">
      <c r="B5" s="109" t="s">
        <v>558</v>
      </c>
    </row>
    <row r="6" spans="2:2" x14ac:dyDescent="0.35">
      <c r="B6" s="109"/>
    </row>
    <row r="7" spans="2:2" ht="58" x14ac:dyDescent="0.35">
      <c r="B7" s="108" t="s">
        <v>559</v>
      </c>
    </row>
    <row r="8" spans="2:2" x14ac:dyDescent="0.35">
      <c r="B8" s="109"/>
    </row>
    <row r="9" spans="2:2" ht="72.5" x14ac:dyDescent="0.35">
      <c r="B9" s="108" t="s">
        <v>560</v>
      </c>
    </row>
    <row r="10" spans="2:2" x14ac:dyDescent="0.35">
      <c r="B10" s="109"/>
    </row>
    <row r="11" spans="2:2" ht="29" x14ac:dyDescent="0.35">
      <c r="B11" s="109" t="s">
        <v>561</v>
      </c>
    </row>
    <row r="12" spans="2:2" x14ac:dyDescent="0.35">
      <c r="B12" s="109"/>
    </row>
    <row r="13" spans="2:2" ht="72.5" x14ac:dyDescent="0.35">
      <c r="B13" s="108" t="s">
        <v>562</v>
      </c>
    </row>
    <row r="14" spans="2:2" x14ac:dyDescent="0.35">
      <c r="B14" s="109"/>
    </row>
    <row r="15" spans="2:2" ht="58.5" thickBot="1" x14ac:dyDescent="0.4">
      <c r="B15" s="110" t="s">
        <v>563</v>
      </c>
    </row>
  </sheetData>
  <sheetProtection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89">
        <v>0</v>
      </c>
    </row>
    <row r="2" spans="1:1" x14ac:dyDescent="0.35">
      <c r="A2" s="189">
        <v>0.2</v>
      </c>
    </row>
    <row r="3" spans="1:1" x14ac:dyDescent="0.35">
      <c r="A3" s="189">
        <v>0.4</v>
      </c>
    </row>
    <row r="4" spans="1:1" x14ac:dyDescent="0.35">
      <c r="A4" s="189">
        <v>0.6</v>
      </c>
    </row>
    <row r="5" spans="1:1" x14ac:dyDescent="0.35">
      <c r="A5" s="189">
        <v>0.8</v>
      </c>
    </row>
    <row r="6" spans="1:1" x14ac:dyDescent="0.35">
      <c r="A6" s="189">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MPTF_00006_00770</ProjectId>
    <FundCode xmlns="f9695bc1-6109-4dcd-a27a-f8a0370b00e2">MPTF_00006</FundCode>
    <Comments xmlns="f9695bc1-6109-4dcd-a27a-f8a0370b00e2">Rapport financier du 15 juin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32A55741-7BF7-47D4-ABAA-6CCBB216ED88}"/>
</file>

<file path=customXml/itemProps2.xml><?xml version="1.0" encoding="utf-8"?>
<ds:datastoreItem xmlns:ds="http://schemas.openxmlformats.org/officeDocument/2006/customXml" ds:itemID="{59562683-3C01-472F-AF42-FFD147534255}"/>
</file>

<file path=customXml/itemProps3.xml><?xml version="1.0" encoding="utf-8"?>
<ds:datastoreItem xmlns:ds="http://schemas.openxmlformats.org/officeDocument/2006/customXml" ds:itemID="{80EB8100-1EDA-4C9A-9B49-C3A88AB70BD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Recap</vt:lpstr>
      <vt:lpstr>1) Tableau budgétaire 1 initial</vt:lpstr>
      <vt:lpstr>1) Tableau budgétaire 1_Rév (2)</vt:lpstr>
      <vt:lpstr>1) Tableau budgétaire 1_Révisé</vt:lpstr>
      <vt:lpstr>2) Tableau budgétaire 2</vt:lpstr>
      <vt:lpstr>5) Pour utilisation par MPTFO</vt:lpstr>
      <vt:lpstr>4) Pour utilisation par PBSO</vt:lpstr>
      <vt:lpstr>3) Notes d'explication</vt:lpstr>
      <vt:lpstr>Dropdowns</vt:lpstr>
      <vt:lpstr>Sheet2</vt:lpstr>
      <vt:lpstr>'5) Pour utilisation par MPTFO'!Zone_d_impression</vt:lpstr>
      <vt:lpstr>Recap!Zone_d_impression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090624_Rapport Financier- BFA East 125231 - Cost Extension_FINAL_PREGEC_UNDP+FAO.xlsx</dc:title>
  <dc:subject/>
  <dc:creator>Jelena Zelenovic</dc:creator>
  <cp:keywords/>
  <dc:description/>
  <cp:lastModifiedBy>Abdoulaye Fadiga</cp:lastModifiedBy>
  <cp:revision/>
  <dcterms:created xsi:type="dcterms:W3CDTF">2017-11-15T21:17:43Z</dcterms:created>
  <dcterms:modified xsi:type="dcterms:W3CDTF">2024-06-26T09:38:26Z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