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undp-my.sharepoint.com/personal/ahmad_rashid_watanpahl_undp_org/Documents/1. Papua New Guinea/1. Creating Conditions for Peace [CCfP]/03. Reports/QPR &amp;APR/Completion Report 2024/"/>
    </mc:Choice>
  </mc:AlternateContent>
  <xr:revisionPtr revIDLastSave="293" documentId="8_{1B06AE2A-DB5D-A64A-9159-7761D311F9EE}" xr6:coauthVersionLast="47" xr6:coauthVersionMax="47" xr10:uidLastSave="{49AA3663-6989-4637-9282-16466CA9003E}"/>
  <bookViews>
    <workbookView xWindow="-110" yWindow="-110" windowWidth="19420" windowHeight="10300" xr2:uid="{00000000-000D-0000-FFFF-FFFF00000000}"/>
  </bookViews>
  <sheets>
    <sheet name="1) Budget Table" sheetId="1" r:id="rId1"/>
    <sheet name="2) By Category" sheetId="5" r:id="rId2"/>
    <sheet name="3) Explanatory Notes" sheetId="3" r:id="rId3"/>
    <sheet name="4) For PBSO Use" sheetId="6" r:id="rId4"/>
    <sheet name="5)For MPTFO Use" sheetId="4" r:id="rId5"/>
    <sheet name="Dropdowns" sheetId="8" state="hidden" r:id="rId6"/>
    <sheet name="Sheet2" sheetId="7"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87" i="1" l="1"/>
  <c r="J186" i="1"/>
  <c r="J185" i="1"/>
  <c r="J184" i="1"/>
  <c r="J122" i="1"/>
  <c r="J121" i="1"/>
  <c r="J112" i="1"/>
  <c r="J103" i="1"/>
  <c r="J60" i="1"/>
  <c r="J33" i="1"/>
  <c r="J30" i="1"/>
  <c r="J28" i="1"/>
  <c r="J105" i="1" l="1"/>
  <c r="J104" i="1"/>
  <c r="J102" i="1"/>
  <c r="J59" i="1"/>
  <c r="J32" i="1"/>
  <c r="J19" i="1"/>
  <c r="J17" i="1"/>
  <c r="J18" i="1"/>
  <c r="J29" i="1" l="1"/>
  <c r="J16" i="1"/>
  <c r="J111" i="1"/>
  <c r="J27" i="1"/>
  <c r="J26" i="1"/>
  <c r="J101" i="1" l="1"/>
  <c r="J34" i="1"/>
  <c r="J61" i="1" l="1"/>
  <c r="J31" i="1"/>
  <c r="J188" i="1" l="1"/>
  <c r="J35" i="1"/>
  <c r="E108" i="5"/>
  <c r="E34" i="5"/>
  <c r="E32" i="5"/>
  <c r="E30" i="5"/>
  <c r="E29" i="5"/>
  <c r="E28" i="5"/>
  <c r="D196" i="5"/>
  <c r="D199" i="5"/>
  <c r="H33" i="1"/>
  <c r="H34" i="1"/>
  <c r="G35" i="1"/>
  <c r="F35" i="1"/>
  <c r="E35" i="1"/>
  <c r="D35" i="1"/>
  <c r="J67" i="1"/>
  <c r="G67" i="1"/>
  <c r="F67" i="1"/>
  <c r="E67" i="1"/>
  <c r="D67" i="1"/>
  <c r="G214" i="5"/>
  <c r="G213" i="5"/>
  <c r="G212" i="5"/>
  <c r="G211" i="5"/>
  <c r="G210" i="5"/>
  <c r="F10" i="4"/>
  <c r="G209" i="5"/>
  <c r="F9" i="4"/>
  <c r="G208" i="5"/>
  <c r="F8" i="4"/>
  <c r="D215" i="1"/>
  <c r="G215" i="5"/>
  <c r="G216" i="5"/>
  <c r="H198" i="5"/>
  <c r="H191" i="5"/>
  <c r="H175" i="5"/>
  <c r="H156" i="5"/>
  <c r="H120" i="5"/>
  <c r="H78" i="5"/>
  <c r="H42" i="5"/>
  <c r="H41" i="5"/>
  <c r="H40" i="5"/>
  <c r="H39" i="5"/>
  <c r="H34" i="5"/>
  <c r="H33" i="5"/>
  <c r="H31" i="5"/>
  <c r="H30" i="5"/>
  <c r="H29" i="5"/>
  <c r="H28" i="5"/>
  <c r="H23" i="5"/>
  <c r="H22" i="5"/>
  <c r="H21" i="5"/>
  <c r="H20" i="5"/>
  <c r="H19" i="5"/>
  <c r="H18" i="5"/>
  <c r="H17" i="5"/>
  <c r="H187" i="1"/>
  <c r="H186" i="1"/>
  <c r="H185" i="1"/>
  <c r="H184" i="1"/>
  <c r="H188" i="1"/>
  <c r="G217" i="5"/>
  <c r="F11" i="4"/>
  <c r="F13" i="4"/>
  <c r="D188" i="1"/>
  <c r="E207" i="5"/>
  <c r="F207" i="5"/>
  <c r="G207" i="5"/>
  <c r="D207" i="5"/>
  <c r="H196" i="5"/>
  <c r="H197" i="5"/>
  <c r="H199" i="5"/>
  <c r="H200" i="5"/>
  <c r="H201" i="5"/>
  <c r="H202" i="5"/>
  <c r="H185" i="5"/>
  <c r="H186" i="5"/>
  <c r="H187" i="5"/>
  <c r="H188" i="5"/>
  <c r="H189" i="5"/>
  <c r="H190" i="5"/>
  <c r="H174" i="5"/>
  <c r="H176" i="5"/>
  <c r="H177" i="5"/>
  <c r="H178" i="5"/>
  <c r="H179" i="5"/>
  <c r="H180" i="5"/>
  <c r="H163" i="5"/>
  <c r="H164" i="5"/>
  <c r="H165" i="5"/>
  <c r="H166" i="5"/>
  <c r="H167" i="5"/>
  <c r="H168" i="5"/>
  <c r="H169" i="5"/>
  <c r="H152" i="5"/>
  <c r="H153" i="5"/>
  <c r="H154" i="5"/>
  <c r="H155" i="5"/>
  <c r="H157" i="5"/>
  <c r="H158" i="5"/>
  <c r="H140" i="5"/>
  <c r="H141" i="5"/>
  <c r="H142" i="5"/>
  <c r="H143" i="5"/>
  <c r="H144" i="5"/>
  <c r="H145" i="5"/>
  <c r="H146" i="5"/>
  <c r="H129" i="5"/>
  <c r="H130" i="5"/>
  <c r="H131" i="5"/>
  <c r="H132" i="5"/>
  <c r="H133" i="5"/>
  <c r="H134" i="5"/>
  <c r="H135" i="5"/>
  <c r="H118" i="5"/>
  <c r="H119" i="5"/>
  <c r="H121" i="5"/>
  <c r="H122" i="5"/>
  <c r="H123" i="5"/>
  <c r="H124" i="5"/>
  <c r="H107" i="5"/>
  <c r="H108" i="5"/>
  <c r="H109" i="5"/>
  <c r="H110" i="5"/>
  <c r="H111" i="5"/>
  <c r="H112" i="5"/>
  <c r="H113" i="5"/>
  <c r="H95" i="5"/>
  <c r="H96" i="5"/>
  <c r="H97" i="5"/>
  <c r="H98" i="5"/>
  <c r="H99" i="5"/>
  <c r="H100" i="5"/>
  <c r="H101" i="5"/>
  <c r="H84" i="5"/>
  <c r="H85" i="5"/>
  <c r="H86" i="5"/>
  <c r="H87" i="5"/>
  <c r="H88" i="5"/>
  <c r="H89" i="5"/>
  <c r="H90" i="5"/>
  <c r="H79" i="5"/>
  <c r="H73" i="5"/>
  <c r="H74" i="5"/>
  <c r="H75" i="5"/>
  <c r="H76" i="5"/>
  <c r="H77" i="5"/>
  <c r="H62" i="5"/>
  <c r="H63" i="5"/>
  <c r="H64" i="5"/>
  <c r="H65" i="5"/>
  <c r="H66" i="5"/>
  <c r="H67" i="5"/>
  <c r="H68" i="5"/>
  <c r="H50" i="5"/>
  <c r="H51" i="5"/>
  <c r="H52" i="5"/>
  <c r="H53" i="5"/>
  <c r="H54" i="5"/>
  <c r="H55" i="5"/>
  <c r="H56" i="5"/>
  <c r="H43" i="5"/>
  <c r="H44" i="5"/>
  <c r="H45" i="5"/>
  <c r="G35" i="5"/>
  <c r="H32" i="5"/>
  <c r="H175" i="1"/>
  <c r="H174" i="1"/>
  <c r="H176" i="1"/>
  <c r="H177" i="1"/>
  <c r="H178" i="1"/>
  <c r="H179" i="1"/>
  <c r="H180" i="1"/>
  <c r="H173" i="1"/>
  <c r="H164" i="1"/>
  <c r="H165" i="1"/>
  <c r="H166" i="1"/>
  <c r="H167" i="1"/>
  <c r="H168" i="1"/>
  <c r="H169" i="1"/>
  <c r="H170" i="1"/>
  <c r="H163" i="1"/>
  <c r="H154" i="1"/>
  <c r="H155" i="1"/>
  <c r="H156" i="1"/>
  <c r="H157" i="1"/>
  <c r="H158" i="1"/>
  <c r="H159" i="1"/>
  <c r="H160" i="1"/>
  <c r="H153" i="1"/>
  <c r="H144" i="1"/>
  <c r="H145" i="1"/>
  <c r="H146" i="1"/>
  <c r="H147" i="1"/>
  <c r="H148" i="1"/>
  <c r="H149" i="1"/>
  <c r="H150" i="1"/>
  <c r="H143" i="1"/>
  <c r="H132" i="1"/>
  <c r="H133" i="1"/>
  <c r="H134" i="1"/>
  <c r="H135" i="1"/>
  <c r="H136" i="1"/>
  <c r="H137" i="1"/>
  <c r="H138" i="1"/>
  <c r="H131" i="1"/>
  <c r="H122" i="1"/>
  <c r="H123" i="1"/>
  <c r="H124" i="1"/>
  <c r="H125" i="1"/>
  <c r="H126" i="1"/>
  <c r="H127" i="1"/>
  <c r="H128" i="1"/>
  <c r="H121" i="1"/>
  <c r="I129" i="1" s="1"/>
  <c r="H112" i="1"/>
  <c r="H113" i="1"/>
  <c r="H114" i="1"/>
  <c r="H115" i="1"/>
  <c r="H116" i="1"/>
  <c r="H117" i="1"/>
  <c r="H118" i="1"/>
  <c r="H111" i="1"/>
  <c r="H102" i="1"/>
  <c r="H103" i="1"/>
  <c r="H104" i="1"/>
  <c r="H105" i="1"/>
  <c r="H106" i="1"/>
  <c r="H107" i="1"/>
  <c r="H108" i="1"/>
  <c r="H101" i="1"/>
  <c r="H90" i="1"/>
  <c r="H91" i="1"/>
  <c r="H92" i="1"/>
  <c r="H93" i="1"/>
  <c r="H94" i="1"/>
  <c r="H95" i="1"/>
  <c r="H96" i="1"/>
  <c r="H89" i="1"/>
  <c r="H80" i="1"/>
  <c r="H81" i="1"/>
  <c r="H82" i="1"/>
  <c r="H83" i="1"/>
  <c r="H84" i="1"/>
  <c r="H85" i="1"/>
  <c r="H86" i="1"/>
  <c r="H79" i="1"/>
  <c r="H70" i="1"/>
  <c r="H71" i="1"/>
  <c r="H72" i="1"/>
  <c r="H73" i="1"/>
  <c r="H74" i="1"/>
  <c r="H75" i="1"/>
  <c r="H76" i="1"/>
  <c r="H69" i="1"/>
  <c r="H60" i="1"/>
  <c r="H61" i="1"/>
  <c r="H62" i="1"/>
  <c r="H63" i="1"/>
  <c r="H64" i="1"/>
  <c r="H65" i="1"/>
  <c r="H66" i="1"/>
  <c r="H59" i="1"/>
  <c r="H48" i="1"/>
  <c r="H49" i="1"/>
  <c r="H50" i="1"/>
  <c r="H51" i="1"/>
  <c r="H52" i="1"/>
  <c r="H53" i="1"/>
  <c r="H54" i="1"/>
  <c r="H47" i="1"/>
  <c r="H38" i="1"/>
  <c r="H39" i="1"/>
  <c r="H40" i="1"/>
  <c r="H41" i="1"/>
  <c r="H42" i="1"/>
  <c r="H43" i="1"/>
  <c r="H44" i="1"/>
  <c r="H37" i="1"/>
  <c r="H27" i="1"/>
  <c r="H28" i="1"/>
  <c r="H29" i="1"/>
  <c r="H30" i="1"/>
  <c r="H31" i="1"/>
  <c r="H32" i="1"/>
  <c r="H26" i="1"/>
  <c r="H17" i="1"/>
  <c r="H18" i="1"/>
  <c r="H19" i="1"/>
  <c r="H20" i="1"/>
  <c r="H21" i="1"/>
  <c r="H22" i="1"/>
  <c r="H23" i="1"/>
  <c r="H16" i="1"/>
  <c r="F21" i="4"/>
  <c r="C7" i="4"/>
  <c r="F14" i="4"/>
  <c r="F7" i="4"/>
  <c r="G203" i="5"/>
  <c r="G192" i="5"/>
  <c r="G181" i="5"/>
  <c r="G170" i="5"/>
  <c r="G159" i="5"/>
  <c r="G147" i="5"/>
  <c r="G136" i="5"/>
  <c r="G125" i="5"/>
  <c r="G114" i="5"/>
  <c r="G102" i="5"/>
  <c r="G91" i="5"/>
  <c r="G80" i="5"/>
  <c r="G69" i="5"/>
  <c r="G61" i="5"/>
  <c r="G57" i="5"/>
  <c r="G46" i="5"/>
  <c r="G24" i="5"/>
  <c r="G13" i="5"/>
  <c r="G206" i="1"/>
  <c r="G198" i="1"/>
  <c r="G188" i="1"/>
  <c r="G195" i="5"/>
  <c r="G181" i="1"/>
  <c r="G184" i="5"/>
  <c r="G171" i="1"/>
  <c r="G173" i="5"/>
  <c r="G161" i="1"/>
  <c r="G162" i="5"/>
  <c r="G151" i="1"/>
  <c r="G139" i="1"/>
  <c r="G139" i="5"/>
  <c r="G129" i="1"/>
  <c r="G128" i="5"/>
  <c r="G119" i="1"/>
  <c r="G117" i="5"/>
  <c r="G109" i="1"/>
  <c r="G106" i="5"/>
  <c r="G97" i="1"/>
  <c r="G94" i="5"/>
  <c r="G87" i="1"/>
  <c r="G83" i="5"/>
  <c r="G77" i="1"/>
  <c r="G72" i="5"/>
  <c r="G55" i="1"/>
  <c r="G49" i="5"/>
  <c r="G45" i="1"/>
  <c r="G38" i="5"/>
  <c r="G27" i="5"/>
  <c r="G24" i="1"/>
  <c r="I35" i="1"/>
  <c r="H35" i="1"/>
  <c r="I67" i="1"/>
  <c r="H67" i="1"/>
  <c r="H24" i="1"/>
  <c r="G199" i="1"/>
  <c r="G151" i="5"/>
  <c r="G16" i="5"/>
  <c r="I24" i="1"/>
  <c r="F12" i="4"/>
  <c r="H24" i="4"/>
  <c r="H23" i="4"/>
  <c r="H22" i="4"/>
  <c r="G200" i="1"/>
  <c r="G201" i="1"/>
  <c r="F15" i="4"/>
  <c r="F16" i="4"/>
  <c r="F17" i="4"/>
  <c r="G209" i="1"/>
  <c r="G208" i="1"/>
  <c r="G207" i="1"/>
  <c r="J181" i="1"/>
  <c r="J171" i="1"/>
  <c r="J161" i="1"/>
  <c r="J151" i="1"/>
  <c r="J139" i="1"/>
  <c r="J129" i="1"/>
  <c r="J119" i="1"/>
  <c r="J109" i="1"/>
  <c r="J97" i="1"/>
  <c r="J87" i="1"/>
  <c r="J77" i="1"/>
  <c r="J55" i="1"/>
  <c r="J45" i="1"/>
  <c r="J24" i="1"/>
  <c r="G210" i="1"/>
  <c r="F25" i="4"/>
  <c r="F22" i="4"/>
  <c r="I210" i="1"/>
  <c r="D208" i="5"/>
  <c r="D21" i="4"/>
  <c r="E21" i="4"/>
  <c r="C21" i="4"/>
  <c r="D7" i="4"/>
  <c r="E7" i="4"/>
  <c r="E214" i="5"/>
  <c r="F214" i="5"/>
  <c r="E213" i="5"/>
  <c r="F213" i="5"/>
  <c r="E13" i="4"/>
  <c r="E212" i="5"/>
  <c r="F212" i="5"/>
  <c r="E211" i="5"/>
  <c r="F211" i="5"/>
  <c r="E210" i="5"/>
  <c r="F210" i="5"/>
  <c r="E209" i="5"/>
  <c r="F209" i="5"/>
  <c r="D210" i="5"/>
  <c r="D211" i="5"/>
  <c r="D212" i="5"/>
  <c r="D213" i="5"/>
  <c r="D214" i="5"/>
  <c r="D209" i="5"/>
  <c r="E208" i="5"/>
  <c r="F208" i="5"/>
  <c r="H213" i="5"/>
  <c r="H209" i="5"/>
  <c r="H211" i="5"/>
  <c r="H214" i="5"/>
  <c r="H210" i="5"/>
  <c r="H212" i="5"/>
  <c r="H208" i="5"/>
  <c r="D215" i="5"/>
  <c r="D216" i="5"/>
  <c r="D217" i="5"/>
  <c r="D161" i="1"/>
  <c r="E161" i="1"/>
  <c r="D13" i="5"/>
  <c r="E206" i="1"/>
  <c r="F206" i="1"/>
  <c r="D206" i="1"/>
  <c r="E198" i="1"/>
  <c r="F198" i="1"/>
  <c r="D198" i="1"/>
  <c r="F203" i="5"/>
  <c r="E203" i="5"/>
  <c r="D203" i="5"/>
  <c r="E188" i="1"/>
  <c r="E195" i="5"/>
  <c r="F188" i="1"/>
  <c r="F195" i="5"/>
  <c r="D195" i="5"/>
  <c r="H195" i="5"/>
  <c r="H203" i="5"/>
  <c r="I45" i="1"/>
  <c r="H139" i="1"/>
  <c r="H97" i="1"/>
  <c r="H161" i="1"/>
  <c r="I181" i="1"/>
  <c r="H55" i="1"/>
  <c r="H87" i="1"/>
  <c r="I171" i="1"/>
  <c r="H77" i="1"/>
  <c r="H109" i="1"/>
  <c r="H119" i="1"/>
  <c r="H151" i="1"/>
  <c r="H171" i="1"/>
  <c r="I97" i="1"/>
  <c r="I109" i="1"/>
  <c r="I55" i="1"/>
  <c r="I139" i="1"/>
  <c r="I188" i="1"/>
  <c r="I151" i="1"/>
  <c r="I77" i="1"/>
  <c r="I161" i="1"/>
  <c r="I119" i="1"/>
  <c r="I87" i="1"/>
  <c r="H181" i="1"/>
  <c r="H45" i="1"/>
  <c r="D14" i="4"/>
  <c r="E14" i="4"/>
  <c r="D12" i="4"/>
  <c r="E12" i="4"/>
  <c r="D11" i="4"/>
  <c r="E11" i="4"/>
  <c r="D10" i="4"/>
  <c r="E10" i="4"/>
  <c r="D9" i="4"/>
  <c r="E9" i="4"/>
  <c r="C14" i="4"/>
  <c r="C10" i="4"/>
  <c r="C11" i="4"/>
  <c r="C12" i="4"/>
  <c r="C13" i="4"/>
  <c r="C9" i="4"/>
  <c r="D8" i="4"/>
  <c r="E8" i="4"/>
  <c r="C8" i="4"/>
  <c r="F13" i="5"/>
  <c r="E13" i="5"/>
  <c r="D170" i="5"/>
  <c r="E170" i="5"/>
  <c r="F170" i="5"/>
  <c r="D181" i="5"/>
  <c r="E181" i="5"/>
  <c r="F181" i="5"/>
  <c r="D192" i="5"/>
  <c r="E192" i="5"/>
  <c r="F192" i="5"/>
  <c r="F159" i="5"/>
  <c r="E159" i="5"/>
  <c r="D159" i="5"/>
  <c r="D125" i="5"/>
  <c r="E125" i="5"/>
  <c r="F125" i="5"/>
  <c r="D136" i="5"/>
  <c r="E136" i="5"/>
  <c r="F136" i="5"/>
  <c r="D147" i="5"/>
  <c r="E147" i="5"/>
  <c r="F147" i="5"/>
  <c r="F114" i="5"/>
  <c r="E114" i="5"/>
  <c r="D114" i="5"/>
  <c r="D80" i="5"/>
  <c r="E80" i="5"/>
  <c r="F80" i="5"/>
  <c r="D91" i="5"/>
  <c r="E91" i="5"/>
  <c r="F91" i="5"/>
  <c r="D102" i="5"/>
  <c r="E102" i="5"/>
  <c r="F102" i="5"/>
  <c r="D69" i="5"/>
  <c r="E69" i="5"/>
  <c r="F69" i="5"/>
  <c r="D35" i="5"/>
  <c r="E35" i="5"/>
  <c r="F35" i="5"/>
  <c r="D46" i="5"/>
  <c r="E46" i="5"/>
  <c r="F46" i="5"/>
  <c r="D57" i="5"/>
  <c r="E57" i="5"/>
  <c r="F57" i="5"/>
  <c r="E24" i="5"/>
  <c r="F24" i="5"/>
  <c r="D24" i="5"/>
  <c r="H114" i="5"/>
  <c r="H24" i="5"/>
  <c r="H136" i="5"/>
  <c r="H91" i="5"/>
  <c r="H46" i="5"/>
  <c r="G10" i="4"/>
  <c r="H159" i="5"/>
  <c r="H102" i="5"/>
  <c r="H147" i="5"/>
  <c r="H69" i="5"/>
  <c r="H57" i="5"/>
  <c r="H35" i="5"/>
  <c r="H80" i="5"/>
  <c r="H125" i="5"/>
  <c r="H170" i="5"/>
  <c r="G12" i="4"/>
  <c r="G11" i="4"/>
  <c r="G9" i="4"/>
  <c r="H181" i="5"/>
  <c r="H192" i="5"/>
  <c r="G8" i="4"/>
  <c r="G14" i="4"/>
  <c r="D13" i="4"/>
  <c r="G13" i="4"/>
  <c r="C15" i="4"/>
  <c r="E15" i="4"/>
  <c r="F215" i="5"/>
  <c r="E215" i="5"/>
  <c r="E181" i="1"/>
  <c r="E184" i="5"/>
  <c r="F181" i="1"/>
  <c r="F184" i="5"/>
  <c r="E171" i="1"/>
  <c r="E173" i="5"/>
  <c r="F171" i="1"/>
  <c r="F173" i="5"/>
  <c r="E162" i="5"/>
  <c r="F161" i="1"/>
  <c r="F162" i="5"/>
  <c r="E151" i="1"/>
  <c r="F151" i="1"/>
  <c r="E139" i="1"/>
  <c r="E139" i="5"/>
  <c r="F139" i="1"/>
  <c r="F139" i="5"/>
  <c r="E129" i="1"/>
  <c r="E128" i="5"/>
  <c r="F129" i="1"/>
  <c r="F128" i="5"/>
  <c r="E119" i="1"/>
  <c r="E117" i="5"/>
  <c r="F119" i="1"/>
  <c r="F117" i="5"/>
  <c r="E109" i="1"/>
  <c r="F109" i="1"/>
  <c r="F106" i="5"/>
  <c r="E97" i="1"/>
  <c r="E94" i="5"/>
  <c r="F97" i="1"/>
  <c r="E87" i="1"/>
  <c r="E83" i="5"/>
  <c r="F87" i="1"/>
  <c r="F83" i="5"/>
  <c r="E77" i="1"/>
  <c r="E72" i="5"/>
  <c r="F77" i="1"/>
  <c r="F72" i="5"/>
  <c r="E61" i="5"/>
  <c r="F61" i="5"/>
  <c r="E55" i="1"/>
  <c r="E49" i="5"/>
  <c r="F55" i="1"/>
  <c r="F49" i="5"/>
  <c r="E45" i="1"/>
  <c r="F45" i="1"/>
  <c r="F38" i="5"/>
  <c r="E27" i="5"/>
  <c r="F27" i="5"/>
  <c r="D27" i="5"/>
  <c r="F24" i="1"/>
  <c r="E24" i="1"/>
  <c r="H27" i="5"/>
  <c r="C16" i="4"/>
  <c r="C17" i="4"/>
  <c r="H215" i="5"/>
  <c r="E151" i="5"/>
  <c r="E199" i="1"/>
  <c r="F151" i="5"/>
  <c r="F199" i="1"/>
  <c r="E16" i="4"/>
  <c r="E17" i="4"/>
  <c r="E216" i="5"/>
  <c r="E217" i="5"/>
  <c r="F216" i="5"/>
  <c r="F217" i="5"/>
  <c r="E16" i="5"/>
  <c r="F16" i="5"/>
  <c r="D15" i="4"/>
  <c r="G15" i="4"/>
  <c r="G16" i="4"/>
  <c r="G17" i="4"/>
  <c r="E106" i="5"/>
  <c r="F94" i="5"/>
  <c r="E38" i="5"/>
  <c r="H216" i="5"/>
  <c r="H217" i="5"/>
  <c r="F200" i="1"/>
  <c r="F201" i="1"/>
  <c r="E200" i="1"/>
  <c r="E201" i="1"/>
  <c r="D16" i="4"/>
  <c r="D17" i="4"/>
  <c r="D181" i="1"/>
  <c r="D184" i="5"/>
  <c r="H184" i="5"/>
  <c r="D171" i="1"/>
  <c r="D173" i="5"/>
  <c r="H173" i="5"/>
  <c r="D162" i="5"/>
  <c r="H162" i="5"/>
  <c r="D151" i="1"/>
  <c r="D139" i="1"/>
  <c r="D139" i="5"/>
  <c r="H139" i="5"/>
  <c r="D129" i="1"/>
  <c r="D128" i="5"/>
  <c r="H128" i="5" s="1"/>
  <c r="D119" i="1"/>
  <c r="D117" i="5"/>
  <c r="H117" i="5"/>
  <c r="D109" i="1"/>
  <c r="D97" i="1"/>
  <c r="D94" i="5"/>
  <c r="H94" i="5"/>
  <c r="D87" i="1"/>
  <c r="D83" i="5"/>
  <c r="H83" i="5"/>
  <c r="D77" i="1"/>
  <c r="D72" i="5"/>
  <c r="H72" i="5"/>
  <c r="D55" i="1"/>
  <c r="D49" i="5"/>
  <c r="H49" i="5"/>
  <c r="D45" i="1"/>
  <c r="D24" i="1"/>
  <c r="F208" i="1"/>
  <c r="F207" i="1"/>
  <c r="F209" i="1"/>
  <c r="E208" i="1"/>
  <c r="E207" i="1"/>
  <c r="E209" i="1"/>
  <c r="D199" i="1"/>
  <c r="H199" i="1" s="1"/>
  <c r="D16" i="5"/>
  <c r="H16" i="5"/>
  <c r="D106" i="5"/>
  <c r="H106" i="5"/>
  <c r="C29" i="6"/>
  <c r="D34" i="6" s="1"/>
  <c r="D151" i="5"/>
  <c r="H151" i="5"/>
  <c r="C40" i="6"/>
  <c r="D61" i="5"/>
  <c r="H61" i="5"/>
  <c r="C18" i="6"/>
  <c r="D38" i="5"/>
  <c r="H38" i="5"/>
  <c r="C7" i="6"/>
  <c r="D10" i="6"/>
  <c r="E210" i="1"/>
  <c r="F210" i="1"/>
  <c r="F24" i="4"/>
  <c r="F23" i="4"/>
  <c r="D24" i="4"/>
  <c r="D23" i="4"/>
  <c r="E24" i="4"/>
  <c r="E23" i="4"/>
  <c r="D45" i="6"/>
  <c r="D47" i="6"/>
  <c r="D46" i="6"/>
  <c r="D43" i="6"/>
  <c r="D44" i="6"/>
  <c r="D32" i="6"/>
  <c r="D33" i="6"/>
  <c r="D24" i="6"/>
  <c r="D25" i="6"/>
  <c r="D21" i="6"/>
  <c r="D22" i="6"/>
  <c r="D23" i="6"/>
  <c r="D12" i="6"/>
  <c r="D11" i="6"/>
  <c r="D14" i="6"/>
  <c r="D13" i="6"/>
  <c r="E25" i="4"/>
  <c r="E22" i="4"/>
  <c r="D25" i="4"/>
  <c r="D22" i="4"/>
  <c r="C41" i="6"/>
  <c r="C19" i="6"/>
  <c r="C8" i="6"/>
  <c r="D35" i="6" l="1"/>
  <c r="D36" i="6"/>
  <c r="C30" i="6" s="1"/>
  <c r="H200" i="1"/>
  <c r="H201" i="1" s="1"/>
  <c r="D216" i="1" s="1"/>
  <c r="H129" i="1"/>
  <c r="D200" i="1"/>
  <c r="D201" i="1" s="1"/>
  <c r="D212" i="1"/>
  <c r="J212" i="1"/>
  <c r="J213" i="1" s="1"/>
  <c r="D209" i="1" l="1"/>
  <c r="D208" i="1"/>
  <c r="D207" i="1"/>
  <c r="D213" i="1"/>
  <c r="C23" i="4" l="1"/>
  <c r="H208" i="1"/>
  <c r="G23" i="4" s="1"/>
  <c r="C22" i="4"/>
  <c r="D210" i="1"/>
  <c r="C25" i="4" s="1"/>
  <c r="H207" i="1"/>
  <c r="H209" i="1"/>
  <c r="G24" i="4" s="1"/>
  <c r="C24" i="4"/>
  <c r="G22" i="4" l="1"/>
  <c r="H210" i="1"/>
  <c r="G25" i="4" s="1"/>
</calcChain>
</file>

<file path=xl/sharedStrings.xml><?xml version="1.0" encoding="utf-8"?>
<sst xmlns="http://schemas.openxmlformats.org/spreadsheetml/2006/main" count="857" uniqueCount="626">
  <si>
    <t>1. Staff and other personnel</t>
  </si>
  <si>
    <t>2. Supplies, Commodities, Materials</t>
  </si>
  <si>
    <t>3. Equipment, Vehicles, and Furniture (including Depreciation)</t>
  </si>
  <si>
    <t>4. Contractual services</t>
  </si>
  <si>
    <t>6. Transfers and Grants to Counterparts</t>
  </si>
  <si>
    <t>Instructions:</t>
  </si>
  <si>
    <t>5. Travel</t>
  </si>
  <si>
    <t>Totals</t>
  </si>
  <si>
    <t>Performance-Based Tranche Breakdown</t>
  </si>
  <si>
    <t>First Tranche:</t>
  </si>
  <si>
    <t>Tranche %</t>
  </si>
  <si>
    <t>Second Tranche:</t>
  </si>
  <si>
    <t>Recipient Agency 1</t>
  </si>
  <si>
    <t>Total</t>
  </si>
  <si>
    <t>For MPTFO Use</t>
  </si>
  <si>
    <t>Recipient Agency 2</t>
  </si>
  <si>
    <t>Recipient Agency 3</t>
  </si>
  <si>
    <t>Recip Agency 1</t>
  </si>
  <si>
    <t>Recip Agency 2</t>
  </si>
  <si>
    <t>Recip Agency 3</t>
  </si>
  <si>
    <t>7. General Operating and other Costs</t>
  </si>
  <si>
    <t xml:space="preserve">Total </t>
  </si>
  <si>
    <t>Outcome 1</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</si>
  <si>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</si>
  <si>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</si>
  <si>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</si>
  <si>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</si>
  <si>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</si>
  <si>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</si>
  <si>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</si>
  <si>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</si>
  <si>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</si>
  <si>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</si>
  <si>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</si>
  <si>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</si>
  <si>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</si>
  <si>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</si>
  <si>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</si>
  <si>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</si>
  <si>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</si>
  <si>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</si>
  <si>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</si>
  <si>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</si>
  <si>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</si>
  <si>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</si>
  <si>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</si>
  <si>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</si>
  <si>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</si>
  <si>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</si>
  <si>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</si>
  <si>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</si>
  <si>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</si>
  <si>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</si>
  <si>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</si>
  <si>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</si>
  <si>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</si>
  <si>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</si>
  <si>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</si>
  <si>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</si>
  <si>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</si>
  <si>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</si>
  <si>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</si>
  <si>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</si>
  <si>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</si>
  <si>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</si>
  <si>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</si>
  <si>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</si>
  <si>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</si>
  <si>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</si>
  <si>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</si>
  <si>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</si>
  <si>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</si>
  <si>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</si>
  <si>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</si>
  <si>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</si>
  <si>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</si>
  <si>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</si>
  <si>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</si>
  <si>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</si>
  <si>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</si>
  <si>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</si>
  <si>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</si>
  <si>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</si>
  <si>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</si>
  <si>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</si>
  <si>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</si>
  <si>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</si>
  <si>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</si>
  <si>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</si>
  <si>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</si>
  <si>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</si>
  <si>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</si>
  <si>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</si>
  <si>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</si>
  <si>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</si>
  <si>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</si>
  <si>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</si>
  <si>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</si>
  <si>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</si>
  <si>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</si>
  <si>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</si>
  <si>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</si>
  <si>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</si>
  <si>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</si>
  <si>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</si>
  <si>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</si>
  <si>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</si>
  <si>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</si>
  <si>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</si>
  <si>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</si>
  <si>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</si>
  <si>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</si>
  <si>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</si>
  <si>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</si>
  <si>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</si>
  <si>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</si>
  <si>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</si>
  <si>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</si>
  <si>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</si>
  <si>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</si>
  <si>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</si>
  <si>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</si>
  <si>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</si>
  <si>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</si>
  <si>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</si>
  <si>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</si>
  <si>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</si>
  <si>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</si>
  <si>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</si>
  <si>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</si>
  <si>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</si>
  <si>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</si>
  <si>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</si>
  <si>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</si>
  <si>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</si>
  <si>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</si>
  <si>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</si>
  <si>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</si>
  <si>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</si>
  <si>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</si>
  <si>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</si>
  <si>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</si>
  <si>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</si>
  <si>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</si>
  <si>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</si>
  <si>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</si>
  <si>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</si>
  <si>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</si>
  <si>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</si>
  <si>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</si>
  <si>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</si>
  <si>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</si>
  <si>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</si>
  <si>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</si>
  <si>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</si>
  <si>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</si>
  <si>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</si>
  <si>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</si>
  <si>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</si>
  <si>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</si>
  <si>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</si>
  <si>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</si>
  <si>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</si>
  <si>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</si>
  <si>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</si>
  <si>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</si>
  <si>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</si>
  <si>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</si>
  <si>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</si>
  <si>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</si>
  <si>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</si>
  <si>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</si>
  <si>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</si>
  <si>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</si>
  <si>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</si>
  <si>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</si>
  <si>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</si>
  <si>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</si>
  <si>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</si>
  <si>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</si>
  <si>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</si>
  <si>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</si>
  <si>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</si>
  <si>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</si>
  <si>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</si>
  <si>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</si>
  <si>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</si>
  <si>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</si>
  <si>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</si>
  <si>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</si>
  <si>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</si>
  <si>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</si>
  <si>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</si>
  <si>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</si>
  <si>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</si>
  <si>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</si>
  <si>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</si>
  <si>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</si>
  <si>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</si>
  <si>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</si>
  <si>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</si>
  <si>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</si>
  <si>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</si>
  <si>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</si>
  <si>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</si>
  <si>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</si>
  <si>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</si>
  <si>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</si>
  <si>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</si>
  <si>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</si>
  <si>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</si>
  <si>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</si>
  <si>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</si>
  <si>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</si>
  <si>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</si>
  <si>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</si>
  <si>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</si>
  <si>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</si>
  <si>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</si>
  <si>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</si>
  <si>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</si>
  <si>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</si>
  <si>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</si>
  <si>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</si>
  <si>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</si>
  <si>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</si>
  <si>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</si>
  <si>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</si>
  <si>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</si>
  <si>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</si>
  <si>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</si>
  <si>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</si>
  <si>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</si>
  <si>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</si>
  <si>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</si>
  <si>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</si>
  <si>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</si>
  <si>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</si>
  <si>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</si>
  <si>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</si>
  <si>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</si>
  <si>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</si>
  <si>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</si>
  <si>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</si>
  <si>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</si>
  <si>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</si>
  <si>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</si>
  <si>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</si>
  <si>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</si>
  <si>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</si>
  <si>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</si>
  <si>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</si>
  <si>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</si>
  <si>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</si>
  <si>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</si>
  <si>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</si>
  <si>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</si>
  <si>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</si>
  <si>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</si>
  <si>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</si>
  <si>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</si>
  <si>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</si>
  <si>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</si>
  <si>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</si>
  <si>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</si>
  <si>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</si>
  <si>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</si>
  <si>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</si>
  <si>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</si>
  <si>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</si>
  <si>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</si>
  <si>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</si>
  <si>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</si>
  <si>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</si>
  <si>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</si>
  <si>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</si>
  <si>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</si>
  <si>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</si>
  <si>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</si>
  <si>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</si>
  <si>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</si>
  <si>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</si>
  <si>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</si>
  <si>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</si>
  <si>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</si>
  <si>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</si>
  <si>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</si>
  <si>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</si>
  <si>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</si>
  <si>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</si>
  <si>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</si>
  <si>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</si>
  <si>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</si>
  <si>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</si>
  <si>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</si>
  <si>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</si>
  <si>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</si>
  <si>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</si>
  <si>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</si>
  <si>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</si>
  <si>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</si>
  <si>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</si>
  <si>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</si>
  <si>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</si>
  <si>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</si>
  <si>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</si>
  <si>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</si>
  <si>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</si>
  <si>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</si>
  <si>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</si>
  <si>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</si>
  <si>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</si>
  <si>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</si>
  <si>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</si>
  <si>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</si>
  <si>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</si>
  <si>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</si>
  <si>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</si>
  <si>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</si>
  <si>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</si>
  <si>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</si>
  <si>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</si>
  <si>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</si>
  <si>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</si>
  <si>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</si>
  <si>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</si>
  <si>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</si>
  <si>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</si>
  <si>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</si>
  <si>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</si>
  <si>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</si>
  <si>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</si>
  <si>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</si>
  <si>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</si>
  <si>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</si>
  <si>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</si>
  <si>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</si>
  <si>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</si>
  <si>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</si>
  <si>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</si>
  <si>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</si>
  <si>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</si>
  <si>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</si>
  <si>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</si>
  <si>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</si>
  <si>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</si>
  <si>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</si>
  <si>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</si>
  <si>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</si>
  <si>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</si>
  <si>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</si>
  <si>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</si>
  <si>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</si>
  <si>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</si>
  <si>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</si>
  <si>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</si>
  <si>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</si>
  <si>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</si>
  <si>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</si>
  <si>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</si>
  <si>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</si>
  <si>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</si>
  <si>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</si>
  <si>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</si>
  <si>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</si>
  <si>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</si>
  <si>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</si>
  <si>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</si>
  <si>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</si>
  <si>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</si>
  <si>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</si>
  <si>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TOTAL</t>
  </si>
  <si>
    <t>For PBSO Use</t>
  </si>
  <si>
    <t>Produit total</t>
  </si>
  <si>
    <t>7% Indirect Costs</t>
  </si>
  <si>
    <t xml:space="preserve">Sub-Total </t>
  </si>
  <si>
    <t>-</t>
  </si>
  <si>
    <t>Third Tranche:</t>
  </si>
  <si>
    <t>Recipient Agency 4</t>
  </si>
  <si>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</si>
  <si>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</si>
  <si>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</si>
  <si>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</si>
  <si>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</si>
  <si>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t xml:space="preserve">Any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</si>
  <si>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Annex D - PBF Project Budget</t>
  </si>
  <si>
    <t xml:space="preserve">OUTCOME 1: </t>
  </si>
  <si>
    <t>Output 1.1:</t>
  </si>
  <si>
    <t>Activity 1.1.1:</t>
  </si>
  <si>
    <t>Activity 1.1.2:</t>
  </si>
  <si>
    <t>Activity 1.1.3:</t>
  </si>
  <si>
    <t>Activity 1.1.4</t>
  </si>
  <si>
    <t>Activity 1.1.5</t>
  </si>
  <si>
    <t>Activity 1.1.6</t>
  </si>
  <si>
    <t>Activity 1.1.7</t>
  </si>
  <si>
    <t>Activity 1.1.8</t>
  </si>
  <si>
    <t>Output 1.2:</t>
  </si>
  <si>
    <t>Activity 1.2.1</t>
  </si>
  <si>
    <t>Activity 1.2.2</t>
  </si>
  <si>
    <t>Activity 1.2.3</t>
  </si>
  <si>
    <t>Activity 1.2.4</t>
  </si>
  <si>
    <t>Activity 1.2.5</t>
  </si>
  <si>
    <t>Activity 1.2.6</t>
  </si>
  <si>
    <t>Activity 1.2.7</t>
  </si>
  <si>
    <t>Activity 1.2.8</t>
  </si>
  <si>
    <t>Output 1.3:</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</si>
  <si>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</si>
  <si>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</si>
  <si>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</si>
  <si>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</si>
  <si>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</si>
  <si>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</si>
  <si>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</si>
  <si>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</si>
  <si>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</si>
  <si>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</si>
  <si>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</si>
  <si>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</si>
  <si>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</si>
  <si>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</si>
  <si>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</si>
  <si>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</si>
  <si>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</si>
  <si>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</si>
  <si>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Outcome 2.1</t>
  </si>
  <si>
    <t>Activity 2.1.1</t>
  </si>
  <si>
    <t>Activity 2.1.2</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</si>
  <si>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</si>
  <si>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</si>
  <si>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</si>
  <si>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</si>
  <si>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</si>
  <si>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</si>
  <si>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</si>
  <si>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</si>
  <si>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</si>
  <si>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</si>
  <si>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</si>
  <si>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</si>
  <si>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</si>
  <si>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</si>
  <si>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</si>
  <si>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</si>
  <si>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</si>
  <si>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</si>
  <si>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</si>
  <si>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</si>
  <si>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</si>
  <si>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</si>
  <si>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</si>
  <si>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</si>
  <si>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</si>
  <si>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</si>
  <si>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</si>
  <si>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</si>
  <si>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</si>
  <si>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</si>
  <si>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</si>
  <si>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</si>
  <si>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</si>
  <si>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</si>
  <si>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</si>
  <si>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</si>
  <si>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</si>
  <si>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</si>
  <si>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</si>
  <si>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</si>
  <si>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</si>
  <si>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</si>
  <si>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</si>
  <si>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</si>
  <si>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</si>
  <si>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</si>
  <si>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</si>
  <si>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</si>
  <si>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</si>
  <si>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</si>
  <si>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</si>
  <si>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</si>
  <si>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</si>
  <si>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</si>
  <si>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</si>
  <si>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</si>
  <si>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</si>
  <si>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</si>
  <si>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</si>
  <si>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</si>
  <si>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</si>
  <si>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</si>
  <si>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</si>
  <si>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</si>
  <si>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</si>
  <si>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</si>
  <si>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</si>
  <si>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</si>
  <si>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</si>
  <si>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</si>
  <si>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</si>
  <si>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</si>
  <si>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</si>
  <si>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</si>
  <si>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</si>
  <si>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</si>
  <si>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</si>
  <si>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</si>
  <si>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</si>
  <si>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</si>
  <si>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</si>
  <si>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</si>
  <si>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</si>
  <si>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</si>
  <si>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</si>
  <si>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</si>
  <si>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</si>
  <si>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</si>
  <si>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</si>
  <si>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</si>
  <si>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</si>
  <si>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</si>
  <si>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</si>
  <si>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</si>
  <si>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</si>
  <si>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</si>
  <si>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</si>
  <si>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</si>
  <si>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</si>
  <si>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</si>
  <si>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</si>
  <si>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</si>
  <si>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</si>
  <si>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</si>
  <si>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</si>
  <si>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</si>
  <si>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</si>
  <si>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</si>
  <si>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Additional Operational Costs</t>
  </si>
  <si>
    <t>Monitoring budget</t>
  </si>
  <si>
    <t>Budget for independent final evaluation</t>
  </si>
  <si>
    <t>Output Total</t>
  </si>
  <si>
    <t>Total Additional Costs</t>
  </si>
  <si>
    <t>Sub-Total Project Budget</t>
  </si>
  <si>
    <t>Indirect support costs (7%):</t>
  </si>
  <si>
    <t>Third Tranche</t>
  </si>
  <si>
    <t>Total:</t>
  </si>
  <si>
    <r>
      <t xml:space="preserve">$ Towards GEWE </t>
    </r>
    <r>
      <rPr>
        <sz val="11"/>
        <color theme="1"/>
        <rFont val="Calibri"/>
        <family val="2"/>
        <scheme val="minor"/>
      </rPr>
      <t>(includes indirect costs)</t>
    </r>
  </si>
  <si>
    <t>% Towards GEWE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</si>
  <si>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</si>
  <si>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</si>
  <si>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</si>
  <si>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Total Expenditure</t>
  </si>
  <si>
    <t>Delivery Rate:</t>
  </si>
  <si>
    <t>1. Divide each output budget total along the relevant UN budget categories.
2. For reference, output totals from the outcome/output/activity breakdown have been transferred from Table 1.
3. The output totals should match, and will show as red if not.</t>
  </si>
  <si>
    <t>OUTCOME 1</t>
  </si>
  <si>
    <t>Output 1.1</t>
  </si>
  <si>
    <t>Output Total from Table 1</t>
  </si>
  <si>
    <t>Output 1.2</t>
  </si>
  <si>
    <t>Output 1.3</t>
  </si>
  <si>
    <t>Output 1.4</t>
  </si>
  <si>
    <t>OUTCOME  2</t>
  </si>
  <si>
    <t>Output 2.1</t>
  </si>
  <si>
    <t xml:space="preserve"> Total  </t>
  </si>
  <si>
    <t>OUTCOME 3</t>
  </si>
  <si>
    <t>Output 3.2</t>
  </si>
  <si>
    <t>Additional Costs</t>
  </si>
  <si>
    <t>Additional Cost Totals from Table 1</t>
  </si>
  <si>
    <r>
      <t xml:space="preserve">1. Only fill in white cells. Grey cells are locked and/or contain spreadsheet formulas.
2. Complete both Sheet 1 and Sheet 2. 
     a) </t>
    </r>
    <r>
      <rPr>
        <sz val="16"/>
        <color theme="1"/>
        <rFont val="Calibri"/>
        <family val="2"/>
        <scheme val="minor"/>
      </rPr>
      <t xml:space="preserve">First, prepare a budget organized by </t>
    </r>
    <r>
      <rPr>
        <b/>
        <sz val="16"/>
        <color theme="1"/>
        <rFont val="Calibri"/>
        <family val="2"/>
        <scheme val="minor"/>
      </rPr>
      <t xml:space="preserve">activity/output/outcome in Sheet 1. </t>
    </r>
    <r>
      <rPr>
        <sz val="16"/>
        <color theme="1"/>
        <rFont val="Calibri"/>
        <family val="2"/>
        <scheme val="minor"/>
      </rPr>
      <t xml:space="preserve">(Activity amounts can be indicative estimates.)  </t>
    </r>
    <r>
      <rPr>
        <b/>
        <sz val="16"/>
        <color theme="1"/>
        <rFont val="Calibri"/>
        <family val="2"/>
        <scheme val="minor"/>
      </rPr>
      <t xml:space="preserve">
     b) </t>
    </r>
    <r>
      <rPr>
        <sz val="16"/>
        <color theme="1"/>
        <rFont val="Calibri"/>
        <family val="2"/>
        <scheme val="minor"/>
      </rPr>
      <t>Then, divide each output budget along</t>
    </r>
    <r>
      <rPr>
        <b/>
        <sz val="16"/>
        <color theme="1"/>
        <rFont val="Calibri"/>
        <family val="2"/>
        <scheme val="minor"/>
      </rPr>
      <t xml:space="preserve"> UN Budget Categories in Sheet 2.
3. </t>
    </r>
    <r>
      <rPr>
        <sz val="16"/>
        <color theme="1"/>
        <rFont val="Calibri"/>
        <family val="2"/>
        <scheme val="minor"/>
      </rPr>
      <t>Be sure to</t>
    </r>
    <r>
      <rPr>
        <b/>
        <sz val="16"/>
        <color theme="1"/>
        <rFont val="Calibri"/>
        <family val="2"/>
        <scheme val="minor"/>
      </rPr>
      <t xml:space="preserve"> include % towards Gender Equality and Women's Empowerment
3. Do not use Sheet 4 or 5, </t>
    </r>
    <r>
      <rPr>
        <sz val="16"/>
        <color theme="1"/>
        <rFont val="Calibri"/>
        <family val="2"/>
        <scheme val="minor"/>
      </rPr>
      <t xml:space="preserve">which are for MPTF and PBF use. </t>
    </r>
    <r>
      <rPr>
        <b/>
        <sz val="16"/>
        <color theme="1"/>
        <rFont val="Calibri"/>
        <family val="2"/>
        <scheme val="minor"/>
      </rPr>
      <t xml:space="preserve">
4. Leave blank any Organizations/Outcomes/Outputs/Activities that aren't needed. DO NOT delete cells.
5. Do not adjust tranche amounts </t>
    </r>
    <r>
      <rPr>
        <sz val="16"/>
        <color theme="1"/>
        <rFont val="Calibri"/>
        <family val="2"/>
        <scheme val="minor"/>
      </rPr>
      <t>without consulting PBSO.</t>
    </r>
  </si>
  <si>
    <t xml:space="preserve">Subtotal </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</si>
  <si>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</si>
  <si>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</si>
  <si>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</si>
  <si>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</si>
  <si>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</si>
  <si>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</si>
  <si>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</si>
  <si>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</si>
  <si>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Table 2 - Output breakdown by UN budget categories</t>
  </si>
  <si>
    <t>UNDP</t>
  </si>
  <si>
    <t>IOM</t>
  </si>
  <si>
    <t>UNFPA</t>
  </si>
  <si>
    <t>UN Women</t>
  </si>
  <si>
    <r>
      <rPr>
        <b/>
        <sz val="12"/>
        <color theme="1"/>
        <rFont val="Calibri"/>
        <family val="2"/>
        <scheme val="minor"/>
      </rPr>
      <t xml:space="preserve">UNDP
</t>
    </r>
    <r>
      <rPr>
        <sz val="12"/>
        <color theme="1"/>
        <rFont val="Calibri"/>
        <family val="2"/>
        <scheme val="minor"/>
      </rPr>
      <t>Budget</t>
    </r>
  </si>
  <si>
    <r>
      <rPr>
        <b/>
        <sz val="12"/>
        <color theme="1"/>
        <rFont val="Calibri"/>
        <family val="2"/>
        <scheme val="minor"/>
      </rPr>
      <t xml:space="preserve">IOM
</t>
    </r>
    <r>
      <rPr>
        <sz val="12"/>
        <color theme="1"/>
        <rFont val="Calibri"/>
        <family val="2"/>
        <scheme val="minor"/>
      </rPr>
      <t>Budget</t>
    </r>
  </si>
  <si>
    <r>
      <rPr>
        <b/>
        <sz val="12"/>
        <color theme="1"/>
        <rFont val="Calibri"/>
        <family val="2"/>
        <scheme val="minor"/>
      </rPr>
      <t xml:space="preserve">UNFPA
</t>
    </r>
    <r>
      <rPr>
        <sz val="12"/>
        <color theme="1"/>
        <rFont val="Calibri"/>
        <family val="2"/>
        <scheme val="minor"/>
      </rPr>
      <t>Budget</t>
    </r>
  </si>
  <si>
    <r>
      <rPr>
        <b/>
        <sz val="12"/>
        <color theme="1"/>
        <rFont val="Calibri"/>
        <family val="2"/>
        <scheme val="minor"/>
      </rPr>
      <t xml:space="preserve">UN Women
</t>
    </r>
    <r>
      <rPr>
        <sz val="12"/>
        <color theme="1"/>
        <rFont val="Calibri"/>
        <family val="2"/>
        <scheme val="minor"/>
      </rPr>
      <t>Budget</t>
    </r>
  </si>
  <si>
    <t>Communities affected by conflict in the Highlands have increased capacity to promote and demand for peace and social cohesion</t>
  </si>
  <si>
    <t>Strengthening Women Mediator's capacity to perform</t>
  </si>
  <si>
    <t xml:space="preserve">Establish network of young women empowered to advocate their needs to decision makers </t>
  </si>
  <si>
    <t xml:space="preserve"> Build capacities of youth leaders to actively lead aspirations enshrined in UNSCR 2250 </t>
  </si>
  <si>
    <t>Peacebuilding skills and tools are entrenched in communities and churches/faith-based organizations</t>
  </si>
  <si>
    <t>Delivering training for inclusive community facilitation teams on peacebuilding and development planning</t>
  </si>
  <si>
    <t xml:space="preserve">Development of community peace for development plans </t>
  </si>
  <si>
    <t>Inter-community small grants projects as confidence-building measure that reinforces inter-communal partnership and joint ownership</t>
  </si>
  <si>
    <t>Support to peace building awareness-raising campaign by field monitors, peace advocates, and peace mediators</t>
  </si>
  <si>
    <t>Facilitate Male advocacy interventions targeting male population (including youths)</t>
  </si>
  <si>
    <t>Facilitate male advocator's capacity to perform mediation role at community level</t>
  </si>
  <si>
    <t>Conduct of inter- and intra-communal conflict assessment/scoping, facilitated mediation and follow-up community support</t>
  </si>
  <si>
    <t>Activity 1.2.9</t>
  </si>
  <si>
    <t>Self-management workshop for youths focussing on youth fighters and those into substance abuse</t>
  </si>
  <si>
    <t>Delivery of family teams agriculture training to change gender norms in roles in agriculture and decision-making over agricultural business</t>
  </si>
  <si>
    <t>Traditional/non-traditional leaders and service providers have enhanced knowledge and skills to integrate peacebuilding strategies into service delivery in conflict affected areas in the Highlands</t>
  </si>
  <si>
    <t>Traditional/non-traditional leaders and service providers (provincial and district authorities and ward councillors) are capacitated with gender-responsive and youth sensitive leadership/conflict management skills to address different dimensions of risk and improve service delivery</t>
  </si>
  <si>
    <t>Continue to build capacity of community mobilisers in Learning Empowerment and Protection Centres so they are able to provide effective community coordination points for service delivery</t>
  </si>
  <si>
    <t>Male advocacy training for village councillors focusing on GBV and youth leaderships</t>
  </si>
  <si>
    <t>Public institutions in the Highlands have people-centred, proactive and transparent/accountable systems to support effective leadership that promotes peace and security</t>
  </si>
  <si>
    <t>Physical and non-physical institutional arrangements supporting/for local peace and development efforts established including post-conflict needs assessments</t>
  </si>
  <si>
    <t>Youth Friendly spaces hub, youth resource centres for out of school youths</t>
  </si>
  <si>
    <t>Community-led support and referral mechanisms are accessible to rural communities</t>
  </si>
  <si>
    <t>Support post-conflict needs assessment to link at-peace communities with development assistance (as peace dividends)</t>
  </si>
  <si>
    <t>Establishment and sustaining the operation of the Highlands Centre for Peace and Reconciliation</t>
  </si>
  <si>
    <t>Strengthen community-based referral pathways for survivors of gender-based violence</t>
  </si>
  <si>
    <t>Information systems established to generate evidence and transfer knowledge on peacebuilding and conflict, and to support early warning and early action</t>
  </si>
  <si>
    <t>Conduct missions and transfer skills on Monitoring &amp; Evaluation, Data &amp; Evidence collection on Displacement Profiling &amp; Tracking</t>
  </si>
  <si>
    <t>Conduct regular tracking, monitoring &amp; mapping of inter- and intra-communal conflicts to support early warning and triggering of early action intervention</t>
  </si>
  <si>
    <t>Inclusive and conflict-sensitive accountability arrangements are articulated to ensure involvement of communities and local civil society in decision-making particularly through provincial, district and LLG-levels conflict-sensitive development planning</t>
  </si>
  <si>
    <t>Conduct of inclusive District Peace Conferences to create platform for community-driven peace initiatives and generate momentum for peace</t>
  </si>
  <si>
    <t>Inclusive and conflict sensitive sub-national integrated development planning</t>
  </si>
  <si>
    <t>Training of local traditional community/tribal leaders with leadership/conflict resolution skills and in local level governance and decentralisation</t>
  </si>
  <si>
    <t>Training of provincial and district authorities with leadership/conflict management skills and in local level governance and decentralisation</t>
  </si>
  <si>
    <t>Women and youth supported for leadership roles in established community peacebuilding mechanisms and decision-making in domestic and community settings.</t>
  </si>
  <si>
    <t>UNFPA = $60000 
UN Women = $30000</t>
  </si>
  <si>
    <t>IOM = $4648.95
UN Women = $18,000</t>
  </si>
  <si>
    <t>UNDP = $203,142.62
UN Women = $37,000</t>
  </si>
  <si>
    <t>UNDP = $215,763.65
UN Women = $13,298.23</t>
  </si>
  <si>
    <t>UNDP = $85,600
UN Women = $62,687.20</t>
  </si>
  <si>
    <t>UNDP =$104,651.01
IOM = $19,239.63
UNFPA = $55,000
UN Women = $21,7396.68</t>
  </si>
  <si>
    <t xml:space="preserve">UNDP = $22,470
UN Women = $1311.93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</si>
</sst>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37"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sz val="16"/>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36"/>
      <color rgb="FF00B0F0"/>
      <name val="Calibri"/>
      <family val="2"/>
      <scheme val="minor"/>
    </font>
    <font>
      <b/>
      <sz val="12"/>
      <color rgb="FF00B0F0"/>
      <name val="Calibri"/>
      <family val="2"/>
      <scheme val="minor"/>
    </font>
    <font>
      <b/>
      <sz val="12"/>
      <color rgb="FF000000"/>
      <name val="Calibri"/>
      <family val="2"/>
      <scheme val="minor"/>
    </font>
    <font>
      <sz val="12"/>
      <color rgb="FF000000"/>
      <name val="Calibri"/>
      <family val="2"/>
      <scheme val="minor"/>
    </font>
    <font>
      <sz val="8"/>
      <name val="Calibri"/>
      <family val="2"/>
      <scheme val="minor"/>
    </font>
    <font>
      <sz val="12"/>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rgb="FFD9D9D9"/>
        <bgColor rgb="FF000000"/>
      </patternFill>
    </fill>
    <fill>
      <patternFill patternType="solid">
        <fgColor rgb="FFD0CECE"/>
        <bgColor rgb="FF000000"/>
      </patternFill>
    </fill>
    <fill>
      <patternFill patternType="solid">
        <fgColor theme="0" tint="-0.249977111117893"/>
        <bgColor indexed="64"/>
      </patternFill>
    </fill>
    <fill>
      <patternFill patternType="solid">
        <fgColor rgb="FFFFFFFF"/>
        <bgColor rgb="FF000000"/>
      </patternFill>
    </fill>
    <fill>
      <patternFill patternType="solid">
        <fgColor theme="7" tint="0.79998168889431442"/>
        <bgColor indexed="64"/>
      </patternFill>
    </fill>
    <fill>
      <patternFill patternType="solid">
        <fgColor rgb="FFFFF2CC"/>
        <bgColor rgb="FF000000"/>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44" fontId="17" fillId="0" borderId="0" applyFont="0" applyFill="0" applyBorder="0" applyAlignment="0" applyProtection="0"/>
    <xf numFmtId="9" fontId="17" fillId="0" borderId="0" applyFont="0" applyFill="0" applyBorder="0" applyAlignment="0" applyProtection="0"/>
  </cellStyleXfs>
  <cellXfs count="376">
    <xf numFmtId="0" fontId="0" fillId="0" borderId="0" xfId="0"/>
    <xf numFmtId="0" fontId="0" fillId="0" borderId="0" xfId="0" applyBorder="1"/>
    <xf numFmtId="0" fontId="18" fillId="0" borderId="0" xfId="0" applyFont="1" applyFill="1" applyBorder="1" applyAlignment="1">
      <alignment vertical="center" wrapText="1"/>
    </xf>
    <xf numFmtId="0" fontId="14" fillId="0" borderId="0" xfId="0" applyFont="1" applyFill="1" applyBorder="1" applyAlignment="1">
      <alignment vertical="center" wrapText="1"/>
    </xf>
    <xf numFmtId="0" fontId="14" fillId="0" borderId="0" xfId="0" applyFont="1" applyFill="1" applyBorder="1" applyAlignment="1" applyProtection="1">
      <alignment vertical="center" wrapText="1"/>
      <protection locked="0"/>
    </xf>
    <xf numFmtId="0" fontId="18" fillId="0" borderId="0" xfId="0" applyFont="1" applyFill="1" applyBorder="1" applyAlignment="1" applyProtection="1">
      <alignment vertical="center" wrapText="1"/>
      <protection locked="0"/>
    </xf>
    <xf numFmtId="0" fontId="19" fillId="0" borderId="0" xfId="0" applyFont="1" applyFill="1" applyBorder="1" applyAlignment="1">
      <alignment vertical="center" wrapText="1"/>
    </xf>
    <xf numFmtId="0" fontId="14" fillId="3" borderId="0" xfId="0" applyFont="1" applyFill="1" applyBorder="1" applyAlignment="1" applyProtection="1">
      <alignment vertical="center" wrapText="1"/>
    </xf>
    <xf numFmtId="44" fontId="14" fillId="0" borderId="0" xfId="0" applyNumberFormat="1" applyFont="1" applyFill="1" applyBorder="1" applyAlignment="1">
      <alignment vertical="center" wrapText="1"/>
    </xf>
    <xf numFmtId="0" fontId="14" fillId="2" borderId="12" xfId="0" applyFont="1" applyFill="1" applyBorder="1" applyAlignment="1">
      <alignment vertical="center" wrapText="1"/>
    </xf>
    <xf numFmtId="44" fontId="18" fillId="3" borderId="0" xfId="1" applyFont="1" applyFill="1" applyBorder="1" applyAlignment="1" applyProtection="1">
      <alignment horizontal="center" vertical="center" wrapText="1"/>
      <protection locked="0"/>
    </xf>
    <xf numFmtId="0" fontId="18" fillId="3" borderId="0" xfId="0" applyFont="1" applyFill="1" applyBorder="1" applyAlignment="1" applyProtection="1">
      <alignment vertical="center" wrapText="1"/>
      <protection locked="0"/>
    </xf>
    <xf numFmtId="0" fontId="18" fillId="3" borderId="0" xfId="0" applyFont="1" applyFill="1" applyBorder="1" applyAlignment="1" applyProtection="1">
      <alignment horizontal="left" vertical="top" wrapText="1"/>
      <protection locked="0"/>
    </xf>
    <xf numFmtId="0" fontId="18" fillId="3" borderId="0" xfId="0" applyFont="1" applyFill="1" applyBorder="1" applyAlignment="1">
      <alignment horizontal="center" vertical="center" wrapText="1"/>
    </xf>
    <xf numFmtId="0" fontId="14" fillId="3" borderId="0" xfId="0" applyFont="1" applyFill="1" applyBorder="1" applyAlignment="1" applyProtection="1">
      <alignment vertical="center" wrapText="1"/>
      <protection locked="0"/>
    </xf>
    <xf numFmtId="0" fontId="18" fillId="3" borderId="0" xfId="0" applyFont="1" applyFill="1" applyBorder="1" applyAlignment="1">
      <alignment vertical="center" wrapText="1"/>
    </xf>
    <xf numFmtId="0" fontId="18" fillId="3" borderId="3" xfId="0" applyFont="1" applyFill="1" applyBorder="1" applyAlignment="1" applyProtection="1">
      <alignment vertical="center" wrapText="1"/>
      <protection locked="0"/>
    </xf>
    <xf numFmtId="0" fontId="18" fillId="0" borderId="3" xfId="0" applyFont="1" applyBorder="1" applyAlignment="1" applyProtection="1">
      <alignment horizontal="left" vertical="top" wrapText="1"/>
      <protection locked="0"/>
    </xf>
    <xf numFmtId="44" fontId="23" fillId="0" borderId="0" xfId="1" applyFont="1" applyFill="1" applyBorder="1" applyAlignment="1" applyProtection="1">
      <alignment vertical="center" wrapText="1"/>
    </xf>
    <xf numFmtId="44" fontId="18" fillId="0" borderId="3" xfId="1" applyNumberFormat="1" applyFont="1" applyBorder="1" applyAlignment="1" applyProtection="1">
      <alignment horizontal="center" vertical="center" wrapText="1"/>
      <protection locked="0"/>
    </xf>
    <xf numFmtId="44" fontId="18" fillId="3" borderId="3" xfId="1" applyNumberFormat="1" applyFont="1" applyFill="1" applyBorder="1" applyAlignment="1" applyProtection="1">
      <alignment horizontal="center" vertical="center" wrapText="1"/>
      <protection locked="0"/>
    </xf>
    <xf numFmtId="44" fontId="14" fillId="2" borderId="3" xfId="1" applyNumberFormat="1" applyFont="1" applyFill="1" applyBorder="1" applyAlignment="1" applyProtection="1">
      <alignment horizontal="center" vertical="center" wrapText="1"/>
    </xf>
    <xf numFmtId="0" fontId="20" fillId="2" borderId="8" xfId="0" applyFont="1" applyFill="1" applyBorder="1" applyAlignment="1" applyProtection="1">
      <alignment vertical="center" wrapText="1"/>
    </xf>
    <xf numFmtId="44" fontId="20" fillId="3" borderId="0" xfId="1" applyFont="1" applyFill="1" applyBorder="1" applyAlignment="1" applyProtection="1">
      <alignment vertical="center" wrapText="1"/>
    </xf>
    <xf numFmtId="44" fontId="14" fillId="2" borderId="5" xfId="1" applyNumberFormat="1" applyFont="1" applyFill="1" applyBorder="1" applyAlignment="1" applyProtection="1">
      <alignment horizontal="center" vertical="center" wrapText="1"/>
    </xf>
    <xf numFmtId="44" fontId="18" fillId="3" borderId="0" xfId="1" applyFont="1" applyFill="1" applyBorder="1" applyAlignment="1" applyProtection="1">
      <alignment vertical="center" wrapText="1"/>
    </xf>
    <xf numFmtId="44" fontId="18" fillId="3" borderId="0" xfId="1" applyFont="1" applyFill="1" applyBorder="1" applyAlignment="1" applyProtection="1">
      <alignment vertical="center" wrapText="1"/>
      <protection locked="0"/>
    </xf>
    <xf numFmtId="0" fontId="18" fillId="3" borderId="0" xfId="0" applyFont="1" applyFill="1" applyBorder="1" applyAlignment="1" applyProtection="1">
      <alignment vertical="center" wrapText="1"/>
    </xf>
    <xf numFmtId="44" fontId="14" fillId="2" borderId="3" xfId="1" applyFont="1" applyFill="1" applyBorder="1" applyAlignment="1">
      <alignment vertical="center" wrapText="1"/>
    </xf>
    <xf numFmtId="0" fontId="14" fillId="2" borderId="3" xfId="0" applyFont="1" applyFill="1" applyBorder="1" applyAlignment="1">
      <alignment horizontal="center" vertical="center" wrapText="1"/>
    </xf>
    <xf numFmtId="0" fontId="14" fillId="2" borderId="8" xfId="0" applyFont="1" applyFill="1" applyBorder="1" applyAlignment="1">
      <alignment vertical="center" wrapText="1"/>
    </xf>
    <xf numFmtId="0" fontId="14" fillId="2" borderId="8" xfId="0" applyFont="1" applyFill="1" applyBorder="1" applyAlignment="1">
      <alignment horizontal="center" vertical="center" wrapText="1"/>
    </xf>
    <xf numFmtId="0" fontId="14" fillId="2" borderId="9" xfId="0" applyFont="1" applyFill="1" applyBorder="1" applyAlignment="1">
      <alignment horizontal="center" vertical="center" wrapText="1"/>
    </xf>
    <xf numFmtId="44" fontId="18" fillId="0" borderId="3" xfId="1" applyFont="1" applyBorder="1" applyAlignment="1" applyProtection="1">
      <alignment vertical="center" wrapText="1"/>
      <protection locked="0"/>
    </xf>
    <xf numFmtId="0" fontId="20" fillId="2" borderId="8" xfId="0" applyFont="1" applyFill="1" applyBorder="1" applyAlignment="1" applyProtection="1">
      <alignment vertical="center" wrapText="1"/>
      <protection locked="0"/>
    </xf>
    <xf numFmtId="0" fontId="14" fillId="3" borderId="0" xfId="0" applyFont="1" applyFill="1" applyBorder="1" applyAlignment="1">
      <alignment vertical="center" wrapText="1"/>
    </xf>
    <xf numFmtId="44" fontId="14" fillId="3" borderId="0" xfId="0" applyNumberFormat="1" applyFont="1" applyFill="1" applyBorder="1" applyAlignment="1">
      <alignment vertical="center" wrapText="1"/>
    </xf>
    <xf numFmtId="0" fontId="0" fillId="3" borderId="0" xfId="0" applyFont="1" applyFill="1" applyBorder="1" applyAlignment="1">
      <alignment horizontal="center" vertical="center" wrapText="1"/>
    </xf>
    <xf numFmtId="0" fontId="27" fillId="0" borderId="0" xfId="0" applyFont="1" applyBorder="1" applyAlignment="1">
      <alignment wrapText="1"/>
    </xf>
    <xf numFmtId="0" fontId="28" fillId="0" borderId="0" xfId="0" applyFont="1" applyBorder="1" applyAlignment="1">
      <alignment wrapText="1"/>
    </xf>
    <xf numFmtId="0" fontId="0" fillId="0" borderId="0" xfId="0" applyFont="1" applyBorder="1" applyAlignment="1">
      <alignment wrapText="1"/>
    </xf>
    <xf numFmtId="0" fontId="0" fillId="3" borderId="0" xfId="0" applyFont="1" applyFill="1" applyBorder="1" applyAlignment="1">
      <alignment wrapText="1"/>
    </xf>
    <xf numFmtId="0" fontId="0" fillId="0" borderId="0" xfId="0" applyFont="1" applyFill="1" applyBorder="1" applyAlignment="1">
      <alignment wrapText="1"/>
    </xf>
    <xf numFmtId="0" fontId="14" fillId="0" borderId="0" xfId="0" applyFont="1" applyBorder="1" applyAlignment="1">
      <alignment wrapText="1"/>
    </xf>
    <xf numFmtId="0" fontId="15" fillId="0" borderId="0" xfId="0" applyFont="1" applyBorder="1" applyAlignment="1">
      <alignment wrapText="1"/>
    </xf>
    <xf numFmtId="0" fontId="0" fillId="0" borderId="0" xfId="0" applyFont="1" applyFill="1" applyBorder="1" applyAlignment="1">
      <alignment horizontal="center" wrapText="1"/>
    </xf>
    <xf numFmtId="0" fontId="14" fillId="0" borderId="0" xfId="0" applyFont="1" applyFill="1" applyBorder="1" applyAlignment="1">
      <alignment horizontal="center" vertical="center" wrapText="1"/>
    </xf>
    <xf numFmtId="9" fontId="14" fillId="3" borderId="0" xfId="2" applyFont="1" applyFill="1" applyBorder="1" applyAlignment="1">
      <alignment wrapText="1"/>
    </xf>
    <xf numFmtId="0" fontId="15" fillId="3" borderId="0" xfId="0" applyFont="1" applyFill="1" applyBorder="1" applyAlignment="1">
      <alignment horizontal="center" vertical="center" wrapText="1"/>
    </xf>
    <xf numFmtId="44" fontId="14" fillId="3" borderId="0" xfId="2" applyNumberFormat="1" applyFont="1" applyFill="1" applyBorder="1" applyAlignment="1">
      <alignment wrapText="1"/>
    </xf>
    <xf numFmtId="0" fontId="18" fillId="3" borderId="3" xfId="0" applyFont="1" applyFill="1" applyBorder="1" applyAlignment="1" applyProtection="1">
      <alignment horizontal="left" vertical="top" wrapText="1"/>
      <protection locked="0"/>
    </xf>
    <xf numFmtId="0" fontId="22" fillId="0" borderId="0" xfId="0" applyFont="1" applyFill="1" applyBorder="1" applyAlignment="1" applyProtection="1">
      <alignment horizontal="center" vertical="center" wrapText="1"/>
    </xf>
    <xf numFmtId="0" fontId="18" fillId="2" borderId="3" xfId="0" applyFont="1" applyFill="1" applyBorder="1" applyAlignment="1" applyProtection="1">
      <alignment horizontal="center" vertical="center" wrapText="1"/>
    </xf>
    <xf numFmtId="0" fontId="14" fillId="3" borderId="0" xfId="0" applyFont="1" applyFill="1" applyBorder="1" applyAlignment="1">
      <alignment horizontal="left" wrapText="1"/>
    </xf>
    <xf numFmtId="44" fontId="14" fillId="0" borderId="0" xfId="1" applyFont="1" applyFill="1" applyBorder="1" applyAlignment="1" applyProtection="1">
      <alignment vertical="center" wrapText="1"/>
    </xf>
    <xf numFmtId="44" fontId="18" fillId="0" borderId="0" xfId="1" applyNumberFormat="1" applyFont="1" applyFill="1" applyBorder="1" applyAlignment="1" applyProtection="1">
      <alignment horizontal="center" vertical="center" wrapText="1"/>
    </xf>
    <xf numFmtId="44" fontId="18" fillId="0" borderId="0" xfId="1" applyFont="1" applyFill="1" applyBorder="1" applyAlignment="1" applyProtection="1">
      <alignment horizontal="center" vertical="center" wrapText="1"/>
    </xf>
    <xf numFmtId="44" fontId="14" fillId="0" borderId="0" xfId="1" applyFont="1" applyFill="1" applyBorder="1" applyAlignment="1" applyProtection="1">
      <alignment horizontal="center" vertical="center" wrapText="1"/>
    </xf>
    <xf numFmtId="0" fontId="19" fillId="2" borderId="3" xfId="0" applyFont="1" applyFill="1" applyBorder="1" applyAlignment="1" applyProtection="1">
      <alignment vertical="center" wrapText="1"/>
      <protection locked="0"/>
    </xf>
    <xf numFmtId="0" fontId="18" fillId="0" borderId="0" xfId="0" applyFont="1" applyBorder="1" applyAlignment="1">
      <alignment wrapText="1"/>
    </xf>
    <xf numFmtId="0" fontId="18" fillId="3" borderId="0" xfId="0" applyFont="1" applyFill="1" applyBorder="1" applyAlignment="1">
      <alignment wrapText="1"/>
    </xf>
    <xf numFmtId="44" fontId="14" fillId="4" borderId="3" xfId="1" applyFont="1" applyFill="1" applyBorder="1" applyAlignment="1" applyProtection="1">
      <alignment wrapText="1"/>
    </xf>
    <xf numFmtId="0" fontId="18" fillId="0" borderId="0" xfId="0" applyFont="1" applyFill="1" applyBorder="1" applyAlignment="1">
      <alignment wrapText="1"/>
    </xf>
    <xf numFmtId="44" fontId="18" fillId="3" borderId="0" xfId="0" applyNumberFormat="1" applyFont="1" applyFill="1" applyBorder="1" applyAlignment="1">
      <alignment vertical="center" wrapText="1"/>
    </xf>
    <xf numFmtId="44" fontId="14" fillId="0" borderId="0" xfId="0" applyNumberFormat="1" applyFont="1" applyFill="1" applyBorder="1" applyAlignment="1">
      <alignment wrapText="1"/>
    </xf>
    <xf numFmtId="44" fontId="19" fillId="0" borderId="0" xfId="1" applyFont="1" applyFill="1" applyBorder="1" applyAlignment="1">
      <alignment horizontal="right" vertical="center" wrapText="1"/>
    </xf>
    <xf numFmtId="0" fontId="14" fillId="2" borderId="38" xfId="0" applyFont="1" applyFill="1" applyBorder="1" applyAlignment="1">
      <alignment horizontal="center" wrapText="1"/>
    </xf>
    <xf numFmtId="44" fontId="14" fillId="2" borderId="38" xfId="0" applyNumberFormat="1" applyFont="1" applyFill="1" applyBorder="1" applyAlignment="1">
      <alignment wrapText="1"/>
    </xf>
    <xf numFmtId="0" fontId="14" fillId="2" borderId="13" xfId="0" applyFont="1" applyFill="1" applyBorder="1" applyAlignment="1">
      <alignment horizontal="left" wrapText="1"/>
    </xf>
    <xf numFmtId="44" fontId="14" fillId="2" borderId="13" xfId="0" applyNumberFormat="1" applyFont="1" applyFill="1" applyBorder="1" applyAlignment="1">
      <alignment horizontal="center" wrapText="1"/>
    </xf>
    <xf numFmtId="44" fontId="14" fillId="2" borderId="13" xfId="0" applyNumberFormat="1" applyFont="1" applyFill="1" applyBorder="1" applyAlignment="1">
      <alignment wrapText="1"/>
    </xf>
    <xf numFmtId="44" fontId="14" fillId="4" borderId="3" xfId="1" applyNumberFormat="1" applyFont="1" applyFill="1" applyBorder="1" applyAlignment="1">
      <alignment wrapText="1"/>
    </xf>
    <xf numFmtId="44" fontId="14" fillId="3" borderId="4" xfId="1" applyFont="1" applyFill="1" applyBorder="1" applyAlignment="1" applyProtection="1">
      <alignment wrapText="1"/>
    </xf>
    <xf numFmtId="44" fontId="14" fillId="3" borderId="1" xfId="1" applyNumberFormat="1" applyFont="1" applyFill="1" applyBorder="1" applyAlignment="1">
      <alignment wrapText="1"/>
    </xf>
    <xf numFmtId="44" fontId="14" fillId="3" borderId="2" xfId="0" applyNumberFormat="1" applyFont="1" applyFill="1" applyBorder="1" applyAlignment="1">
      <alignment wrapText="1"/>
    </xf>
    <xf numFmtId="44" fontId="14" fillId="3" borderId="1" xfId="1" applyFont="1" applyFill="1" applyBorder="1" applyAlignment="1" applyProtection="1">
      <alignment wrapText="1"/>
    </xf>
    <xf numFmtId="0" fontId="14" fillId="3" borderId="3" xfId="0" applyFont="1" applyFill="1" applyBorder="1" applyAlignment="1" applyProtection="1">
      <alignment horizontal="center" vertical="center" wrapText="1"/>
      <protection locked="0"/>
    </xf>
    <xf numFmtId="44" fontId="14" fillId="2" borderId="37" xfId="0" applyNumberFormat="1" applyFont="1" applyFill="1" applyBorder="1" applyAlignment="1">
      <alignment wrapText="1"/>
    </xf>
    <xf numFmtId="44" fontId="14" fillId="2" borderId="9" xfId="0" applyNumberFormat="1" applyFont="1" applyFill="1" applyBorder="1" applyAlignment="1">
      <alignment wrapText="1"/>
    </xf>
    <xf numFmtId="0" fontId="14" fillId="2" borderId="11" xfId="0" applyFont="1" applyFill="1" applyBorder="1" applyAlignment="1">
      <alignment horizontal="center" wrapText="1"/>
    </xf>
    <xf numFmtId="44" fontId="18" fillId="2" borderId="38" xfId="0" applyNumberFormat="1" applyFont="1" applyFill="1" applyBorder="1" applyAlignment="1">
      <alignment wrapText="1"/>
    </xf>
    <xf numFmtId="44" fontId="14" fillId="2" borderId="33" xfId="0" applyNumberFormat="1" applyFont="1" applyFill="1" applyBorder="1" applyAlignment="1">
      <alignment wrapText="1"/>
    </xf>
    <xf numFmtId="44" fontId="18" fillId="2" borderId="13" xfId="0" applyNumberFormat="1" applyFont="1" applyFill="1" applyBorder="1" applyAlignment="1">
      <alignment wrapText="1"/>
    </xf>
    <xf numFmtId="0" fontId="18" fillId="0" borderId="0" xfId="0" applyFont="1"/>
    <xf numFmtId="0" fontId="29" fillId="0" borderId="0" xfId="0" applyFont="1" applyAlignment="1"/>
    <xf numFmtId="49" fontId="0" fillId="0" borderId="0" xfId="0" applyNumberFormat="1"/>
    <xf numFmtId="0" fontId="29" fillId="0" borderId="0" xfId="0" applyFont="1" applyAlignment="1">
      <alignment vertical="center"/>
    </xf>
    <xf numFmtId="49" fontId="30" fillId="0" borderId="0" xfId="0" applyNumberFormat="1" applyFont="1" applyAlignment="1">
      <alignment horizontal="left"/>
    </xf>
    <xf numFmtId="49" fontId="30" fillId="0" borderId="0" xfId="0" applyNumberFormat="1" applyFont="1" applyAlignment="1">
      <alignment horizontal="left" wrapText="1"/>
    </xf>
    <xf numFmtId="49" fontId="30" fillId="0" borderId="0" xfId="0" applyNumberFormat="1" applyFont="1" applyFill="1" applyAlignment="1">
      <alignment horizontal="left" wrapText="1"/>
    </xf>
    <xf numFmtId="0" fontId="15" fillId="2" borderId="10" xfId="0" applyFont="1" applyFill="1" applyBorder="1" applyAlignment="1"/>
    <xf numFmtId="0" fontId="15" fillId="2" borderId="8" xfId="0" applyFont="1" applyFill="1" applyBorder="1"/>
    <xf numFmtId="0" fontId="15" fillId="2" borderId="3" xfId="0" applyFont="1" applyFill="1" applyBorder="1"/>
    <xf numFmtId="0" fontId="15" fillId="2" borderId="9" xfId="0" applyFont="1" applyFill="1" applyBorder="1" applyAlignment="1"/>
    <xf numFmtId="0" fontId="0" fillId="2" borderId="8" xfId="0" applyFill="1" applyBorder="1" applyAlignment="1">
      <alignment vertical="center" wrapText="1"/>
    </xf>
    <xf numFmtId="9" fontId="0" fillId="2" borderId="3" xfId="2" applyFont="1" applyFill="1" applyBorder="1" applyAlignment="1">
      <alignment vertical="center"/>
    </xf>
    <xf numFmtId="4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44" fontId="0" fillId="2" borderId="14" xfId="0" applyNumberFormat="1" applyFill="1" applyBorder="1" applyAlignment="1">
      <alignment vertical="center"/>
    </xf>
    <xf numFmtId="44" fontId="18" fillId="0" borderId="38" xfId="0" applyNumberFormat="1" applyFont="1" applyBorder="1" applyAlignment="1" applyProtection="1">
      <alignment wrapText="1"/>
      <protection locked="0"/>
    </xf>
    <xf numFmtId="44" fontId="18" fillId="3" borderId="38" xfId="1" applyNumberFormat="1" applyFont="1" applyFill="1" applyBorder="1" applyAlignment="1" applyProtection="1">
      <alignment horizontal="center" vertical="center" wrapText="1"/>
      <protection locked="0"/>
    </xf>
    <xf numFmtId="44" fontId="18" fillId="0" borderId="3" xfId="0" applyNumberFormat="1" applyFont="1" applyBorder="1" applyAlignment="1" applyProtection="1">
      <alignment wrapText="1"/>
      <protection locked="0"/>
    </xf>
    <xf numFmtId="0" fontId="14" fillId="2" borderId="3" xfId="0" applyFont="1" applyFill="1" applyBorder="1" applyAlignment="1" applyProtection="1">
      <alignment vertical="center" wrapText="1"/>
    </xf>
    <xf numFmtId="44" fontId="18" fillId="2" borderId="3" xfId="0" applyNumberFormat="1" applyFont="1" applyFill="1" applyBorder="1" applyAlignment="1" applyProtection="1">
      <alignment vertical="center" wrapText="1"/>
    </xf>
    <xf numFmtId="0" fontId="14" fillId="2" borderId="8" xfId="0" applyFont="1" applyFill="1" applyBorder="1" applyAlignment="1" applyProtection="1">
      <alignment horizontal="center" vertical="center" wrapText="1"/>
    </xf>
    <xf numFmtId="0" fontId="14" fillId="2" borderId="3" xfId="0" applyFont="1" applyFill="1" applyBorder="1" applyAlignment="1" applyProtection="1">
      <alignment horizontal="center" vertical="center" wrapText="1"/>
    </xf>
    <xf numFmtId="44" fontId="14" fillId="2" borderId="3" xfId="1" applyFont="1" applyFill="1" applyBorder="1" applyAlignment="1" applyProtection="1">
      <alignment vertical="center" wrapText="1"/>
    </xf>
    <xf numFmtId="44" fontId="14" fillId="2" borderId="4" xfId="1" applyFont="1" applyFill="1" applyBorder="1" applyAlignment="1" applyProtection="1">
      <alignment vertical="center" wrapText="1"/>
    </xf>
    <xf numFmtId="44" fontId="14" fillId="2" borderId="13" xfId="1" applyFont="1" applyFill="1" applyBorder="1" applyAlignment="1" applyProtection="1">
      <alignment vertical="center" wrapText="1"/>
    </xf>
    <xf numFmtId="9" fontId="14" fillId="2" borderId="14" xfId="2" applyFont="1" applyFill="1" applyBorder="1" applyAlignment="1" applyProtection="1">
      <alignment vertical="center" wrapText="1"/>
    </xf>
    <xf numFmtId="44" fontId="14" fillId="2" borderId="16" xfId="0" applyNumberFormat="1" applyFont="1" applyFill="1" applyBorder="1" applyAlignment="1" applyProtection="1">
      <alignment vertical="center" wrapText="1"/>
    </xf>
    <xf numFmtId="44" fontId="14" fillId="2" borderId="9" xfId="2" applyNumberFormat="1" applyFont="1" applyFill="1" applyBorder="1" applyAlignment="1" applyProtection="1">
      <alignment wrapText="1"/>
    </xf>
    <xf numFmtId="0" fontId="14" fillId="2" borderId="3" xfId="1" applyNumberFormat="1" applyFont="1" applyFill="1" applyBorder="1" applyAlignment="1" applyProtection="1">
      <alignment horizontal="center"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18" fillId="0" borderId="3" xfId="1" applyNumberFormat="1" applyFont="1" applyBorder="1" applyAlignment="1" applyProtection="1">
      <alignment horizontal="left" wrapText="1"/>
      <protection locked="0"/>
    </xf>
    <xf numFmtId="49" fontId="18" fillId="3" borderId="3" xfId="1" applyNumberFormat="1" applyFont="1" applyFill="1" applyBorder="1" applyAlignment="1" applyProtection="1">
      <alignment horizontal="left" wrapText="1"/>
      <protection locked="0"/>
    </xf>
    <xf numFmtId="0" fontId="24" fillId="6" borderId="17" xfId="0" applyFont="1" applyFill="1" applyBorder="1" applyAlignment="1">
      <alignment wrapText="1"/>
    </xf>
    <xf numFmtId="44" fontId="14" fillId="2" borderId="3" xfId="1" applyFont="1" applyFill="1" applyBorder="1" applyAlignment="1" applyProtection="1">
      <alignment horizontal="center" vertical="center" wrapText="1"/>
    </xf>
    <xf numFmtId="44" fontId="18" fillId="2" borderId="3" xfId="1" applyFont="1" applyFill="1" applyBorder="1" applyAlignment="1" applyProtection="1">
      <alignment vertical="center" wrapText="1"/>
    </xf>
    <xf numFmtId="44" fontId="18" fillId="2" borderId="9" xfId="0" applyNumberFormat="1" applyFont="1" applyFill="1" applyBorder="1" applyAlignment="1" applyProtection="1">
      <alignment vertical="center" wrapText="1"/>
    </xf>
    <xf numFmtId="44" fontId="14" fillId="2" borderId="14" xfId="1" applyFont="1" applyFill="1" applyBorder="1" applyAlignment="1" applyProtection="1">
      <alignment vertical="center" wrapText="1"/>
    </xf>
    <xf numFmtId="0" fontId="18" fillId="3" borderId="2" xfId="0" applyFont="1" applyFill="1" applyBorder="1" applyAlignment="1" applyProtection="1">
      <alignment vertical="center" wrapText="1"/>
      <protection locked="0"/>
    </xf>
    <xf numFmtId="0" fontId="14" fillId="4" borderId="3" xfId="0" applyFont="1" applyFill="1" applyBorder="1" applyAlignment="1" applyProtection="1">
      <alignment vertical="center" wrapText="1"/>
      <protection locked="0"/>
    </xf>
    <xf numFmtId="44" fontId="14" fillId="2" borderId="39" xfId="1" applyFont="1" applyFill="1" applyBorder="1" applyAlignment="1" applyProtection="1">
      <alignment vertical="center" wrapText="1"/>
    </xf>
    <xf numFmtId="9" fontId="18" fillId="0" borderId="3" xfId="2" applyFont="1" applyBorder="1" applyAlignment="1" applyProtection="1">
      <alignment horizontal="center" vertical="center" wrapText="1"/>
      <protection locked="0"/>
    </xf>
    <xf numFmtId="9" fontId="18" fillId="3" borderId="3" xfId="2" applyFont="1" applyFill="1" applyBorder="1" applyAlignment="1" applyProtection="1">
      <alignment horizontal="center" vertical="center" wrapText="1"/>
      <protection locked="0"/>
    </xf>
    <xf numFmtId="9" fontId="18" fillId="0" borderId="3" xfId="2" applyFont="1" applyBorder="1" applyAlignment="1" applyProtection="1">
      <alignment vertical="center" wrapText="1"/>
      <protection locked="0"/>
    </xf>
    <xf numFmtId="44" fontId="18" fillId="2" borderId="3" xfId="1" applyNumberFormat="1" applyFont="1" applyFill="1" applyBorder="1" applyAlignment="1" applyProtection="1">
      <alignment horizontal="center" vertical="center" wrapText="1"/>
    </xf>
    <xf numFmtId="44" fontId="14" fillId="4" borderId="3" xfId="1" applyFont="1" applyFill="1" applyBorder="1" applyAlignment="1" applyProtection="1">
      <alignment vertical="center" wrapText="1"/>
    </xf>
    <xf numFmtId="44" fontId="14" fillId="3" borderId="1" xfId="0" applyNumberFormat="1" applyFont="1" applyFill="1" applyBorder="1" applyAlignment="1">
      <alignment wrapText="1"/>
    </xf>
    <xf numFmtId="44" fontId="18" fillId="2" borderId="3" xfId="0" applyNumberFormat="1" applyFont="1" applyFill="1" applyBorder="1" applyAlignment="1">
      <alignment wrapText="1"/>
    </xf>
    <xf numFmtId="44" fontId="18" fillId="2" borderId="3" xfId="1" applyNumberFormat="1" applyFont="1" applyFill="1" applyBorder="1" applyAlignment="1">
      <alignment wrapText="1"/>
    </xf>
    <xf numFmtId="44" fontId="18" fillId="2" borderId="9" xfId="0" applyNumberFormat="1" applyFont="1" applyFill="1" applyBorder="1" applyAlignment="1">
      <alignment wrapText="1"/>
    </xf>
    <xf numFmtId="0" fontId="14" fillId="2" borderId="31" xfId="0" applyFont="1" applyFill="1" applyBorder="1" applyAlignment="1">
      <alignment wrapText="1"/>
    </xf>
    <xf numFmtId="44" fontId="14" fillId="2" borderId="32" xfId="0" applyNumberFormat="1" applyFont="1" applyFill="1" applyBorder="1" applyAlignment="1">
      <alignment wrapText="1"/>
    </xf>
    <xf numFmtId="44" fontId="18" fillId="2" borderId="14" xfId="0" applyNumberFormat="1" applyFont="1" applyFill="1" applyBorder="1" applyAlignment="1">
      <alignment wrapText="1"/>
    </xf>
    <xf numFmtId="9" fontId="14" fillId="3" borderId="9" xfId="2" applyFont="1" applyFill="1" applyBorder="1" applyAlignment="1" applyProtection="1">
      <alignment vertical="center" wrapText="1"/>
      <protection locked="0"/>
    </xf>
    <xf numFmtId="9" fontId="14" fillId="3" borderId="30" xfId="2" applyFont="1" applyFill="1" applyBorder="1" applyAlignment="1" applyProtection="1">
      <alignment vertical="center" wrapText="1"/>
      <protection locked="0"/>
    </xf>
    <xf numFmtId="9" fontId="14" fillId="3" borderId="30" xfId="2" applyFont="1" applyFill="1" applyBorder="1" applyAlignment="1" applyProtection="1">
      <alignment horizontal="right" vertical="center" wrapText="1"/>
      <protection locked="0"/>
    </xf>
    <xf numFmtId="9" fontId="0" fillId="0" borderId="0" xfId="2" applyFont="1"/>
    <xf numFmtId="44" fontId="14" fillId="4" borderId="5" xfId="1" applyFont="1" applyFill="1" applyBorder="1" applyAlignment="1" applyProtection="1">
      <alignment wrapText="1"/>
    </xf>
    <xf numFmtId="44" fontId="14" fillId="4" borderId="5" xfId="1" applyNumberFormat="1" applyFont="1" applyFill="1" applyBorder="1" applyAlignment="1">
      <alignment wrapText="1"/>
    </xf>
    <xf numFmtId="0" fontId="18" fillId="0" borderId="4" xfId="0" applyFont="1" applyBorder="1" applyAlignment="1">
      <alignment wrapText="1"/>
    </xf>
    <xf numFmtId="0" fontId="18" fillId="3" borderId="1" xfId="0" applyFont="1" applyFill="1" applyBorder="1" applyAlignment="1">
      <alignment wrapText="1"/>
    </xf>
    <xf numFmtId="0" fontId="18" fillId="0" borderId="2" xfId="0" applyFont="1" applyBorder="1" applyAlignment="1">
      <alignment wrapText="1"/>
    </xf>
    <xf numFmtId="0" fontId="32" fillId="0" borderId="0" xfId="0" applyFont="1" applyBorder="1" applyAlignment="1">
      <alignment wrapText="1"/>
    </xf>
    <xf numFmtId="0" fontId="24" fillId="6" borderId="15" xfId="0" applyFont="1" applyFill="1" applyBorder="1" applyAlignment="1">
      <alignment wrapText="1"/>
    </xf>
    <xf numFmtId="0" fontId="24" fillId="6" borderId="18" xfId="0" applyFont="1" applyFill="1" applyBorder="1" applyAlignment="1">
      <alignment wrapText="1"/>
    </xf>
    <xf numFmtId="0" fontId="14" fillId="2" borderId="10" xfId="0" applyFont="1" applyFill="1" applyBorder="1" applyAlignment="1">
      <alignment horizontal="center" wrapText="1"/>
    </xf>
    <xf numFmtId="44" fontId="18" fillId="2" borderId="8" xfId="1" applyFont="1" applyFill="1" applyBorder="1" applyAlignment="1" applyProtection="1">
      <alignment wrapText="1"/>
    </xf>
    <xf numFmtId="44" fontId="14" fillId="2" borderId="3" xfId="1" applyNumberFormat="1" applyFont="1" applyFill="1" applyBorder="1" applyAlignment="1">
      <alignment wrapText="1"/>
    </xf>
    <xf numFmtId="44" fontId="14" fillId="2" borderId="12" xfId="1" applyFont="1" applyFill="1" applyBorder="1" applyAlignment="1" applyProtection="1">
      <alignment wrapText="1"/>
    </xf>
    <xf numFmtId="44" fontId="14" fillId="2" borderId="13" xfId="1" applyNumberFormat="1" applyFont="1" applyFill="1" applyBorder="1" applyAlignment="1">
      <alignment wrapText="1"/>
    </xf>
    <xf numFmtId="0" fontId="20" fillId="2" borderId="34" xfId="0" applyFont="1" applyFill="1" applyBorder="1" applyAlignment="1" applyProtection="1">
      <alignment vertical="center" wrapText="1"/>
    </xf>
    <xf numFmtId="44" fontId="18" fillId="2" borderId="5" xfId="0" applyNumberFormat="1" applyFont="1" applyFill="1" applyBorder="1" applyAlignment="1">
      <alignment wrapText="1"/>
    </xf>
    <xf numFmtId="44" fontId="14" fillId="2" borderId="30" xfId="0" applyNumberFormat="1" applyFont="1" applyFill="1" applyBorder="1" applyAlignment="1">
      <alignment wrapText="1"/>
    </xf>
    <xf numFmtId="44" fontId="14" fillId="2" borderId="9" xfId="1" applyNumberFormat="1" applyFont="1" applyFill="1" applyBorder="1" applyAlignment="1">
      <alignment wrapText="1"/>
    </xf>
    <xf numFmtId="44" fontId="14" fillId="2" borderId="14" xfId="1" applyNumberFormat="1" applyFont="1" applyFill="1" applyBorder="1" applyAlignment="1">
      <alignment wrapText="1"/>
    </xf>
    <xf numFmtId="44" fontId="18" fillId="2" borderId="27" xfId="1" applyFont="1" applyFill="1" applyBorder="1" applyAlignment="1" applyProtection="1">
      <alignment wrapText="1"/>
    </xf>
    <xf numFmtId="44" fontId="18" fillId="2" borderId="29" xfId="1" applyNumberFormat="1" applyFont="1" applyFill="1" applyBorder="1" applyAlignment="1">
      <alignment wrapText="1"/>
    </xf>
    <xf numFmtId="44" fontId="18" fillId="2" borderId="16" xfId="0" applyNumberFormat="1" applyFont="1" applyFill="1" applyBorder="1" applyAlignment="1">
      <alignment wrapText="1"/>
    </xf>
    <xf numFmtId="10" fontId="14" fillId="2" borderId="9" xfId="2" applyNumberFormat="1" applyFont="1" applyFill="1" applyBorder="1" applyAlignment="1" applyProtection="1">
      <alignment wrapText="1"/>
    </xf>
    <xf numFmtId="44" fontId="18" fillId="2" borderId="3" xfId="1" applyFont="1" applyFill="1" applyBorder="1" applyAlignment="1" applyProtection="1">
      <alignment horizontal="center" vertical="center" wrapText="1"/>
    </xf>
    <xf numFmtId="44" fontId="18" fillId="0" borderId="3" xfId="1" applyFont="1" applyBorder="1" applyAlignment="1" applyProtection="1">
      <alignment horizontal="center" vertical="center" wrapText="1"/>
      <protection locked="0"/>
    </xf>
    <xf numFmtId="44" fontId="18" fillId="3" borderId="3" xfId="1" applyFont="1" applyFill="1" applyBorder="1" applyAlignment="1" applyProtection="1">
      <alignment horizontal="center" vertical="center" wrapText="1"/>
      <protection locked="0"/>
    </xf>
    <xf numFmtId="44" fontId="14" fillId="3" borderId="0" xfId="1" applyFont="1" applyFill="1" applyBorder="1" applyAlignment="1" applyProtection="1">
      <alignment vertical="center" wrapText="1"/>
      <protection locked="0"/>
    </xf>
    <xf numFmtId="44" fontId="18" fillId="0" borderId="0" xfId="1" applyFont="1" applyFill="1" applyBorder="1" applyAlignment="1" applyProtection="1">
      <alignment vertical="center" wrapText="1"/>
      <protection locked="0"/>
    </xf>
    <xf numFmtId="44" fontId="0" fillId="0" borderId="0" xfId="1" applyFont="1" applyBorder="1" applyAlignment="1">
      <alignment wrapText="1"/>
    </xf>
    <xf numFmtId="44" fontId="14" fillId="3" borderId="0" xfId="1" applyFont="1" applyFill="1" applyBorder="1" applyAlignment="1">
      <alignment vertical="center" wrapText="1"/>
    </xf>
    <xf numFmtId="44" fontId="14" fillId="3" borderId="0" xfId="1" applyFont="1" applyFill="1" applyBorder="1" applyAlignment="1" applyProtection="1">
      <alignment horizontal="center" vertical="center" wrapText="1"/>
    </xf>
    <xf numFmtId="44" fontId="14" fillId="3" borderId="0" xfId="1" applyFont="1" applyFill="1" applyBorder="1" applyAlignment="1" applyProtection="1">
      <alignment horizontal="right" vertical="center" wrapText="1"/>
      <protection locked="0"/>
    </xf>
    <xf numFmtId="44" fontId="14" fillId="3" borderId="0" xfId="1" applyFont="1" applyFill="1" applyBorder="1" applyAlignment="1" applyProtection="1">
      <alignment vertical="center" wrapText="1"/>
    </xf>
    <xf numFmtId="44" fontId="14" fillId="0" borderId="0" xfId="1" applyFont="1" applyFill="1" applyBorder="1" applyAlignment="1">
      <alignment vertical="center" wrapText="1"/>
    </xf>
    <xf numFmtId="44" fontId="0" fillId="0" borderId="0" xfId="1" applyFont="1" applyFill="1" applyBorder="1" applyAlignment="1">
      <alignment wrapText="1"/>
    </xf>
    <xf numFmtId="44" fontId="28" fillId="0" borderId="0" xfId="1" applyFont="1" applyBorder="1" applyAlignment="1">
      <alignment wrapText="1"/>
    </xf>
    <xf numFmtId="44" fontId="24" fillId="6" borderId="15" xfId="1" applyFont="1" applyFill="1" applyBorder="1" applyAlignment="1">
      <alignment wrapText="1"/>
    </xf>
    <xf numFmtId="44" fontId="26" fillId="3" borderId="0" xfId="1" applyFont="1" applyFill="1" applyBorder="1" applyAlignment="1">
      <alignment horizontal="left" wrapText="1"/>
    </xf>
    <xf numFmtId="44" fontId="14" fillId="2" borderId="27" xfId="0" applyNumberFormat="1" applyFont="1" applyFill="1" applyBorder="1" applyAlignment="1">
      <alignment vertical="center" wrapText="1"/>
    </xf>
    <xf numFmtId="44" fontId="0" fillId="2" borderId="16" xfId="1" applyFont="1" applyFill="1" applyBorder="1" applyAlignment="1">
      <alignment vertical="center" wrapText="1"/>
    </xf>
    <xf numFmtId="9" fontId="0" fillId="2" borderId="14" xfId="2" applyFont="1" applyFill="1" applyBorder="1" applyAlignment="1">
      <alignment wrapText="1"/>
    </xf>
    <xf numFmtId="0" fontId="31" fillId="0" borderId="0" xfId="0" applyFont="1" applyBorder="1" applyAlignment="1">
      <alignment horizontal="left" vertical="top" wrapText="1"/>
    </xf>
    <xf numFmtId="44" fontId="14" fillId="2" borderId="9" xfId="2" applyNumberFormat="1" applyFont="1" applyFill="1" applyBorder="1" applyAlignment="1">
      <alignment vertical="center" wrapText="1"/>
    </xf>
    <xf numFmtId="44" fontId="15" fillId="2" borderId="13" xfId="0" applyNumberFormat="1" applyFont="1" applyFill="1" applyBorder="1"/>
    <xf numFmtId="0" fontId="14" fillId="2" borderId="3" xfId="0" applyNumberFormat="1" applyFont="1" applyFill="1" applyBorder="1" applyAlignment="1">
      <alignment horizontal="center" wrapText="1"/>
    </xf>
    <xf numFmtId="0" fontId="26" fillId="3" borderId="0" xfId="0" applyFont="1" applyFill="1" applyBorder="1" applyAlignment="1">
      <alignment horizontal="left" wrapText="1"/>
    </xf>
    <xf numFmtId="0" fontId="14" fillId="2" borderId="38"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4" fillId="2" borderId="3" xfId="0" applyFont="1" applyFill="1" applyBorder="1" applyAlignment="1">
      <alignment vertical="center" wrapText="1"/>
    </xf>
    <xf numFmtId="0" fontId="13" fillId="2" borderId="3" xfId="0" applyFont="1" applyFill="1" applyBorder="1" applyAlignment="1">
      <alignment vertical="center" wrapText="1"/>
    </xf>
    <xf numFmtId="0" fontId="0" fillId="0" borderId="0" xfId="0" applyAlignment="1">
      <alignment wrapText="1"/>
    </xf>
    <xf numFmtId="0" fontId="13" fillId="3" borderId="0" xfId="0" applyFont="1" applyFill="1" applyAlignment="1" applyProtection="1">
      <alignment vertical="center" wrapText="1"/>
      <protection locked="0"/>
    </xf>
    <xf numFmtId="0" fontId="14" fillId="3" borderId="0" xfId="0" applyFont="1" applyFill="1" applyAlignment="1">
      <alignment vertical="center" wrapText="1"/>
    </xf>
    <xf numFmtId="0" fontId="14" fillId="2" borderId="38" xfId="0" applyFont="1" applyFill="1" applyBorder="1" applyAlignment="1">
      <alignment vertical="center" wrapText="1"/>
    </xf>
    <xf numFmtId="0" fontId="13" fillId="2" borderId="8" xfId="0" applyFont="1" applyFill="1" applyBorder="1" applyAlignment="1">
      <alignment vertical="center" wrapText="1"/>
    </xf>
    <xf numFmtId="0" fontId="14" fillId="2" borderId="34" xfId="0" applyFont="1" applyFill="1" applyBorder="1" applyAlignment="1">
      <alignment vertical="center" wrapText="1"/>
    </xf>
    <xf numFmtId="0" fontId="15" fillId="2" borderId="27"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0" fillId="2" borderId="12" xfId="0" applyFill="1" applyBorder="1" applyAlignment="1">
      <alignment wrapText="1"/>
    </xf>
    <xf numFmtId="44" fontId="14" fillId="2" borderId="5" xfId="1" applyFont="1" applyFill="1" applyBorder="1" applyAlignment="1" applyProtection="1">
      <alignment horizontal="center" vertical="center" wrapText="1"/>
    </xf>
    <xf numFmtId="0" fontId="19" fillId="2" borderId="38" xfId="0" applyFont="1" applyFill="1" applyBorder="1" applyAlignment="1">
      <alignment vertical="center" wrapText="1"/>
    </xf>
    <xf numFmtId="0" fontId="19" fillId="2" borderId="3" xfId="0" applyFont="1" applyFill="1" applyBorder="1" applyAlignment="1">
      <alignment vertical="center" wrapText="1"/>
    </xf>
    <xf numFmtId="0" fontId="33" fillId="7" borderId="13" xfId="0" applyFont="1" applyFill="1" applyBorder="1" applyAlignment="1">
      <alignment horizontal="left" wrapText="1"/>
    </xf>
    <xf numFmtId="0" fontId="34" fillId="7" borderId="38" xfId="0" applyFont="1" applyFill="1" applyBorder="1" applyAlignment="1">
      <alignment vertical="center" wrapText="1"/>
    </xf>
    <xf numFmtId="0" fontId="34" fillId="7" borderId="38" xfId="0" applyFont="1" applyFill="1" applyBorder="1" applyAlignment="1" applyProtection="1">
      <alignment vertical="center" wrapText="1"/>
      <protection locked="0"/>
    </xf>
    <xf numFmtId="44" fontId="33" fillId="8" borderId="38" xfId="0" applyNumberFormat="1" applyFont="1" applyFill="1" applyBorder="1" applyAlignment="1">
      <alignment wrapText="1"/>
    </xf>
    <xf numFmtId="44" fontId="14" fillId="2" borderId="13" xfId="1" applyFont="1" applyFill="1" applyBorder="1" applyAlignment="1">
      <alignment vertical="center" wrapText="1"/>
    </xf>
    <xf numFmtId="44" fontId="15" fillId="2" borderId="14" xfId="0" applyNumberFormat="1" applyFont="1" applyFill="1" applyBorder="1"/>
    <xf numFmtId="0" fontId="14" fillId="2" borderId="54" xfId="0" applyFont="1" applyFill="1" applyBorder="1" applyAlignment="1">
      <alignment horizontal="center" vertical="center" wrapText="1"/>
    </xf>
    <xf numFmtId="0" fontId="14" fillId="2" borderId="53" xfId="0" applyFont="1" applyFill="1" applyBorder="1" applyAlignment="1">
      <alignment horizontal="center" vertical="center" wrapText="1"/>
    </xf>
    <xf numFmtId="9" fontId="14" fillId="2" borderId="53" xfId="2" applyFont="1" applyFill="1" applyBorder="1" applyAlignment="1">
      <alignment vertical="center" wrapText="1"/>
    </xf>
    <xf numFmtId="9" fontId="14" fillId="2" borderId="55" xfId="2" applyFont="1" applyFill="1" applyBorder="1" applyAlignment="1">
      <alignment vertical="center" wrapText="1"/>
    </xf>
    <xf numFmtId="0" fontId="20" fillId="2" borderId="8" xfId="0" applyFont="1" applyFill="1" applyBorder="1" applyAlignment="1">
      <alignment vertical="center" wrapText="1"/>
    </xf>
    <xf numFmtId="44" fontId="13" fillId="2" borderId="8" xfId="1" applyFont="1" applyFill="1" applyBorder="1" applyAlignment="1" applyProtection="1">
      <alignment wrapText="1"/>
    </xf>
    <xf numFmtId="0" fontId="13" fillId="2" borderId="12" xfId="0" applyFont="1" applyFill="1" applyBorder="1" applyAlignment="1">
      <alignment wrapText="1"/>
    </xf>
    <xf numFmtId="0" fontId="15" fillId="9" borderId="6" xfId="0" applyFont="1" applyFill="1" applyBorder="1"/>
    <xf numFmtId="0" fontId="0" fillId="9" borderId="22" xfId="0" applyFill="1" applyBorder="1" applyAlignment="1">
      <alignment wrapText="1"/>
    </xf>
    <xf numFmtId="0" fontId="0" fillId="9" borderId="23" xfId="0" applyFill="1" applyBorder="1" applyAlignment="1">
      <alignment wrapText="1"/>
    </xf>
    <xf numFmtId="0" fontId="12" fillId="2" borderId="3" xfId="0" applyFont="1" applyFill="1" applyBorder="1" applyAlignment="1">
      <alignment horizontal="center" vertical="center" wrapText="1"/>
    </xf>
    <xf numFmtId="0" fontId="12" fillId="0" borderId="3" xfId="0" applyFont="1" applyBorder="1" applyAlignment="1" applyProtection="1">
      <alignment horizontal="left" vertical="top" wrapText="1"/>
      <protection locked="0"/>
    </xf>
    <xf numFmtId="0" fontId="12" fillId="3" borderId="3" xfId="0" applyFont="1" applyFill="1" applyBorder="1" applyAlignment="1" applyProtection="1">
      <alignment horizontal="left" vertical="top" wrapText="1"/>
      <protection locked="0"/>
    </xf>
    <xf numFmtId="44" fontId="18" fillId="3" borderId="5" xfId="1" applyNumberFormat="1" applyFont="1" applyFill="1" applyBorder="1" applyAlignment="1" applyProtection="1">
      <alignment horizontal="center" vertical="center" wrapText="1"/>
      <protection locked="0"/>
    </xf>
    <xf numFmtId="0" fontId="12" fillId="3" borderId="3" xfId="0" applyFont="1" applyFill="1" applyBorder="1" applyAlignment="1" applyProtection="1">
      <alignment vertical="center" wrapText="1"/>
      <protection locked="0"/>
    </xf>
    <xf numFmtId="44" fontId="11" fillId="3" borderId="3" xfId="1" applyFont="1" applyFill="1" applyBorder="1" applyAlignment="1" applyProtection="1">
      <alignment horizontal="center" vertical="center" wrapText="1"/>
      <protection locked="0"/>
    </xf>
    <xf numFmtId="44" fontId="11" fillId="0" borderId="3" xfId="0" applyNumberFormat="1" applyFont="1" applyBorder="1" applyAlignment="1" applyProtection="1">
      <alignment wrapText="1"/>
      <protection locked="0"/>
    </xf>
    <xf numFmtId="49" fontId="11" fillId="0" borderId="3" xfId="1" applyNumberFormat="1" applyFont="1" applyBorder="1" applyAlignment="1" applyProtection="1">
      <alignment horizontal="left" wrapText="1"/>
      <protection locked="0"/>
    </xf>
    <xf numFmtId="49" fontId="11" fillId="3" borderId="3" xfId="1" applyNumberFormat="1" applyFont="1" applyFill="1" applyBorder="1" applyAlignment="1" applyProtection="1">
      <alignment horizontal="left" wrapText="1"/>
      <protection locked="0"/>
    </xf>
    <xf numFmtId="0" fontId="10" fillId="3" borderId="3" xfId="0" applyFont="1" applyFill="1" applyBorder="1" applyAlignment="1" applyProtection="1">
      <alignment vertical="center" wrapText="1"/>
      <protection locked="0"/>
    </xf>
    <xf numFmtId="6" fontId="18" fillId="0" borderId="3" xfId="0" applyNumberFormat="1" applyFont="1" applyBorder="1" applyAlignment="1" applyProtection="1">
      <alignment wrapText="1"/>
      <protection locked="0"/>
    </xf>
    <xf numFmtId="44" fontId="10" fillId="0" borderId="3" xfId="1" applyFont="1" applyFill="1" applyBorder="1" applyAlignment="1" applyProtection="1">
      <alignment horizontal="center" vertical="center" wrapText="1"/>
      <protection locked="0"/>
    </xf>
    <xf numFmtId="44" fontId="10" fillId="0" borderId="3" xfId="1" applyFont="1" applyFill="1" applyBorder="1" applyAlignment="1" applyProtection="1">
      <alignment vertical="center" wrapText="1"/>
      <protection locked="0"/>
    </xf>
    <xf numFmtId="9" fontId="10" fillId="0" borderId="3" xfId="2" applyFont="1" applyBorder="1" applyAlignment="1" applyProtection="1">
      <alignment horizontal="center" vertical="center" wrapText="1"/>
      <protection locked="0"/>
    </xf>
    <xf numFmtId="44" fontId="10" fillId="3" borderId="38" xfId="1" applyFont="1" applyFill="1" applyBorder="1" applyAlignment="1" applyProtection="1">
      <alignment horizontal="center" vertical="center" wrapText="1"/>
      <protection locked="0"/>
    </xf>
    <xf numFmtId="44" fontId="10" fillId="3" borderId="3" xfId="1" applyFont="1" applyFill="1" applyBorder="1" applyAlignment="1" applyProtection="1">
      <alignment horizontal="center" vertical="center" wrapText="1"/>
      <protection locked="0"/>
    </xf>
    <xf numFmtId="44" fontId="10" fillId="0" borderId="3" xfId="0" applyNumberFormat="1" applyFont="1" applyBorder="1" applyAlignment="1" applyProtection="1">
      <alignment wrapText="1"/>
      <protection locked="0"/>
    </xf>
    <xf numFmtId="0" fontId="27" fillId="0" borderId="0" xfId="0" applyFont="1" applyFill="1" applyBorder="1" applyAlignment="1">
      <alignment wrapText="1"/>
    </xf>
    <xf numFmtId="0" fontId="14" fillId="0" borderId="3" xfId="0" applyFont="1" applyFill="1" applyBorder="1" applyAlignment="1" applyProtection="1">
      <alignment horizontal="center" vertical="center" wrapText="1"/>
      <protection locked="0"/>
    </xf>
    <xf numFmtId="44" fontId="18" fillId="0" borderId="3" xfId="1" applyNumberFormat="1" applyFont="1" applyFill="1" applyBorder="1" applyAlignment="1" applyProtection="1">
      <alignment horizontal="center" vertical="center" wrapText="1"/>
      <protection locked="0"/>
    </xf>
    <xf numFmtId="44" fontId="14" fillId="0" borderId="3" xfId="1" applyNumberFormat="1" applyFont="1" applyFill="1" applyBorder="1" applyAlignment="1" applyProtection="1">
      <alignment horizontal="center" vertical="center" wrapText="1"/>
    </xf>
    <xf numFmtId="44" fontId="18" fillId="0" borderId="5" xfId="1" applyNumberFormat="1" applyFont="1" applyFill="1" applyBorder="1" applyAlignment="1" applyProtection="1">
      <alignment horizontal="center" vertical="center" wrapText="1"/>
      <protection locked="0"/>
    </xf>
    <xf numFmtId="44" fontId="14" fillId="0" borderId="5" xfId="1" applyNumberFormat="1" applyFont="1" applyFill="1" applyBorder="1" applyAlignment="1" applyProtection="1">
      <alignment horizontal="center" vertical="center" wrapText="1"/>
    </xf>
    <xf numFmtId="44" fontId="18" fillId="0" borderId="0" xfId="1" applyFont="1" applyFill="1" applyBorder="1" applyAlignment="1" applyProtection="1">
      <alignment horizontal="center" vertical="center" wrapText="1"/>
      <protection locked="0"/>
    </xf>
    <xf numFmtId="44" fontId="18" fillId="0" borderId="3" xfId="1" applyFont="1" applyFill="1" applyBorder="1" applyAlignment="1" applyProtection="1">
      <alignment vertical="center" wrapText="1"/>
      <protection locked="0"/>
    </xf>
    <xf numFmtId="9" fontId="14" fillId="0" borderId="0" xfId="2" applyFont="1" applyFill="1" applyBorder="1" applyAlignment="1">
      <alignment wrapText="1"/>
    </xf>
    <xf numFmtId="0" fontId="15" fillId="0" borderId="0" xfId="0" applyFont="1" applyFill="1" applyBorder="1" applyAlignment="1">
      <alignment horizontal="center" vertical="center" wrapText="1"/>
    </xf>
    <xf numFmtId="44" fontId="14" fillId="0" borderId="0" xfId="2" applyNumberFormat="1" applyFont="1" applyFill="1" applyBorder="1" applyAlignment="1">
      <alignment wrapText="1"/>
    </xf>
    <xf numFmtId="0" fontId="0" fillId="0" borderId="0" xfId="0" applyFont="1" applyFill="1" applyBorder="1" applyAlignment="1">
      <alignment horizontal="center" vertical="center" wrapText="1"/>
    </xf>
    <xf numFmtId="44" fontId="9" fillId="3" borderId="38" xfId="1" applyFont="1" applyFill="1" applyBorder="1" applyAlignment="1" applyProtection="1">
      <alignment horizontal="center" vertical="center" wrapText="1"/>
      <protection locked="0"/>
    </xf>
    <xf numFmtId="44" fontId="9" fillId="3" borderId="3" xfId="1" applyFont="1" applyFill="1" applyBorder="1" applyAlignment="1" applyProtection="1">
      <alignment horizontal="center" vertical="center" wrapText="1"/>
      <protection locked="0"/>
    </xf>
    <xf numFmtId="44" fontId="9" fillId="0" borderId="3" xfId="0" applyNumberFormat="1" applyFont="1" applyBorder="1" applyAlignment="1" applyProtection="1">
      <alignment wrapText="1"/>
      <protection locked="0"/>
    </xf>
    <xf numFmtId="44" fontId="8" fillId="3" borderId="38" xfId="1" applyFont="1" applyFill="1" applyBorder="1" applyAlignment="1" applyProtection="1">
      <alignment horizontal="center" vertical="center" wrapText="1"/>
      <protection locked="0"/>
    </xf>
    <xf numFmtId="44" fontId="8" fillId="3" borderId="3" xfId="1" applyFont="1" applyFill="1" applyBorder="1" applyAlignment="1" applyProtection="1">
      <alignment horizontal="center" vertical="center" wrapText="1"/>
      <protection locked="0"/>
    </xf>
    <xf numFmtId="44" fontId="8" fillId="0" borderId="3" xfId="0" applyNumberFormat="1" applyFont="1" applyBorder="1" applyAlignment="1" applyProtection="1">
      <alignment wrapText="1"/>
      <protection locked="0"/>
    </xf>
    <xf numFmtId="0" fontId="7" fillId="0" borderId="3" xfId="0" applyFont="1" applyBorder="1" applyAlignment="1" applyProtection="1">
      <alignment horizontal="left" vertical="top" wrapText="1"/>
      <protection locked="0"/>
    </xf>
    <xf numFmtId="0" fontId="6" fillId="0" borderId="3" xfId="0" applyFont="1" applyBorder="1" applyAlignment="1" applyProtection="1">
      <alignment horizontal="left" vertical="top" wrapText="1"/>
      <protection locked="0"/>
    </xf>
    <xf numFmtId="9" fontId="34" fillId="0" borderId="3" xfId="0" applyNumberFormat="1" applyFont="1" applyBorder="1" applyAlignment="1" applyProtection="1">
      <alignment horizontal="center" vertical="center" wrapText="1"/>
      <protection locked="0"/>
    </xf>
    <xf numFmtId="9" fontId="34" fillId="0" borderId="38" xfId="0" applyNumberFormat="1" applyFont="1" applyBorder="1" applyAlignment="1" applyProtection="1">
      <alignment horizontal="center" vertical="center" wrapText="1"/>
      <protection locked="0"/>
    </xf>
    <xf numFmtId="49" fontId="6" fillId="0" borderId="3" xfId="1" applyNumberFormat="1" applyFont="1" applyBorder="1" applyAlignment="1" applyProtection="1">
      <alignment horizontal="left" wrapText="1"/>
      <protection locked="0"/>
    </xf>
    <xf numFmtId="44" fontId="5" fillId="3" borderId="38" xfId="1" applyFont="1" applyFill="1" applyBorder="1" applyAlignment="1" applyProtection="1">
      <alignment horizontal="center" vertical="center" wrapText="1"/>
      <protection locked="0"/>
    </xf>
    <xf numFmtId="44" fontId="5" fillId="3" borderId="3" xfId="1" applyFont="1" applyFill="1" applyBorder="1" applyAlignment="1" applyProtection="1">
      <alignment horizontal="center" vertical="center" wrapText="1"/>
      <protection locked="0"/>
    </xf>
    <xf numFmtId="44" fontId="5" fillId="0" borderId="3" xfId="0" applyNumberFormat="1" applyFont="1" applyBorder="1" applyAlignment="1" applyProtection="1">
      <alignment wrapText="1"/>
      <protection locked="0"/>
    </xf>
    <xf numFmtId="44" fontId="4" fillId="3" borderId="38" xfId="1" applyFont="1" applyFill="1" applyBorder="1" applyAlignment="1" applyProtection="1">
      <alignment horizontal="center" vertical="center" wrapText="1"/>
      <protection locked="0"/>
    </xf>
    <xf numFmtId="44" fontId="4" fillId="3" borderId="3" xfId="1" applyFont="1" applyFill="1" applyBorder="1" applyAlignment="1" applyProtection="1">
      <alignment horizontal="center" vertical="center" wrapText="1"/>
      <protection locked="0"/>
    </xf>
    <xf numFmtId="44" fontId="4" fillId="0" borderId="3" xfId="0" applyNumberFormat="1" applyFont="1" applyBorder="1" applyAlignment="1" applyProtection="1">
      <alignment wrapText="1"/>
      <protection locked="0"/>
    </xf>
    <xf numFmtId="44" fontId="3" fillId="0" borderId="3" xfId="1" applyFont="1" applyBorder="1" applyAlignment="1" applyProtection="1">
      <alignment horizontal="center" vertical="center" wrapText="1"/>
      <protection locked="0"/>
    </xf>
    <xf numFmtId="44" fontId="3" fillId="3" borderId="38" xfId="1" applyFont="1" applyFill="1" applyBorder="1" applyAlignment="1" applyProtection="1">
      <alignment horizontal="center" vertical="center" wrapText="1"/>
      <protection locked="0"/>
    </xf>
    <xf numFmtId="44" fontId="3" fillId="3" borderId="3" xfId="1" applyFont="1" applyFill="1" applyBorder="1" applyAlignment="1" applyProtection="1">
      <alignment horizontal="center" vertical="center" wrapText="1"/>
      <protection locked="0"/>
    </xf>
    <xf numFmtId="44" fontId="3" fillId="0" borderId="3" xfId="0" applyNumberFormat="1" applyFont="1" applyBorder="1" applyAlignment="1" applyProtection="1">
      <alignment wrapText="1"/>
      <protection locked="0"/>
    </xf>
    <xf numFmtId="44" fontId="3" fillId="0" borderId="3" xfId="1" applyFont="1" applyFill="1" applyBorder="1" applyAlignment="1" applyProtection="1">
      <alignment horizontal="center" vertical="center" wrapText="1"/>
      <protection locked="0"/>
    </xf>
    <xf numFmtId="44" fontId="3" fillId="0" borderId="3" xfId="1" applyFont="1" applyFill="1" applyBorder="1" applyAlignment="1" applyProtection="1">
      <alignment vertical="center" wrapText="1"/>
      <protection locked="0"/>
    </xf>
    <xf numFmtId="44" fontId="34" fillId="10" borderId="38" xfId="0" applyNumberFormat="1" applyFont="1" applyFill="1" applyBorder="1" applyAlignment="1" applyProtection="1">
      <alignment horizontal="center" vertical="center" wrapText="1"/>
      <protection locked="0"/>
    </xf>
    <xf numFmtId="44" fontId="18" fillId="11" borderId="3" xfId="1" applyFont="1" applyFill="1" applyBorder="1" applyAlignment="1" applyProtection="1">
      <alignment horizontal="center" vertical="center" wrapText="1"/>
      <protection locked="0"/>
    </xf>
    <xf numFmtId="44" fontId="18" fillId="11" borderId="3" xfId="1" applyFont="1" applyFill="1" applyBorder="1" applyAlignment="1" applyProtection="1">
      <alignment vertical="center" wrapText="1"/>
      <protection locked="0"/>
    </xf>
    <xf numFmtId="44" fontId="34" fillId="12" borderId="3" xfId="0" applyNumberFormat="1" applyFont="1" applyFill="1" applyBorder="1" applyAlignment="1" applyProtection="1">
      <alignment horizontal="center" vertical="center" wrapText="1"/>
      <protection locked="0"/>
    </xf>
    <xf numFmtId="44" fontId="2" fillId="11" borderId="3" xfId="1" applyFont="1" applyFill="1" applyBorder="1" applyAlignment="1" applyProtection="1">
      <alignment vertical="center" wrapText="1"/>
      <protection locked="0"/>
    </xf>
    <xf numFmtId="44" fontId="36" fillId="11" borderId="3" xfId="1" applyFont="1" applyFill="1" applyBorder="1" applyAlignment="1" applyProtection="1">
      <alignment horizontal="center" vertical="center" wrapText="1"/>
      <protection locked="0"/>
    </xf>
    <xf numFmtId="44" fontId="36" fillId="12" borderId="3" xfId="0" applyNumberFormat="1" applyFont="1" applyFill="1" applyBorder="1" applyAlignment="1" applyProtection="1">
      <alignment horizontal="center" vertical="center" wrapText="1"/>
      <protection locked="0"/>
    </xf>
    <xf numFmtId="0" fontId="12" fillId="0" borderId="3" xfId="0" applyFont="1" applyFill="1" applyBorder="1" applyAlignment="1" applyProtection="1">
      <alignment horizontal="left" vertical="top" wrapText="1"/>
      <protection locked="0"/>
    </xf>
    <xf numFmtId="9" fontId="18" fillId="0" borderId="3" xfId="2" applyFont="1" applyFill="1" applyBorder="1" applyAlignment="1" applyProtection="1">
      <alignment horizontal="center" vertical="center" wrapText="1"/>
      <protection locked="0"/>
    </xf>
    <xf numFmtId="49" fontId="1" fillId="0" borderId="3" xfId="1" applyNumberFormat="1" applyFont="1" applyFill="1" applyBorder="1" applyAlignment="1" applyProtection="1">
      <alignment horizontal="left" vertical="center" wrapText="1"/>
      <protection locked="0"/>
    </xf>
    <xf numFmtId="0" fontId="1" fillId="0" borderId="3" xfId="0" applyFont="1" applyBorder="1" applyAlignment="1" applyProtection="1">
      <alignment horizontal="left" vertical="top" wrapText="1"/>
      <protection locked="0"/>
    </xf>
    <xf numFmtId="44" fontId="1" fillId="11" borderId="3" xfId="1" applyFont="1" applyFill="1" applyBorder="1" applyAlignment="1" applyProtection="1">
      <alignment horizontal="center" vertical="center" wrapText="1"/>
      <protection locked="0"/>
    </xf>
    <xf numFmtId="0" fontId="13" fillId="2" borderId="3" xfId="0" applyFont="1" applyFill="1" applyBorder="1" applyAlignment="1" applyProtection="1">
      <alignment vertical="center" wrapText="1"/>
    </xf>
    <xf numFmtId="49" fontId="1" fillId="0" borderId="3" xfId="1" applyNumberFormat="1" applyFont="1" applyBorder="1" applyAlignment="1" applyProtection="1">
      <alignment horizontal="left" wrapText="1"/>
      <protection locked="0"/>
    </xf>
    <xf numFmtId="49" fontId="1" fillId="0" borderId="3" xfId="1" applyNumberFormat="1" applyFont="1" applyBorder="1" applyAlignment="1" applyProtection="1">
      <alignment horizontal="left" vertical="center" wrapText="1"/>
      <protection locked="0"/>
    </xf>
    <xf numFmtId="0" fontId="33" fillId="10" borderId="4" xfId="0" applyFont="1" applyFill="1" applyBorder="1" applyAlignment="1" applyProtection="1">
      <alignment horizontal="left" vertical="top" wrapText="1"/>
      <protection locked="0"/>
    </xf>
    <xf numFmtId="0" fontId="33" fillId="10" borderId="1" xfId="0" applyFont="1" applyFill="1" applyBorder="1" applyAlignment="1" applyProtection="1">
      <alignment horizontal="left" vertical="top" wrapText="1"/>
      <protection locked="0"/>
    </xf>
    <xf numFmtId="0" fontId="33" fillId="10" borderId="2" xfId="0" applyFont="1" applyFill="1" applyBorder="1" applyAlignment="1" applyProtection="1">
      <alignment horizontal="left" vertical="top" wrapText="1"/>
      <protection locked="0"/>
    </xf>
    <xf numFmtId="0" fontId="14" fillId="3" borderId="3" xfId="0" applyFont="1" applyFill="1" applyBorder="1" applyAlignment="1" applyProtection="1">
      <alignment horizontal="left" vertical="top" wrapText="1"/>
      <protection locked="0"/>
    </xf>
    <xf numFmtId="44" fontId="14" fillId="3" borderId="3" xfId="1" applyFont="1" applyFill="1" applyBorder="1" applyAlignment="1" applyProtection="1">
      <alignment horizontal="left" vertical="top" wrapText="1"/>
      <protection locked="0"/>
    </xf>
    <xf numFmtId="0" fontId="18" fillId="3" borderId="3" xfId="0" applyFont="1" applyFill="1" applyBorder="1" applyAlignment="1" applyProtection="1">
      <alignment horizontal="left" vertical="top" wrapText="1"/>
      <protection locked="0"/>
    </xf>
    <xf numFmtId="44" fontId="18" fillId="3" borderId="3" xfId="1" applyFont="1" applyFill="1" applyBorder="1" applyAlignment="1" applyProtection="1">
      <alignment horizontal="left" vertical="top" wrapText="1"/>
      <protection locked="0"/>
    </xf>
    <xf numFmtId="49" fontId="14" fillId="3" borderId="3" xfId="0" applyNumberFormat="1" applyFont="1" applyFill="1" applyBorder="1" applyAlignment="1" applyProtection="1">
      <alignment horizontal="left" vertical="top" wrapText="1"/>
      <protection locked="0"/>
    </xf>
    <xf numFmtId="0" fontId="14" fillId="3" borderId="3" xfId="0" applyNumberFormat="1" applyFont="1" applyFill="1" applyBorder="1" applyAlignment="1" applyProtection="1">
      <alignment horizontal="left" vertical="top" wrapText="1"/>
      <protection locked="0"/>
    </xf>
    <xf numFmtId="0" fontId="16" fillId="6" borderId="19" xfId="0" applyFont="1" applyFill="1" applyBorder="1" applyAlignment="1">
      <alignment horizontal="left" wrapText="1"/>
    </xf>
    <xf numFmtId="0" fontId="16" fillId="6" borderId="24" xfId="0" applyFont="1" applyFill="1" applyBorder="1" applyAlignment="1">
      <alignment horizontal="left" wrapText="1"/>
    </xf>
    <xf numFmtId="44" fontId="16" fillId="6" borderId="24" xfId="1" applyFont="1" applyFill="1" applyBorder="1" applyAlignment="1">
      <alignment horizontal="left" wrapText="1"/>
    </xf>
    <xf numFmtId="0" fontId="16" fillId="6" borderId="20" xfId="0" applyFont="1" applyFill="1" applyBorder="1" applyAlignment="1">
      <alignment horizontal="left" wrapText="1"/>
    </xf>
    <xf numFmtId="0" fontId="31" fillId="0" borderId="0" xfId="0" applyFont="1" applyBorder="1" applyAlignment="1">
      <alignment horizontal="left" vertical="top" wrapText="1"/>
    </xf>
    <xf numFmtId="0" fontId="26" fillId="6" borderId="25" xfId="0" applyFont="1" applyFill="1" applyBorder="1" applyAlignment="1">
      <alignment horizontal="left" wrapText="1"/>
    </xf>
    <xf numFmtId="0" fontId="26" fillId="6" borderId="26" xfId="0" applyFont="1" applyFill="1" applyBorder="1" applyAlignment="1">
      <alignment horizontal="left" wrapText="1"/>
    </xf>
    <xf numFmtId="0" fontId="26" fillId="6" borderId="21" xfId="0" applyFont="1" applyFill="1" applyBorder="1" applyAlignment="1">
      <alignment horizontal="left" wrapText="1"/>
    </xf>
    <xf numFmtId="0" fontId="14" fillId="0" borderId="0" xfId="0" applyFont="1" applyFill="1" applyBorder="1" applyAlignment="1">
      <alignment horizontal="center" vertical="center" wrapText="1"/>
    </xf>
    <xf numFmtId="0" fontId="14" fillId="2" borderId="27" xfId="0" applyFont="1" applyFill="1" applyBorder="1" applyAlignment="1" applyProtection="1">
      <alignment horizontal="center" vertical="center" wrapText="1"/>
    </xf>
    <xf numFmtId="0" fontId="14" fillId="2" borderId="29" xfId="0" applyFont="1" applyFill="1" applyBorder="1" applyAlignment="1" applyProtection="1">
      <alignment horizontal="center" vertical="center" wrapText="1"/>
    </xf>
    <xf numFmtId="0" fontId="14" fillId="2" borderId="36" xfId="0" applyFont="1" applyFill="1" applyBorder="1" applyAlignment="1" applyProtection="1">
      <alignment horizontal="center" vertical="center" wrapText="1"/>
    </xf>
    <xf numFmtId="0" fontId="14" fillId="2" borderId="16" xfId="0" applyFont="1" applyFill="1" applyBorder="1" applyAlignment="1" applyProtection="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18" fillId="2" borderId="34" xfId="0" applyFont="1" applyFill="1" applyBorder="1" applyAlignment="1" applyProtection="1">
      <alignment horizontal="center" vertical="center" wrapText="1"/>
    </xf>
    <xf numFmtId="0" fontId="18" fillId="2" borderId="10" xfId="0" applyFont="1" applyFill="1" applyBorder="1" applyAlignment="1" applyProtection="1">
      <alignment horizontal="center" vertical="center" wrapText="1"/>
    </xf>
    <xf numFmtId="44" fontId="14" fillId="2" borderId="30" xfId="1" applyFont="1" applyFill="1" applyBorder="1" applyAlignment="1" applyProtection="1">
      <alignment horizontal="center" vertical="center" wrapText="1"/>
    </xf>
    <xf numFmtId="44" fontId="14" fillId="2" borderId="37" xfId="1" applyFont="1" applyFill="1" applyBorder="1" applyAlignment="1" applyProtection="1">
      <alignment horizontal="center" vertical="center" wrapText="1"/>
    </xf>
    <xf numFmtId="0" fontId="14" fillId="2" borderId="5" xfId="0" applyFont="1" applyFill="1" applyBorder="1" applyAlignment="1" applyProtection="1">
      <alignment horizontal="center" vertical="center" wrapText="1"/>
    </xf>
    <xf numFmtId="0" fontId="14" fillId="2" borderId="38" xfId="0" applyFont="1" applyFill="1" applyBorder="1" applyAlignment="1" applyProtection="1">
      <alignment horizontal="center" vertical="center" wrapText="1"/>
    </xf>
    <xf numFmtId="0" fontId="14" fillId="2" borderId="30" xfId="0" applyFont="1" applyFill="1" applyBorder="1" applyAlignment="1" applyProtection="1">
      <alignment horizontal="center" vertical="center" wrapText="1"/>
    </xf>
    <xf numFmtId="0" fontId="14" fillId="2" borderId="37" xfId="0" applyFont="1" applyFill="1" applyBorder="1" applyAlignment="1" applyProtection="1">
      <alignment horizontal="center" vertical="center" wrapText="1"/>
    </xf>
    <xf numFmtId="0" fontId="15" fillId="2" borderId="7" xfId="0" applyFont="1" applyFill="1" applyBorder="1" applyAlignment="1" applyProtection="1">
      <alignment horizontal="center" vertical="center" wrapText="1"/>
    </xf>
    <xf numFmtId="0" fontId="15" fillId="2" borderId="35" xfId="0" applyFont="1" applyFill="1" applyBorder="1" applyAlignment="1" applyProtection="1">
      <alignment horizontal="center" vertical="center" wrapText="1"/>
    </xf>
    <xf numFmtId="0" fontId="14" fillId="4" borderId="43" xfId="0" applyFont="1" applyFill="1" applyBorder="1" applyAlignment="1" applyProtection="1">
      <alignment horizontal="center" vertical="center" wrapText="1"/>
    </xf>
    <xf numFmtId="0" fontId="14" fillId="4" borderId="44" xfId="0" applyFont="1" applyFill="1" applyBorder="1" applyAlignment="1" applyProtection="1">
      <alignment horizontal="center" vertical="center" wrapText="1"/>
    </xf>
    <xf numFmtId="0" fontId="14" fillId="4" borderId="45" xfId="0" applyFont="1" applyFill="1" applyBorder="1" applyAlignment="1" applyProtection="1">
      <alignment horizontal="center" vertical="center" wrapText="1"/>
    </xf>
    <xf numFmtId="0" fontId="14" fillId="2" borderId="4" xfId="0" applyFont="1" applyFill="1" applyBorder="1" applyAlignment="1">
      <alignment horizontal="left" wrapText="1"/>
    </xf>
    <xf numFmtId="0" fontId="14" fillId="2" borderId="1" xfId="0" applyFont="1" applyFill="1" applyBorder="1" applyAlignment="1">
      <alignment horizontal="left" wrapText="1"/>
    </xf>
    <xf numFmtId="0" fontId="14" fillId="2" borderId="2" xfId="0" applyFont="1" applyFill="1" applyBorder="1" applyAlignment="1">
      <alignment horizontal="left" wrapText="1"/>
    </xf>
    <xf numFmtId="0" fontId="14" fillId="2" borderId="5" xfId="0" applyFont="1" applyFill="1" applyBorder="1" applyAlignment="1">
      <alignment horizontal="center" vertical="center" wrapText="1"/>
    </xf>
    <xf numFmtId="0" fontId="14" fillId="2" borderId="38" xfId="0" applyFont="1" applyFill="1" applyBorder="1" applyAlignment="1">
      <alignment horizontal="center" vertical="center" wrapText="1"/>
    </xf>
    <xf numFmtId="0" fontId="24" fillId="6" borderId="17" xfId="0" applyFont="1" applyFill="1" applyBorder="1" applyAlignment="1">
      <alignment horizontal="left" wrapText="1"/>
    </xf>
    <xf numFmtId="0" fontId="24" fillId="6" borderId="15" xfId="0" applyFont="1" applyFill="1" applyBorder="1" applyAlignment="1">
      <alignment horizontal="left" wrapText="1"/>
    </xf>
    <xf numFmtId="0" fontId="24" fillId="6" borderId="40" xfId="0" applyFont="1" applyFill="1" applyBorder="1" applyAlignment="1">
      <alignment horizontal="left" wrapText="1"/>
    </xf>
    <xf numFmtId="0" fontId="14" fillId="2" borderId="46" xfId="0" applyFont="1" applyFill="1" applyBorder="1" applyAlignment="1">
      <alignment horizontal="left" wrapText="1"/>
    </xf>
    <xf numFmtId="0" fontId="14" fillId="2" borderId="51" xfId="0" applyFont="1" applyFill="1" applyBorder="1" applyAlignment="1">
      <alignment horizontal="left" wrapText="1"/>
    </xf>
    <xf numFmtId="0" fontId="14" fillId="2" borderId="52" xfId="0" applyFont="1" applyFill="1" applyBorder="1" applyAlignment="1">
      <alignment horizontal="left" wrapText="1"/>
    </xf>
    <xf numFmtId="0" fontId="14" fillId="2" borderId="28" xfId="0" applyFont="1" applyFill="1" applyBorder="1" applyAlignment="1">
      <alignment horizontal="center" vertical="center" wrapText="1"/>
    </xf>
    <xf numFmtId="0" fontId="14" fillId="2" borderId="37" xfId="0" applyFont="1" applyFill="1" applyBorder="1" applyAlignment="1">
      <alignment horizontal="center" vertical="center" wrapText="1"/>
    </xf>
    <xf numFmtId="0" fontId="16" fillId="6" borderId="11" xfId="0" applyFont="1" applyFill="1" applyBorder="1" applyAlignment="1">
      <alignment horizontal="left" vertical="center" wrapText="1"/>
    </xf>
    <xf numFmtId="0" fontId="16" fillId="6" borderId="0" xfId="0" applyFont="1" applyFill="1" applyBorder="1" applyAlignment="1">
      <alignment horizontal="left" vertical="center" wrapText="1"/>
    </xf>
    <xf numFmtId="0" fontId="16" fillId="6" borderId="41" xfId="0" applyFont="1" applyFill="1" applyBorder="1" applyAlignment="1">
      <alignment horizontal="left" vertical="center" wrapText="1"/>
    </xf>
    <xf numFmtId="0" fontId="16" fillId="6" borderId="19" xfId="0" applyFont="1" applyFill="1" applyBorder="1" applyAlignment="1">
      <alignment horizontal="left" vertical="center" wrapText="1"/>
    </xf>
    <xf numFmtId="0" fontId="16" fillId="6" borderId="24" xfId="0" applyFont="1" applyFill="1" applyBorder="1" applyAlignment="1">
      <alignment horizontal="left" vertical="center" wrapText="1"/>
    </xf>
    <xf numFmtId="0" fontId="16" fillId="6" borderId="42" xfId="0" applyFont="1" applyFill="1" applyBorder="1" applyAlignment="1">
      <alignment horizontal="left" vertical="center" wrapText="1"/>
    </xf>
    <xf numFmtId="0" fontId="14" fillId="2" borderId="25" xfId="0" applyFont="1" applyFill="1" applyBorder="1" applyAlignment="1">
      <alignment horizontal="center" wrapText="1"/>
    </xf>
    <xf numFmtId="0" fontId="14" fillId="2" borderId="26" xfId="0" applyFont="1" applyFill="1" applyBorder="1" applyAlignment="1">
      <alignment horizontal="center" wrapText="1"/>
    </xf>
    <xf numFmtId="0" fontId="14" fillId="2" borderId="21" xfId="0" applyFont="1" applyFill="1" applyBorder="1" applyAlignment="1">
      <alignment horizontal="center" wrapText="1"/>
    </xf>
    <xf numFmtId="44" fontId="15" fillId="2" borderId="4" xfId="0" applyNumberFormat="1" applyFont="1" applyFill="1" applyBorder="1" applyAlignment="1">
      <alignment horizontal="center"/>
    </xf>
    <xf numFmtId="44" fontId="15" fillId="2" borderId="35" xfId="0" applyNumberFormat="1" applyFont="1" applyFill="1" applyBorder="1" applyAlignment="1">
      <alignment horizontal="center"/>
    </xf>
    <xf numFmtId="44" fontId="15" fillId="2" borderId="46" xfId="0" applyNumberFormat="1" applyFont="1" applyFill="1" applyBorder="1" applyAlignment="1">
      <alignment horizontal="center"/>
    </xf>
    <xf numFmtId="44" fontId="15" fillId="2" borderId="47" xfId="0" applyNumberFormat="1" applyFont="1" applyFill="1" applyBorder="1" applyAlignment="1">
      <alignment horizontal="center"/>
    </xf>
    <xf numFmtId="0" fontId="15" fillId="2" borderId="43" xfId="0" applyFont="1" applyFill="1" applyBorder="1" applyAlignment="1">
      <alignment horizontal="left"/>
    </xf>
    <xf numFmtId="0" fontId="15" fillId="2" borderId="44" xfId="0" applyFont="1" applyFill="1" applyBorder="1" applyAlignment="1">
      <alignment horizontal="left"/>
    </xf>
    <xf numFmtId="0" fontId="15" fillId="2" borderId="45" xfId="0" applyFont="1" applyFill="1" applyBorder="1" applyAlignment="1">
      <alignment horizontal="left"/>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0" fillId="2" borderId="48" xfId="0" applyNumberFormat="1" applyFill="1" applyBorder="1" applyAlignment="1">
      <alignment horizontal="center" wrapText="1"/>
    </xf>
    <xf numFmtId="0" fontId="0" fillId="2" borderId="49" xfId="0" applyNumberFormat="1" applyFill="1" applyBorder="1" applyAlignment="1">
      <alignment horizontal="center" wrapText="1"/>
    </xf>
    <xf numFmtId="0" fontId="0" fillId="2" borderId="50" xfId="0" applyNumberFormat="1" applyFill="1" applyBorder="1" applyAlignment="1">
      <alignment horizontal="center" wrapText="1"/>
    </xf>
    <xf numFmtId="0" fontId="15" fillId="6" borderId="17" xfId="0" applyFont="1" applyFill="1" applyBorder="1" applyAlignment="1">
      <alignment horizontal="center" vertical="center"/>
    </xf>
    <xf numFmtId="0" fontId="15" fillId="6" borderId="15" xfId="0" applyFont="1" applyFill="1" applyBorder="1" applyAlignment="1">
      <alignment horizontal="center" vertical="center"/>
    </xf>
    <xf numFmtId="0" fontId="15" fillId="6" borderId="18" xfId="0" applyFont="1" applyFill="1" applyBorder="1" applyAlignment="1">
      <alignment horizontal="center" vertical="center"/>
    </xf>
    <xf numFmtId="0" fontId="15" fillId="6" borderId="19" xfId="0" applyFont="1" applyFill="1" applyBorder="1" applyAlignment="1">
      <alignment horizontal="center" vertical="center"/>
    </xf>
    <xf numFmtId="0" fontId="15" fillId="6" borderId="24" xfId="0" applyFont="1" applyFill="1" applyBorder="1" applyAlignment="1">
      <alignment horizontal="center" vertical="center"/>
    </xf>
    <xf numFmtId="0" fontId="15" fillId="6" borderId="20" xfId="0" applyFont="1" applyFill="1" applyBorder="1" applyAlignment="1">
      <alignment horizontal="center" vertical="center"/>
    </xf>
    <xf numFmtId="0" fontId="14" fillId="2" borderId="27"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2" borderId="36"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6" borderId="17" xfId="0" applyFont="1" applyFill="1" applyBorder="1" applyAlignment="1">
      <alignment horizontal="center" vertical="center"/>
    </xf>
    <xf numFmtId="0" fontId="14" fillId="6" borderId="15" xfId="0" applyFont="1" applyFill="1" applyBorder="1" applyAlignment="1">
      <alignment horizontal="center" vertical="center"/>
    </xf>
    <xf numFmtId="0" fontId="14" fillId="6" borderId="18" xfId="0" applyFont="1" applyFill="1" applyBorder="1" applyAlignment="1">
      <alignment horizontal="center" vertical="center"/>
    </xf>
    <xf numFmtId="0" fontId="14" fillId="6" borderId="19" xfId="0" applyFont="1" applyFill="1" applyBorder="1" applyAlignment="1">
      <alignment horizontal="center" vertical="center"/>
    </xf>
    <xf numFmtId="0" fontId="14" fillId="6" borderId="24" xfId="0" applyFont="1" applyFill="1" applyBorder="1" applyAlignment="1">
      <alignment horizontal="center" vertical="center"/>
    </xf>
    <xf numFmtId="0" fontId="14" fillId="6" borderId="20" xfId="0" applyFont="1" applyFill="1" applyBorder="1" applyAlignment="1">
      <alignment horizontal="center" vertical="center"/>
    </xf>
  </cellXfs>
  <cellStyles count="3">
    <cellStyle name="Currency" xfId="1" builtinId="4"/>
    <cellStyle name="Normal" xfId="0" builtinId="0"/>
    <cellStyle name="Percent" xfId="2" builtinId="5"/>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2:N282"/>
  <sheetViews>
    <sheetView showGridLines="0" showZeros="0" tabSelected="1" zoomScale="60" zoomScaleNormal="60" workbookViewId="0">
      <selection activeCell="K209" sqref="K209"/>
    </sheetView>
  </sheetViews>
  <sheetFormatPr defaultColWidth="9.1796875" defaultRowHeight="14.5" x14ac:dyDescent="0.35"/>
  <cols>
    <col min="1" max="1" width="9.1796875" style="40"/>
    <col min="2" max="2" width="30.453125" style="40" customWidth="1"/>
    <col min="3" max="3" width="32.453125" style="40" customWidth="1"/>
    <col min="4" max="5" width="23.1796875" style="40" customWidth="1"/>
    <col min="6" max="6" width="23.1796875" style="42" customWidth="1"/>
    <col min="7" max="8" width="23.1796875" style="40" customWidth="1"/>
    <col min="9" max="9" width="22.453125" style="40" customWidth="1"/>
    <col min="10" max="10" width="22.453125" style="171" customWidth="1"/>
    <col min="11" max="11" width="36.453125" style="40" customWidth="1"/>
    <col min="12" max="12" width="18.81640625" style="40" customWidth="1"/>
    <col min="13" max="13" width="9.1796875" style="40"/>
    <col min="14" max="14" width="17.453125" style="40" customWidth="1"/>
    <col min="15" max="15" width="26.453125" style="40" customWidth="1"/>
    <col min="16" max="16" width="22.453125" style="40" customWidth="1"/>
    <col min="17" max="17" width="29.453125" style="40" customWidth="1"/>
    <col min="18" max="18" width="23.453125" style="40" customWidth="1"/>
    <col min="19" max="19" width="18.453125" style="40" customWidth="1"/>
    <col min="20" max="20" width="17.453125" style="40" customWidth="1"/>
    <col min="21" max="21" width="25.1796875" style="40" customWidth="1"/>
    <col min="22" max="16384" width="9.1796875" style="40"/>
  </cols>
  <sheetData>
    <row r="2" spans="2:14" ht="47.25" customHeight="1" x14ac:dyDescent="1">
      <c r="B2" s="301" t="s">
        <v>385</v>
      </c>
      <c r="C2" s="301"/>
      <c r="D2" s="301"/>
      <c r="E2" s="301"/>
      <c r="F2" s="238"/>
      <c r="G2" s="38"/>
      <c r="H2" s="38"/>
      <c r="I2" s="39"/>
      <c r="J2" s="178"/>
      <c r="K2" s="39"/>
    </row>
    <row r="3" spans="2:14" ht="15.5" x14ac:dyDescent="0.35">
      <c r="B3" s="149"/>
    </row>
    <row r="4" spans="2:14" ht="16" thickBot="1" x14ac:dyDescent="0.4">
      <c r="B4" s="43"/>
    </row>
    <row r="5" spans="2:14" ht="36.75" customHeight="1" x14ac:dyDescent="0.8">
      <c r="B5" s="120" t="s">
        <v>5</v>
      </c>
      <c r="C5" s="150"/>
      <c r="D5" s="150"/>
      <c r="E5" s="150"/>
      <c r="F5" s="150"/>
      <c r="G5" s="150"/>
      <c r="H5" s="150"/>
      <c r="I5" s="150"/>
      <c r="J5" s="179"/>
      <c r="K5" s="150"/>
      <c r="L5" s="150"/>
      <c r="M5" s="150"/>
      <c r="N5" s="151"/>
    </row>
    <row r="6" spans="2:14" ht="174" customHeight="1" thickBot="1" x14ac:dyDescent="0.55000000000000004">
      <c r="B6" s="297" t="s">
        <v>565</v>
      </c>
      <c r="C6" s="298"/>
      <c r="D6" s="298"/>
      <c r="E6" s="298"/>
      <c r="F6" s="298"/>
      <c r="G6" s="298"/>
      <c r="H6" s="298"/>
      <c r="I6" s="298"/>
      <c r="J6" s="299"/>
      <c r="K6" s="298"/>
      <c r="L6" s="298"/>
      <c r="M6" s="298"/>
      <c r="N6" s="300"/>
    </row>
    <row r="7" spans="2:14" x14ac:dyDescent="0.35">
      <c r="B7" s="44"/>
    </row>
    <row r="8" spans="2:14" ht="15" thickBot="1" x14ac:dyDescent="0.4"/>
    <row r="9" spans="2:14" ht="27" customHeight="1" thickBot="1" x14ac:dyDescent="0.65">
      <c r="B9" s="302" t="s">
        <v>379</v>
      </c>
      <c r="C9" s="303"/>
      <c r="D9" s="303"/>
      <c r="E9" s="303"/>
      <c r="F9" s="303"/>
      <c r="G9" s="303"/>
      <c r="H9" s="303"/>
      <c r="I9" s="304"/>
      <c r="J9" s="180"/>
    </row>
    <row r="11" spans="2:14" ht="25.5" customHeight="1" x14ac:dyDescent="0.35">
      <c r="D11" s="45"/>
      <c r="E11" s="45"/>
      <c r="F11" s="45"/>
      <c r="G11" s="45"/>
      <c r="H11" s="45"/>
      <c r="I11" s="42"/>
      <c r="J11" s="177"/>
      <c r="K11" s="41"/>
      <c r="L11" s="41"/>
    </row>
    <row r="12" spans="2:14" ht="213.75" customHeight="1" x14ac:dyDescent="0.35">
      <c r="B12" s="190" t="s">
        <v>380</v>
      </c>
      <c r="C12" s="190" t="s">
        <v>381</v>
      </c>
      <c r="D12" s="221" t="s">
        <v>580</v>
      </c>
      <c r="E12" s="221" t="s">
        <v>581</v>
      </c>
      <c r="F12" s="221" t="s">
        <v>582</v>
      </c>
      <c r="G12" s="221" t="s">
        <v>583</v>
      </c>
      <c r="H12" s="107" t="s">
        <v>13</v>
      </c>
      <c r="I12" s="190" t="s">
        <v>382</v>
      </c>
      <c r="J12" s="190" t="s">
        <v>383</v>
      </c>
      <c r="K12" s="190" t="s">
        <v>384</v>
      </c>
      <c r="L12" s="51"/>
    </row>
    <row r="13" spans="2:14" ht="18.75" customHeight="1" x14ac:dyDescent="0.35">
      <c r="B13" s="190"/>
      <c r="C13" s="52"/>
      <c r="D13" s="76" t="s">
        <v>576</v>
      </c>
      <c r="E13" s="76" t="s">
        <v>577</v>
      </c>
      <c r="F13" s="239" t="s">
        <v>578</v>
      </c>
      <c r="G13" s="76" t="s">
        <v>579</v>
      </c>
      <c r="H13" s="107"/>
      <c r="I13" s="52"/>
      <c r="J13" s="166"/>
      <c r="K13" s="52"/>
      <c r="L13" s="51"/>
    </row>
    <row r="14" spans="2:14" ht="51" customHeight="1" x14ac:dyDescent="0.35">
      <c r="B14" s="191" t="s">
        <v>386</v>
      </c>
      <c r="C14" s="295" t="s">
        <v>584</v>
      </c>
      <c r="D14" s="295"/>
      <c r="E14" s="295"/>
      <c r="F14" s="295"/>
      <c r="G14" s="295"/>
      <c r="H14" s="295"/>
      <c r="I14" s="295"/>
      <c r="J14" s="292"/>
      <c r="K14" s="295"/>
      <c r="L14" s="18"/>
    </row>
    <row r="15" spans="2:14" ht="51" customHeight="1" x14ac:dyDescent="0.35">
      <c r="B15" s="191" t="s">
        <v>387</v>
      </c>
      <c r="C15" s="295" t="s">
        <v>618</v>
      </c>
      <c r="D15" s="295"/>
      <c r="E15" s="295"/>
      <c r="F15" s="295"/>
      <c r="G15" s="295"/>
      <c r="H15" s="295"/>
      <c r="I15" s="295"/>
      <c r="J15" s="292"/>
      <c r="K15" s="295"/>
      <c r="L15" s="54"/>
    </row>
    <row r="16" spans="2:14" ht="31" x14ac:dyDescent="0.35">
      <c r="B16" s="192" t="s">
        <v>388</v>
      </c>
      <c r="C16" s="222" t="s">
        <v>585</v>
      </c>
      <c r="D16" s="19">
        <v>0</v>
      </c>
      <c r="E16" s="19">
        <v>0</v>
      </c>
      <c r="F16" s="240">
        <v>0</v>
      </c>
      <c r="G16" s="232">
        <v>70000</v>
      </c>
      <c r="H16" s="131">
        <f>SUM(D16:G16)</f>
        <v>70000</v>
      </c>
      <c r="I16" s="128">
        <v>1</v>
      </c>
      <c r="J16" s="284">
        <f>0+0+0+(50000+0+0+20000)</f>
        <v>70000</v>
      </c>
      <c r="K16" s="118"/>
      <c r="L16" s="55"/>
    </row>
    <row r="17" spans="1:12" ht="46.5" x14ac:dyDescent="0.35">
      <c r="B17" s="192" t="s">
        <v>389</v>
      </c>
      <c r="C17" s="222" t="s">
        <v>586</v>
      </c>
      <c r="D17" s="19">
        <v>0</v>
      </c>
      <c r="E17" s="19">
        <v>0</v>
      </c>
      <c r="F17" s="240">
        <v>0</v>
      </c>
      <c r="G17" s="232">
        <v>50000</v>
      </c>
      <c r="H17" s="131">
        <f t="shared" ref="H17:H23" si="0">SUM(D17:G17)</f>
        <v>50000</v>
      </c>
      <c r="I17" s="128">
        <v>1</v>
      </c>
      <c r="J17" s="284">
        <f>0+0+0+(21844+0+0+24000.12+3155.88)</f>
        <v>48999.999999999993</v>
      </c>
      <c r="K17" s="118"/>
      <c r="L17" s="55"/>
    </row>
    <row r="18" spans="1:12" ht="46.5" x14ac:dyDescent="0.35">
      <c r="B18" s="192" t="s">
        <v>390</v>
      </c>
      <c r="C18" s="222" t="s">
        <v>587</v>
      </c>
      <c r="D18" s="19">
        <v>0</v>
      </c>
      <c r="E18" s="19">
        <v>0</v>
      </c>
      <c r="F18" s="240">
        <v>120000</v>
      </c>
      <c r="G18" s="232">
        <v>30000</v>
      </c>
      <c r="H18" s="131">
        <f t="shared" si="0"/>
        <v>150000</v>
      </c>
      <c r="I18" s="128">
        <v>0.8</v>
      </c>
      <c r="J18" s="274">
        <f>0+0+(40000+20000+0)+(0+0+17829.78+12170.22+3155.88)</f>
        <v>93155.88</v>
      </c>
      <c r="K18" s="287" t="s">
        <v>619</v>
      </c>
      <c r="L18" s="55"/>
    </row>
    <row r="19" spans="1:12" ht="77.5" x14ac:dyDescent="0.35">
      <c r="B19" s="192" t="s">
        <v>391</v>
      </c>
      <c r="C19" s="257" t="s">
        <v>598</v>
      </c>
      <c r="D19" s="19">
        <v>0</v>
      </c>
      <c r="E19" s="19">
        <v>0</v>
      </c>
      <c r="F19" s="240">
        <v>0</v>
      </c>
      <c r="G19" s="19">
        <v>60000</v>
      </c>
      <c r="H19" s="131">
        <f t="shared" si="0"/>
        <v>60000</v>
      </c>
      <c r="I19" s="128">
        <v>1</v>
      </c>
      <c r="J19" s="274">
        <f>0+0+0+(40000+0+20000+0-21210.13)</f>
        <v>38789.869999999995</v>
      </c>
      <c r="K19" s="118"/>
      <c r="L19" s="55"/>
    </row>
    <row r="20" spans="1:12" ht="15.5" hidden="1" x14ac:dyDescent="0.35">
      <c r="B20" s="192" t="s">
        <v>392</v>
      </c>
      <c r="C20" s="17"/>
      <c r="D20" s="19"/>
      <c r="E20" s="19"/>
      <c r="F20" s="240"/>
      <c r="G20" s="19"/>
      <c r="H20" s="131">
        <f t="shared" si="0"/>
        <v>0</v>
      </c>
      <c r="I20" s="128"/>
      <c r="J20" s="167"/>
      <c r="K20" s="118"/>
      <c r="L20" s="55"/>
    </row>
    <row r="21" spans="1:12" ht="15.5" hidden="1" x14ac:dyDescent="0.35">
      <c r="B21" s="192" t="s">
        <v>393</v>
      </c>
      <c r="C21" s="17"/>
      <c r="D21" s="19"/>
      <c r="E21" s="19"/>
      <c r="F21" s="240"/>
      <c r="G21" s="19"/>
      <c r="H21" s="131">
        <f t="shared" si="0"/>
        <v>0</v>
      </c>
      <c r="I21" s="128"/>
      <c r="J21" s="167"/>
      <c r="K21" s="118"/>
      <c r="L21" s="55"/>
    </row>
    <row r="22" spans="1:12" ht="15.5" hidden="1" x14ac:dyDescent="0.35">
      <c r="B22" s="192" t="s">
        <v>394</v>
      </c>
      <c r="C22" s="50"/>
      <c r="D22" s="20"/>
      <c r="E22" s="20"/>
      <c r="F22" s="240"/>
      <c r="G22" s="20"/>
      <c r="H22" s="131">
        <f t="shared" si="0"/>
        <v>0</v>
      </c>
      <c r="I22" s="129"/>
      <c r="J22" s="168"/>
      <c r="K22" s="119"/>
      <c r="L22" s="55"/>
    </row>
    <row r="23" spans="1:12" ht="15.5" hidden="1" x14ac:dyDescent="0.35">
      <c r="A23" s="41"/>
      <c r="B23" s="192" t="s">
        <v>395</v>
      </c>
      <c r="C23" s="50"/>
      <c r="D23" s="20"/>
      <c r="E23" s="20"/>
      <c r="F23" s="240"/>
      <c r="G23" s="20"/>
      <c r="H23" s="131">
        <f t="shared" si="0"/>
        <v>0</v>
      </c>
      <c r="I23" s="129"/>
      <c r="J23" s="168"/>
      <c r="K23" s="119"/>
      <c r="L23" s="42"/>
    </row>
    <row r="24" spans="1:12" ht="15.5" x14ac:dyDescent="0.35">
      <c r="A24" s="41"/>
      <c r="B24" s="193"/>
      <c r="C24" s="191" t="s">
        <v>538</v>
      </c>
      <c r="D24" s="21">
        <f>SUM(D16:D23)</f>
        <v>0</v>
      </c>
      <c r="E24" s="21">
        <f>SUM(E16:E23)</f>
        <v>0</v>
      </c>
      <c r="F24" s="21">
        <f>SUM(F16:F23)</f>
        <v>120000</v>
      </c>
      <c r="G24" s="21">
        <f>SUM(G16:G23)</f>
        <v>210000</v>
      </c>
      <c r="H24" s="21">
        <f>SUM(H16:H23)</f>
        <v>330000</v>
      </c>
      <c r="I24" s="121">
        <f>(I16*H16)+(I17*H17)+(I18*H18)+(I19*H19)+(I20*H20)+(I21*H21)+(I22*H22)+(I23*H23)</f>
        <v>300000</v>
      </c>
      <c r="J24" s="121">
        <f>SUM(J16:J23)</f>
        <v>250945.75</v>
      </c>
      <c r="K24" s="119"/>
      <c r="L24" s="57"/>
    </row>
    <row r="25" spans="1:12" ht="51" customHeight="1" x14ac:dyDescent="0.35">
      <c r="A25" s="41"/>
      <c r="B25" s="191" t="s">
        <v>396</v>
      </c>
      <c r="C25" s="291" t="s">
        <v>588</v>
      </c>
      <c r="D25" s="291"/>
      <c r="E25" s="291"/>
      <c r="F25" s="291"/>
      <c r="G25" s="291"/>
      <c r="H25" s="291"/>
      <c r="I25" s="291"/>
      <c r="J25" s="292"/>
      <c r="K25" s="291"/>
      <c r="L25" s="54"/>
    </row>
    <row r="26" spans="1:12" ht="62" x14ac:dyDescent="0.35">
      <c r="A26" s="41"/>
      <c r="B26" s="192" t="s">
        <v>397</v>
      </c>
      <c r="C26" s="222" t="s">
        <v>589</v>
      </c>
      <c r="D26" s="19">
        <v>0</v>
      </c>
      <c r="E26" s="267">
        <v>118634.94</v>
      </c>
      <c r="F26" s="240">
        <v>0</v>
      </c>
      <c r="G26" s="19">
        <v>0</v>
      </c>
      <c r="H26" s="131">
        <f>SUM(D26:G26)</f>
        <v>118634.94</v>
      </c>
      <c r="I26" s="128">
        <v>0.5</v>
      </c>
      <c r="J26" s="284">
        <f>0+(74730.82+10527.82+25307.63+22.48)+0+0</f>
        <v>110588.75000000001</v>
      </c>
      <c r="K26" s="286"/>
      <c r="L26" s="55"/>
    </row>
    <row r="27" spans="1:12" ht="31" x14ac:dyDescent="0.35">
      <c r="A27" s="41"/>
      <c r="B27" s="192" t="s">
        <v>398</v>
      </c>
      <c r="C27" s="222" t="s">
        <v>590</v>
      </c>
      <c r="D27" s="19">
        <v>0</v>
      </c>
      <c r="E27" s="267">
        <v>220865.36</v>
      </c>
      <c r="F27" s="240">
        <v>0</v>
      </c>
      <c r="G27" s="19">
        <v>0</v>
      </c>
      <c r="H27" s="131">
        <f t="shared" ref="H27:H31" si="1">SUM(D27:G27)</f>
        <v>220865.36</v>
      </c>
      <c r="I27" s="128">
        <v>0.5</v>
      </c>
      <c r="J27" s="284">
        <f>0+(180535.4+51580.26-11106.43+2896.62)+0+0</f>
        <v>223905.85</v>
      </c>
      <c r="K27" s="286"/>
      <c r="L27" s="55"/>
    </row>
    <row r="28" spans="1:12" ht="77.5" x14ac:dyDescent="0.35">
      <c r="A28" s="42"/>
      <c r="B28" s="192" t="s">
        <v>399</v>
      </c>
      <c r="C28" s="222" t="s">
        <v>591</v>
      </c>
      <c r="D28" s="19">
        <v>389048</v>
      </c>
      <c r="E28" s="19">
        <v>0</v>
      </c>
      <c r="F28" s="240">
        <v>0</v>
      </c>
      <c r="G28" s="19">
        <v>0</v>
      </c>
      <c r="H28" s="131">
        <f t="shared" si="1"/>
        <v>389048</v>
      </c>
      <c r="I28" s="128">
        <v>0.5</v>
      </c>
      <c r="J28" s="279">
        <f>(393258.96)+0+0+0</f>
        <v>393258.96</v>
      </c>
      <c r="K28" s="286"/>
      <c r="L28" s="55"/>
    </row>
    <row r="29" spans="1:12" ht="62" x14ac:dyDescent="0.35">
      <c r="A29" s="41"/>
      <c r="B29" s="192" t="s">
        <v>400</v>
      </c>
      <c r="C29" s="222" t="s">
        <v>592</v>
      </c>
      <c r="D29" s="19">
        <v>0</v>
      </c>
      <c r="E29" s="19">
        <v>0</v>
      </c>
      <c r="F29" s="240">
        <v>0</v>
      </c>
      <c r="G29" s="19">
        <v>80000</v>
      </c>
      <c r="H29" s="131">
        <f t="shared" si="1"/>
        <v>80000</v>
      </c>
      <c r="I29" s="128">
        <v>1</v>
      </c>
      <c r="J29" s="276">
        <f>0+0+0+(80000+0-43990.34+43990.34)</f>
        <v>80000</v>
      </c>
      <c r="K29" s="118"/>
      <c r="L29" s="55"/>
    </row>
    <row r="30" spans="1:12" ht="193.5" customHeight="1" x14ac:dyDescent="0.35">
      <c r="A30" s="42"/>
      <c r="B30" s="192" t="s">
        <v>401</v>
      </c>
      <c r="C30" s="256" t="s">
        <v>616</v>
      </c>
      <c r="D30" s="19">
        <v>111048</v>
      </c>
      <c r="E30" s="19">
        <v>0</v>
      </c>
      <c r="F30" s="240">
        <v>0</v>
      </c>
      <c r="G30" s="19">
        <v>0</v>
      </c>
      <c r="H30" s="131">
        <f t="shared" si="1"/>
        <v>111048</v>
      </c>
      <c r="I30" s="128">
        <v>0.5</v>
      </c>
      <c r="J30" s="278">
        <f>(110927.23)+0+0+0</f>
        <v>110927.23</v>
      </c>
      <c r="K30" s="118"/>
      <c r="L30" s="55"/>
    </row>
    <row r="31" spans="1:12" ht="46.5" x14ac:dyDescent="0.35">
      <c r="A31" s="41"/>
      <c r="B31" s="192" t="s">
        <v>402</v>
      </c>
      <c r="C31" s="222" t="s">
        <v>593</v>
      </c>
      <c r="D31" s="19">
        <v>0</v>
      </c>
      <c r="E31" s="19">
        <v>0</v>
      </c>
      <c r="F31" s="240">
        <v>60000</v>
      </c>
      <c r="G31" s="19">
        <v>0</v>
      </c>
      <c r="H31" s="131">
        <f t="shared" si="1"/>
        <v>60000</v>
      </c>
      <c r="I31" s="128">
        <v>1</v>
      </c>
      <c r="J31" s="278">
        <f>0+0+(60000+0)+0</f>
        <v>60000</v>
      </c>
      <c r="K31" s="118"/>
      <c r="L31" s="55"/>
    </row>
    <row r="32" spans="1:12" ht="46.5" x14ac:dyDescent="0.35">
      <c r="A32" s="41"/>
      <c r="B32" s="192" t="s">
        <v>403</v>
      </c>
      <c r="C32" s="223" t="s">
        <v>594</v>
      </c>
      <c r="D32" s="19">
        <v>0</v>
      </c>
      <c r="E32" s="20">
        <v>0</v>
      </c>
      <c r="F32" s="240">
        <v>0</v>
      </c>
      <c r="G32" s="20">
        <v>30000</v>
      </c>
      <c r="H32" s="131">
        <f>SUM(D32:G32)</f>
        <v>30000</v>
      </c>
      <c r="I32" s="129">
        <v>1</v>
      </c>
      <c r="J32" s="278">
        <f>0+0+0+(9000+0+0+13000+7800)</f>
        <v>29800</v>
      </c>
      <c r="K32" s="118"/>
      <c r="L32" s="55"/>
    </row>
    <row r="33" spans="1:12" ht="135.75" customHeight="1" x14ac:dyDescent="0.35">
      <c r="A33" s="42"/>
      <c r="B33" s="285" t="s">
        <v>404</v>
      </c>
      <c r="C33" s="280" t="s">
        <v>595</v>
      </c>
      <c r="D33" s="240">
        <v>321458</v>
      </c>
      <c r="E33" s="240">
        <v>0</v>
      </c>
      <c r="F33" s="240">
        <v>0</v>
      </c>
      <c r="G33" s="240">
        <v>0</v>
      </c>
      <c r="H33" s="131">
        <f>SUM(D33:G33)</f>
        <v>321458</v>
      </c>
      <c r="I33" s="281">
        <v>0.3</v>
      </c>
      <c r="J33" s="278">
        <f>(363571.15)+0+0+0</f>
        <v>363571.15</v>
      </c>
      <c r="K33" s="286"/>
      <c r="L33" s="55"/>
    </row>
    <row r="34" spans="1:12" ht="46.5" x14ac:dyDescent="0.35">
      <c r="A34" s="41"/>
      <c r="B34" s="192" t="s">
        <v>596</v>
      </c>
      <c r="C34" s="223" t="s">
        <v>597</v>
      </c>
      <c r="D34" s="224">
        <v>0</v>
      </c>
      <c r="E34" s="224">
        <v>0</v>
      </c>
      <c r="F34" s="242">
        <v>95000</v>
      </c>
      <c r="G34" s="224">
        <v>0</v>
      </c>
      <c r="H34" s="131">
        <f>SUM(D34:G34)</f>
        <v>95000</v>
      </c>
      <c r="I34" s="129">
        <v>0.8</v>
      </c>
      <c r="J34" s="284">
        <f>0+0+(90000+0+0)+0</f>
        <v>90000</v>
      </c>
      <c r="K34" s="229"/>
      <c r="L34" s="55"/>
    </row>
    <row r="35" spans="1:12" ht="15.5" x14ac:dyDescent="0.35">
      <c r="A35" s="41"/>
      <c r="B35" s="193"/>
      <c r="C35" s="191" t="s">
        <v>538</v>
      </c>
      <c r="D35" s="21">
        <f>SUM(D26:D34)</f>
        <v>821554</v>
      </c>
      <c r="E35" s="21">
        <f>SUM(E26:E34)</f>
        <v>339500.3</v>
      </c>
      <c r="F35" s="21">
        <f>SUM(F26:F34)</f>
        <v>155000</v>
      </c>
      <c r="G35" s="21">
        <f>SUM(G26:G34)</f>
        <v>110000</v>
      </c>
      <c r="H35" s="21">
        <f>SUM(H26:H34)</f>
        <v>1426054.3</v>
      </c>
      <c r="I35" s="121">
        <f>(I26*H26)+(I27*H27)+(I28*H28)+(I29*H29)+(I30*H30)+(I31*H31)+(I32*H32)+(I33*H33)+(I34*H34)</f>
        <v>762235.55</v>
      </c>
      <c r="J35" s="121">
        <f>SUM(J26:J34)</f>
        <v>1462051.94</v>
      </c>
      <c r="K35" s="119"/>
      <c r="L35" s="57"/>
    </row>
    <row r="36" spans="1:12" ht="51" hidden="1" customHeight="1" x14ac:dyDescent="0.35">
      <c r="A36" s="41"/>
      <c r="B36" s="191" t="s">
        <v>405</v>
      </c>
      <c r="C36" s="293"/>
      <c r="D36" s="293"/>
      <c r="E36" s="293"/>
      <c r="F36" s="293"/>
      <c r="G36" s="293"/>
      <c r="H36" s="293"/>
      <c r="I36" s="293"/>
      <c r="J36" s="294"/>
      <c r="K36" s="293"/>
      <c r="L36" s="54"/>
    </row>
    <row r="37" spans="1:12" ht="15.5" hidden="1" x14ac:dyDescent="0.35">
      <c r="A37" s="41"/>
      <c r="B37" s="192" t="s">
        <v>406</v>
      </c>
      <c r="C37" s="17"/>
      <c r="D37" s="19"/>
      <c r="E37" s="19"/>
      <c r="F37" s="240"/>
      <c r="G37" s="19"/>
      <c r="H37" s="131">
        <f>SUM(D37:G37)</f>
        <v>0</v>
      </c>
      <c r="I37" s="128"/>
      <c r="J37" s="167"/>
      <c r="K37" s="118"/>
      <c r="L37" s="55"/>
    </row>
    <row r="38" spans="1:12" ht="15.5" hidden="1" x14ac:dyDescent="0.35">
      <c r="A38" s="41"/>
      <c r="B38" s="192" t="s">
        <v>407</v>
      </c>
      <c r="C38" s="17"/>
      <c r="D38" s="19"/>
      <c r="E38" s="19"/>
      <c r="F38" s="240"/>
      <c r="G38" s="19"/>
      <c r="H38" s="131">
        <f t="shared" ref="H38:H44" si="2">SUM(D38:G38)</f>
        <v>0</v>
      </c>
      <c r="I38" s="128"/>
      <c r="J38" s="167"/>
      <c r="K38" s="118"/>
      <c r="L38" s="55"/>
    </row>
    <row r="39" spans="1:12" ht="15.5" hidden="1" x14ac:dyDescent="0.35">
      <c r="A39" s="41"/>
      <c r="B39" s="192" t="s">
        <v>408</v>
      </c>
      <c r="C39" s="17"/>
      <c r="D39" s="19"/>
      <c r="E39" s="19"/>
      <c r="F39" s="240"/>
      <c r="G39" s="19"/>
      <c r="H39" s="131">
        <f t="shared" si="2"/>
        <v>0</v>
      </c>
      <c r="I39" s="128"/>
      <c r="J39" s="167"/>
      <c r="K39" s="118"/>
      <c r="L39" s="55"/>
    </row>
    <row r="40" spans="1:12" ht="15.5" hidden="1" x14ac:dyDescent="0.35">
      <c r="A40" s="41"/>
      <c r="B40" s="192" t="s">
        <v>409</v>
      </c>
      <c r="C40" s="17"/>
      <c r="D40" s="19"/>
      <c r="E40" s="19"/>
      <c r="F40" s="240"/>
      <c r="G40" s="19"/>
      <c r="H40" s="131">
        <f t="shared" si="2"/>
        <v>0</v>
      </c>
      <c r="I40" s="128"/>
      <c r="J40" s="167"/>
      <c r="K40" s="118"/>
      <c r="L40" s="55"/>
    </row>
    <row r="41" spans="1:12" s="41" customFormat="1" ht="15.5" hidden="1" x14ac:dyDescent="0.35">
      <c r="B41" s="192" t="s">
        <v>410</v>
      </c>
      <c r="C41" s="17"/>
      <c r="D41" s="19"/>
      <c r="E41" s="19"/>
      <c r="F41" s="240"/>
      <c r="G41" s="19"/>
      <c r="H41" s="131">
        <f t="shared" si="2"/>
        <v>0</v>
      </c>
      <c r="I41" s="128"/>
      <c r="J41" s="167"/>
      <c r="K41" s="118"/>
      <c r="L41" s="55"/>
    </row>
    <row r="42" spans="1:12" s="41" customFormat="1" ht="15.5" hidden="1" x14ac:dyDescent="0.35">
      <c r="B42" s="192" t="s">
        <v>411</v>
      </c>
      <c r="C42" s="17"/>
      <c r="D42" s="19"/>
      <c r="E42" s="19"/>
      <c r="F42" s="240"/>
      <c r="G42" s="19"/>
      <c r="H42" s="131">
        <f t="shared" si="2"/>
        <v>0</v>
      </c>
      <c r="I42" s="128"/>
      <c r="J42" s="167"/>
      <c r="K42" s="118"/>
      <c r="L42" s="55"/>
    </row>
    <row r="43" spans="1:12" s="41" customFormat="1" ht="15.5" hidden="1" x14ac:dyDescent="0.35">
      <c r="A43" s="40"/>
      <c r="B43" s="192" t="s">
        <v>412</v>
      </c>
      <c r="C43" s="50"/>
      <c r="D43" s="20"/>
      <c r="E43" s="20"/>
      <c r="F43" s="240"/>
      <c r="G43" s="20"/>
      <c r="H43" s="131">
        <f t="shared" si="2"/>
        <v>0</v>
      </c>
      <c r="I43" s="129"/>
      <c r="J43" s="168"/>
      <c r="K43" s="119"/>
      <c r="L43" s="55"/>
    </row>
    <row r="44" spans="1:12" ht="15.5" hidden="1" x14ac:dyDescent="0.35">
      <c r="B44" s="192" t="s">
        <v>413</v>
      </c>
      <c r="C44" s="50"/>
      <c r="D44" s="20"/>
      <c r="E44" s="20"/>
      <c r="F44" s="240"/>
      <c r="G44" s="20"/>
      <c r="H44" s="131">
        <f t="shared" si="2"/>
        <v>0</v>
      </c>
      <c r="I44" s="129"/>
      <c r="J44" s="168"/>
      <c r="K44" s="119"/>
      <c r="L44" s="55"/>
    </row>
    <row r="45" spans="1:12" ht="15.5" hidden="1" x14ac:dyDescent="0.35">
      <c r="B45" s="193"/>
      <c r="C45" s="191" t="s">
        <v>538</v>
      </c>
      <c r="D45" s="24">
        <f>SUM(D37:D44)</f>
        <v>0</v>
      </c>
      <c r="E45" s="24">
        <f>SUM(E37:E44)</f>
        <v>0</v>
      </c>
      <c r="F45" s="243">
        <f>SUM(F37:F44)</f>
        <v>0</v>
      </c>
      <c r="G45" s="24">
        <f>SUM(G37:G44)</f>
        <v>0</v>
      </c>
      <c r="H45" s="24">
        <f>SUM(H37:H44)</f>
        <v>0</v>
      </c>
      <c r="I45" s="121">
        <f>(I37*H37)+(I38*H38)+(I39*H39)+(I40*H40)+(I41*H41)+(I42*H42)+(I43*H43)+(I44*H44)</f>
        <v>0</v>
      </c>
      <c r="J45" s="121">
        <f>SUM(J37:J44)</f>
        <v>0</v>
      </c>
      <c r="K45" s="119"/>
      <c r="L45" s="57"/>
    </row>
    <row r="46" spans="1:12" ht="51" hidden="1" customHeight="1" x14ac:dyDescent="0.35">
      <c r="B46" s="191" t="s">
        <v>414</v>
      </c>
      <c r="C46" s="293"/>
      <c r="D46" s="293"/>
      <c r="E46" s="293"/>
      <c r="F46" s="293"/>
      <c r="G46" s="293"/>
      <c r="H46" s="293"/>
      <c r="I46" s="293"/>
      <c r="J46" s="294"/>
      <c r="K46" s="293"/>
      <c r="L46" s="54"/>
    </row>
    <row r="47" spans="1:12" ht="15.5" hidden="1" x14ac:dyDescent="0.35">
      <c r="B47" s="192" t="s">
        <v>415</v>
      </c>
      <c r="C47" s="17"/>
      <c r="D47" s="19"/>
      <c r="E47" s="19"/>
      <c r="F47" s="240"/>
      <c r="G47" s="19"/>
      <c r="H47" s="131">
        <f>SUM(D47:G47)</f>
        <v>0</v>
      </c>
      <c r="I47" s="128"/>
      <c r="J47" s="167"/>
      <c r="K47" s="118"/>
      <c r="L47" s="55"/>
    </row>
    <row r="48" spans="1:12" ht="15.5" hidden="1" x14ac:dyDescent="0.35">
      <c r="B48" s="192" t="s">
        <v>416</v>
      </c>
      <c r="C48" s="17"/>
      <c r="D48" s="19"/>
      <c r="E48" s="19"/>
      <c r="F48" s="240"/>
      <c r="G48" s="19"/>
      <c r="H48" s="131">
        <f t="shared" ref="H48:H54" si="3">SUM(D48:G48)</f>
        <v>0</v>
      </c>
      <c r="I48" s="128"/>
      <c r="J48" s="167"/>
      <c r="K48" s="118"/>
      <c r="L48" s="55"/>
    </row>
    <row r="49" spans="1:12" ht="15.5" hidden="1" x14ac:dyDescent="0.35">
      <c r="B49" s="192" t="s">
        <v>417</v>
      </c>
      <c r="C49" s="17"/>
      <c r="D49" s="19"/>
      <c r="E49" s="19"/>
      <c r="F49" s="240"/>
      <c r="G49" s="19"/>
      <c r="H49" s="131">
        <f t="shared" si="3"/>
        <v>0</v>
      </c>
      <c r="I49" s="128"/>
      <c r="J49" s="167"/>
      <c r="K49" s="118"/>
      <c r="L49" s="55"/>
    </row>
    <row r="50" spans="1:12" ht="15.5" hidden="1" x14ac:dyDescent="0.35">
      <c r="B50" s="192" t="s">
        <v>418</v>
      </c>
      <c r="C50" s="17"/>
      <c r="D50" s="19"/>
      <c r="E50" s="19"/>
      <c r="F50" s="240"/>
      <c r="G50" s="19"/>
      <c r="H50" s="131">
        <f t="shared" si="3"/>
        <v>0</v>
      </c>
      <c r="I50" s="128"/>
      <c r="J50" s="167"/>
      <c r="K50" s="118"/>
      <c r="L50" s="55"/>
    </row>
    <row r="51" spans="1:12" ht="15.5" hidden="1" x14ac:dyDescent="0.35">
      <c r="B51" s="192" t="s">
        <v>419</v>
      </c>
      <c r="C51" s="17"/>
      <c r="D51" s="19"/>
      <c r="E51" s="19"/>
      <c r="F51" s="240"/>
      <c r="G51" s="19"/>
      <c r="H51" s="131">
        <f t="shared" si="3"/>
        <v>0</v>
      </c>
      <c r="I51" s="128"/>
      <c r="J51" s="167"/>
      <c r="K51" s="118"/>
      <c r="L51" s="55"/>
    </row>
    <row r="52" spans="1:12" ht="15.5" hidden="1" x14ac:dyDescent="0.35">
      <c r="A52" s="41"/>
      <c r="B52" s="192" t="s">
        <v>420</v>
      </c>
      <c r="C52" s="17"/>
      <c r="D52" s="19"/>
      <c r="E52" s="19"/>
      <c r="F52" s="240"/>
      <c r="G52" s="19"/>
      <c r="H52" s="131">
        <f t="shared" si="3"/>
        <v>0</v>
      </c>
      <c r="I52" s="128"/>
      <c r="J52" s="167"/>
      <c r="K52" s="118"/>
      <c r="L52" s="55"/>
    </row>
    <row r="53" spans="1:12" s="41" customFormat="1" ht="15.5" hidden="1" x14ac:dyDescent="0.35">
      <c r="A53" s="40"/>
      <c r="B53" s="192" t="s">
        <v>421</v>
      </c>
      <c r="C53" s="50"/>
      <c r="D53" s="20"/>
      <c r="E53" s="20"/>
      <c r="F53" s="240"/>
      <c r="G53" s="20"/>
      <c r="H53" s="131">
        <f t="shared" si="3"/>
        <v>0</v>
      </c>
      <c r="I53" s="129"/>
      <c r="J53" s="168"/>
      <c r="K53" s="119"/>
      <c r="L53" s="55"/>
    </row>
    <row r="54" spans="1:12" ht="15.5" hidden="1" x14ac:dyDescent="0.35">
      <c r="B54" s="192" t="s">
        <v>422</v>
      </c>
      <c r="C54" s="50"/>
      <c r="D54" s="20"/>
      <c r="E54" s="20"/>
      <c r="F54" s="240"/>
      <c r="G54" s="20"/>
      <c r="H54" s="131">
        <f t="shared" si="3"/>
        <v>0</v>
      </c>
      <c r="I54" s="129"/>
      <c r="J54" s="168"/>
      <c r="K54" s="119"/>
      <c r="L54" s="55"/>
    </row>
    <row r="55" spans="1:12" ht="15.5" hidden="1" x14ac:dyDescent="0.35">
      <c r="B55" s="193"/>
      <c r="C55" s="191" t="s">
        <v>538</v>
      </c>
      <c r="D55" s="21">
        <f>SUM(D47:D54)</f>
        <v>0</v>
      </c>
      <c r="E55" s="21">
        <f>SUM(E47:E54)</f>
        <v>0</v>
      </c>
      <c r="F55" s="241">
        <f>SUM(F47:F54)</f>
        <v>0</v>
      </c>
      <c r="G55" s="21">
        <f>SUM(G47:G54)</f>
        <v>0</v>
      </c>
      <c r="H55" s="21">
        <f>SUM(H47:H54)</f>
        <v>0</v>
      </c>
      <c r="I55" s="121">
        <f>(I47*H47)+(I48*H48)+(I49*H49)+(I50*H50)+(I51*H51)+(I52*H52)+(I53*H53)+(I54*H54)</f>
        <v>0</v>
      </c>
      <c r="J55" s="121">
        <f>SUM(J47:J54)</f>
        <v>0</v>
      </c>
      <c r="K55" s="119"/>
      <c r="L55" s="57"/>
    </row>
    <row r="56" spans="1:12" ht="15.5" x14ac:dyDescent="0.35">
      <c r="B56" s="194"/>
      <c r="C56" s="12"/>
      <c r="D56" s="10"/>
      <c r="E56" s="10"/>
      <c r="F56" s="244"/>
      <c r="G56" s="10"/>
      <c r="H56" s="10"/>
      <c r="I56" s="10"/>
      <c r="J56" s="10"/>
      <c r="K56" s="10"/>
      <c r="L56" s="56"/>
    </row>
    <row r="57" spans="1:12" ht="51" customHeight="1" x14ac:dyDescent="0.35">
      <c r="B57" s="191" t="s">
        <v>423</v>
      </c>
      <c r="C57" s="296" t="s">
        <v>599</v>
      </c>
      <c r="D57" s="296"/>
      <c r="E57" s="296"/>
      <c r="F57" s="296"/>
      <c r="G57" s="296"/>
      <c r="H57" s="296"/>
      <c r="I57" s="296"/>
      <c r="J57" s="292"/>
      <c r="K57" s="296"/>
      <c r="L57" s="18"/>
    </row>
    <row r="58" spans="1:12" ht="51" customHeight="1" x14ac:dyDescent="0.35">
      <c r="B58" s="191" t="s">
        <v>424</v>
      </c>
      <c r="C58" s="291" t="s">
        <v>600</v>
      </c>
      <c r="D58" s="291"/>
      <c r="E58" s="291"/>
      <c r="F58" s="291"/>
      <c r="G58" s="291"/>
      <c r="H58" s="291"/>
      <c r="I58" s="291"/>
      <c r="J58" s="292"/>
      <c r="K58" s="291"/>
      <c r="L58" s="54"/>
    </row>
    <row r="59" spans="1:12" ht="93" x14ac:dyDescent="0.35">
      <c r="B59" s="192" t="s">
        <v>425</v>
      </c>
      <c r="C59" s="222" t="s">
        <v>601</v>
      </c>
      <c r="D59" s="19">
        <v>0</v>
      </c>
      <c r="E59" s="19">
        <v>0</v>
      </c>
      <c r="F59" s="240">
        <v>0</v>
      </c>
      <c r="G59" s="19">
        <v>73902.8</v>
      </c>
      <c r="H59" s="131">
        <f>SUM(D59:G59)</f>
        <v>73902.8</v>
      </c>
      <c r="I59" s="128">
        <v>0.5</v>
      </c>
      <c r="J59" s="276">
        <f>0+0+0+(65205.97-22655.84+28574.33-936.09)</f>
        <v>70188.37000000001</v>
      </c>
      <c r="K59" s="118"/>
      <c r="L59" s="55"/>
    </row>
    <row r="60" spans="1:12" ht="211.5" customHeight="1" x14ac:dyDescent="0.35">
      <c r="A60" s="42"/>
      <c r="B60" s="192" t="s">
        <v>426</v>
      </c>
      <c r="C60" s="256" t="s">
        <v>617</v>
      </c>
      <c r="D60" s="19">
        <v>96048</v>
      </c>
      <c r="E60" s="19">
        <v>0</v>
      </c>
      <c r="F60" s="240">
        <v>0</v>
      </c>
      <c r="G60" s="19">
        <v>0</v>
      </c>
      <c r="H60" s="131">
        <f t="shared" ref="H60:H66" si="4">SUM(D60:G60)</f>
        <v>96048</v>
      </c>
      <c r="I60" s="128">
        <v>0.5</v>
      </c>
      <c r="J60" s="278">
        <f>(108710.15)+0+0+0</f>
        <v>108710.15</v>
      </c>
      <c r="K60" s="118"/>
      <c r="L60" s="55"/>
    </row>
    <row r="61" spans="1:12" ht="46.5" x14ac:dyDescent="0.35">
      <c r="B61" s="192" t="s">
        <v>427</v>
      </c>
      <c r="C61" s="222" t="s">
        <v>602</v>
      </c>
      <c r="D61" s="19">
        <v>0</v>
      </c>
      <c r="E61" s="19">
        <v>0</v>
      </c>
      <c r="F61" s="240">
        <v>51000</v>
      </c>
      <c r="G61" s="19">
        <v>0</v>
      </c>
      <c r="H61" s="131">
        <f t="shared" si="4"/>
        <v>51000</v>
      </c>
      <c r="I61" s="128">
        <v>1</v>
      </c>
      <c r="J61" s="284">
        <f>0+0+(50000+1000)+0</f>
        <v>51000</v>
      </c>
      <c r="K61" s="228"/>
      <c r="L61" s="55"/>
    </row>
    <row r="62" spans="1:12" ht="15.5" hidden="1" x14ac:dyDescent="0.35">
      <c r="B62" s="192" t="s">
        <v>428</v>
      </c>
      <c r="C62" s="17"/>
      <c r="D62" s="19"/>
      <c r="E62" s="19"/>
      <c r="F62" s="240"/>
      <c r="G62" s="19"/>
      <c r="H62" s="131">
        <f t="shared" si="4"/>
        <v>0</v>
      </c>
      <c r="I62" s="128"/>
      <c r="J62" s="167"/>
      <c r="K62" s="118"/>
      <c r="L62" s="55"/>
    </row>
    <row r="63" spans="1:12" ht="15.5" hidden="1" x14ac:dyDescent="0.35">
      <c r="B63" s="192" t="s">
        <v>429</v>
      </c>
      <c r="C63" s="17"/>
      <c r="D63" s="19"/>
      <c r="E63" s="19"/>
      <c r="F63" s="240"/>
      <c r="G63" s="19"/>
      <c r="H63" s="131">
        <f t="shared" si="4"/>
        <v>0</v>
      </c>
      <c r="I63" s="128"/>
      <c r="J63" s="167"/>
      <c r="K63" s="118"/>
      <c r="L63" s="55"/>
    </row>
    <row r="64" spans="1:12" ht="15.5" hidden="1" x14ac:dyDescent="0.35">
      <c r="B64" s="192" t="s">
        <v>430</v>
      </c>
      <c r="C64" s="17"/>
      <c r="D64" s="19"/>
      <c r="E64" s="19"/>
      <c r="F64" s="240"/>
      <c r="G64" s="19"/>
      <c r="H64" s="131">
        <f t="shared" si="4"/>
        <v>0</v>
      </c>
      <c r="I64" s="128"/>
      <c r="J64" s="167"/>
      <c r="K64" s="118"/>
      <c r="L64" s="55"/>
    </row>
    <row r="65" spans="1:12" ht="15.5" hidden="1" x14ac:dyDescent="0.35">
      <c r="A65" s="41"/>
      <c r="B65" s="192" t="s">
        <v>431</v>
      </c>
      <c r="C65" s="50"/>
      <c r="D65" s="20"/>
      <c r="E65" s="20"/>
      <c r="F65" s="240"/>
      <c r="G65" s="20"/>
      <c r="H65" s="131">
        <f t="shared" si="4"/>
        <v>0</v>
      </c>
      <c r="I65" s="129"/>
      <c r="J65" s="168"/>
      <c r="K65" s="119"/>
      <c r="L65" s="55"/>
    </row>
    <row r="66" spans="1:12" s="41" customFormat="1" ht="15.5" hidden="1" x14ac:dyDescent="0.35">
      <c r="B66" s="192" t="s">
        <v>432</v>
      </c>
      <c r="C66" s="50"/>
      <c r="D66" s="20"/>
      <c r="E66" s="20"/>
      <c r="F66" s="240"/>
      <c r="G66" s="20"/>
      <c r="H66" s="131">
        <f t="shared" si="4"/>
        <v>0</v>
      </c>
      <c r="I66" s="129"/>
      <c r="J66" s="168"/>
      <c r="K66" s="119"/>
      <c r="L66" s="55"/>
    </row>
    <row r="67" spans="1:12" s="41" customFormat="1" ht="15.5" x14ac:dyDescent="0.35">
      <c r="A67" s="40"/>
      <c r="B67" s="193"/>
      <c r="C67" s="191" t="s">
        <v>538</v>
      </c>
      <c r="D67" s="21">
        <f>SUM(D59:D66)</f>
        <v>96048</v>
      </c>
      <c r="E67" s="21">
        <f>SUM(E59:E66)</f>
        <v>0</v>
      </c>
      <c r="F67" s="21">
        <f>SUM(F59:F66)</f>
        <v>51000</v>
      </c>
      <c r="G67" s="21">
        <f>SUM(G59:G66)</f>
        <v>73902.8</v>
      </c>
      <c r="H67" s="21">
        <f>SUM(H59:H66)</f>
        <v>220950.8</v>
      </c>
      <c r="I67" s="121">
        <f>(I59*H59)+(I60*H60)+(I61*H61)+(I62*H62)+(I63*H63)+(I64*H64)+(I65*H65)+(I66*H66)</f>
        <v>135975.4</v>
      </c>
      <c r="J67" s="121">
        <f>SUM(J59:J66)</f>
        <v>229898.52000000002</v>
      </c>
      <c r="K67" s="119"/>
      <c r="L67" s="57"/>
    </row>
    <row r="68" spans="1:12" ht="51" hidden="1" customHeight="1" x14ac:dyDescent="0.35">
      <c r="B68" s="191" t="s">
        <v>433</v>
      </c>
      <c r="C68" s="293"/>
      <c r="D68" s="293"/>
      <c r="E68" s="293"/>
      <c r="F68" s="293"/>
      <c r="G68" s="293"/>
      <c r="H68" s="293"/>
      <c r="I68" s="293"/>
      <c r="J68" s="294"/>
      <c r="K68" s="293"/>
      <c r="L68" s="54"/>
    </row>
    <row r="69" spans="1:12" ht="15.5" hidden="1" x14ac:dyDescent="0.35">
      <c r="B69" s="192" t="s">
        <v>434</v>
      </c>
      <c r="C69" s="17"/>
      <c r="D69" s="19"/>
      <c r="E69" s="19"/>
      <c r="F69" s="240"/>
      <c r="G69" s="19"/>
      <c r="H69" s="131">
        <f>SUM(D69:G69)</f>
        <v>0</v>
      </c>
      <c r="I69" s="128"/>
      <c r="J69" s="167"/>
      <c r="K69" s="118"/>
      <c r="L69" s="55"/>
    </row>
    <row r="70" spans="1:12" ht="15.5" hidden="1" x14ac:dyDescent="0.35">
      <c r="B70" s="192" t="s">
        <v>435</v>
      </c>
      <c r="C70" s="17"/>
      <c r="D70" s="19"/>
      <c r="E70" s="19"/>
      <c r="F70" s="240"/>
      <c r="G70" s="19"/>
      <c r="H70" s="131">
        <f t="shared" ref="H70:H76" si="5">SUM(D70:G70)</f>
        <v>0</v>
      </c>
      <c r="I70" s="128"/>
      <c r="J70" s="167"/>
      <c r="K70" s="118"/>
      <c r="L70" s="55"/>
    </row>
    <row r="71" spans="1:12" ht="15.5" hidden="1" x14ac:dyDescent="0.35">
      <c r="B71" s="192" t="s">
        <v>436</v>
      </c>
      <c r="C71" s="17"/>
      <c r="D71" s="19"/>
      <c r="E71" s="19"/>
      <c r="F71" s="240"/>
      <c r="G71" s="19"/>
      <c r="H71" s="131">
        <f t="shared" si="5"/>
        <v>0</v>
      </c>
      <c r="I71" s="128"/>
      <c r="J71" s="167"/>
      <c r="K71" s="118"/>
      <c r="L71" s="55"/>
    </row>
    <row r="72" spans="1:12" ht="15.5" hidden="1" x14ac:dyDescent="0.35">
      <c r="B72" s="192" t="s">
        <v>437</v>
      </c>
      <c r="C72" s="17"/>
      <c r="D72" s="19"/>
      <c r="E72" s="19"/>
      <c r="F72" s="240"/>
      <c r="G72" s="19"/>
      <c r="H72" s="131">
        <f t="shared" si="5"/>
        <v>0</v>
      </c>
      <c r="I72" s="128"/>
      <c r="J72" s="167"/>
      <c r="K72" s="118"/>
      <c r="L72" s="55"/>
    </row>
    <row r="73" spans="1:12" ht="15.5" hidden="1" x14ac:dyDescent="0.35">
      <c r="B73" s="192" t="s">
        <v>438</v>
      </c>
      <c r="C73" s="17"/>
      <c r="D73" s="19"/>
      <c r="E73" s="19"/>
      <c r="F73" s="240"/>
      <c r="G73" s="19"/>
      <c r="H73" s="131">
        <f t="shared" si="5"/>
        <v>0</v>
      </c>
      <c r="I73" s="128"/>
      <c r="J73" s="167"/>
      <c r="K73" s="118"/>
      <c r="L73" s="55"/>
    </row>
    <row r="74" spans="1:12" ht="15.5" hidden="1" x14ac:dyDescent="0.35">
      <c r="B74" s="192" t="s">
        <v>439</v>
      </c>
      <c r="C74" s="17"/>
      <c r="D74" s="19"/>
      <c r="E74" s="19"/>
      <c r="F74" s="240"/>
      <c r="G74" s="19"/>
      <c r="H74" s="131">
        <f t="shared" si="5"/>
        <v>0</v>
      </c>
      <c r="I74" s="128"/>
      <c r="J74" s="167"/>
      <c r="K74" s="118"/>
      <c r="L74" s="55"/>
    </row>
    <row r="75" spans="1:12" ht="15.5" hidden="1" x14ac:dyDescent="0.35">
      <c r="B75" s="192" t="s">
        <v>440</v>
      </c>
      <c r="C75" s="50"/>
      <c r="D75" s="20"/>
      <c r="E75" s="20"/>
      <c r="F75" s="240"/>
      <c r="G75" s="20"/>
      <c r="H75" s="131">
        <f t="shared" si="5"/>
        <v>0</v>
      </c>
      <c r="I75" s="129"/>
      <c r="J75" s="168"/>
      <c r="K75" s="119"/>
      <c r="L75" s="55"/>
    </row>
    <row r="76" spans="1:12" ht="15.5" hidden="1" x14ac:dyDescent="0.35">
      <c r="B76" s="192" t="s">
        <v>441</v>
      </c>
      <c r="C76" s="50"/>
      <c r="D76" s="20"/>
      <c r="E76" s="20"/>
      <c r="F76" s="240"/>
      <c r="G76" s="20"/>
      <c r="H76" s="131">
        <f t="shared" si="5"/>
        <v>0</v>
      </c>
      <c r="I76" s="129"/>
      <c r="J76" s="168"/>
      <c r="K76" s="119"/>
      <c r="L76" s="55"/>
    </row>
    <row r="77" spans="1:12" ht="15.5" hidden="1" x14ac:dyDescent="0.35">
      <c r="B77" s="193"/>
      <c r="C77" s="191" t="s">
        <v>538</v>
      </c>
      <c r="D77" s="24">
        <f>SUM(D69:D76)</f>
        <v>0</v>
      </c>
      <c r="E77" s="24">
        <f>SUM(E69:E76)</f>
        <v>0</v>
      </c>
      <c r="F77" s="243">
        <f>SUM(F69:F76)</f>
        <v>0</v>
      </c>
      <c r="G77" s="24">
        <f>SUM(G69:G76)</f>
        <v>0</v>
      </c>
      <c r="H77" s="24">
        <f>SUM(H69:H76)</f>
        <v>0</v>
      </c>
      <c r="I77" s="121">
        <f>(I69*H69)+(I70*H70)+(I71*H71)+(I72*H72)+(I73*H73)+(I74*H74)+(I75*H75)+(I76*H76)</f>
        <v>0</v>
      </c>
      <c r="J77" s="121">
        <f>SUM(J69:J76)</f>
        <v>0</v>
      </c>
      <c r="K77" s="119"/>
      <c r="L77" s="57"/>
    </row>
    <row r="78" spans="1:12" ht="51" hidden="1" customHeight="1" x14ac:dyDescent="0.35">
      <c r="B78" s="191" t="s">
        <v>442</v>
      </c>
      <c r="C78" s="293"/>
      <c r="D78" s="293"/>
      <c r="E78" s="293"/>
      <c r="F78" s="293"/>
      <c r="G78" s="293"/>
      <c r="H78" s="293"/>
      <c r="I78" s="293"/>
      <c r="J78" s="294"/>
      <c r="K78" s="293"/>
      <c r="L78" s="54"/>
    </row>
    <row r="79" spans="1:12" ht="15.5" hidden="1" x14ac:dyDescent="0.35">
      <c r="B79" s="192" t="s">
        <v>443</v>
      </c>
      <c r="C79" s="17"/>
      <c r="D79" s="19"/>
      <c r="E79" s="19"/>
      <c r="F79" s="240"/>
      <c r="G79" s="19"/>
      <c r="H79" s="131">
        <f>SUM(D79:G79)</f>
        <v>0</v>
      </c>
      <c r="I79" s="128"/>
      <c r="J79" s="167"/>
      <c r="K79" s="118"/>
      <c r="L79" s="55"/>
    </row>
    <row r="80" spans="1:12" ht="15.5" hidden="1" x14ac:dyDescent="0.35">
      <c r="B80" s="192" t="s">
        <v>444</v>
      </c>
      <c r="C80" s="17"/>
      <c r="D80" s="19"/>
      <c r="E80" s="19"/>
      <c r="F80" s="240"/>
      <c r="G80" s="19"/>
      <c r="H80" s="131">
        <f t="shared" ref="H80:H86" si="6">SUM(D80:G80)</f>
        <v>0</v>
      </c>
      <c r="I80" s="128"/>
      <c r="J80" s="167"/>
      <c r="K80" s="118"/>
      <c r="L80" s="55"/>
    </row>
    <row r="81" spans="1:12" ht="15.5" hidden="1" x14ac:dyDescent="0.35">
      <c r="B81" s="192" t="s">
        <v>445</v>
      </c>
      <c r="C81" s="17"/>
      <c r="D81" s="19"/>
      <c r="E81" s="19"/>
      <c r="F81" s="240"/>
      <c r="G81" s="19"/>
      <c r="H81" s="131">
        <f t="shared" si="6"/>
        <v>0</v>
      </c>
      <c r="I81" s="128"/>
      <c r="J81" s="167"/>
      <c r="K81" s="118"/>
      <c r="L81" s="55"/>
    </row>
    <row r="82" spans="1:12" ht="15.5" hidden="1" x14ac:dyDescent="0.35">
      <c r="A82" s="41"/>
      <c r="B82" s="192" t="s">
        <v>446</v>
      </c>
      <c r="C82" s="17"/>
      <c r="D82" s="19"/>
      <c r="E82" s="19"/>
      <c r="F82" s="240"/>
      <c r="G82" s="19"/>
      <c r="H82" s="131">
        <f t="shared" si="6"/>
        <v>0</v>
      </c>
      <c r="I82" s="128"/>
      <c r="J82" s="167"/>
      <c r="K82" s="118"/>
      <c r="L82" s="55"/>
    </row>
    <row r="83" spans="1:12" s="41" customFormat="1" ht="15.5" hidden="1" x14ac:dyDescent="0.35">
      <c r="A83" s="40"/>
      <c r="B83" s="192" t="s">
        <v>447</v>
      </c>
      <c r="C83" s="17"/>
      <c r="D83" s="19"/>
      <c r="E83" s="19"/>
      <c r="F83" s="240"/>
      <c r="G83" s="19"/>
      <c r="H83" s="131">
        <f t="shared" si="6"/>
        <v>0</v>
      </c>
      <c r="I83" s="128"/>
      <c r="J83" s="167"/>
      <c r="K83" s="118"/>
      <c r="L83" s="55"/>
    </row>
    <row r="84" spans="1:12" ht="15.5" hidden="1" x14ac:dyDescent="0.35">
      <c r="B84" s="192" t="s">
        <v>448</v>
      </c>
      <c r="C84" s="17"/>
      <c r="D84" s="19"/>
      <c r="E84" s="19"/>
      <c r="F84" s="240"/>
      <c r="G84" s="19"/>
      <c r="H84" s="131">
        <f t="shared" si="6"/>
        <v>0</v>
      </c>
      <c r="I84" s="128"/>
      <c r="J84" s="167"/>
      <c r="K84" s="118"/>
      <c r="L84" s="55"/>
    </row>
    <row r="85" spans="1:12" ht="15.5" hidden="1" x14ac:dyDescent="0.35">
      <c r="B85" s="192" t="s">
        <v>449</v>
      </c>
      <c r="C85" s="50"/>
      <c r="D85" s="20"/>
      <c r="E85" s="20"/>
      <c r="F85" s="240"/>
      <c r="G85" s="20"/>
      <c r="H85" s="131">
        <f t="shared" si="6"/>
        <v>0</v>
      </c>
      <c r="I85" s="129"/>
      <c r="J85" s="168"/>
      <c r="K85" s="119"/>
      <c r="L85" s="55"/>
    </row>
    <row r="86" spans="1:12" ht="15.5" hidden="1" x14ac:dyDescent="0.35">
      <c r="B86" s="192" t="s">
        <v>450</v>
      </c>
      <c r="C86" s="50"/>
      <c r="D86" s="20"/>
      <c r="E86" s="20"/>
      <c r="F86" s="240"/>
      <c r="G86" s="20"/>
      <c r="H86" s="131">
        <f t="shared" si="6"/>
        <v>0</v>
      </c>
      <c r="I86" s="129"/>
      <c r="J86" s="168"/>
      <c r="K86" s="119"/>
      <c r="L86" s="55"/>
    </row>
    <row r="87" spans="1:12" ht="15.5" hidden="1" x14ac:dyDescent="0.35">
      <c r="B87" s="193"/>
      <c r="C87" s="191" t="s">
        <v>538</v>
      </c>
      <c r="D87" s="24">
        <f>SUM(D79:D86)</f>
        <v>0</v>
      </c>
      <c r="E87" s="24">
        <f>SUM(E79:E86)</f>
        <v>0</v>
      </c>
      <c r="F87" s="243">
        <f>SUM(F79:F86)</f>
        <v>0</v>
      </c>
      <c r="G87" s="24">
        <f>SUM(G79:G86)</f>
        <v>0</v>
      </c>
      <c r="H87" s="24">
        <f>SUM(H79:H86)</f>
        <v>0</v>
      </c>
      <c r="I87" s="121">
        <f>(I79*H79)+(I80*H80)+(I81*H81)+(I82*H82)+(I83*H83)+(I84*H84)+(I85*H85)+(I86*H86)</f>
        <v>0</v>
      </c>
      <c r="J87" s="121">
        <f>SUM(J79:J86)</f>
        <v>0</v>
      </c>
      <c r="K87" s="119"/>
      <c r="L87" s="57"/>
    </row>
    <row r="88" spans="1:12" ht="51" hidden="1" customHeight="1" x14ac:dyDescent="0.35">
      <c r="B88" s="191" t="s">
        <v>451</v>
      </c>
      <c r="C88" s="293"/>
      <c r="D88" s="293"/>
      <c r="E88" s="293"/>
      <c r="F88" s="293"/>
      <c r="G88" s="293"/>
      <c r="H88" s="293"/>
      <c r="I88" s="293"/>
      <c r="J88" s="294"/>
      <c r="K88" s="293"/>
      <c r="L88" s="54"/>
    </row>
    <row r="89" spans="1:12" ht="15.5" hidden="1" x14ac:dyDescent="0.35">
      <c r="B89" s="192" t="s">
        <v>452</v>
      </c>
      <c r="C89" s="17"/>
      <c r="D89" s="19"/>
      <c r="E89" s="19"/>
      <c r="F89" s="240"/>
      <c r="G89" s="19"/>
      <c r="H89" s="131">
        <f>SUM(D89:G89)</f>
        <v>0</v>
      </c>
      <c r="I89" s="128"/>
      <c r="J89" s="167"/>
      <c r="K89" s="118"/>
      <c r="L89" s="55"/>
    </row>
    <row r="90" spans="1:12" ht="15.5" hidden="1" x14ac:dyDescent="0.35">
      <c r="B90" s="192" t="s">
        <v>453</v>
      </c>
      <c r="C90" s="17"/>
      <c r="D90" s="19"/>
      <c r="E90" s="19"/>
      <c r="F90" s="240"/>
      <c r="G90" s="19"/>
      <c r="H90" s="131">
        <f t="shared" ref="H90:H96" si="7">SUM(D90:G90)</f>
        <v>0</v>
      </c>
      <c r="I90" s="128"/>
      <c r="J90" s="167"/>
      <c r="K90" s="118"/>
      <c r="L90" s="55"/>
    </row>
    <row r="91" spans="1:12" ht="15.5" hidden="1" x14ac:dyDescent="0.35">
      <c r="B91" s="192" t="s">
        <v>454</v>
      </c>
      <c r="C91" s="17"/>
      <c r="D91" s="19"/>
      <c r="E91" s="19"/>
      <c r="F91" s="240"/>
      <c r="G91" s="19"/>
      <c r="H91" s="131">
        <f t="shared" si="7"/>
        <v>0</v>
      </c>
      <c r="I91" s="128"/>
      <c r="J91" s="167"/>
      <c r="K91" s="118"/>
      <c r="L91" s="55"/>
    </row>
    <row r="92" spans="1:12" ht="15.5" hidden="1" x14ac:dyDescent="0.35">
      <c r="B92" s="192" t="s">
        <v>455</v>
      </c>
      <c r="C92" s="17"/>
      <c r="D92" s="19"/>
      <c r="E92" s="19"/>
      <c r="F92" s="240"/>
      <c r="G92" s="19"/>
      <c r="H92" s="131">
        <f t="shared" si="7"/>
        <v>0</v>
      </c>
      <c r="I92" s="128"/>
      <c r="J92" s="167"/>
      <c r="K92" s="118"/>
      <c r="L92" s="55"/>
    </row>
    <row r="93" spans="1:12" ht="15.5" hidden="1" x14ac:dyDescent="0.35">
      <c r="B93" s="192" t="s">
        <v>456</v>
      </c>
      <c r="C93" s="17"/>
      <c r="D93" s="19"/>
      <c r="E93" s="19"/>
      <c r="F93" s="240"/>
      <c r="G93" s="19"/>
      <c r="H93" s="131">
        <f t="shared" si="7"/>
        <v>0</v>
      </c>
      <c r="I93" s="128"/>
      <c r="J93" s="167"/>
      <c r="K93" s="118"/>
      <c r="L93" s="55"/>
    </row>
    <row r="94" spans="1:12" ht="15.5" hidden="1" x14ac:dyDescent="0.35">
      <c r="B94" s="192" t="s">
        <v>457</v>
      </c>
      <c r="C94" s="17"/>
      <c r="D94" s="19"/>
      <c r="E94" s="19"/>
      <c r="F94" s="240"/>
      <c r="G94" s="19"/>
      <c r="H94" s="131">
        <f t="shared" si="7"/>
        <v>0</v>
      </c>
      <c r="I94" s="128"/>
      <c r="J94" s="167"/>
      <c r="K94" s="118"/>
      <c r="L94" s="55"/>
    </row>
    <row r="95" spans="1:12" ht="15.5" hidden="1" x14ac:dyDescent="0.35">
      <c r="B95" s="192" t="s">
        <v>458</v>
      </c>
      <c r="C95" s="50"/>
      <c r="D95" s="20"/>
      <c r="E95" s="20"/>
      <c r="F95" s="240"/>
      <c r="G95" s="20"/>
      <c r="H95" s="131">
        <f t="shared" si="7"/>
        <v>0</v>
      </c>
      <c r="I95" s="129"/>
      <c r="J95" s="168"/>
      <c r="K95" s="119"/>
      <c r="L95" s="55"/>
    </row>
    <row r="96" spans="1:12" ht="15.5" hidden="1" x14ac:dyDescent="0.35">
      <c r="B96" s="192" t="s">
        <v>459</v>
      </c>
      <c r="C96" s="50"/>
      <c r="D96" s="20"/>
      <c r="E96" s="20"/>
      <c r="F96" s="240"/>
      <c r="G96" s="20"/>
      <c r="H96" s="131">
        <f t="shared" si="7"/>
        <v>0</v>
      </c>
      <c r="I96" s="129"/>
      <c r="J96" s="168"/>
      <c r="K96" s="119"/>
      <c r="L96" s="55"/>
    </row>
    <row r="97" spans="2:12" ht="15.5" hidden="1" x14ac:dyDescent="0.35">
      <c r="B97" s="193"/>
      <c r="C97" s="191" t="s">
        <v>538</v>
      </c>
      <c r="D97" s="21">
        <f>SUM(D89:D96)</f>
        <v>0</v>
      </c>
      <c r="E97" s="21">
        <f>SUM(E89:E96)</f>
        <v>0</v>
      </c>
      <c r="F97" s="241">
        <f>SUM(F89:F96)</f>
        <v>0</v>
      </c>
      <c r="G97" s="21">
        <f>SUM(G89:G96)</f>
        <v>0</v>
      </c>
      <c r="H97" s="21">
        <f>SUM(H89:H96)</f>
        <v>0</v>
      </c>
      <c r="I97" s="121">
        <f>(I89*H89)+(I90*H90)+(I91*H91)+(I92*H92)+(I93*H93)+(I94*H94)+(I95*H95)+(I96*H96)</f>
        <v>0</v>
      </c>
      <c r="J97" s="121">
        <f>SUM(J89:J96)</f>
        <v>0</v>
      </c>
      <c r="K97" s="119"/>
      <c r="L97" s="57"/>
    </row>
    <row r="98" spans="2:12" ht="15.75" customHeight="1" x14ac:dyDescent="0.35">
      <c r="B98" s="195"/>
      <c r="C98" s="11"/>
      <c r="D98" s="26"/>
      <c r="E98" s="26"/>
      <c r="F98" s="170"/>
      <c r="G98" s="26"/>
      <c r="H98" s="26"/>
      <c r="I98" s="26"/>
      <c r="J98" s="26"/>
      <c r="K98" s="11"/>
      <c r="L98" s="4"/>
    </row>
    <row r="99" spans="2:12" ht="51" customHeight="1" x14ac:dyDescent="0.35">
      <c r="B99" s="191" t="s">
        <v>460</v>
      </c>
      <c r="C99" s="291" t="s">
        <v>603</v>
      </c>
      <c r="D99" s="291"/>
      <c r="E99" s="291"/>
      <c r="F99" s="291"/>
      <c r="G99" s="291"/>
      <c r="H99" s="291"/>
      <c r="I99" s="291"/>
      <c r="J99" s="291"/>
      <c r="K99" s="291"/>
      <c r="L99" s="18"/>
    </row>
    <row r="100" spans="2:12" ht="51" customHeight="1" x14ac:dyDescent="0.35">
      <c r="B100" s="191" t="s">
        <v>461</v>
      </c>
      <c r="C100" s="291" t="s">
        <v>604</v>
      </c>
      <c r="D100" s="291"/>
      <c r="E100" s="291"/>
      <c r="F100" s="291"/>
      <c r="G100" s="291"/>
      <c r="H100" s="291"/>
      <c r="I100" s="291"/>
      <c r="J100" s="292"/>
      <c r="K100" s="291"/>
      <c r="L100" s="54"/>
    </row>
    <row r="101" spans="2:12" ht="46.5" x14ac:dyDescent="0.35">
      <c r="B101" s="192" t="s">
        <v>462</v>
      </c>
      <c r="C101" s="222" t="s">
        <v>605</v>
      </c>
      <c r="D101" s="19">
        <v>0</v>
      </c>
      <c r="E101" s="19">
        <v>0</v>
      </c>
      <c r="F101" s="240">
        <v>266597.2</v>
      </c>
      <c r="G101" s="19">
        <v>0</v>
      </c>
      <c r="H101" s="131">
        <f>SUM(D101:G101)</f>
        <v>266597.2</v>
      </c>
      <c r="I101" s="258">
        <v>0.5</v>
      </c>
      <c r="J101" s="284">
        <f>0+0+(15000+5000+15000)+0</f>
        <v>35000</v>
      </c>
      <c r="K101" s="260"/>
      <c r="L101" s="55"/>
    </row>
    <row r="102" spans="2:12" ht="46.5" x14ac:dyDescent="0.35">
      <c r="B102" s="192" t="s">
        <v>463</v>
      </c>
      <c r="C102" s="222" t="s">
        <v>606</v>
      </c>
      <c r="D102" s="19">
        <v>0</v>
      </c>
      <c r="E102" s="267">
        <v>7934.97</v>
      </c>
      <c r="F102" s="240">
        <v>0</v>
      </c>
      <c r="G102" s="232">
        <v>20000</v>
      </c>
      <c r="H102" s="131">
        <f t="shared" ref="H102:H108" si="8">SUM(D102:G102)</f>
        <v>27934.97</v>
      </c>
      <c r="I102" s="259">
        <v>0.5</v>
      </c>
      <c r="J102" s="284">
        <f>0+(2694.07+1755.16+199.72+0)+0+(20000+0+0+0-2000)</f>
        <v>22648.95</v>
      </c>
      <c r="K102" s="287" t="s">
        <v>620</v>
      </c>
      <c r="L102" s="55"/>
    </row>
    <row r="103" spans="2:12" ht="69.75" customHeight="1" x14ac:dyDescent="0.35">
      <c r="B103" s="192" t="s">
        <v>464</v>
      </c>
      <c r="C103" s="222" t="s">
        <v>607</v>
      </c>
      <c r="D103" s="19">
        <v>161697</v>
      </c>
      <c r="E103" s="19">
        <v>0</v>
      </c>
      <c r="F103" s="240">
        <v>0</v>
      </c>
      <c r="G103" s="271">
        <v>37777</v>
      </c>
      <c r="H103" s="131">
        <f t="shared" si="8"/>
        <v>199474</v>
      </c>
      <c r="I103" s="259">
        <v>0.5</v>
      </c>
      <c r="J103" s="274">
        <f>(203142.62)+0+0+(37777+0+0+0-777)</f>
        <v>240142.62</v>
      </c>
      <c r="K103" s="287" t="s">
        <v>621</v>
      </c>
      <c r="L103" s="55"/>
    </row>
    <row r="104" spans="2:12" ht="46.5" x14ac:dyDescent="0.35">
      <c r="B104" s="192" t="s">
        <v>465</v>
      </c>
      <c r="C104" s="222" t="s">
        <v>608</v>
      </c>
      <c r="D104" s="19">
        <v>0</v>
      </c>
      <c r="E104" s="19">
        <v>0</v>
      </c>
      <c r="F104" s="240">
        <v>0</v>
      </c>
      <c r="G104" s="271">
        <v>53793</v>
      </c>
      <c r="H104" s="131">
        <f t="shared" si="8"/>
        <v>53793</v>
      </c>
      <c r="I104" s="259">
        <v>0.5</v>
      </c>
      <c r="J104" s="274">
        <f>0+0+0+(53793+0+0+0-31009.64)</f>
        <v>22783.360000000001</v>
      </c>
      <c r="K104" s="118"/>
      <c r="L104" s="55"/>
    </row>
    <row r="105" spans="2:12" ht="46.5" x14ac:dyDescent="0.35">
      <c r="B105" s="192" t="s">
        <v>466</v>
      </c>
      <c r="C105" s="222" t="s">
        <v>609</v>
      </c>
      <c r="D105" s="19">
        <v>0</v>
      </c>
      <c r="E105" s="19">
        <v>0</v>
      </c>
      <c r="F105" s="240">
        <v>0</v>
      </c>
      <c r="G105" s="271">
        <v>40000</v>
      </c>
      <c r="H105" s="131">
        <f t="shared" si="8"/>
        <v>40000</v>
      </c>
      <c r="I105" s="259">
        <v>1</v>
      </c>
      <c r="J105" s="274">
        <f>0+0+0+(0+0+42443.32+0+24961.68)</f>
        <v>67405</v>
      </c>
      <c r="K105" s="118"/>
      <c r="L105" s="55"/>
    </row>
    <row r="106" spans="2:12" ht="15.5" hidden="1" x14ac:dyDescent="0.35">
      <c r="B106" s="192" t="s">
        <v>467</v>
      </c>
      <c r="C106" s="17"/>
      <c r="D106" s="19"/>
      <c r="E106" s="19"/>
      <c r="F106" s="240"/>
      <c r="G106" s="19"/>
      <c r="H106" s="131">
        <f t="shared" si="8"/>
        <v>0</v>
      </c>
      <c r="I106" s="128"/>
      <c r="J106" s="167"/>
      <c r="K106" s="118"/>
      <c r="L106" s="55"/>
    </row>
    <row r="107" spans="2:12" ht="15.5" hidden="1" x14ac:dyDescent="0.35">
      <c r="B107" s="192" t="s">
        <v>468</v>
      </c>
      <c r="C107" s="50"/>
      <c r="D107" s="20"/>
      <c r="E107" s="20"/>
      <c r="F107" s="240"/>
      <c r="G107" s="20"/>
      <c r="H107" s="131">
        <f t="shared" si="8"/>
        <v>0</v>
      </c>
      <c r="I107" s="129"/>
      <c r="J107" s="168"/>
      <c r="K107" s="119"/>
      <c r="L107" s="55"/>
    </row>
    <row r="108" spans="2:12" ht="15.5" hidden="1" x14ac:dyDescent="0.35">
      <c r="B108" s="192" t="s">
        <v>469</v>
      </c>
      <c r="C108" s="50"/>
      <c r="D108" s="20"/>
      <c r="E108" s="20"/>
      <c r="F108" s="240"/>
      <c r="G108" s="20"/>
      <c r="H108" s="131">
        <f t="shared" si="8"/>
        <v>0</v>
      </c>
      <c r="I108" s="129"/>
      <c r="J108" s="168"/>
      <c r="K108" s="119"/>
      <c r="L108" s="55"/>
    </row>
    <row r="109" spans="2:12" ht="15.5" x14ac:dyDescent="0.35">
      <c r="B109" s="193"/>
      <c r="C109" s="191" t="s">
        <v>538</v>
      </c>
      <c r="D109" s="21">
        <f>SUM(D101:D108)</f>
        <v>161697</v>
      </c>
      <c r="E109" s="21">
        <f>SUM(E101:E108)</f>
        <v>7934.97</v>
      </c>
      <c r="F109" s="21">
        <f>SUM(F101:F108)</f>
        <v>266597.2</v>
      </c>
      <c r="G109" s="21">
        <f>SUM(G101:G108)</f>
        <v>151570</v>
      </c>
      <c r="H109" s="21">
        <f>SUM(H101:H108)</f>
        <v>587799.17000000004</v>
      </c>
      <c r="I109" s="121">
        <f>(I101*H101)+(I102*H102)+(I103*H103)+(I104*H104)+(I105*H105)+(I106*H106)+(I107*H107)+(I108*H108)</f>
        <v>313899.58500000002</v>
      </c>
      <c r="J109" s="121">
        <f>SUM(J101:J108)</f>
        <v>387979.93</v>
      </c>
      <c r="K109" s="119"/>
      <c r="L109" s="57"/>
    </row>
    <row r="110" spans="2:12" ht="51" customHeight="1" x14ac:dyDescent="0.35">
      <c r="B110" s="191" t="s">
        <v>470</v>
      </c>
      <c r="C110" s="288" t="s">
        <v>610</v>
      </c>
      <c r="D110" s="289"/>
      <c r="E110" s="289"/>
      <c r="F110" s="289"/>
      <c r="G110" s="289"/>
      <c r="H110" s="289"/>
      <c r="I110" s="289"/>
      <c r="J110" s="289"/>
      <c r="K110" s="290"/>
      <c r="L110" s="54"/>
    </row>
    <row r="111" spans="2:12" ht="62" x14ac:dyDescent="0.35">
      <c r="B111" s="192" t="s">
        <v>471</v>
      </c>
      <c r="C111" s="283" t="s">
        <v>611</v>
      </c>
      <c r="D111" s="19">
        <v>0</v>
      </c>
      <c r="E111" s="267">
        <v>160192.01999999999</v>
      </c>
      <c r="F111" s="240">
        <v>0</v>
      </c>
      <c r="G111" s="19"/>
      <c r="H111" s="131">
        <f>SUM(D111:G111)</f>
        <v>160192.01999999999</v>
      </c>
      <c r="I111" s="128">
        <v>0.5</v>
      </c>
      <c r="J111" s="284">
        <f>0+(52715.12+64848.53+3238.16+21488.32)+0+0</f>
        <v>142290.13</v>
      </c>
      <c r="K111" s="282"/>
      <c r="L111" s="55"/>
    </row>
    <row r="112" spans="2:12" ht="93" x14ac:dyDescent="0.35">
      <c r="B112" s="192" t="s">
        <v>472</v>
      </c>
      <c r="C112" s="222" t="s">
        <v>612</v>
      </c>
      <c r="D112" s="19">
        <v>155006</v>
      </c>
      <c r="E112" s="19">
        <v>0</v>
      </c>
      <c r="F112" s="240">
        <v>0</v>
      </c>
      <c r="G112" s="19">
        <v>0</v>
      </c>
      <c r="H112" s="131">
        <f t="shared" ref="H112:H118" si="9">SUM(D112:G112)</f>
        <v>155006</v>
      </c>
      <c r="I112" s="234">
        <v>0.5</v>
      </c>
      <c r="J112" s="274">
        <f>(175285.26)+0+0+0</f>
        <v>175285.26</v>
      </c>
      <c r="K112" s="282"/>
      <c r="L112" s="55"/>
    </row>
    <row r="113" spans="1:12" ht="15.5" hidden="1" x14ac:dyDescent="0.35">
      <c r="B113" s="192" t="s">
        <v>473</v>
      </c>
      <c r="C113" s="17"/>
      <c r="D113" s="19"/>
      <c r="E113" s="19"/>
      <c r="F113" s="240"/>
      <c r="G113" s="19"/>
      <c r="H113" s="131">
        <f t="shared" si="9"/>
        <v>0</v>
      </c>
      <c r="I113" s="128"/>
      <c r="J113" s="167"/>
      <c r="K113" s="118"/>
      <c r="L113" s="55"/>
    </row>
    <row r="114" spans="1:12" ht="15.5" hidden="1" x14ac:dyDescent="0.35">
      <c r="B114" s="192" t="s">
        <v>474</v>
      </c>
      <c r="C114" s="17"/>
      <c r="D114" s="19"/>
      <c r="E114" s="19"/>
      <c r="F114" s="240"/>
      <c r="G114" s="19"/>
      <c r="H114" s="131">
        <f t="shared" si="9"/>
        <v>0</v>
      </c>
      <c r="I114" s="128"/>
      <c r="J114" s="167"/>
      <c r="K114" s="118"/>
      <c r="L114" s="55"/>
    </row>
    <row r="115" spans="1:12" ht="15.5" hidden="1" x14ac:dyDescent="0.35">
      <c r="B115" s="192" t="s">
        <v>475</v>
      </c>
      <c r="C115" s="17"/>
      <c r="D115" s="19"/>
      <c r="E115" s="19"/>
      <c r="F115" s="240"/>
      <c r="G115" s="19"/>
      <c r="H115" s="131">
        <f t="shared" si="9"/>
        <v>0</v>
      </c>
      <c r="I115" s="128"/>
      <c r="J115" s="167"/>
      <c r="K115" s="118"/>
      <c r="L115" s="55"/>
    </row>
    <row r="116" spans="1:12" ht="15.5" hidden="1" x14ac:dyDescent="0.35">
      <c r="B116" s="192" t="s">
        <v>476</v>
      </c>
      <c r="C116" s="17"/>
      <c r="D116" s="19"/>
      <c r="E116" s="19"/>
      <c r="F116" s="240"/>
      <c r="G116" s="19"/>
      <c r="H116" s="131">
        <f t="shared" si="9"/>
        <v>0</v>
      </c>
      <c r="I116" s="128"/>
      <c r="J116" s="167"/>
      <c r="K116" s="118"/>
      <c r="L116" s="55"/>
    </row>
    <row r="117" spans="1:12" ht="15.5" hidden="1" x14ac:dyDescent="0.35">
      <c r="B117" s="192" t="s">
        <v>477</v>
      </c>
      <c r="C117" s="50"/>
      <c r="D117" s="20"/>
      <c r="E117" s="20"/>
      <c r="F117" s="240"/>
      <c r="G117" s="20"/>
      <c r="H117" s="131">
        <f t="shared" si="9"/>
        <v>0</v>
      </c>
      <c r="I117" s="129"/>
      <c r="J117" s="168"/>
      <c r="K117" s="119"/>
      <c r="L117" s="55"/>
    </row>
    <row r="118" spans="1:12" ht="15.5" hidden="1" x14ac:dyDescent="0.35">
      <c r="B118" s="192" t="s">
        <v>478</v>
      </c>
      <c r="C118" s="50"/>
      <c r="D118" s="20"/>
      <c r="E118" s="20"/>
      <c r="F118" s="240"/>
      <c r="G118" s="20"/>
      <c r="H118" s="131">
        <f t="shared" si="9"/>
        <v>0</v>
      </c>
      <c r="I118" s="129"/>
      <c r="J118" s="168"/>
      <c r="K118" s="119"/>
      <c r="L118" s="55"/>
    </row>
    <row r="119" spans="1:12" ht="15.5" x14ac:dyDescent="0.35">
      <c r="B119" s="193"/>
      <c r="C119" s="191" t="s">
        <v>538</v>
      </c>
      <c r="D119" s="24">
        <f>SUM(D111:D118)</f>
        <v>155006</v>
      </c>
      <c r="E119" s="24">
        <f>SUM(E111:E118)</f>
        <v>160192.01999999999</v>
      </c>
      <c r="F119" s="24">
        <f>SUM(F111:F118)</f>
        <v>0</v>
      </c>
      <c r="G119" s="24">
        <f>SUM(G111:G118)</f>
        <v>0</v>
      </c>
      <c r="H119" s="24">
        <f>SUM(H111:H118)</f>
        <v>315198.02</v>
      </c>
      <c r="I119" s="121">
        <f>(I111*H111)+(I112*H112)+(I113*H113)+(I114*H114)+(I115*H115)+(I116*H116)+(I117*H117)+(I118*H118)</f>
        <v>157599.01</v>
      </c>
      <c r="J119" s="121">
        <f>SUM(J111:J118)</f>
        <v>317575.39</v>
      </c>
      <c r="K119" s="119"/>
      <c r="L119" s="57"/>
    </row>
    <row r="120" spans="1:12" ht="51" customHeight="1" x14ac:dyDescent="0.35">
      <c r="B120" s="191" t="s">
        <v>479</v>
      </c>
      <c r="C120" s="291" t="s">
        <v>613</v>
      </c>
      <c r="D120" s="291"/>
      <c r="E120" s="291"/>
      <c r="F120" s="291"/>
      <c r="G120" s="291"/>
      <c r="H120" s="291"/>
      <c r="I120" s="291"/>
      <c r="J120" s="292"/>
      <c r="K120" s="291"/>
      <c r="L120" s="54"/>
    </row>
    <row r="121" spans="1:12" ht="129" customHeight="1" x14ac:dyDescent="0.35">
      <c r="A121" s="42"/>
      <c r="B121" s="192" t="s">
        <v>480</v>
      </c>
      <c r="C121" s="222" t="s">
        <v>614</v>
      </c>
      <c r="D121" s="19">
        <v>168048</v>
      </c>
      <c r="E121" s="19">
        <v>0</v>
      </c>
      <c r="F121" s="240">
        <v>0</v>
      </c>
      <c r="G121" s="19">
        <v>0</v>
      </c>
      <c r="H121" s="131">
        <f>SUM(D121:G121)</f>
        <v>168048</v>
      </c>
      <c r="I121" s="128">
        <v>0.5</v>
      </c>
      <c r="J121" s="278">
        <f>(147062.66)+0+0+0</f>
        <v>147062.66</v>
      </c>
      <c r="K121" s="282"/>
      <c r="L121" s="55"/>
    </row>
    <row r="122" spans="1:12" ht="46.5" x14ac:dyDescent="0.35">
      <c r="A122" s="42"/>
      <c r="B122" s="192" t="s">
        <v>481</v>
      </c>
      <c r="C122" s="222" t="s">
        <v>615</v>
      </c>
      <c r="D122" s="19">
        <v>198142</v>
      </c>
      <c r="E122" s="19">
        <v>0</v>
      </c>
      <c r="F122" s="240">
        <v>0</v>
      </c>
      <c r="G122" s="19">
        <v>0</v>
      </c>
      <c r="H122" s="131">
        <f t="shared" ref="H122:H128" si="10">SUM(D122:G122)</f>
        <v>198142</v>
      </c>
      <c r="I122" s="128">
        <v>0.5</v>
      </c>
      <c r="J122" s="274">
        <f>(144719.59)+0+0+0</f>
        <v>144719.59</v>
      </c>
      <c r="K122" s="282"/>
      <c r="L122" s="55"/>
    </row>
    <row r="123" spans="1:12" ht="15.5" hidden="1" x14ac:dyDescent="0.35">
      <c r="B123" s="192" t="s">
        <v>482</v>
      </c>
      <c r="C123" s="17"/>
      <c r="D123" s="19"/>
      <c r="E123" s="19"/>
      <c r="F123" s="240"/>
      <c r="G123" s="19"/>
      <c r="H123" s="131">
        <f t="shared" si="10"/>
        <v>0</v>
      </c>
      <c r="I123" s="128"/>
      <c r="J123" s="167"/>
      <c r="K123" s="118"/>
      <c r="L123" s="55"/>
    </row>
    <row r="124" spans="1:12" ht="15.5" hidden="1" x14ac:dyDescent="0.35">
      <c r="B124" s="192" t="s">
        <v>483</v>
      </c>
      <c r="C124" s="17"/>
      <c r="D124" s="19"/>
      <c r="E124" s="19"/>
      <c r="F124" s="240"/>
      <c r="G124" s="19"/>
      <c r="H124" s="131">
        <f t="shared" si="10"/>
        <v>0</v>
      </c>
      <c r="I124" s="128"/>
      <c r="J124" s="167"/>
      <c r="K124" s="118"/>
      <c r="L124" s="55"/>
    </row>
    <row r="125" spans="1:12" ht="15.5" hidden="1" x14ac:dyDescent="0.35">
      <c r="B125" s="192" t="s">
        <v>484</v>
      </c>
      <c r="C125" s="17"/>
      <c r="D125" s="19"/>
      <c r="E125" s="19"/>
      <c r="F125" s="240"/>
      <c r="G125" s="19"/>
      <c r="H125" s="131">
        <f t="shared" si="10"/>
        <v>0</v>
      </c>
      <c r="I125" s="128"/>
      <c r="J125" s="167"/>
      <c r="K125" s="118"/>
      <c r="L125" s="55"/>
    </row>
    <row r="126" spans="1:12" ht="15.5" hidden="1" x14ac:dyDescent="0.35">
      <c r="B126" s="192" t="s">
        <v>485</v>
      </c>
      <c r="C126" s="17"/>
      <c r="D126" s="19"/>
      <c r="E126" s="19"/>
      <c r="F126" s="240"/>
      <c r="G126" s="19"/>
      <c r="H126" s="131">
        <f t="shared" si="10"/>
        <v>0</v>
      </c>
      <c r="I126" s="128"/>
      <c r="J126" s="167"/>
      <c r="K126" s="118"/>
      <c r="L126" s="55"/>
    </row>
    <row r="127" spans="1:12" ht="15.5" hidden="1" x14ac:dyDescent="0.35">
      <c r="B127" s="192" t="s">
        <v>486</v>
      </c>
      <c r="C127" s="50"/>
      <c r="D127" s="20"/>
      <c r="E127" s="20"/>
      <c r="F127" s="240"/>
      <c r="G127" s="20"/>
      <c r="H127" s="131">
        <f t="shared" si="10"/>
        <v>0</v>
      </c>
      <c r="I127" s="129"/>
      <c r="J127" s="168"/>
      <c r="K127" s="119"/>
      <c r="L127" s="55"/>
    </row>
    <row r="128" spans="1:12" ht="15.5" hidden="1" x14ac:dyDescent="0.35">
      <c r="B128" s="192" t="s">
        <v>487</v>
      </c>
      <c r="C128" s="50"/>
      <c r="D128" s="20"/>
      <c r="E128" s="20"/>
      <c r="F128" s="240"/>
      <c r="G128" s="20"/>
      <c r="H128" s="131">
        <f t="shared" si="10"/>
        <v>0</v>
      </c>
      <c r="I128" s="129"/>
      <c r="J128" s="168"/>
      <c r="K128" s="119"/>
      <c r="L128" s="55"/>
    </row>
    <row r="129" spans="2:12" ht="15.5" x14ac:dyDescent="0.35">
      <c r="B129" s="193"/>
      <c r="C129" s="191" t="s">
        <v>538</v>
      </c>
      <c r="D129" s="21">
        <f>SUM(D121:D128)</f>
        <v>366190</v>
      </c>
      <c r="E129" s="21">
        <f>SUM(E121:E128)</f>
        <v>0</v>
      </c>
      <c r="F129" s="21">
        <f>SUM(F121:F128)</f>
        <v>0</v>
      </c>
      <c r="G129" s="21">
        <f>SUM(G121:G128)</f>
        <v>0</v>
      </c>
      <c r="H129" s="21">
        <f>SUM(H121:H128)</f>
        <v>366190</v>
      </c>
      <c r="I129" s="121">
        <f>(I121*H121)+(I122*H122)+(I123*H123)+(I124*H124)+(I125*H125)+(I126*H126)+(I127*H127)+(I128*H128)</f>
        <v>183095</v>
      </c>
      <c r="J129" s="121">
        <f>SUM(J121:J128)</f>
        <v>291782.25</v>
      </c>
      <c r="K129" s="119"/>
      <c r="L129" s="57"/>
    </row>
    <row r="130" spans="2:12" ht="51" hidden="1" customHeight="1" x14ac:dyDescent="0.35">
      <c r="B130" s="191" t="s">
        <v>488</v>
      </c>
      <c r="C130" s="293"/>
      <c r="D130" s="293"/>
      <c r="E130" s="293"/>
      <c r="F130" s="293"/>
      <c r="G130" s="293"/>
      <c r="H130" s="293"/>
      <c r="I130" s="293"/>
      <c r="J130" s="294"/>
      <c r="K130" s="293"/>
      <c r="L130" s="54"/>
    </row>
    <row r="131" spans="2:12" ht="15.5" hidden="1" x14ac:dyDescent="0.35">
      <c r="B131" s="192" t="s">
        <v>489</v>
      </c>
      <c r="C131" s="17"/>
      <c r="D131" s="19"/>
      <c r="E131" s="19"/>
      <c r="F131" s="240"/>
      <c r="G131" s="19"/>
      <c r="H131" s="131">
        <f>SUM(D131:G131)</f>
        <v>0</v>
      </c>
      <c r="I131" s="128"/>
      <c r="J131" s="167"/>
      <c r="K131" s="118"/>
      <c r="L131" s="55"/>
    </row>
    <row r="132" spans="2:12" ht="15.5" hidden="1" x14ac:dyDescent="0.35">
      <c r="B132" s="192" t="s">
        <v>490</v>
      </c>
      <c r="C132" s="17"/>
      <c r="D132" s="19"/>
      <c r="E132" s="19"/>
      <c r="F132" s="240"/>
      <c r="G132" s="19"/>
      <c r="H132" s="131">
        <f t="shared" ref="H132:H138" si="11">SUM(D132:G132)</f>
        <v>0</v>
      </c>
      <c r="I132" s="128"/>
      <c r="J132" s="167"/>
      <c r="K132" s="118"/>
      <c r="L132" s="55"/>
    </row>
    <row r="133" spans="2:12" ht="15.5" hidden="1" x14ac:dyDescent="0.35">
      <c r="B133" s="192" t="s">
        <v>491</v>
      </c>
      <c r="C133" s="17"/>
      <c r="D133" s="19"/>
      <c r="E133" s="19"/>
      <c r="F133" s="240"/>
      <c r="G133" s="19"/>
      <c r="H133" s="131">
        <f t="shared" si="11"/>
        <v>0</v>
      </c>
      <c r="I133" s="128"/>
      <c r="J133" s="167"/>
      <c r="K133" s="118"/>
      <c r="L133" s="55"/>
    </row>
    <row r="134" spans="2:12" ht="15.5" hidden="1" x14ac:dyDescent="0.35">
      <c r="B134" s="192" t="s">
        <v>492</v>
      </c>
      <c r="C134" s="17"/>
      <c r="D134" s="19"/>
      <c r="E134" s="19"/>
      <c r="F134" s="240"/>
      <c r="G134" s="19"/>
      <c r="H134" s="131">
        <f t="shared" si="11"/>
        <v>0</v>
      </c>
      <c r="I134" s="128"/>
      <c r="J134" s="167"/>
      <c r="K134" s="118"/>
      <c r="L134" s="55"/>
    </row>
    <row r="135" spans="2:12" ht="15.5" hidden="1" x14ac:dyDescent="0.35">
      <c r="B135" s="192" t="s">
        <v>493</v>
      </c>
      <c r="C135" s="17"/>
      <c r="D135" s="19"/>
      <c r="E135" s="19"/>
      <c r="F135" s="240"/>
      <c r="G135" s="19"/>
      <c r="H135" s="131">
        <f t="shared" si="11"/>
        <v>0</v>
      </c>
      <c r="I135" s="128"/>
      <c r="J135" s="167"/>
      <c r="K135" s="118"/>
      <c r="L135" s="55"/>
    </row>
    <row r="136" spans="2:12" ht="15.5" hidden="1" x14ac:dyDescent="0.35">
      <c r="B136" s="192" t="s">
        <v>494</v>
      </c>
      <c r="C136" s="17"/>
      <c r="D136" s="19"/>
      <c r="E136" s="19"/>
      <c r="F136" s="240"/>
      <c r="G136" s="19"/>
      <c r="H136" s="131">
        <f t="shared" si="11"/>
        <v>0</v>
      </c>
      <c r="I136" s="128"/>
      <c r="J136" s="167"/>
      <c r="K136" s="118"/>
      <c r="L136" s="55"/>
    </row>
    <row r="137" spans="2:12" ht="15.5" hidden="1" x14ac:dyDescent="0.35">
      <c r="B137" s="192" t="s">
        <v>495</v>
      </c>
      <c r="C137" s="50"/>
      <c r="D137" s="20"/>
      <c r="E137" s="20"/>
      <c r="F137" s="240"/>
      <c r="G137" s="20"/>
      <c r="H137" s="131">
        <f t="shared" si="11"/>
        <v>0</v>
      </c>
      <c r="I137" s="129"/>
      <c r="J137" s="168"/>
      <c r="K137" s="119"/>
      <c r="L137" s="55"/>
    </row>
    <row r="138" spans="2:12" ht="15.5" hidden="1" x14ac:dyDescent="0.35">
      <c r="B138" s="192" t="s">
        <v>496</v>
      </c>
      <c r="C138" s="50"/>
      <c r="D138" s="20"/>
      <c r="E138" s="20"/>
      <c r="F138" s="240"/>
      <c r="G138" s="20"/>
      <c r="H138" s="131">
        <f t="shared" si="11"/>
        <v>0</v>
      </c>
      <c r="I138" s="129"/>
      <c r="J138" s="168"/>
      <c r="K138" s="119"/>
      <c r="L138" s="55"/>
    </row>
    <row r="139" spans="2:12" ht="15.5" hidden="1" x14ac:dyDescent="0.35">
      <c r="B139" s="193"/>
      <c r="C139" s="191" t="s">
        <v>538</v>
      </c>
      <c r="D139" s="21">
        <f>SUM(D131:D138)</f>
        <v>0</v>
      </c>
      <c r="E139" s="21">
        <f>SUM(E131:E138)</f>
        <v>0</v>
      </c>
      <c r="F139" s="241">
        <f>SUM(F131:F138)</f>
        <v>0</v>
      </c>
      <c r="G139" s="21">
        <f>SUM(G131:G138)</f>
        <v>0</v>
      </c>
      <c r="H139" s="21">
        <f>SUM(H131:H138)</f>
        <v>0</v>
      </c>
      <c r="I139" s="121">
        <f>(I131*H131)+(I132*H132)+(I133*H133)+(I134*H134)+(I135*H135)+(I136*H136)+(I137*H137)+(I138*H138)</f>
        <v>0</v>
      </c>
      <c r="J139" s="121">
        <f>SUM(J131:J138)</f>
        <v>0</v>
      </c>
      <c r="K139" s="119"/>
      <c r="L139" s="57"/>
    </row>
    <row r="140" spans="2:12" ht="15.75" customHeight="1" x14ac:dyDescent="0.35">
      <c r="B140" s="195"/>
      <c r="C140" s="11"/>
      <c r="D140" s="26"/>
      <c r="E140" s="26"/>
      <c r="F140" s="170"/>
      <c r="G140" s="26"/>
      <c r="H140" s="26"/>
      <c r="I140" s="26"/>
      <c r="J140" s="26"/>
      <c r="K140" s="11"/>
      <c r="L140" s="4"/>
    </row>
    <row r="141" spans="2:12" ht="51" hidden="1" customHeight="1" x14ac:dyDescent="0.35">
      <c r="B141" s="191" t="s">
        <v>497</v>
      </c>
      <c r="C141" s="291"/>
      <c r="D141" s="291"/>
      <c r="E141" s="291"/>
      <c r="F141" s="291"/>
      <c r="G141" s="291"/>
      <c r="H141" s="291"/>
      <c r="I141" s="291"/>
      <c r="J141" s="291"/>
      <c r="K141" s="291"/>
      <c r="L141" s="18"/>
    </row>
    <row r="142" spans="2:12" ht="51" hidden="1" customHeight="1" x14ac:dyDescent="0.35">
      <c r="B142" s="191" t="s">
        <v>498</v>
      </c>
      <c r="C142" s="291"/>
      <c r="D142" s="291"/>
      <c r="E142" s="291"/>
      <c r="F142" s="291"/>
      <c r="G142" s="291"/>
      <c r="H142" s="291"/>
      <c r="I142" s="291"/>
      <c r="J142" s="292"/>
      <c r="K142" s="291"/>
      <c r="L142" s="54"/>
    </row>
    <row r="143" spans="2:12" ht="15.5" hidden="1" x14ac:dyDescent="0.35">
      <c r="B143" s="192" t="s">
        <v>499</v>
      </c>
      <c r="C143" s="222"/>
      <c r="D143" s="19"/>
      <c r="E143" s="19"/>
      <c r="F143" s="240"/>
      <c r="G143" s="19"/>
      <c r="H143" s="131">
        <f>SUM(D143:G143)</f>
        <v>0</v>
      </c>
      <c r="I143" s="128"/>
      <c r="J143" s="167"/>
      <c r="K143" s="228"/>
      <c r="L143" s="55"/>
    </row>
    <row r="144" spans="2:12" ht="15.5" hidden="1" x14ac:dyDescent="0.35">
      <c r="B144" s="192" t="s">
        <v>500</v>
      </c>
      <c r="C144" s="222"/>
      <c r="D144" s="19"/>
      <c r="E144" s="19"/>
      <c r="F144" s="240"/>
      <c r="G144" s="232"/>
      <c r="H144" s="131">
        <f t="shared" ref="H144:H150" si="12">SUM(D144:G144)</f>
        <v>0</v>
      </c>
      <c r="I144" s="128"/>
      <c r="J144" s="167"/>
      <c r="K144" s="118"/>
      <c r="L144" s="55"/>
    </row>
    <row r="145" spans="2:12" ht="15.5" hidden="1" x14ac:dyDescent="0.35">
      <c r="B145" s="192" t="s">
        <v>501</v>
      </c>
      <c r="C145" s="222"/>
      <c r="D145" s="19"/>
      <c r="E145" s="19"/>
      <c r="F145" s="240"/>
      <c r="G145" s="232"/>
      <c r="H145" s="131">
        <f t="shared" si="12"/>
        <v>0</v>
      </c>
      <c r="I145" s="128"/>
      <c r="J145" s="167"/>
      <c r="K145" s="118"/>
      <c r="L145" s="55"/>
    </row>
    <row r="146" spans="2:12" ht="15.5" hidden="1" x14ac:dyDescent="0.35">
      <c r="B146" s="192" t="s">
        <v>502</v>
      </c>
      <c r="C146" s="222"/>
      <c r="D146" s="19"/>
      <c r="E146" s="19"/>
      <c r="F146" s="240"/>
      <c r="G146" s="232"/>
      <c r="H146" s="131">
        <f t="shared" si="12"/>
        <v>0</v>
      </c>
      <c r="I146" s="128"/>
      <c r="J146" s="167"/>
      <c r="K146" s="118"/>
      <c r="L146" s="55"/>
    </row>
    <row r="147" spans="2:12" ht="15.5" hidden="1" x14ac:dyDescent="0.35">
      <c r="B147" s="192" t="s">
        <v>503</v>
      </c>
      <c r="C147" s="222"/>
      <c r="D147" s="19"/>
      <c r="E147" s="19"/>
      <c r="F147" s="240"/>
      <c r="G147" s="232"/>
      <c r="H147" s="131">
        <f t="shared" si="12"/>
        <v>0</v>
      </c>
      <c r="I147" s="128"/>
      <c r="J147" s="167"/>
      <c r="K147" s="118"/>
      <c r="L147" s="55"/>
    </row>
    <row r="148" spans="2:12" ht="15.5" hidden="1" x14ac:dyDescent="0.35">
      <c r="B148" s="192" t="s">
        <v>504</v>
      </c>
      <c r="C148" s="17"/>
      <c r="D148" s="19"/>
      <c r="E148" s="19"/>
      <c r="F148" s="240"/>
      <c r="G148" s="19"/>
      <c r="H148" s="131">
        <f t="shared" si="12"/>
        <v>0</v>
      </c>
      <c r="I148" s="128"/>
      <c r="J148" s="167"/>
      <c r="K148" s="118"/>
      <c r="L148" s="55"/>
    </row>
    <row r="149" spans="2:12" ht="15.5" hidden="1" x14ac:dyDescent="0.35">
      <c r="B149" s="192" t="s">
        <v>505</v>
      </c>
      <c r="C149" s="50"/>
      <c r="D149" s="20"/>
      <c r="E149" s="20"/>
      <c r="F149" s="240"/>
      <c r="G149" s="20"/>
      <c r="H149" s="131">
        <f t="shared" si="12"/>
        <v>0</v>
      </c>
      <c r="I149" s="129"/>
      <c r="J149" s="168"/>
      <c r="K149" s="119"/>
      <c r="L149" s="55"/>
    </row>
    <row r="150" spans="2:12" ht="15.5" hidden="1" x14ac:dyDescent="0.35">
      <c r="B150" s="192" t="s">
        <v>506</v>
      </c>
      <c r="C150" s="50"/>
      <c r="D150" s="20"/>
      <c r="E150" s="20"/>
      <c r="F150" s="240"/>
      <c r="G150" s="20"/>
      <c r="H150" s="131">
        <f t="shared" si="12"/>
        <v>0</v>
      </c>
      <c r="I150" s="129"/>
      <c r="J150" s="168"/>
      <c r="K150" s="119"/>
      <c r="L150" s="55"/>
    </row>
    <row r="151" spans="2:12" ht="15.5" hidden="1" x14ac:dyDescent="0.35">
      <c r="B151" s="193"/>
      <c r="C151" s="191" t="s">
        <v>538</v>
      </c>
      <c r="D151" s="21">
        <f>SUM(D143:D150)</f>
        <v>0</v>
      </c>
      <c r="E151" s="21">
        <f>SUM(E143:E150)</f>
        <v>0</v>
      </c>
      <c r="F151" s="21">
        <f>SUM(F143:F150)</f>
        <v>0</v>
      </c>
      <c r="G151" s="21">
        <f>SUM(G143:G150)</f>
        <v>0</v>
      </c>
      <c r="H151" s="24">
        <f>SUM(H143:H150)</f>
        <v>0</v>
      </c>
      <c r="I151" s="121">
        <f>(I143*H143)+(I144*H144)+(I145*H145)+(I146*H146)+(I147*H147)+(I148*H148)+(I149*H149)+(I150*H150)</f>
        <v>0</v>
      </c>
      <c r="J151" s="121">
        <f>SUM(J143:J150)</f>
        <v>0</v>
      </c>
      <c r="K151" s="119"/>
      <c r="L151" s="57"/>
    </row>
    <row r="152" spans="2:12" ht="51" hidden="1" customHeight="1" x14ac:dyDescent="0.35">
      <c r="B152" s="191" t="s">
        <v>507</v>
      </c>
      <c r="C152" s="291"/>
      <c r="D152" s="291"/>
      <c r="E152" s="291"/>
      <c r="F152" s="291"/>
      <c r="G152" s="291"/>
      <c r="H152" s="291"/>
      <c r="I152" s="291"/>
      <c r="J152" s="292"/>
      <c r="K152" s="291"/>
      <c r="L152" s="54"/>
    </row>
    <row r="153" spans="2:12" ht="15.5" hidden="1" x14ac:dyDescent="0.35">
      <c r="B153" s="192" t="s">
        <v>508</v>
      </c>
      <c r="C153" s="222"/>
      <c r="D153" s="19"/>
      <c r="E153" s="19"/>
      <c r="F153" s="240"/>
      <c r="G153" s="19"/>
      <c r="H153" s="131">
        <f>SUM(D153:G153)</f>
        <v>0</v>
      </c>
      <c r="I153" s="128"/>
      <c r="J153" s="167"/>
      <c r="K153" s="118"/>
      <c r="L153" s="55"/>
    </row>
    <row r="154" spans="2:12" ht="15.5" hidden="1" x14ac:dyDescent="0.35">
      <c r="B154" s="192" t="s">
        <v>509</v>
      </c>
      <c r="C154" s="222"/>
      <c r="D154" s="19"/>
      <c r="E154" s="19"/>
      <c r="F154" s="240"/>
      <c r="G154" s="19"/>
      <c r="H154" s="131">
        <f t="shared" ref="H154:H160" si="13">SUM(D154:G154)</f>
        <v>0</v>
      </c>
      <c r="I154" s="234">
        <v>0</v>
      </c>
      <c r="J154" s="167"/>
      <c r="K154" s="118"/>
      <c r="L154" s="55"/>
    </row>
    <row r="155" spans="2:12" ht="15.5" hidden="1" x14ac:dyDescent="0.35">
      <c r="B155" s="192" t="s">
        <v>510</v>
      </c>
      <c r="C155" s="17"/>
      <c r="D155" s="19"/>
      <c r="E155" s="19"/>
      <c r="F155" s="240"/>
      <c r="G155" s="19"/>
      <c r="H155" s="131">
        <f t="shared" si="13"/>
        <v>0</v>
      </c>
      <c r="I155" s="128"/>
      <c r="J155" s="167"/>
      <c r="K155" s="118"/>
      <c r="L155" s="55"/>
    </row>
    <row r="156" spans="2:12" ht="15.5" hidden="1" x14ac:dyDescent="0.35">
      <c r="B156" s="192" t="s">
        <v>511</v>
      </c>
      <c r="C156" s="17"/>
      <c r="D156" s="19"/>
      <c r="E156" s="19"/>
      <c r="F156" s="240"/>
      <c r="G156" s="19"/>
      <c r="H156" s="131">
        <f t="shared" si="13"/>
        <v>0</v>
      </c>
      <c r="I156" s="128"/>
      <c r="J156" s="167"/>
      <c r="K156" s="118"/>
      <c r="L156" s="55"/>
    </row>
    <row r="157" spans="2:12" ht="15.5" hidden="1" x14ac:dyDescent="0.35">
      <c r="B157" s="192" t="s">
        <v>512</v>
      </c>
      <c r="C157" s="17"/>
      <c r="D157" s="19"/>
      <c r="E157" s="19"/>
      <c r="F157" s="240"/>
      <c r="G157" s="19"/>
      <c r="H157" s="131">
        <f t="shared" si="13"/>
        <v>0</v>
      </c>
      <c r="I157" s="128"/>
      <c r="J157" s="167"/>
      <c r="K157" s="118"/>
      <c r="L157" s="55"/>
    </row>
    <row r="158" spans="2:12" ht="15.5" hidden="1" x14ac:dyDescent="0.35">
      <c r="B158" s="192" t="s">
        <v>513</v>
      </c>
      <c r="C158" s="17"/>
      <c r="D158" s="19"/>
      <c r="E158" s="19"/>
      <c r="F158" s="240"/>
      <c r="G158" s="19"/>
      <c r="H158" s="131">
        <f t="shared" si="13"/>
        <v>0</v>
      </c>
      <c r="I158" s="128"/>
      <c r="J158" s="167"/>
      <c r="K158" s="118"/>
      <c r="L158" s="55"/>
    </row>
    <row r="159" spans="2:12" ht="15.5" hidden="1" x14ac:dyDescent="0.35">
      <c r="B159" s="192" t="s">
        <v>514</v>
      </c>
      <c r="C159" s="50"/>
      <c r="D159" s="20"/>
      <c r="E159" s="20"/>
      <c r="F159" s="240"/>
      <c r="G159" s="20"/>
      <c r="H159" s="131">
        <f t="shared" si="13"/>
        <v>0</v>
      </c>
      <c r="I159" s="129"/>
      <c r="J159" s="168"/>
      <c r="K159" s="119"/>
      <c r="L159" s="55"/>
    </row>
    <row r="160" spans="2:12" ht="15.5" hidden="1" x14ac:dyDescent="0.35">
      <c r="B160" s="192" t="s">
        <v>515</v>
      </c>
      <c r="C160" s="50"/>
      <c r="D160" s="20"/>
      <c r="E160" s="20"/>
      <c r="F160" s="240"/>
      <c r="G160" s="20"/>
      <c r="H160" s="131">
        <f t="shared" si="13"/>
        <v>0</v>
      </c>
      <c r="I160" s="129"/>
      <c r="J160" s="168"/>
      <c r="K160" s="119"/>
      <c r="L160" s="55"/>
    </row>
    <row r="161" spans="2:12" ht="15.5" hidden="1" x14ac:dyDescent="0.35">
      <c r="B161" s="193"/>
      <c r="C161" s="191" t="s">
        <v>538</v>
      </c>
      <c r="D161" s="24">
        <f>SUM(D153:D160)</f>
        <v>0</v>
      </c>
      <c r="E161" s="24">
        <f>SUM(E153:E160)</f>
        <v>0</v>
      </c>
      <c r="F161" s="24">
        <f>SUM(F153:F160)</f>
        <v>0</v>
      </c>
      <c r="G161" s="24">
        <f>SUM(G153:G160)</f>
        <v>0</v>
      </c>
      <c r="H161" s="24">
        <f>SUM(H153:H160)</f>
        <v>0</v>
      </c>
      <c r="I161" s="121">
        <f>(I153*H153)+(I154*H154)+(I155*H155)+(I156*H156)+(I157*H157)+(I158*H158)+(I159*H159)+(I160*H160)</f>
        <v>0</v>
      </c>
      <c r="J161" s="121">
        <f>SUM(J153:J160)</f>
        <v>0</v>
      </c>
      <c r="K161" s="119"/>
      <c r="L161" s="57"/>
    </row>
    <row r="162" spans="2:12" ht="51" hidden="1" customHeight="1" x14ac:dyDescent="0.35">
      <c r="B162" s="191" t="s">
        <v>516</v>
      </c>
      <c r="C162" s="291"/>
      <c r="D162" s="291"/>
      <c r="E162" s="291"/>
      <c r="F162" s="291"/>
      <c r="G162" s="291"/>
      <c r="H162" s="291"/>
      <c r="I162" s="291"/>
      <c r="J162" s="292"/>
      <c r="K162" s="291"/>
      <c r="L162" s="54"/>
    </row>
    <row r="163" spans="2:12" ht="15.5" hidden="1" x14ac:dyDescent="0.35">
      <c r="B163" s="192" t="s">
        <v>517</v>
      </c>
      <c r="C163" s="222"/>
      <c r="D163" s="19"/>
      <c r="E163" s="19"/>
      <c r="F163" s="240"/>
      <c r="G163" s="19"/>
      <c r="H163" s="131">
        <f>SUM(D163:G163)</f>
        <v>0</v>
      </c>
      <c r="I163" s="128"/>
      <c r="J163" s="167"/>
      <c r="K163" s="118"/>
      <c r="L163" s="55"/>
    </row>
    <row r="164" spans="2:12" ht="15.5" hidden="1" x14ac:dyDescent="0.35">
      <c r="B164" s="192" t="s">
        <v>518</v>
      </c>
      <c r="C164" s="222"/>
      <c r="D164" s="19"/>
      <c r="E164" s="19"/>
      <c r="F164" s="240"/>
      <c r="G164" s="19"/>
      <c r="H164" s="131">
        <f t="shared" ref="H164:H170" si="14">SUM(D164:G164)</f>
        <v>0</v>
      </c>
      <c r="I164" s="128"/>
      <c r="J164" s="167"/>
      <c r="K164" s="118"/>
      <c r="L164" s="55"/>
    </row>
    <row r="165" spans="2:12" ht="15.5" hidden="1" x14ac:dyDescent="0.35">
      <c r="B165" s="192" t="s">
        <v>519</v>
      </c>
      <c r="C165" s="17"/>
      <c r="D165" s="19"/>
      <c r="E165" s="19"/>
      <c r="F165" s="240"/>
      <c r="G165" s="19"/>
      <c r="H165" s="131">
        <f t="shared" si="14"/>
        <v>0</v>
      </c>
      <c r="I165" s="128"/>
      <c r="J165" s="167"/>
      <c r="K165" s="118"/>
      <c r="L165" s="55"/>
    </row>
    <row r="166" spans="2:12" ht="15.5" hidden="1" x14ac:dyDescent="0.35">
      <c r="B166" s="192" t="s">
        <v>520</v>
      </c>
      <c r="C166" s="17"/>
      <c r="D166" s="19"/>
      <c r="E166" s="19"/>
      <c r="F166" s="240"/>
      <c r="G166" s="19"/>
      <c r="H166" s="131">
        <f t="shared" si="14"/>
        <v>0</v>
      </c>
      <c r="I166" s="128"/>
      <c r="J166" s="167"/>
      <c r="K166" s="118"/>
      <c r="L166" s="55"/>
    </row>
    <row r="167" spans="2:12" ht="15.5" hidden="1" x14ac:dyDescent="0.35">
      <c r="B167" s="192" t="s">
        <v>521</v>
      </c>
      <c r="C167" s="17"/>
      <c r="D167" s="19"/>
      <c r="E167" s="19"/>
      <c r="F167" s="240"/>
      <c r="G167" s="19"/>
      <c r="H167" s="131">
        <f t="shared" si="14"/>
        <v>0</v>
      </c>
      <c r="I167" s="128"/>
      <c r="J167" s="167"/>
      <c r="K167" s="118"/>
      <c r="L167" s="55"/>
    </row>
    <row r="168" spans="2:12" ht="15.5" hidden="1" x14ac:dyDescent="0.35">
      <c r="B168" s="192" t="s">
        <v>522</v>
      </c>
      <c r="C168" s="17"/>
      <c r="D168" s="19"/>
      <c r="E168" s="19"/>
      <c r="F168" s="240"/>
      <c r="G168" s="19"/>
      <c r="H168" s="131">
        <f t="shared" si="14"/>
        <v>0</v>
      </c>
      <c r="I168" s="128"/>
      <c r="J168" s="167"/>
      <c r="K168" s="118"/>
      <c r="L168" s="55"/>
    </row>
    <row r="169" spans="2:12" ht="15.5" hidden="1" x14ac:dyDescent="0.35">
      <c r="B169" s="192" t="s">
        <v>523</v>
      </c>
      <c r="C169" s="50"/>
      <c r="D169" s="20"/>
      <c r="E169" s="20"/>
      <c r="F169" s="240"/>
      <c r="G169" s="20"/>
      <c r="H169" s="131">
        <f t="shared" si="14"/>
        <v>0</v>
      </c>
      <c r="I169" s="129"/>
      <c r="J169" s="168"/>
      <c r="K169" s="119"/>
      <c r="L169" s="55"/>
    </row>
    <row r="170" spans="2:12" ht="15.5" hidden="1" x14ac:dyDescent="0.35">
      <c r="B170" s="192" t="s">
        <v>524</v>
      </c>
      <c r="C170" s="50"/>
      <c r="D170" s="20"/>
      <c r="E170" s="20"/>
      <c r="F170" s="240"/>
      <c r="G170" s="20"/>
      <c r="H170" s="131">
        <f t="shared" si="14"/>
        <v>0</v>
      </c>
      <c r="I170" s="129"/>
      <c r="J170" s="168"/>
      <c r="K170" s="119"/>
      <c r="L170" s="55"/>
    </row>
    <row r="171" spans="2:12" ht="15.5" hidden="1" x14ac:dyDescent="0.35">
      <c r="B171" s="193"/>
      <c r="C171" s="191" t="s">
        <v>538</v>
      </c>
      <c r="D171" s="21">
        <f>SUM(D163:D170)</f>
        <v>0</v>
      </c>
      <c r="E171" s="21">
        <f>SUM(E163:E170)</f>
        <v>0</v>
      </c>
      <c r="F171" s="21">
        <f>SUM(F163:F170)</f>
        <v>0</v>
      </c>
      <c r="G171" s="21">
        <f>SUM(G163:G170)</f>
        <v>0</v>
      </c>
      <c r="H171" s="21">
        <f>SUM(H163:H170)</f>
        <v>0</v>
      </c>
      <c r="I171" s="121">
        <f>(I163*H163)+(I164*H164)+(I165*H165)+(I166*H166)+(I167*H167)+(I168*H168)+(I169*H169)+(I170*H170)</f>
        <v>0</v>
      </c>
      <c r="J171" s="121">
        <f>SUM(J163:J170)</f>
        <v>0</v>
      </c>
      <c r="K171" s="119"/>
      <c r="L171" s="57"/>
    </row>
    <row r="172" spans="2:12" ht="51" hidden="1" customHeight="1" x14ac:dyDescent="0.35">
      <c r="B172" s="191" t="s">
        <v>525</v>
      </c>
      <c r="C172" s="293"/>
      <c r="D172" s="293"/>
      <c r="E172" s="293"/>
      <c r="F172" s="293"/>
      <c r="G172" s="293"/>
      <c r="H172" s="293"/>
      <c r="I172" s="293"/>
      <c r="J172" s="294"/>
      <c r="K172" s="293"/>
      <c r="L172" s="54"/>
    </row>
    <row r="173" spans="2:12" ht="15.5" hidden="1" x14ac:dyDescent="0.35">
      <c r="B173" s="192" t="s">
        <v>526</v>
      </c>
      <c r="C173" s="17"/>
      <c r="D173" s="19"/>
      <c r="E173" s="19"/>
      <c r="F173" s="240"/>
      <c r="G173" s="19"/>
      <c r="H173" s="131">
        <f>SUM(D173:G173)</f>
        <v>0</v>
      </c>
      <c r="I173" s="128"/>
      <c r="J173" s="167"/>
      <c r="K173" s="118"/>
      <c r="L173" s="55"/>
    </row>
    <row r="174" spans="2:12" ht="15.5" hidden="1" x14ac:dyDescent="0.35">
      <c r="B174" s="192" t="s">
        <v>527</v>
      </c>
      <c r="C174" s="17"/>
      <c r="D174" s="19"/>
      <c r="E174" s="19"/>
      <c r="F174" s="240"/>
      <c r="G174" s="19"/>
      <c r="H174" s="131">
        <f t="shared" ref="H174:H180" si="15">SUM(D174:G174)</f>
        <v>0</v>
      </c>
      <c r="I174" s="128"/>
      <c r="J174" s="167"/>
      <c r="K174" s="118"/>
      <c r="L174" s="55"/>
    </row>
    <row r="175" spans="2:12" ht="15.5" hidden="1" x14ac:dyDescent="0.35">
      <c r="B175" s="192" t="s">
        <v>528</v>
      </c>
      <c r="C175" s="17"/>
      <c r="D175" s="19"/>
      <c r="E175" s="19"/>
      <c r="F175" s="240"/>
      <c r="G175" s="19"/>
      <c r="H175" s="131">
        <f>SUM(D175:G175)</f>
        <v>0</v>
      </c>
      <c r="I175" s="128"/>
      <c r="J175" s="167"/>
      <c r="K175" s="118"/>
      <c r="L175" s="55"/>
    </row>
    <row r="176" spans="2:12" ht="15.5" hidden="1" x14ac:dyDescent="0.35">
      <c r="B176" s="192" t="s">
        <v>529</v>
      </c>
      <c r="C176" s="17"/>
      <c r="D176" s="19"/>
      <c r="E176" s="19"/>
      <c r="F176" s="240"/>
      <c r="G176" s="19"/>
      <c r="H176" s="131">
        <f t="shared" si="15"/>
        <v>0</v>
      </c>
      <c r="I176" s="128"/>
      <c r="J176" s="167"/>
      <c r="K176" s="118"/>
      <c r="L176" s="55"/>
    </row>
    <row r="177" spans="1:12" ht="15.5" hidden="1" x14ac:dyDescent="0.35">
      <c r="B177" s="192" t="s">
        <v>530</v>
      </c>
      <c r="C177" s="17"/>
      <c r="D177" s="19"/>
      <c r="E177" s="19"/>
      <c r="F177" s="240"/>
      <c r="G177" s="19"/>
      <c r="H177" s="131">
        <f t="shared" si="15"/>
        <v>0</v>
      </c>
      <c r="I177" s="128"/>
      <c r="J177" s="167"/>
      <c r="K177" s="118"/>
      <c r="L177" s="55"/>
    </row>
    <row r="178" spans="1:12" ht="15.5" hidden="1" x14ac:dyDescent="0.35">
      <c r="B178" s="192" t="s">
        <v>531</v>
      </c>
      <c r="C178" s="17"/>
      <c r="D178" s="19"/>
      <c r="E178" s="19"/>
      <c r="F178" s="240"/>
      <c r="G178" s="19"/>
      <c r="H178" s="131">
        <f t="shared" si="15"/>
        <v>0</v>
      </c>
      <c r="I178" s="128"/>
      <c r="J178" s="167"/>
      <c r="K178" s="118"/>
      <c r="L178" s="55"/>
    </row>
    <row r="179" spans="1:12" ht="15.5" hidden="1" x14ac:dyDescent="0.35">
      <c r="B179" s="192" t="s">
        <v>532</v>
      </c>
      <c r="C179" s="50"/>
      <c r="D179" s="20"/>
      <c r="E179" s="20"/>
      <c r="F179" s="240"/>
      <c r="G179" s="20"/>
      <c r="H179" s="131">
        <f t="shared" si="15"/>
        <v>0</v>
      </c>
      <c r="I179" s="129"/>
      <c r="J179" s="168"/>
      <c r="K179" s="119"/>
      <c r="L179" s="55"/>
    </row>
    <row r="180" spans="1:12" ht="15.5" hidden="1" x14ac:dyDescent="0.35">
      <c r="B180" s="192" t="s">
        <v>533</v>
      </c>
      <c r="C180" s="50"/>
      <c r="D180" s="20"/>
      <c r="E180" s="20"/>
      <c r="F180" s="240"/>
      <c r="G180" s="20"/>
      <c r="H180" s="131">
        <f t="shared" si="15"/>
        <v>0</v>
      </c>
      <c r="I180" s="129"/>
      <c r="J180" s="168"/>
      <c r="K180" s="119"/>
      <c r="L180" s="55"/>
    </row>
    <row r="181" spans="1:12" ht="15.5" hidden="1" x14ac:dyDescent="0.35">
      <c r="B181" s="193"/>
      <c r="C181" s="104" t="s">
        <v>373</v>
      </c>
      <c r="D181" s="21">
        <f>SUM(D173:D180)</f>
        <v>0</v>
      </c>
      <c r="E181" s="21">
        <f>SUM(E173:E180)</f>
        <v>0</v>
      </c>
      <c r="F181" s="241">
        <f>SUM(F173:F180)</f>
        <v>0</v>
      </c>
      <c r="G181" s="21">
        <f>SUM(G173:G180)</f>
        <v>0</v>
      </c>
      <c r="H181" s="21">
        <f>SUM(H173:H180)</f>
        <v>0</v>
      </c>
      <c r="I181" s="121">
        <f>(I173*H173)+(I174*H174)+(I175*H175)+(I176*H176)+(I177*H177)+(I178*H178)+(I179*H179)+(I180*H180)</f>
        <v>0</v>
      </c>
      <c r="J181" s="121">
        <f>SUM(J173:J180)</f>
        <v>0</v>
      </c>
      <c r="K181" s="119"/>
      <c r="L181" s="57"/>
    </row>
    <row r="182" spans="1:12" ht="15.75" hidden="1" customHeight="1" x14ac:dyDescent="0.35">
      <c r="B182" s="195"/>
      <c r="C182" s="11"/>
      <c r="D182" s="26"/>
      <c r="E182" s="26"/>
      <c r="F182" s="170"/>
      <c r="G182" s="26"/>
      <c r="H182" s="26"/>
      <c r="I182" s="26"/>
      <c r="J182" s="26"/>
      <c r="K182" s="11"/>
      <c r="L182" s="4"/>
    </row>
    <row r="183" spans="1:12" ht="15.75" hidden="1" customHeight="1" x14ac:dyDescent="0.35">
      <c r="B183" s="195"/>
      <c r="C183" s="11"/>
      <c r="D183" s="26"/>
      <c r="E183" s="26"/>
      <c r="F183" s="170"/>
      <c r="G183" s="26"/>
      <c r="H183" s="26"/>
      <c r="I183" s="26"/>
      <c r="J183" s="26"/>
      <c r="K183" s="11"/>
      <c r="L183" s="4"/>
    </row>
    <row r="184" spans="1:12" ht="114" customHeight="1" x14ac:dyDescent="0.35">
      <c r="A184" s="42"/>
      <c r="B184" s="191" t="s">
        <v>534</v>
      </c>
      <c r="C184" s="225"/>
      <c r="D184" s="33">
        <v>156909</v>
      </c>
      <c r="E184" s="33"/>
      <c r="F184" s="245"/>
      <c r="G184" s="272">
        <v>25576</v>
      </c>
      <c r="H184" s="122">
        <f>SUM(D184:G184)</f>
        <v>182485</v>
      </c>
      <c r="I184" s="130"/>
      <c r="J184" s="277">
        <f>(215763.65)+0+0+(25576+0+0+0-12277.77)</f>
        <v>229061.88</v>
      </c>
      <c r="K184" s="282" t="s">
        <v>622</v>
      </c>
      <c r="L184" s="57"/>
    </row>
    <row r="185" spans="1:12" ht="69.75" customHeight="1" x14ac:dyDescent="0.35">
      <c r="A185" s="42"/>
      <c r="B185" s="191" t="s">
        <v>535</v>
      </c>
      <c r="C185" s="225"/>
      <c r="D185" s="33">
        <v>74000</v>
      </c>
      <c r="E185" s="33"/>
      <c r="F185" s="245"/>
      <c r="G185" s="233">
        <v>35000</v>
      </c>
      <c r="H185" s="122">
        <f>SUM(D185:G185)</f>
        <v>109000</v>
      </c>
      <c r="I185" s="130"/>
      <c r="J185" s="275">
        <f>(85600)+0+0+(20000+0+0+0+42687.2)</f>
        <v>148287.20000000001</v>
      </c>
      <c r="K185" s="282" t="s">
        <v>623</v>
      </c>
      <c r="L185" s="57"/>
    </row>
    <row r="186" spans="1:12" ht="70.5" customHeight="1" x14ac:dyDescent="0.35">
      <c r="A186" s="42"/>
      <c r="B186" s="191" t="s">
        <v>536</v>
      </c>
      <c r="C186" s="125"/>
      <c r="D186" s="33">
        <v>87000</v>
      </c>
      <c r="E186" s="33">
        <v>24840</v>
      </c>
      <c r="F186" s="245">
        <v>28538</v>
      </c>
      <c r="G186" s="233">
        <v>20000</v>
      </c>
      <c r="H186" s="122">
        <f>SUM(D186:G186)</f>
        <v>160378</v>
      </c>
      <c r="I186" s="130"/>
      <c r="J186" s="275">
        <f>(104651.01)+(10685.13+2355.57+2767.51+3431.42)+(50000+5000)+(28838+0+0+0-11441.32)</f>
        <v>196287.31999999998</v>
      </c>
      <c r="K186" s="282" t="s">
        <v>624</v>
      </c>
      <c r="L186" s="57"/>
    </row>
    <row r="187" spans="1:12" ht="65.25" customHeight="1" x14ac:dyDescent="0.35">
      <c r="B187" s="196" t="s">
        <v>537</v>
      </c>
      <c r="C187" s="230"/>
      <c r="D187" s="33">
        <v>21000</v>
      </c>
      <c r="E187" s="33">
        <v>5600</v>
      </c>
      <c r="F187" s="245">
        <v>6462</v>
      </c>
      <c r="G187" s="233">
        <v>7200</v>
      </c>
      <c r="H187" s="122">
        <f>SUM(D187:G187)</f>
        <v>40262</v>
      </c>
      <c r="I187" s="130"/>
      <c r="J187" s="275">
        <f>(0+0+0+22470)+(0+0+0+0)+(0+0+0+0)+(0+0+0+1311.93)</f>
        <v>23781.93</v>
      </c>
      <c r="K187" s="282" t="s">
        <v>625</v>
      </c>
      <c r="L187" s="57"/>
    </row>
    <row r="188" spans="1:12" ht="38.25" customHeight="1" x14ac:dyDescent="0.35">
      <c r="B188" s="7"/>
      <c r="C188" s="126" t="s">
        <v>539</v>
      </c>
      <c r="D188" s="132">
        <f>SUM(D184:D187)</f>
        <v>338909</v>
      </c>
      <c r="E188" s="132">
        <f>SUM(E184:E187)</f>
        <v>30440</v>
      </c>
      <c r="F188" s="108">
        <f>SUM(F184:F187)</f>
        <v>35000</v>
      </c>
      <c r="G188" s="132">
        <f>SUM(G184:G187)</f>
        <v>87776</v>
      </c>
      <c r="H188" s="132">
        <f>SUM(H184:H187)</f>
        <v>492125</v>
      </c>
      <c r="I188" s="121">
        <f>(I184*H184)+(I185*H185)+(I186*H186)+(I187*H187)</f>
        <v>0</v>
      </c>
      <c r="J188" s="121">
        <f>SUM(J184:J187)</f>
        <v>597418.33000000007</v>
      </c>
      <c r="K188" s="16"/>
      <c r="L188" s="14"/>
    </row>
    <row r="189" spans="1:12" ht="15.75" customHeight="1" x14ac:dyDescent="0.35">
      <c r="B189" s="7"/>
      <c r="C189" s="11"/>
      <c r="D189" s="26"/>
      <c r="E189" s="26"/>
      <c r="F189" s="170"/>
      <c r="G189" s="26"/>
      <c r="H189" s="26"/>
      <c r="I189" s="26"/>
      <c r="J189" s="26"/>
      <c r="K189" s="11"/>
      <c r="L189" s="14"/>
    </row>
    <row r="190" spans="1:12" ht="15.75" customHeight="1" x14ac:dyDescent="0.35">
      <c r="B190" s="7"/>
      <c r="C190" s="11"/>
      <c r="D190" s="26"/>
      <c r="E190" s="26"/>
      <c r="F190" s="170"/>
      <c r="G190" s="26"/>
      <c r="H190" s="26"/>
      <c r="I190" s="26"/>
      <c r="J190" s="26"/>
      <c r="K190" s="11"/>
      <c r="L190" s="14"/>
    </row>
    <row r="191" spans="1:12" ht="15.75" customHeight="1" x14ac:dyDescent="0.35">
      <c r="B191" s="7"/>
      <c r="C191" s="11"/>
      <c r="D191" s="26"/>
      <c r="E191" s="26"/>
      <c r="F191" s="170"/>
      <c r="G191" s="26"/>
      <c r="H191" s="26"/>
      <c r="I191" s="26"/>
      <c r="J191" s="26"/>
      <c r="K191" s="11"/>
      <c r="L191" s="14"/>
    </row>
    <row r="192" spans="1:12" ht="15.75" customHeight="1" x14ac:dyDescent="0.35">
      <c r="B192" s="7"/>
      <c r="C192" s="11"/>
      <c r="D192" s="26"/>
      <c r="E192" s="26"/>
      <c r="F192" s="170"/>
      <c r="G192" s="26"/>
      <c r="H192" s="26"/>
      <c r="I192" s="26"/>
      <c r="J192" s="26"/>
      <c r="K192" s="11"/>
      <c r="L192" s="14"/>
    </row>
    <row r="193" spans="2:12" ht="15.75" customHeight="1" x14ac:dyDescent="0.35">
      <c r="B193" s="7"/>
      <c r="C193" s="11"/>
      <c r="D193" s="26"/>
      <c r="E193" s="26"/>
      <c r="F193" s="170"/>
      <c r="G193" s="26"/>
      <c r="H193" s="26"/>
      <c r="I193" s="26"/>
      <c r="J193" s="26"/>
      <c r="K193" s="11"/>
      <c r="L193" s="14"/>
    </row>
    <row r="194" spans="2:12" ht="15.75" customHeight="1" x14ac:dyDescent="0.35">
      <c r="B194" s="7"/>
      <c r="C194" s="11"/>
      <c r="D194" s="26"/>
      <c r="E194" s="26"/>
      <c r="F194" s="170"/>
      <c r="G194" s="26"/>
      <c r="H194" s="26"/>
      <c r="I194" s="26"/>
      <c r="J194" s="26"/>
      <c r="K194" s="11"/>
      <c r="L194" s="14"/>
    </row>
    <row r="195" spans="2:12" ht="15.75" customHeight="1" thickBot="1" x14ac:dyDescent="0.4">
      <c r="B195" s="7"/>
      <c r="C195" s="11"/>
      <c r="D195" s="26"/>
      <c r="E195" s="26"/>
      <c r="F195" s="170"/>
      <c r="G195" s="26"/>
      <c r="H195" s="26"/>
      <c r="I195" s="26"/>
      <c r="J195" s="26"/>
      <c r="K195" s="11"/>
      <c r="L195" s="14"/>
    </row>
    <row r="196" spans="2:12" ht="15.5" x14ac:dyDescent="0.35">
      <c r="B196" s="7"/>
      <c r="C196" s="322" t="s">
        <v>13</v>
      </c>
      <c r="D196" s="323"/>
      <c r="E196" s="323"/>
      <c r="F196" s="323"/>
      <c r="G196" s="323"/>
      <c r="H196" s="324"/>
      <c r="I196" s="14"/>
      <c r="J196" s="169"/>
      <c r="K196" s="14"/>
    </row>
    <row r="197" spans="2:12" ht="40.5" customHeight="1" x14ac:dyDescent="0.35">
      <c r="B197" s="7"/>
      <c r="C197" s="312"/>
      <c r="D197" s="121" t="s">
        <v>576</v>
      </c>
      <c r="E197" s="121" t="s">
        <v>577</v>
      </c>
      <c r="F197" s="121" t="s">
        <v>578</v>
      </c>
      <c r="G197" s="121" t="s">
        <v>579</v>
      </c>
      <c r="H197" s="314" t="s">
        <v>13</v>
      </c>
      <c r="I197" s="11"/>
      <c r="J197" s="26"/>
      <c r="K197" s="14"/>
    </row>
    <row r="198" spans="2:12" ht="24.75" customHeight="1" x14ac:dyDescent="0.35">
      <c r="B198" s="7"/>
      <c r="C198" s="313"/>
      <c r="D198" s="114" t="str">
        <f>D13</f>
        <v>UNDP</v>
      </c>
      <c r="E198" s="114" t="str">
        <f>E13</f>
        <v>IOM</v>
      </c>
      <c r="F198" s="114" t="str">
        <f>F13</f>
        <v>UNFPA</v>
      </c>
      <c r="G198" s="114" t="str">
        <f>G13</f>
        <v>UN Women</v>
      </c>
      <c r="H198" s="315"/>
      <c r="I198" s="11"/>
      <c r="J198" s="26"/>
      <c r="K198" s="14"/>
    </row>
    <row r="199" spans="2:12" ht="41.25" customHeight="1" x14ac:dyDescent="0.35">
      <c r="B199" s="27"/>
      <c r="C199" s="197" t="s">
        <v>540</v>
      </c>
      <c r="D199" s="105">
        <f>SUM(D24,D35,D45,D55,D67,D77,D87,D97,D109,D119,D129,D139,D151,D161,D171,D181,D184,D185,D186,D187)</f>
        <v>1939404</v>
      </c>
      <c r="E199" s="105">
        <f>SUM(E24,E35,E45,E55,E67,E77,E87,E97,E109,E119,E129,E139,E151,E161,E171,E181,E184,E185,E186,E187)</f>
        <v>538067.28999999992</v>
      </c>
      <c r="F199" s="105">
        <f>SUM(F24,F35,F45,F55,F67,F77,F87,F97,F109,F119,F129,F139,F151,F161,F171,F181,F184,F185,F186,F187)</f>
        <v>627597.19999999995</v>
      </c>
      <c r="G199" s="105">
        <f>SUM(G24,G35,G45,G55,G67,G77,G87,G97,G109,G119,G129,G139,G151,G161,G171,G181,G184,G185,G186,G187)</f>
        <v>633248.80000000005</v>
      </c>
      <c r="H199" s="123">
        <f>SUM(D199:G199)</f>
        <v>3738317.29</v>
      </c>
      <c r="I199" s="11"/>
      <c r="J199" s="26"/>
      <c r="K199" s="15"/>
    </row>
    <row r="200" spans="2:12" ht="51.75" customHeight="1" x14ac:dyDescent="0.35">
      <c r="B200" s="5"/>
      <c r="C200" s="197" t="s">
        <v>541</v>
      </c>
      <c r="D200" s="105">
        <f>D199*0.07</f>
        <v>135758.28</v>
      </c>
      <c r="E200" s="105">
        <f>E199*0.07</f>
        <v>37664.710299999999</v>
      </c>
      <c r="F200" s="105">
        <f>F199*0.07</f>
        <v>43931.804000000004</v>
      </c>
      <c r="G200" s="105">
        <f>G199*0.07</f>
        <v>44327.416000000005</v>
      </c>
      <c r="H200" s="123">
        <f>H199*0.07</f>
        <v>261682.21030000004</v>
      </c>
      <c r="I200" s="5"/>
      <c r="J200" s="170"/>
      <c r="K200" s="2"/>
    </row>
    <row r="201" spans="2:12" ht="51.75" customHeight="1" thickBot="1" x14ac:dyDescent="0.4">
      <c r="B201" s="5"/>
      <c r="C201" s="9" t="s">
        <v>13</v>
      </c>
      <c r="D201" s="110">
        <f>SUM(D199:D200)</f>
        <v>2075162.28</v>
      </c>
      <c r="E201" s="110">
        <f>SUM(E199:E200)</f>
        <v>575732.00029999996</v>
      </c>
      <c r="F201" s="110">
        <f>SUM(F199:F200)</f>
        <v>671529.00399999996</v>
      </c>
      <c r="G201" s="110">
        <f>SUM(G199:G200)</f>
        <v>677576.21600000001</v>
      </c>
      <c r="H201" s="124">
        <f>SUM(H199:H200)</f>
        <v>3999999.5003</v>
      </c>
      <c r="I201" s="5"/>
      <c r="J201" s="170"/>
      <c r="K201" s="2"/>
    </row>
    <row r="202" spans="2:12" ht="42" customHeight="1" x14ac:dyDescent="0.35">
      <c r="B202" s="5"/>
      <c r="K202" s="4"/>
      <c r="L202" s="2"/>
    </row>
    <row r="203" spans="2:12" s="41" customFormat="1" ht="29.25" customHeight="1" thickBot="1" x14ac:dyDescent="0.4">
      <c r="B203" s="11"/>
      <c r="C203" s="35"/>
      <c r="D203" s="36"/>
      <c r="E203" s="36"/>
      <c r="F203" s="8"/>
      <c r="G203" s="36"/>
      <c r="H203" s="36"/>
      <c r="I203" s="36"/>
      <c r="J203" s="172"/>
      <c r="K203" s="14"/>
      <c r="L203" s="15"/>
    </row>
    <row r="204" spans="2:12" ht="23.25" customHeight="1" x14ac:dyDescent="0.35">
      <c r="B204" s="2"/>
      <c r="C204" s="306" t="s">
        <v>8</v>
      </c>
      <c r="D204" s="307"/>
      <c r="E204" s="308"/>
      <c r="F204" s="308"/>
      <c r="G204" s="308"/>
      <c r="H204" s="308"/>
      <c r="I204" s="309"/>
      <c r="J204" s="173"/>
      <c r="K204" s="2"/>
      <c r="L204" s="42"/>
    </row>
    <row r="205" spans="2:12" ht="41.25" customHeight="1" x14ac:dyDescent="0.35">
      <c r="B205" s="2"/>
      <c r="C205" s="106"/>
      <c r="D205" s="121" t="s">
        <v>576</v>
      </c>
      <c r="E205" s="121" t="s">
        <v>577</v>
      </c>
      <c r="F205" s="121" t="s">
        <v>578</v>
      </c>
      <c r="G205" s="121" t="s">
        <v>579</v>
      </c>
      <c r="H205" s="316" t="s">
        <v>13</v>
      </c>
      <c r="I205" s="318" t="s">
        <v>10</v>
      </c>
      <c r="J205" s="173"/>
      <c r="K205" s="2"/>
      <c r="L205" s="42"/>
    </row>
    <row r="206" spans="2:12" ht="27.75" customHeight="1" x14ac:dyDescent="0.35">
      <c r="B206" s="2"/>
      <c r="C206" s="106"/>
      <c r="D206" s="107" t="str">
        <f>D13</f>
        <v>UNDP</v>
      </c>
      <c r="E206" s="107" t="str">
        <f>E13</f>
        <v>IOM</v>
      </c>
      <c r="F206" s="107" t="str">
        <f>F13</f>
        <v>UNFPA</v>
      </c>
      <c r="G206" s="107" t="str">
        <f>G13</f>
        <v>UN Women</v>
      </c>
      <c r="H206" s="317"/>
      <c r="I206" s="319"/>
      <c r="J206" s="173"/>
      <c r="K206" s="2"/>
      <c r="L206" s="42"/>
    </row>
    <row r="207" spans="2:12" ht="55.5" customHeight="1" x14ac:dyDescent="0.35">
      <c r="B207" s="2"/>
      <c r="C207" s="30" t="s">
        <v>9</v>
      </c>
      <c r="D207" s="108">
        <f>$D$201*I207</f>
        <v>1452613.5959999999</v>
      </c>
      <c r="E207" s="109">
        <f>$E$201*I207</f>
        <v>403012.40020999993</v>
      </c>
      <c r="F207" s="109">
        <f>$F$201*I207</f>
        <v>470070.30279999995</v>
      </c>
      <c r="G207" s="109">
        <f>$G$201*I207</f>
        <v>474303.35119999998</v>
      </c>
      <c r="H207" s="109">
        <f>SUM(D207:G207)</f>
        <v>2799999.6502099996</v>
      </c>
      <c r="I207" s="140">
        <v>0.7</v>
      </c>
      <c r="J207" s="169"/>
      <c r="K207" s="2"/>
      <c r="L207" s="42"/>
    </row>
    <row r="208" spans="2:12" ht="57.75" customHeight="1" x14ac:dyDescent="0.35">
      <c r="B208" s="305"/>
      <c r="C208" s="198" t="s">
        <v>11</v>
      </c>
      <c r="D208" s="108">
        <f>$D$201*I208</f>
        <v>622548.68400000001</v>
      </c>
      <c r="E208" s="109">
        <f>$E$201*I208</f>
        <v>172719.60008999999</v>
      </c>
      <c r="F208" s="109">
        <f>$F$201*I208</f>
        <v>201458.70119999998</v>
      </c>
      <c r="G208" s="109">
        <f>$G$201*I208</f>
        <v>203272.86480000001</v>
      </c>
      <c r="H208" s="127">
        <f>SUM(D208:G208)</f>
        <v>1199999.8500900001</v>
      </c>
      <c r="I208" s="141">
        <v>0.3</v>
      </c>
      <c r="J208" s="169"/>
      <c r="K208" s="42"/>
      <c r="L208" s="42"/>
    </row>
    <row r="209" spans="1:12" ht="57.75" customHeight="1" x14ac:dyDescent="0.35">
      <c r="B209" s="305"/>
      <c r="C209" s="198" t="s">
        <v>542</v>
      </c>
      <c r="D209" s="108">
        <f>$D$201*I209</f>
        <v>0</v>
      </c>
      <c r="E209" s="109">
        <f>$E$201*I209</f>
        <v>0</v>
      </c>
      <c r="F209" s="109">
        <f>$F$201*I209</f>
        <v>0</v>
      </c>
      <c r="G209" s="109">
        <f>$G$201*I209</f>
        <v>0</v>
      </c>
      <c r="H209" s="127">
        <f>SUM(D209:G209)</f>
        <v>0</v>
      </c>
      <c r="I209" s="142">
        <v>0</v>
      </c>
      <c r="J209" s="174"/>
      <c r="K209" s="42"/>
      <c r="L209" s="42"/>
    </row>
    <row r="210" spans="1:12" ht="38.25" customHeight="1" thickBot="1" x14ac:dyDescent="0.4">
      <c r="B210" s="305"/>
      <c r="C210" s="9" t="s">
        <v>543</v>
      </c>
      <c r="D210" s="110">
        <f>SUM(D207:D209)</f>
        <v>2075162.2799999998</v>
      </c>
      <c r="E210" s="110">
        <f>SUM(E207:E209)</f>
        <v>575732.00029999996</v>
      </c>
      <c r="F210" s="110">
        <f>SUM(F207:F209)</f>
        <v>671529.00399999996</v>
      </c>
      <c r="G210" s="110">
        <f>SUM(G207:G209)</f>
        <v>677576.21600000001</v>
      </c>
      <c r="H210" s="110">
        <f>SUM(H207:H209)</f>
        <v>3999999.5002999995</v>
      </c>
      <c r="I210" s="111">
        <f t="shared" ref="I210" si="16">SUM(I207:I209)</f>
        <v>1</v>
      </c>
      <c r="J210" s="175"/>
      <c r="K210" s="42"/>
      <c r="L210" s="42"/>
    </row>
    <row r="211" spans="1:12" ht="21.75" customHeight="1" thickBot="1" x14ac:dyDescent="0.4">
      <c r="B211" s="305"/>
      <c r="C211" s="3"/>
      <c r="D211" s="8"/>
      <c r="E211" s="8"/>
      <c r="F211" s="8"/>
      <c r="G211" s="8"/>
      <c r="H211" s="8"/>
      <c r="I211" s="8"/>
      <c r="J211" s="176"/>
      <c r="K211" s="42"/>
      <c r="L211" s="42"/>
    </row>
    <row r="212" spans="1:12" ht="49.5" customHeight="1" x14ac:dyDescent="0.35">
      <c r="B212" s="305"/>
      <c r="C212" s="199" t="s">
        <v>544</v>
      </c>
      <c r="D212" s="112">
        <f>SUM(I24,I35,I45,I55,I67,I77,I87,I97,I109,I119,I129,I139,I151,I161,I171,I181,I188)*1.07</f>
        <v>1982500.8631500001</v>
      </c>
      <c r="E212" s="36"/>
      <c r="F212" s="8"/>
      <c r="G212" s="36"/>
      <c r="H212" s="36"/>
      <c r="I212" s="181" t="s">
        <v>549</v>
      </c>
      <c r="J212" s="182">
        <f>SUM(J188,J181,J171,J161,J151,J139,J129,J119,J109,J97,J87,J77,J67,J55,J45,J35,J24)</f>
        <v>3537652.1100000003</v>
      </c>
      <c r="K212" s="42"/>
      <c r="L212" s="42"/>
    </row>
    <row r="213" spans="1:12" ht="28.5" customHeight="1" thickBot="1" x14ac:dyDescent="0.4">
      <c r="B213" s="305"/>
      <c r="C213" s="200" t="s">
        <v>545</v>
      </c>
      <c r="D213" s="165">
        <f>D212/H201</f>
        <v>0.49562527770348785</v>
      </c>
      <c r="E213" s="47"/>
      <c r="F213" s="246"/>
      <c r="G213" s="47"/>
      <c r="H213" s="47"/>
      <c r="I213" s="201" t="s">
        <v>550</v>
      </c>
      <c r="J213" s="183">
        <f>J212/H199</f>
        <v>0.94632205764428312</v>
      </c>
      <c r="K213" s="42"/>
      <c r="L213" s="42"/>
    </row>
    <row r="214" spans="1:12" ht="28.5" customHeight="1" x14ac:dyDescent="0.35">
      <c r="B214" s="305"/>
      <c r="C214" s="320"/>
      <c r="D214" s="321"/>
      <c r="E214" s="48"/>
      <c r="F214" s="247"/>
      <c r="G214" s="48"/>
      <c r="H214" s="48"/>
      <c r="K214" s="42"/>
      <c r="L214" s="42"/>
    </row>
    <row r="215" spans="1:12" ht="28.5" customHeight="1" x14ac:dyDescent="0.35">
      <c r="B215" s="305"/>
      <c r="C215" s="200" t="s">
        <v>546</v>
      </c>
      <c r="D215" s="113">
        <f>SUM(D186:G187)*1.07</f>
        <v>214684.80000000002</v>
      </c>
      <c r="E215" s="49"/>
      <c r="F215" s="248"/>
      <c r="G215" s="49"/>
      <c r="H215" s="49"/>
      <c r="K215" s="42"/>
      <c r="L215" s="42"/>
    </row>
    <row r="216" spans="1:12" ht="23.25" customHeight="1" x14ac:dyDescent="0.35">
      <c r="B216" s="305"/>
      <c r="C216" s="200" t="s">
        <v>547</v>
      </c>
      <c r="D216" s="165">
        <f>D215/H201</f>
        <v>5.3671206704875504E-2</v>
      </c>
      <c r="E216" s="49"/>
      <c r="F216" s="248"/>
      <c r="G216" s="49"/>
      <c r="H216" s="49"/>
      <c r="K216" s="42"/>
      <c r="L216" s="42"/>
    </row>
    <row r="217" spans="1:12" ht="66.75" customHeight="1" thickBot="1" x14ac:dyDescent="0.4">
      <c r="B217" s="305"/>
      <c r="C217" s="310" t="s">
        <v>548</v>
      </c>
      <c r="D217" s="311"/>
      <c r="E217" s="37"/>
      <c r="F217" s="249"/>
      <c r="G217" s="37"/>
      <c r="H217" s="37"/>
      <c r="I217" s="42"/>
      <c r="J217" s="177"/>
      <c r="K217" s="42"/>
      <c r="L217" s="42"/>
    </row>
    <row r="218" spans="1:12" ht="55.5" customHeight="1" x14ac:dyDescent="0.35">
      <c r="B218" s="305"/>
      <c r="L218" s="41"/>
    </row>
    <row r="219" spans="1:12" ht="42.75" customHeight="1" x14ac:dyDescent="0.35">
      <c r="B219" s="305"/>
      <c r="K219" s="42"/>
    </row>
    <row r="220" spans="1:12" ht="21.75" customHeight="1" x14ac:dyDescent="0.35">
      <c r="B220" s="305"/>
      <c r="K220" s="42"/>
    </row>
    <row r="221" spans="1:12" ht="21.75" customHeight="1" x14ac:dyDescent="0.35">
      <c r="A221" s="42"/>
      <c r="B221" s="305"/>
    </row>
    <row r="222" spans="1:12" s="42" customFormat="1" ht="23.25" customHeight="1" x14ac:dyDescent="0.35">
      <c r="A222" s="40"/>
      <c r="B222" s="305"/>
      <c r="C222" s="40"/>
      <c r="D222" s="40"/>
      <c r="E222" s="40"/>
      <c r="G222" s="40"/>
      <c r="H222" s="40"/>
      <c r="I222" s="40"/>
      <c r="J222" s="171"/>
      <c r="K222" s="40"/>
      <c r="L222" s="40"/>
    </row>
    <row r="223" spans="1:12" ht="23.25" customHeight="1" x14ac:dyDescent="0.35"/>
    <row r="224" spans="1:12" ht="21.75" customHeight="1" x14ac:dyDescent="0.35"/>
    <row r="225" ht="16.5" customHeight="1" x14ac:dyDescent="0.35"/>
    <row r="226" ht="29.25" customHeight="1" x14ac:dyDescent="0.35"/>
    <row r="227" ht="24.75" customHeight="1" x14ac:dyDescent="0.35"/>
    <row r="228" ht="33" customHeight="1" x14ac:dyDescent="0.35"/>
    <row r="230" ht="15" customHeight="1" x14ac:dyDescent="0.35"/>
    <row r="231" ht="25.5" customHeight="1" x14ac:dyDescent="0.35"/>
    <row r="282" spans="1:1" x14ac:dyDescent="0.35">
      <c r="A282" s="40" t="s">
        <v>376</v>
      </c>
    </row>
  </sheetData>
  <sheetProtection sheet="1" formatCells="0" formatColumns="0" formatRows="0"/>
  <mergeCells count="32">
    <mergeCell ref="C162:K162"/>
    <mergeCell ref="C172:K172"/>
    <mergeCell ref="B208:B222"/>
    <mergeCell ref="C204:I204"/>
    <mergeCell ref="C217:D217"/>
    <mergeCell ref="C197:C198"/>
    <mergeCell ref="H197:H198"/>
    <mergeCell ref="H205:H206"/>
    <mergeCell ref="I205:I206"/>
    <mergeCell ref="C214:D214"/>
    <mergeCell ref="C196:H196"/>
    <mergeCell ref="B2:E2"/>
    <mergeCell ref="B9:I9"/>
    <mergeCell ref="C25:K25"/>
    <mergeCell ref="C15:K15"/>
    <mergeCell ref="C36:K36"/>
    <mergeCell ref="C46:K46"/>
    <mergeCell ref="C14:K14"/>
    <mergeCell ref="C57:K57"/>
    <mergeCell ref="C58:K58"/>
    <mergeCell ref="B6:N6"/>
    <mergeCell ref="C68:K68"/>
    <mergeCell ref="C78:K78"/>
    <mergeCell ref="C88:K88"/>
    <mergeCell ref="C99:K99"/>
    <mergeCell ref="C100:K100"/>
    <mergeCell ref="C110:K110"/>
    <mergeCell ref="C120:K120"/>
    <mergeCell ref="C141:K141"/>
    <mergeCell ref="C130:K130"/>
    <mergeCell ref="C152:K152"/>
    <mergeCell ref="C142:K142"/>
  </mergeCells>
  <phoneticPr fontId="35" type="noConversion"/>
  <conditionalFormatting sqref="D213">
    <cfRule type="cellIs" dxfId="26" priority="46" operator="lessThan">
      <formula>0.15</formula>
    </cfRule>
  </conditionalFormatting>
  <conditionalFormatting sqref="D216">
    <cfRule type="cellIs" dxfId="25" priority="44" operator="lessThan">
      <formula>0.05</formula>
    </cfRule>
  </conditionalFormatting>
  <conditionalFormatting sqref="I210:J210">
    <cfRule type="cellIs" dxfId="24" priority="1" operator="greaterThan">
      <formula>1</formula>
    </cfRule>
  </conditionalFormatting>
  <dataValidations xWindow="431" yWindow="475" count="7">
    <dataValidation allowBlank="1" showInputMessage="1" showErrorMessage="1" prompt="% Towards Gender Equality and Women's Empowerment Must be Higher than 15%_x000a_" sqref="D213:H213" xr:uid="{00000000-0002-0000-0000-000000000000}"/>
    <dataValidation allowBlank="1" showInputMessage="1" showErrorMessage="1" prompt="M&amp;E Budget Cannot be Less than 5%_x000a_" sqref="D216:H216" xr:uid="{00000000-0002-0000-0000-000001000000}"/>
    <dataValidation allowBlank="1" showInputMessage="1" showErrorMessage="1" prompt="Insert *text* description of Outcome here" sqref="C141:K141 C14:K14 C57:K57 C99:K99" xr:uid="{00000000-0002-0000-0000-000002000000}"/>
    <dataValidation allowBlank="1" showInputMessage="1" showErrorMessage="1" prompt="Insert *text* description of Output here" sqref="C15 C25 C36 C46 C58 C68 C78 C88 C172 C100 C162 C130 C142 C152 C120" xr:uid="{00000000-0002-0000-0000-000003000000}"/>
    <dataValidation allowBlank="1" showInputMessage="1" showErrorMessage="1" prompt="Insert *text* description of Activity here" sqref="C16 C26 C37 C47 C173 C69 C79 C89 C59 C101 C111 C131 C143 C153 C163 C121" xr:uid="{00000000-0002-0000-0000-000004000000}"/>
    <dataValidation allowBlank="1" showInputMessage="1" showErrorMessage="1" prompt="Insert name of recipient agency here _x000a_" sqref="D13:H13" xr:uid="{00000000-0002-0000-0000-000005000000}"/>
    <dataValidation allowBlank="1" showErrorMessage="1" prompt="% Towards Gender Equality and Women's Empowerment Must be Higher than 15%_x000a_" sqref="D215:H215" xr:uid="{00000000-0002-0000-0000-000006000000}"/>
  </dataValidations>
  <pageMargins left="0.7" right="0.7" top="0.75" bottom="0.75" header="0.3" footer="0.3"/>
  <pageSetup scale="74" orientation="landscape" r:id="rId1"/>
  <rowBreaks count="1" manualBreakCount="1">
    <brk id="6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1:O254"/>
  <sheetViews>
    <sheetView showGridLines="0" showZeros="0" zoomScale="90" zoomScaleNormal="90" workbookViewId="0">
      <selection activeCell="E19" sqref="E19"/>
    </sheetView>
  </sheetViews>
  <sheetFormatPr defaultColWidth="9.1796875" defaultRowHeight="15.5" x14ac:dyDescent="0.35"/>
  <cols>
    <col min="1" max="1" width="4.453125" style="59" customWidth="1"/>
    <col min="2" max="2" width="3.453125" style="59" customWidth="1"/>
    <col min="3" max="3" width="51.453125" style="59" customWidth="1"/>
    <col min="4" max="4" width="34.453125" style="60" customWidth="1"/>
    <col min="5" max="5" width="35" style="60" customWidth="1"/>
    <col min="6" max="7" width="34" style="60" customWidth="1"/>
    <col min="8" max="8" width="25.453125" style="59" customWidth="1"/>
    <col min="9" max="9" width="21.453125" style="59" customWidth="1"/>
    <col min="10" max="10" width="16.81640625" style="59" customWidth="1"/>
    <col min="11" max="11" width="19.453125" style="59" customWidth="1"/>
    <col min="12" max="12" width="19" style="59" customWidth="1"/>
    <col min="13" max="13" width="26" style="59" customWidth="1"/>
    <col min="14" max="14" width="21.1796875" style="59" customWidth="1"/>
    <col min="15" max="15" width="7" style="62" customWidth="1"/>
    <col min="16" max="16" width="24.453125" style="59" customWidth="1"/>
    <col min="17" max="17" width="26.453125" style="59" customWidth="1"/>
    <col min="18" max="18" width="30.1796875" style="59" customWidth="1"/>
    <col min="19" max="19" width="33" style="59" customWidth="1"/>
    <col min="20" max="21" width="22.453125" style="59" customWidth="1"/>
    <col min="22" max="22" width="23.453125" style="59" customWidth="1"/>
    <col min="23" max="23" width="32.1796875" style="59" customWidth="1"/>
    <col min="24" max="24" width="9.1796875" style="59"/>
    <col min="25" max="25" width="17.453125" style="59" customWidth="1"/>
    <col min="26" max="26" width="26.453125" style="59" customWidth="1"/>
    <col min="27" max="27" width="22.453125" style="59" customWidth="1"/>
    <col min="28" max="28" width="29.453125" style="59" customWidth="1"/>
    <col min="29" max="29" width="23.453125" style="59" customWidth="1"/>
    <col min="30" max="30" width="18.453125" style="59" customWidth="1"/>
    <col min="31" max="31" width="17.453125" style="59" customWidth="1"/>
    <col min="32" max="32" width="25.1796875" style="59" customWidth="1"/>
    <col min="33" max="16384" width="9.1796875" style="59"/>
  </cols>
  <sheetData>
    <row r="1" spans="2:15" ht="24" customHeight="1" x14ac:dyDescent="0.35">
      <c r="M1" s="23"/>
      <c r="N1" s="6"/>
      <c r="O1" s="59"/>
    </row>
    <row r="2" spans="2:15" ht="46.5" customHeight="1" x14ac:dyDescent="1">
      <c r="C2" s="301" t="s">
        <v>385</v>
      </c>
      <c r="D2" s="301"/>
      <c r="E2" s="301"/>
      <c r="F2" s="301"/>
      <c r="G2" s="184"/>
      <c r="H2" s="38"/>
      <c r="I2" s="39"/>
      <c r="J2" s="39"/>
      <c r="M2" s="23"/>
      <c r="N2" s="6"/>
      <c r="O2" s="59"/>
    </row>
    <row r="3" spans="2:15" ht="24" customHeight="1" x14ac:dyDescent="0.35">
      <c r="C3" s="43"/>
      <c r="D3" s="40"/>
      <c r="E3" s="40"/>
      <c r="F3" s="40"/>
      <c r="G3" s="40"/>
      <c r="H3" s="40"/>
      <c r="I3" s="40"/>
      <c r="J3" s="40"/>
      <c r="M3" s="23"/>
      <c r="N3" s="6"/>
      <c r="O3" s="59"/>
    </row>
    <row r="4" spans="2:15" ht="24" customHeight="1" thickBot="1" x14ac:dyDescent="0.4">
      <c r="C4" s="43"/>
      <c r="D4" s="40"/>
      <c r="E4" s="40"/>
      <c r="F4" s="40"/>
      <c r="G4" s="40"/>
      <c r="H4" s="40"/>
      <c r="I4" s="40"/>
      <c r="J4" s="40"/>
      <c r="M4" s="23"/>
      <c r="N4" s="6"/>
      <c r="O4" s="59"/>
    </row>
    <row r="5" spans="2:15" ht="30" customHeight="1" x14ac:dyDescent="0.8">
      <c r="C5" s="330" t="s">
        <v>5</v>
      </c>
      <c r="D5" s="331"/>
      <c r="E5" s="331"/>
      <c r="F5" s="331"/>
      <c r="G5" s="331"/>
      <c r="H5" s="332"/>
      <c r="K5" s="23"/>
      <c r="L5" s="6"/>
      <c r="O5" s="59"/>
    </row>
    <row r="6" spans="2:15" ht="24" customHeight="1" x14ac:dyDescent="0.35">
      <c r="C6" s="338" t="s">
        <v>551</v>
      </c>
      <c r="D6" s="339"/>
      <c r="E6" s="339"/>
      <c r="F6" s="339"/>
      <c r="G6" s="339"/>
      <c r="H6" s="340"/>
      <c r="K6" s="23"/>
      <c r="L6" s="6"/>
      <c r="O6" s="59"/>
    </row>
    <row r="7" spans="2:15" ht="41.25" customHeight="1" x14ac:dyDescent="0.35">
      <c r="C7" s="338"/>
      <c r="D7" s="339"/>
      <c r="E7" s="339"/>
      <c r="F7" s="339"/>
      <c r="G7" s="339"/>
      <c r="H7" s="340"/>
      <c r="K7" s="23"/>
      <c r="L7" s="6"/>
      <c r="O7" s="59"/>
    </row>
    <row r="8" spans="2:15" ht="24" customHeight="1" thickBot="1" x14ac:dyDescent="0.4">
      <c r="C8" s="341"/>
      <c r="D8" s="342"/>
      <c r="E8" s="342"/>
      <c r="F8" s="342"/>
      <c r="G8" s="342"/>
      <c r="H8" s="343"/>
      <c r="K8" s="23"/>
      <c r="L8" s="6"/>
      <c r="O8" s="59"/>
    </row>
    <row r="9" spans="2:15" ht="24" customHeight="1" thickBot="1" x14ac:dyDescent="0.4">
      <c r="C9" s="53"/>
      <c r="D9" s="53"/>
      <c r="E9" s="53"/>
      <c r="F9" s="53"/>
      <c r="G9" s="53"/>
      <c r="M9" s="23"/>
      <c r="N9" s="6"/>
      <c r="O9" s="59"/>
    </row>
    <row r="10" spans="2:15" ht="25.5" customHeight="1" thickBot="1" x14ac:dyDescent="0.65">
      <c r="C10" s="302" t="s">
        <v>575</v>
      </c>
      <c r="D10" s="303"/>
      <c r="E10" s="303"/>
      <c r="F10" s="304"/>
      <c r="G10" s="188"/>
      <c r="M10" s="23"/>
      <c r="N10" s="6"/>
      <c r="O10" s="59"/>
    </row>
    <row r="11" spans="2:15" ht="24" customHeight="1" x14ac:dyDescent="0.35">
      <c r="C11" s="53"/>
      <c r="D11" s="53"/>
      <c r="E11" s="53"/>
      <c r="F11" s="53"/>
      <c r="G11" s="53"/>
      <c r="M11" s="23"/>
      <c r="N11" s="6"/>
      <c r="O11" s="59"/>
    </row>
    <row r="12" spans="2:15" ht="40.5" customHeight="1" x14ac:dyDescent="0.35">
      <c r="C12" s="53"/>
      <c r="D12" s="202" t="s">
        <v>576</v>
      </c>
      <c r="E12" s="202" t="s">
        <v>577</v>
      </c>
      <c r="F12" s="202" t="s">
        <v>578</v>
      </c>
      <c r="G12" s="202" t="s">
        <v>579</v>
      </c>
      <c r="H12" s="328" t="s">
        <v>13</v>
      </c>
      <c r="M12" s="23"/>
      <c r="N12" s="6"/>
      <c r="O12" s="59"/>
    </row>
    <row r="13" spans="2:15" ht="24" customHeight="1" x14ac:dyDescent="0.35">
      <c r="C13" s="53"/>
      <c r="D13" s="114" t="str">
        <f>'1) Budget Table'!D13</f>
        <v>UNDP</v>
      </c>
      <c r="E13" s="114" t="str">
        <f>'1) Budget Table'!E13</f>
        <v>IOM</v>
      </c>
      <c r="F13" s="114" t="str">
        <f>'1) Budget Table'!F13</f>
        <v>UNFPA</v>
      </c>
      <c r="G13" s="114" t="str">
        <f>'1) Budget Table'!G13</f>
        <v>UN Women</v>
      </c>
      <c r="H13" s="329"/>
      <c r="M13" s="23"/>
      <c r="N13" s="6"/>
      <c r="O13" s="59"/>
    </row>
    <row r="14" spans="2:15" ht="24" customHeight="1" x14ac:dyDescent="0.35">
      <c r="B14" s="325" t="s">
        <v>552</v>
      </c>
      <c r="C14" s="326"/>
      <c r="D14" s="326"/>
      <c r="E14" s="326"/>
      <c r="F14" s="326"/>
      <c r="G14" s="326"/>
      <c r="H14" s="327"/>
      <c r="M14" s="23"/>
      <c r="N14" s="6"/>
      <c r="O14" s="59"/>
    </row>
    <row r="15" spans="2:15" ht="22.5" customHeight="1" x14ac:dyDescent="0.35">
      <c r="C15" s="325" t="s">
        <v>553</v>
      </c>
      <c r="D15" s="326"/>
      <c r="E15" s="326"/>
      <c r="F15" s="326"/>
      <c r="G15" s="326"/>
      <c r="H15" s="327"/>
      <c r="M15" s="23"/>
      <c r="N15" s="6"/>
      <c r="O15" s="59"/>
    </row>
    <row r="16" spans="2:15" ht="24.75" customHeight="1" thickBot="1" x14ac:dyDescent="0.4">
      <c r="C16" s="68" t="s">
        <v>554</v>
      </c>
      <c r="D16" s="69">
        <f>'1) Budget Table'!D24</f>
        <v>0</v>
      </c>
      <c r="E16" s="69">
        <f>'1) Budget Table'!E24</f>
        <v>0</v>
      </c>
      <c r="F16" s="69">
        <f>'1) Budget Table'!F24</f>
        <v>120000</v>
      </c>
      <c r="G16" s="69">
        <f>'1) Budget Table'!G24</f>
        <v>210000</v>
      </c>
      <c r="H16" s="70">
        <f t="shared" ref="H16:H24" si="0">SUM(D16:G16)</f>
        <v>330000</v>
      </c>
      <c r="M16" s="23"/>
      <c r="N16" s="6"/>
      <c r="O16" s="59"/>
    </row>
    <row r="17" spans="3:15" ht="21.75" customHeight="1" x14ac:dyDescent="0.35">
      <c r="C17" s="203" t="s">
        <v>0</v>
      </c>
      <c r="D17" s="101">
        <v>0</v>
      </c>
      <c r="E17" s="102">
        <v>0</v>
      </c>
      <c r="F17" s="102">
        <v>0</v>
      </c>
      <c r="G17" s="261">
        <v>0</v>
      </c>
      <c r="H17" s="67">
        <f t="shared" si="0"/>
        <v>0</v>
      </c>
      <c r="O17" s="59"/>
    </row>
    <row r="18" spans="3:15" x14ac:dyDescent="0.35">
      <c r="C18" s="204" t="s">
        <v>1</v>
      </c>
      <c r="D18" s="101">
        <v>0</v>
      </c>
      <c r="E18" s="102">
        <v>0</v>
      </c>
      <c r="F18" s="226">
        <v>5000</v>
      </c>
      <c r="G18" s="262">
        <v>10000</v>
      </c>
      <c r="H18" s="67">
        <f t="shared" si="0"/>
        <v>15000</v>
      </c>
      <c r="O18" s="59"/>
    </row>
    <row r="19" spans="3:15" ht="31" x14ac:dyDescent="0.35">
      <c r="C19" s="204" t="s">
        <v>2</v>
      </c>
      <c r="D19" s="101">
        <v>0</v>
      </c>
      <c r="E19" s="102">
        <v>0</v>
      </c>
      <c r="F19" s="102">
        <v>0</v>
      </c>
      <c r="G19" s="263">
        <v>10000</v>
      </c>
      <c r="H19" s="67">
        <f t="shared" si="0"/>
        <v>10000</v>
      </c>
      <c r="O19" s="59"/>
    </row>
    <row r="20" spans="3:15" x14ac:dyDescent="0.35">
      <c r="C20" s="58" t="s">
        <v>3</v>
      </c>
      <c r="D20" s="101">
        <v>0</v>
      </c>
      <c r="E20" s="102">
        <v>0</v>
      </c>
      <c r="F20" s="227">
        <v>25000</v>
      </c>
      <c r="G20" s="263">
        <v>10000</v>
      </c>
      <c r="H20" s="67">
        <f t="shared" si="0"/>
        <v>35000</v>
      </c>
      <c r="O20" s="59"/>
    </row>
    <row r="21" spans="3:15" x14ac:dyDescent="0.35">
      <c r="C21" s="204" t="s">
        <v>6</v>
      </c>
      <c r="D21" s="101">
        <v>0</v>
      </c>
      <c r="E21" s="102">
        <v>0</v>
      </c>
      <c r="F21" s="227">
        <v>25000</v>
      </c>
      <c r="G21" s="263">
        <v>20000</v>
      </c>
      <c r="H21" s="67">
        <f t="shared" si="0"/>
        <v>45000</v>
      </c>
      <c r="O21" s="59"/>
    </row>
    <row r="22" spans="3:15" ht="21.75" customHeight="1" x14ac:dyDescent="0.35">
      <c r="C22" s="204" t="s">
        <v>4</v>
      </c>
      <c r="D22" s="101">
        <v>0</v>
      </c>
      <c r="E22" s="102">
        <v>0</v>
      </c>
      <c r="F22" s="227">
        <v>50000</v>
      </c>
      <c r="G22" s="263">
        <v>150000</v>
      </c>
      <c r="H22" s="67">
        <f t="shared" si="0"/>
        <v>200000</v>
      </c>
      <c r="O22" s="59"/>
    </row>
    <row r="23" spans="3:15" ht="36.75" customHeight="1" x14ac:dyDescent="0.35">
      <c r="C23" s="204" t="s">
        <v>20</v>
      </c>
      <c r="D23" s="101">
        <v>0</v>
      </c>
      <c r="E23" s="102">
        <v>0</v>
      </c>
      <c r="F23" s="227">
        <v>15000</v>
      </c>
      <c r="G23" s="263">
        <v>10000</v>
      </c>
      <c r="H23" s="67">
        <f t="shared" si="0"/>
        <v>25000</v>
      </c>
      <c r="O23" s="59"/>
    </row>
    <row r="24" spans="3:15" ht="15.75" customHeight="1" x14ac:dyDescent="0.35">
      <c r="C24" s="61" t="s">
        <v>21</v>
      </c>
      <c r="D24" s="71">
        <f>SUM(D17:D23)</f>
        <v>0</v>
      </c>
      <c r="E24" s="71">
        <f>SUM(E17:E23)</f>
        <v>0</v>
      </c>
      <c r="F24" s="71">
        <f>SUM(F17:F23)</f>
        <v>120000</v>
      </c>
      <c r="G24" s="71">
        <f>SUM(G17:G23)</f>
        <v>210000</v>
      </c>
      <c r="H24" s="67">
        <f t="shared" si="0"/>
        <v>330000</v>
      </c>
      <c r="O24" s="59"/>
    </row>
    <row r="25" spans="3:15" s="60" customFormat="1" x14ac:dyDescent="0.35">
      <c r="C25" s="72"/>
      <c r="D25" s="73"/>
      <c r="E25" s="73"/>
      <c r="F25" s="73"/>
      <c r="G25" s="73"/>
      <c r="H25" s="133"/>
    </row>
    <row r="26" spans="3:15" x14ac:dyDescent="0.35">
      <c r="C26" s="325" t="s">
        <v>555</v>
      </c>
      <c r="D26" s="326"/>
      <c r="E26" s="326"/>
      <c r="F26" s="326"/>
      <c r="G26" s="326"/>
      <c r="H26" s="327"/>
      <c r="O26" s="59"/>
    </row>
    <row r="27" spans="3:15" ht="27" customHeight="1" thickBot="1" x14ac:dyDescent="0.4">
      <c r="C27" s="68" t="s">
        <v>554</v>
      </c>
      <c r="D27" s="69">
        <f>'1) Budget Table'!D35</f>
        <v>821554</v>
      </c>
      <c r="E27" s="69">
        <f>'1) Budget Table'!E35</f>
        <v>339500.3</v>
      </c>
      <c r="F27" s="69">
        <f>'1) Budget Table'!F35</f>
        <v>155000</v>
      </c>
      <c r="G27" s="69">
        <f>'1) Budget Table'!G35</f>
        <v>110000</v>
      </c>
      <c r="H27" s="70">
        <f>SUM(D27:G27)</f>
        <v>1426054.3</v>
      </c>
      <c r="O27" s="59"/>
    </row>
    <row r="28" spans="3:15" ht="16" thickBot="1" x14ac:dyDescent="0.4">
      <c r="C28" s="203" t="s">
        <v>0</v>
      </c>
      <c r="D28" s="101">
        <v>202626</v>
      </c>
      <c r="E28" s="268">
        <f>26746.88+49795.28</f>
        <v>76542.16</v>
      </c>
      <c r="F28" s="250">
        <v>20000</v>
      </c>
      <c r="G28" s="235">
        <v>0</v>
      </c>
      <c r="H28" s="70">
        <f>SUM(D28:G28)</f>
        <v>299168.16000000003</v>
      </c>
      <c r="O28" s="59"/>
    </row>
    <row r="29" spans="3:15" ht="16" thickBot="1" x14ac:dyDescent="0.4">
      <c r="C29" s="204" t="s">
        <v>1</v>
      </c>
      <c r="D29" s="231">
        <v>253000</v>
      </c>
      <c r="E29" s="269">
        <f>1716.82+11716.83+0.01</f>
        <v>13433.66</v>
      </c>
      <c r="F29" s="251">
        <v>10000</v>
      </c>
      <c r="G29" s="236">
        <v>20000</v>
      </c>
      <c r="H29" s="70">
        <f>SUM(D29:G29)</f>
        <v>296433.65999999997</v>
      </c>
      <c r="O29" s="59"/>
    </row>
    <row r="30" spans="3:15" ht="31.5" thickBot="1" x14ac:dyDescent="0.4">
      <c r="C30" s="204" t="s">
        <v>2</v>
      </c>
      <c r="D30" s="101">
        <v>16428</v>
      </c>
      <c r="E30" s="270">
        <f>370.25+689.3</f>
        <v>1059.55</v>
      </c>
      <c r="F30" s="252">
        <v>10000</v>
      </c>
      <c r="G30" s="237">
        <v>0</v>
      </c>
      <c r="H30" s="70">
        <f>SUM(D30:G30)</f>
        <v>27487.55</v>
      </c>
      <c r="O30" s="59"/>
    </row>
    <row r="31" spans="3:15" ht="16" thickBot="1" x14ac:dyDescent="0.4">
      <c r="C31" s="58" t="s">
        <v>3</v>
      </c>
      <c r="D31" s="101">
        <v>90000</v>
      </c>
      <c r="E31" s="270">
        <v>0</v>
      </c>
      <c r="F31" s="252">
        <v>30000</v>
      </c>
      <c r="G31" s="237"/>
      <c r="H31" s="70">
        <f>SUM(D31:G31)</f>
        <v>120000</v>
      </c>
      <c r="O31" s="59"/>
    </row>
    <row r="32" spans="3:15" ht="16" thickBot="1" x14ac:dyDescent="0.4">
      <c r="C32" s="204" t="s">
        <v>6</v>
      </c>
      <c r="D32" s="101">
        <v>5000</v>
      </c>
      <c r="E32" s="270">
        <f>41036.05+16852.29</f>
        <v>57888.340000000004</v>
      </c>
      <c r="F32" s="252">
        <v>25000</v>
      </c>
      <c r="G32" s="237">
        <v>30000</v>
      </c>
      <c r="H32" s="70">
        <f t="shared" ref="H32" si="1">SUM(D32:G32)</f>
        <v>117888.34</v>
      </c>
      <c r="O32" s="59"/>
    </row>
    <row r="33" spans="3:15" ht="16" thickBot="1" x14ac:dyDescent="0.4">
      <c r="C33" s="204" t="s">
        <v>4</v>
      </c>
      <c r="D33" s="101">
        <v>230000</v>
      </c>
      <c r="E33" s="270">
        <v>0</v>
      </c>
      <c r="F33" s="252">
        <v>50000</v>
      </c>
      <c r="G33" s="237">
        <v>50000</v>
      </c>
      <c r="H33" s="70">
        <f>SUM(D33:G33)</f>
        <v>330000</v>
      </c>
      <c r="O33" s="59"/>
    </row>
    <row r="34" spans="3:15" ht="16" thickBot="1" x14ac:dyDescent="0.4">
      <c r="C34" s="204" t="s">
        <v>20</v>
      </c>
      <c r="D34" s="101">
        <v>24500</v>
      </c>
      <c r="E34" s="270">
        <f>48764.93+141811.66</f>
        <v>190576.59</v>
      </c>
      <c r="F34" s="252">
        <v>10000</v>
      </c>
      <c r="G34" s="237">
        <v>10000</v>
      </c>
      <c r="H34" s="70">
        <f>SUM(D34:G34)</f>
        <v>235076.59</v>
      </c>
      <c r="O34" s="59"/>
    </row>
    <row r="35" spans="3:15" ht="16" thickBot="1" x14ac:dyDescent="0.4">
      <c r="C35" s="61" t="s">
        <v>21</v>
      </c>
      <c r="D35" s="71">
        <f>SUM(D28:D34)</f>
        <v>821554</v>
      </c>
      <c r="E35" s="71">
        <f>SUM(E28:E34)</f>
        <v>339500.30000000005</v>
      </c>
      <c r="F35" s="71">
        <f>SUM(F28:F34)</f>
        <v>155000</v>
      </c>
      <c r="G35" s="71">
        <f>SUM(G28:G34)</f>
        <v>110000</v>
      </c>
      <c r="H35" s="70">
        <f>SUM(D35:G35)</f>
        <v>1426054.3</v>
      </c>
      <c r="O35" s="59"/>
    </row>
    <row r="36" spans="3:15" s="60" customFormat="1" hidden="1" x14ac:dyDescent="0.35">
      <c r="C36" s="72"/>
      <c r="D36" s="73"/>
      <c r="E36" s="73"/>
      <c r="F36" s="73"/>
      <c r="G36" s="73"/>
      <c r="H36" s="74"/>
    </row>
    <row r="37" spans="3:15" hidden="1" x14ac:dyDescent="0.35">
      <c r="C37" s="325" t="s">
        <v>556</v>
      </c>
      <c r="D37" s="326"/>
      <c r="E37" s="326"/>
      <c r="F37" s="326"/>
      <c r="G37" s="326"/>
      <c r="H37" s="327"/>
      <c r="O37" s="59"/>
    </row>
    <row r="38" spans="3:15" ht="21.75" hidden="1" customHeight="1" thickBot="1" x14ac:dyDescent="0.4">
      <c r="C38" s="68" t="s">
        <v>554</v>
      </c>
      <c r="D38" s="69">
        <f>'1) Budget Table'!D45</f>
        <v>0</v>
      </c>
      <c r="E38" s="69">
        <f>'1) Budget Table'!E45</f>
        <v>0</v>
      </c>
      <c r="F38" s="69">
        <f>'1) Budget Table'!F45</f>
        <v>0</v>
      </c>
      <c r="G38" s="69">
        <f>'1) Budget Table'!G45</f>
        <v>0</v>
      </c>
      <c r="H38" s="70">
        <f>SUM(D38:G38)</f>
        <v>0</v>
      </c>
      <c r="O38" s="59"/>
    </row>
    <row r="39" spans="3:15" ht="16" hidden="1" thickBot="1" x14ac:dyDescent="0.4">
      <c r="C39" s="203" t="s">
        <v>0</v>
      </c>
      <c r="D39" s="101"/>
      <c r="E39" s="102"/>
      <c r="F39" s="102"/>
      <c r="G39" s="102"/>
      <c r="H39" s="70">
        <f>SUM(D39:G39)</f>
        <v>0</v>
      </c>
      <c r="O39" s="59"/>
    </row>
    <row r="40" spans="3:15" s="60" customFormat="1" ht="15.75" hidden="1" customHeight="1" thickBot="1" x14ac:dyDescent="0.4">
      <c r="C40" s="204" t="s">
        <v>1</v>
      </c>
      <c r="D40" s="103"/>
      <c r="E40" s="20"/>
      <c r="F40" s="20"/>
      <c r="G40" s="20"/>
      <c r="H40" s="70">
        <f>SUM(D40:G40)</f>
        <v>0</v>
      </c>
    </row>
    <row r="41" spans="3:15" s="60" customFormat="1" ht="31.5" hidden="1" thickBot="1" x14ac:dyDescent="0.4">
      <c r="C41" s="204" t="s">
        <v>2</v>
      </c>
      <c r="D41" s="103"/>
      <c r="E41" s="103"/>
      <c r="F41" s="103"/>
      <c r="G41" s="103"/>
      <c r="H41" s="70">
        <f>SUM(D41:G41)</f>
        <v>0</v>
      </c>
    </row>
    <row r="42" spans="3:15" s="60" customFormat="1" ht="16" hidden="1" thickBot="1" x14ac:dyDescent="0.4">
      <c r="C42" s="58" t="s">
        <v>3</v>
      </c>
      <c r="D42" s="103">
        <v>0</v>
      </c>
      <c r="E42" s="103"/>
      <c r="F42" s="103"/>
      <c r="G42" s="103"/>
      <c r="H42" s="70">
        <f>SUM(D42:G42)</f>
        <v>0</v>
      </c>
    </row>
    <row r="43" spans="3:15" ht="16" hidden="1" thickBot="1" x14ac:dyDescent="0.4">
      <c r="C43" s="204" t="s">
        <v>6</v>
      </c>
      <c r="D43" s="103">
        <v>0</v>
      </c>
      <c r="E43" s="103"/>
      <c r="F43" s="103"/>
      <c r="G43" s="103"/>
      <c r="H43" s="70">
        <f t="shared" ref="H43:H46" si="2">SUM(D43:G43)</f>
        <v>0</v>
      </c>
      <c r="O43" s="59"/>
    </row>
    <row r="44" spans="3:15" ht="16" hidden="1" thickBot="1" x14ac:dyDescent="0.4">
      <c r="C44" s="204" t="s">
        <v>4</v>
      </c>
      <c r="D44" s="103"/>
      <c r="E44" s="103"/>
      <c r="F44" s="103"/>
      <c r="G44" s="103"/>
      <c r="H44" s="70">
        <f t="shared" si="2"/>
        <v>0</v>
      </c>
      <c r="O44" s="59"/>
    </row>
    <row r="45" spans="3:15" ht="16" hidden="1" thickBot="1" x14ac:dyDescent="0.4">
      <c r="C45" s="204" t="s">
        <v>20</v>
      </c>
      <c r="D45" s="103"/>
      <c r="E45" s="103"/>
      <c r="F45" s="103"/>
      <c r="G45" s="103"/>
      <c r="H45" s="70">
        <f t="shared" si="2"/>
        <v>0</v>
      </c>
      <c r="O45" s="59"/>
    </row>
    <row r="46" spans="3:15" ht="16" hidden="1" thickBot="1" x14ac:dyDescent="0.4">
      <c r="C46" s="144" t="s">
        <v>21</v>
      </c>
      <c r="D46" s="145">
        <f>SUM(D39:D45)</f>
        <v>0</v>
      </c>
      <c r="E46" s="145">
        <f>SUM(E39:E45)</f>
        <v>0</v>
      </c>
      <c r="F46" s="145">
        <f>SUM(F39:F45)</f>
        <v>0</v>
      </c>
      <c r="G46" s="145">
        <f>SUM(G39:G45)</f>
        <v>0</v>
      </c>
      <c r="H46" s="70">
        <f t="shared" si="2"/>
        <v>0</v>
      </c>
      <c r="O46" s="59"/>
    </row>
    <row r="47" spans="3:15" hidden="1" x14ac:dyDescent="0.35">
      <c r="C47" s="146"/>
      <c r="D47" s="147"/>
      <c r="E47" s="147"/>
      <c r="F47" s="147"/>
      <c r="G47" s="147"/>
      <c r="H47" s="148"/>
      <c r="O47" s="59"/>
    </row>
    <row r="48" spans="3:15" s="60" customFormat="1" hidden="1" x14ac:dyDescent="0.35">
      <c r="C48" s="333" t="s">
        <v>557</v>
      </c>
      <c r="D48" s="334"/>
      <c r="E48" s="334"/>
      <c r="F48" s="334"/>
      <c r="G48" s="334"/>
      <c r="H48" s="335"/>
    </row>
    <row r="49" spans="2:15" ht="20.25" hidden="1" customHeight="1" thickBot="1" x14ac:dyDescent="0.4">
      <c r="C49" s="68" t="s">
        <v>554</v>
      </c>
      <c r="D49" s="69">
        <f>'1) Budget Table'!D55</f>
        <v>0</v>
      </c>
      <c r="E49" s="69">
        <f>'1) Budget Table'!E55</f>
        <v>0</v>
      </c>
      <c r="F49" s="69">
        <f>'1) Budget Table'!F55</f>
        <v>0</v>
      </c>
      <c r="G49" s="69">
        <f>'1) Budget Table'!G55</f>
        <v>0</v>
      </c>
      <c r="H49" s="70">
        <f>SUM(D49:G49)</f>
        <v>0</v>
      </c>
      <c r="O49" s="59"/>
    </row>
    <row r="50" spans="2:15" ht="16" hidden="1" thickBot="1" x14ac:dyDescent="0.4">
      <c r="C50" s="203" t="s">
        <v>0</v>
      </c>
      <c r="D50" s="101"/>
      <c r="E50" s="102"/>
      <c r="F50" s="102"/>
      <c r="G50" s="102"/>
      <c r="H50" s="70">
        <f t="shared" ref="H50:H57" si="3">SUM(D50:G50)</f>
        <v>0</v>
      </c>
      <c r="O50" s="59"/>
    </row>
    <row r="51" spans="2:15" ht="15.75" hidden="1" customHeight="1" thickBot="1" x14ac:dyDescent="0.4">
      <c r="C51" s="204" t="s">
        <v>1</v>
      </c>
      <c r="D51" s="103"/>
      <c r="E51" s="20"/>
      <c r="F51" s="20"/>
      <c r="G51" s="20"/>
      <c r="H51" s="70">
        <f t="shared" si="3"/>
        <v>0</v>
      </c>
      <c r="O51" s="59"/>
    </row>
    <row r="52" spans="2:15" ht="32.25" hidden="1" customHeight="1" thickBot="1" x14ac:dyDescent="0.4">
      <c r="C52" s="204" t="s">
        <v>2</v>
      </c>
      <c r="D52" s="103"/>
      <c r="E52" s="103"/>
      <c r="F52" s="103"/>
      <c r="G52" s="103"/>
      <c r="H52" s="70">
        <f t="shared" si="3"/>
        <v>0</v>
      </c>
      <c r="O52" s="59"/>
    </row>
    <row r="53" spans="2:15" s="60" customFormat="1" ht="16" hidden="1" thickBot="1" x14ac:dyDescent="0.4">
      <c r="C53" s="58" t="s">
        <v>3</v>
      </c>
      <c r="D53" s="103"/>
      <c r="E53" s="103"/>
      <c r="F53" s="103"/>
      <c r="G53" s="103"/>
      <c r="H53" s="70">
        <f t="shared" si="3"/>
        <v>0</v>
      </c>
    </row>
    <row r="54" spans="2:15" ht="16" hidden="1" thickBot="1" x14ac:dyDescent="0.4">
      <c r="C54" s="204" t="s">
        <v>6</v>
      </c>
      <c r="D54" s="103"/>
      <c r="E54" s="103"/>
      <c r="F54" s="103"/>
      <c r="G54" s="103"/>
      <c r="H54" s="70">
        <f t="shared" si="3"/>
        <v>0</v>
      </c>
      <c r="O54" s="59"/>
    </row>
    <row r="55" spans="2:15" ht="16" hidden="1" thickBot="1" x14ac:dyDescent="0.4">
      <c r="C55" s="204" t="s">
        <v>4</v>
      </c>
      <c r="D55" s="103"/>
      <c r="E55" s="103"/>
      <c r="F55" s="103"/>
      <c r="G55" s="103"/>
      <c r="H55" s="70">
        <f t="shared" si="3"/>
        <v>0</v>
      </c>
      <c r="O55" s="59"/>
    </row>
    <row r="56" spans="2:15" ht="16" hidden="1" thickBot="1" x14ac:dyDescent="0.4">
      <c r="C56" s="204" t="s">
        <v>20</v>
      </c>
      <c r="D56" s="103"/>
      <c r="E56" s="103"/>
      <c r="F56" s="103"/>
      <c r="G56" s="103"/>
      <c r="H56" s="70">
        <f t="shared" si="3"/>
        <v>0</v>
      </c>
      <c r="O56" s="59"/>
    </row>
    <row r="57" spans="2:15" ht="21" hidden="1" customHeight="1" thickBot="1" x14ac:dyDescent="0.4">
      <c r="C57" s="61" t="s">
        <v>21</v>
      </c>
      <c r="D57" s="71">
        <f>SUM(D50:D56)</f>
        <v>0</v>
      </c>
      <c r="E57" s="71">
        <f>SUM(E50:E56)</f>
        <v>0</v>
      </c>
      <c r="F57" s="71">
        <f>SUM(F50:F56)</f>
        <v>0</v>
      </c>
      <c r="G57" s="71">
        <f>SUM(G50:G56)</f>
        <v>0</v>
      </c>
      <c r="H57" s="70">
        <f t="shared" si="3"/>
        <v>0</v>
      </c>
      <c r="O57" s="59"/>
    </row>
    <row r="58" spans="2:15" s="60" customFormat="1" ht="22.5" customHeight="1" x14ac:dyDescent="0.35">
      <c r="C58" s="75"/>
      <c r="D58" s="73"/>
      <c r="E58" s="73"/>
      <c r="F58" s="73"/>
      <c r="G58" s="73"/>
      <c r="H58" s="74"/>
    </row>
    <row r="59" spans="2:15" x14ac:dyDescent="0.35">
      <c r="B59" s="325" t="s">
        <v>558</v>
      </c>
      <c r="C59" s="326"/>
      <c r="D59" s="326"/>
      <c r="E59" s="326"/>
      <c r="F59" s="326"/>
      <c r="G59" s="326"/>
      <c r="H59" s="327"/>
      <c r="O59" s="59"/>
    </row>
    <row r="60" spans="2:15" x14ac:dyDescent="0.35">
      <c r="C60" s="325" t="s">
        <v>559</v>
      </c>
      <c r="D60" s="326"/>
      <c r="E60" s="326"/>
      <c r="F60" s="326"/>
      <c r="G60" s="326"/>
      <c r="H60" s="327"/>
      <c r="O60" s="59"/>
    </row>
    <row r="61" spans="2:15" ht="24" customHeight="1" thickBot="1" x14ac:dyDescent="0.4">
      <c r="C61" s="68" t="s">
        <v>554</v>
      </c>
      <c r="D61" s="69">
        <f>'1) Budget Table'!D67</f>
        <v>96048</v>
      </c>
      <c r="E61" s="69">
        <f>'1) Budget Table'!E67</f>
        <v>0</v>
      </c>
      <c r="F61" s="69">
        <f>'1) Budget Table'!F67</f>
        <v>51000</v>
      </c>
      <c r="G61" s="69">
        <f>'1) Budget Table'!G67</f>
        <v>73902.8</v>
      </c>
      <c r="H61" s="70">
        <f>SUM(D61:G61)</f>
        <v>220950.8</v>
      </c>
      <c r="O61" s="59"/>
    </row>
    <row r="62" spans="2:15" ht="15.75" customHeight="1" thickBot="1" x14ac:dyDescent="0.4">
      <c r="C62" s="203" t="s">
        <v>0</v>
      </c>
      <c r="D62" s="103">
        <v>32334</v>
      </c>
      <c r="E62" s="102">
        <v>0</v>
      </c>
      <c r="F62" s="20">
        <v>0</v>
      </c>
      <c r="G62" s="235">
        <v>0</v>
      </c>
      <c r="H62" s="70">
        <f t="shared" ref="H62:H69" si="4">SUM(D62:G62)</f>
        <v>32334</v>
      </c>
      <c r="O62" s="59"/>
    </row>
    <row r="63" spans="2:15" ht="15.75" customHeight="1" thickBot="1" x14ac:dyDescent="0.4">
      <c r="C63" s="204" t="s">
        <v>1</v>
      </c>
      <c r="D63" s="103">
        <v>3000</v>
      </c>
      <c r="E63" s="102">
        <v>0</v>
      </c>
      <c r="F63" s="226">
        <v>7000</v>
      </c>
      <c r="G63" s="236">
        <v>0</v>
      </c>
      <c r="H63" s="70">
        <f t="shared" si="4"/>
        <v>10000</v>
      </c>
      <c r="O63" s="59"/>
    </row>
    <row r="64" spans="2:15" ht="31.5" thickBot="1" x14ac:dyDescent="0.4">
      <c r="C64" s="204" t="s">
        <v>2</v>
      </c>
      <c r="D64" s="103">
        <v>5714</v>
      </c>
      <c r="E64" s="102">
        <v>0</v>
      </c>
      <c r="F64" s="20">
        <v>0</v>
      </c>
      <c r="G64" s="237">
        <v>0</v>
      </c>
      <c r="H64" s="70">
        <f t="shared" si="4"/>
        <v>5714</v>
      </c>
      <c r="O64" s="59"/>
    </row>
    <row r="65" spans="2:15" ht="18.75" customHeight="1" thickBot="1" x14ac:dyDescent="0.4">
      <c r="C65" s="58" t="s">
        <v>3</v>
      </c>
      <c r="D65" s="103">
        <v>45000</v>
      </c>
      <c r="E65" s="102">
        <v>0</v>
      </c>
      <c r="F65" s="227">
        <v>10000</v>
      </c>
      <c r="G65" s="237">
        <v>10000</v>
      </c>
      <c r="H65" s="70">
        <f t="shared" si="4"/>
        <v>65000</v>
      </c>
      <c r="O65" s="59"/>
    </row>
    <row r="66" spans="2:15" ht="16" thickBot="1" x14ac:dyDescent="0.4">
      <c r="C66" s="204" t="s">
        <v>6</v>
      </c>
      <c r="D66" s="103">
        <v>5000</v>
      </c>
      <c r="E66" s="102">
        <v>0</v>
      </c>
      <c r="F66" s="227">
        <v>10000</v>
      </c>
      <c r="G66" s="237">
        <v>10000</v>
      </c>
      <c r="H66" s="70">
        <f t="shared" si="4"/>
        <v>25000</v>
      </c>
      <c r="O66" s="59"/>
    </row>
    <row r="67" spans="2:15" s="60" customFormat="1" ht="21.75" customHeight="1" thickBot="1" x14ac:dyDescent="0.4">
      <c r="B67" s="59"/>
      <c r="C67" s="204" t="s">
        <v>4</v>
      </c>
      <c r="D67" s="103">
        <v>0</v>
      </c>
      <c r="E67" s="102">
        <v>0</v>
      </c>
      <c r="F67" s="227">
        <v>22000</v>
      </c>
      <c r="G67" s="237">
        <v>53902.8</v>
      </c>
      <c r="H67" s="70">
        <f t="shared" si="4"/>
        <v>75902.8</v>
      </c>
    </row>
    <row r="68" spans="2:15" s="60" customFormat="1" ht="16" thickBot="1" x14ac:dyDescent="0.4">
      <c r="B68" s="59"/>
      <c r="C68" s="204" t="s">
        <v>20</v>
      </c>
      <c r="D68" s="103">
        <v>5000</v>
      </c>
      <c r="E68" s="102">
        <v>0</v>
      </c>
      <c r="F68" s="227">
        <v>2000</v>
      </c>
      <c r="G68" s="237">
        <v>0</v>
      </c>
      <c r="H68" s="70">
        <f t="shared" si="4"/>
        <v>7000</v>
      </c>
    </row>
    <row r="69" spans="2:15" ht="16" thickBot="1" x14ac:dyDescent="0.4">
      <c r="C69" s="61" t="s">
        <v>21</v>
      </c>
      <c r="D69" s="71">
        <f>SUM(D62:D68)</f>
        <v>96048</v>
      </c>
      <c r="E69" s="71">
        <f>SUM(E62:E68)</f>
        <v>0</v>
      </c>
      <c r="F69" s="71">
        <f>SUM(F62:F68)</f>
        <v>51000</v>
      </c>
      <c r="G69" s="71">
        <f>SUM(G62:G68)</f>
        <v>73902.8</v>
      </c>
      <c r="H69" s="70">
        <f t="shared" si="4"/>
        <v>220950.8</v>
      </c>
      <c r="O69" s="59"/>
    </row>
    <row r="70" spans="2:15" s="60" customFormat="1" x14ac:dyDescent="0.35">
      <c r="C70" s="72"/>
      <c r="D70" s="73"/>
      <c r="E70" s="73"/>
      <c r="F70" s="73"/>
      <c r="G70" s="73"/>
      <c r="H70" s="74"/>
    </row>
    <row r="71" spans="2:15" hidden="1" x14ac:dyDescent="0.35">
      <c r="B71" s="60"/>
      <c r="C71" s="325" t="s">
        <v>433</v>
      </c>
      <c r="D71" s="326"/>
      <c r="E71" s="326"/>
      <c r="F71" s="326"/>
      <c r="G71" s="326"/>
      <c r="H71" s="327"/>
      <c r="O71" s="59"/>
    </row>
    <row r="72" spans="2:15" ht="21.75" hidden="1" customHeight="1" thickBot="1" x14ac:dyDescent="0.4">
      <c r="C72" s="68" t="s">
        <v>554</v>
      </c>
      <c r="D72" s="69">
        <f>'1) Budget Table'!D77</f>
        <v>0</v>
      </c>
      <c r="E72" s="69">
        <f>'1) Budget Table'!E77</f>
        <v>0</v>
      </c>
      <c r="F72" s="69">
        <f>'1) Budget Table'!F77</f>
        <v>0</v>
      </c>
      <c r="G72" s="69">
        <f>'1) Budget Table'!G77</f>
        <v>0</v>
      </c>
      <c r="H72" s="70">
        <f>SUM(D72:G72)</f>
        <v>0</v>
      </c>
      <c r="O72" s="59"/>
    </row>
    <row r="73" spans="2:15" ht="15.75" hidden="1" customHeight="1" thickBot="1" x14ac:dyDescent="0.4">
      <c r="C73" s="203" t="s">
        <v>0</v>
      </c>
      <c r="D73" s="101"/>
      <c r="E73" s="102"/>
      <c r="F73" s="102"/>
      <c r="G73" s="102"/>
      <c r="H73" s="70">
        <f t="shared" ref="H73:H80" si="5">SUM(D73:G73)</f>
        <v>0</v>
      </c>
      <c r="O73" s="59"/>
    </row>
    <row r="74" spans="2:15" ht="15.75" hidden="1" customHeight="1" thickBot="1" x14ac:dyDescent="0.4">
      <c r="C74" s="204" t="s">
        <v>1</v>
      </c>
      <c r="D74" s="103"/>
      <c r="E74" s="20"/>
      <c r="F74" s="20"/>
      <c r="G74" s="20"/>
      <c r="H74" s="70">
        <f t="shared" si="5"/>
        <v>0</v>
      </c>
      <c r="O74" s="59"/>
    </row>
    <row r="75" spans="2:15" ht="31.5" hidden="1" thickBot="1" x14ac:dyDescent="0.4">
      <c r="C75" s="204" t="s">
        <v>2</v>
      </c>
      <c r="D75" s="103"/>
      <c r="E75" s="103"/>
      <c r="F75" s="103"/>
      <c r="G75" s="103"/>
      <c r="H75" s="70">
        <f t="shared" si="5"/>
        <v>0</v>
      </c>
      <c r="O75" s="59"/>
    </row>
    <row r="76" spans="2:15" ht="16" hidden="1" thickBot="1" x14ac:dyDescent="0.4">
      <c r="C76" s="58" t="s">
        <v>3</v>
      </c>
      <c r="D76" s="103"/>
      <c r="E76" s="103"/>
      <c r="F76" s="103"/>
      <c r="G76" s="103"/>
      <c r="H76" s="70">
        <f t="shared" si="5"/>
        <v>0</v>
      </c>
      <c r="O76" s="59"/>
    </row>
    <row r="77" spans="2:15" ht="16" hidden="1" thickBot="1" x14ac:dyDescent="0.4">
      <c r="C77" s="204" t="s">
        <v>6</v>
      </c>
      <c r="D77" s="103"/>
      <c r="E77" s="103"/>
      <c r="F77" s="103"/>
      <c r="G77" s="103"/>
      <c r="H77" s="70">
        <f t="shared" si="5"/>
        <v>0</v>
      </c>
      <c r="O77" s="59"/>
    </row>
    <row r="78" spans="2:15" ht="16" hidden="1" thickBot="1" x14ac:dyDescent="0.4">
      <c r="C78" s="204" t="s">
        <v>4</v>
      </c>
      <c r="D78" s="103"/>
      <c r="E78" s="103"/>
      <c r="F78" s="103"/>
      <c r="G78" s="103"/>
      <c r="H78" s="70">
        <f>SUM(D78:G78)</f>
        <v>0</v>
      </c>
      <c r="O78" s="59"/>
    </row>
    <row r="79" spans="2:15" ht="16" hidden="1" thickBot="1" x14ac:dyDescent="0.4">
      <c r="C79" s="204" t="s">
        <v>20</v>
      </c>
      <c r="D79" s="103"/>
      <c r="E79" s="103"/>
      <c r="F79" s="103"/>
      <c r="G79" s="103"/>
      <c r="H79" s="70">
        <f>SUM(D79:G79)</f>
        <v>0</v>
      </c>
      <c r="O79" s="59"/>
    </row>
    <row r="80" spans="2:15" ht="16" hidden="1" thickBot="1" x14ac:dyDescent="0.4">
      <c r="C80" s="61" t="s">
        <v>21</v>
      </c>
      <c r="D80" s="71">
        <f>SUM(D73:D79)</f>
        <v>0</v>
      </c>
      <c r="E80" s="71">
        <f>SUM(E73:E79)</f>
        <v>0</v>
      </c>
      <c r="F80" s="71">
        <f>SUM(F73:F79)</f>
        <v>0</v>
      </c>
      <c r="G80" s="71">
        <f>SUM(G73:G79)</f>
        <v>0</v>
      </c>
      <c r="H80" s="70">
        <f t="shared" si="5"/>
        <v>0</v>
      </c>
      <c r="O80" s="59"/>
    </row>
    <row r="81" spans="2:15" s="60" customFormat="1" hidden="1" x14ac:dyDescent="0.35">
      <c r="C81" s="72"/>
      <c r="D81" s="73"/>
      <c r="E81" s="73"/>
      <c r="F81" s="73"/>
      <c r="G81" s="73"/>
      <c r="H81" s="74"/>
    </row>
    <row r="82" spans="2:15" hidden="1" x14ac:dyDescent="0.35">
      <c r="C82" s="325" t="s">
        <v>442</v>
      </c>
      <c r="D82" s="326"/>
      <c r="E82" s="326"/>
      <c r="F82" s="326"/>
      <c r="G82" s="326"/>
      <c r="H82" s="327"/>
      <c r="O82" s="59"/>
    </row>
    <row r="83" spans="2:15" ht="21.75" hidden="1" customHeight="1" thickBot="1" x14ac:dyDescent="0.4">
      <c r="B83" s="60"/>
      <c r="C83" s="205" t="s">
        <v>554</v>
      </c>
      <c r="D83" s="69">
        <f>'1) Budget Table'!D87</f>
        <v>0</v>
      </c>
      <c r="E83" s="69">
        <f>'1) Budget Table'!E87</f>
        <v>0</v>
      </c>
      <c r="F83" s="69">
        <f>'1) Budget Table'!F87</f>
        <v>0</v>
      </c>
      <c r="G83" s="69">
        <f>'1) Budget Table'!G87</f>
        <v>0</v>
      </c>
      <c r="H83" s="70">
        <f>SUM(D83:G83)</f>
        <v>0</v>
      </c>
      <c r="O83" s="59"/>
    </row>
    <row r="84" spans="2:15" ht="18" hidden="1" customHeight="1" thickBot="1" x14ac:dyDescent="0.4">
      <c r="C84" s="206" t="s">
        <v>0</v>
      </c>
      <c r="D84" s="101"/>
      <c r="E84" s="102"/>
      <c r="F84" s="102"/>
      <c r="G84" s="102"/>
      <c r="H84" s="70">
        <f t="shared" ref="H84:H91" si="6">SUM(D84:G84)</f>
        <v>0</v>
      </c>
      <c r="O84" s="59"/>
    </row>
    <row r="85" spans="2:15" ht="15.75" hidden="1" customHeight="1" thickBot="1" x14ac:dyDescent="0.4">
      <c r="C85" s="206" t="s">
        <v>1</v>
      </c>
      <c r="D85" s="103"/>
      <c r="E85" s="20"/>
      <c r="F85" s="20"/>
      <c r="G85" s="20"/>
      <c r="H85" s="70">
        <f t="shared" si="6"/>
        <v>0</v>
      </c>
      <c r="O85" s="59"/>
    </row>
    <row r="86" spans="2:15" s="60" customFormat="1" ht="31.5" hidden="1" thickBot="1" x14ac:dyDescent="0.4">
      <c r="B86" s="59"/>
      <c r="C86" s="206" t="s">
        <v>2</v>
      </c>
      <c r="D86" s="103"/>
      <c r="E86" s="103"/>
      <c r="F86" s="103"/>
      <c r="G86" s="103"/>
      <c r="H86" s="70">
        <f t="shared" si="6"/>
        <v>0</v>
      </c>
    </row>
    <row r="87" spans="2:15" ht="16" hidden="1" thickBot="1" x14ac:dyDescent="0.4">
      <c r="B87" s="60"/>
      <c r="C87" s="207" t="s">
        <v>3</v>
      </c>
      <c r="D87" s="103"/>
      <c r="E87" s="103"/>
      <c r="F87" s="103"/>
      <c r="G87" s="103"/>
      <c r="H87" s="70">
        <f t="shared" si="6"/>
        <v>0</v>
      </c>
      <c r="O87" s="59"/>
    </row>
    <row r="88" spans="2:15" ht="16" hidden="1" thickBot="1" x14ac:dyDescent="0.4">
      <c r="B88" s="60"/>
      <c r="C88" s="206" t="s">
        <v>6</v>
      </c>
      <c r="D88" s="103"/>
      <c r="E88" s="103"/>
      <c r="F88" s="103"/>
      <c r="G88" s="103"/>
      <c r="H88" s="70">
        <f t="shared" si="6"/>
        <v>0</v>
      </c>
      <c r="O88" s="59"/>
    </row>
    <row r="89" spans="2:15" ht="16" hidden="1" thickBot="1" x14ac:dyDescent="0.4">
      <c r="B89" s="60"/>
      <c r="C89" s="206" t="s">
        <v>4</v>
      </c>
      <c r="D89" s="103"/>
      <c r="E89" s="103"/>
      <c r="F89" s="103"/>
      <c r="G89" s="103"/>
      <c r="H89" s="70">
        <f t="shared" si="6"/>
        <v>0</v>
      </c>
      <c r="O89" s="59"/>
    </row>
    <row r="90" spans="2:15" ht="35" hidden="1" customHeight="1" thickBot="1" x14ac:dyDescent="0.4">
      <c r="C90" s="206" t="s">
        <v>20</v>
      </c>
      <c r="D90" s="103"/>
      <c r="E90" s="103"/>
      <c r="F90" s="103"/>
      <c r="G90" s="103"/>
      <c r="H90" s="70">
        <f t="shared" si="6"/>
        <v>0</v>
      </c>
      <c r="O90" s="59"/>
    </row>
    <row r="91" spans="2:15" ht="16" hidden="1" thickBot="1" x14ac:dyDescent="0.4">
      <c r="C91" s="208" t="s">
        <v>560</v>
      </c>
      <c r="D91" s="71">
        <f>SUM(D84:D90)</f>
        <v>0</v>
      </c>
      <c r="E91" s="71">
        <f>SUM(E84:E90)</f>
        <v>0</v>
      </c>
      <c r="F91" s="71">
        <f>SUM(F84:F90)</f>
        <v>0</v>
      </c>
      <c r="G91" s="71">
        <f>SUM(G84:G90)</f>
        <v>0</v>
      </c>
      <c r="H91" s="70">
        <f t="shared" si="6"/>
        <v>0</v>
      </c>
      <c r="O91" s="59"/>
    </row>
    <row r="92" spans="2:15" s="60" customFormat="1" hidden="1" x14ac:dyDescent="0.35">
      <c r="C92" s="72"/>
      <c r="D92" s="73"/>
      <c r="E92" s="73"/>
      <c r="F92" s="73"/>
      <c r="G92" s="73"/>
      <c r="H92" s="74"/>
    </row>
    <row r="93" spans="2:15" hidden="1" x14ac:dyDescent="0.35">
      <c r="C93" s="325" t="s">
        <v>451</v>
      </c>
      <c r="D93" s="326"/>
      <c r="E93" s="326"/>
      <c r="F93" s="326"/>
      <c r="G93" s="326"/>
      <c r="H93" s="327"/>
      <c r="O93" s="59"/>
    </row>
    <row r="94" spans="2:15" ht="21.75" hidden="1" customHeight="1" thickBot="1" x14ac:dyDescent="0.4">
      <c r="C94" s="205" t="s">
        <v>554</v>
      </c>
      <c r="D94" s="69">
        <f>'1) Budget Table'!D97</f>
        <v>0</v>
      </c>
      <c r="E94" s="69">
        <f>'1) Budget Table'!E97</f>
        <v>0</v>
      </c>
      <c r="F94" s="69">
        <f>'1) Budget Table'!F97</f>
        <v>0</v>
      </c>
      <c r="G94" s="69">
        <f>'1) Budget Table'!G97</f>
        <v>0</v>
      </c>
      <c r="H94" s="70">
        <f>SUM(D94:G94)</f>
        <v>0</v>
      </c>
      <c r="O94" s="59"/>
    </row>
    <row r="95" spans="2:15" ht="15.75" hidden="1" customHeight="1" thickBot="1" x14ac:dyDescent="0.4">
      <c r="C95" s="206" t="s">
        <v>0</v>
      </c>
      <c r="D95" s="101"/>
      <c r="E95" s="102"/>
      <c r="F95" s="102"/>
      <c r="G95" s="102"/>
      <c r="H95" s="70">
        <f t="shared" ref="H95:H102" si="7">SUM(D95:G95)</f>
        <v>0</v>
      </c>
      <c r="O95" s="59"/>
    </row>
    <row r="96" spans="2:15" ht="15.75" hidden="1" customHeight="1" thickBot="1" x14ac:dyDescent="0.4">
      <c r="B96" s="60"/>
      <c r="C96" s="206" t="s">
        <v>1</v>
      </c>
      <c r="D96" s="103"/>
      <c r="E96" s="20"/>
      <c r="F96" s="20"/>
      <c r="G96" s="20"/>
      <c r="H96" s="70">
        <f t="shared" si="7"/>
        <v>0</v>
      </c>
      <c r="O96" s="59"/>
    </row>
    <row r="97" spans="2:15" ht="31.5" hidden="1" thickBot="1" x14ac:dyDescent="0.4">
      <c r="C97" s="206" t="s">
        <v>2</v>
      </c>
      <c r="D97" s="103"/>
      <c r="E97" s="103"/>
      <c r="F97" s="103"/>
      <c r="G97" s="103"/>
      <c r="H97" s="70">
        <f t="shared" si="7"/>
        <v>0</v>
      </c>
      <c r="O97" s="59"/>
    </row>
    <row r="98" spans="2:15" ht="16" hidden="1" thickBot="1" x14ac:dyDescent="0.4">
      <c r="C98" s="207" t="s">
        <v>3</v>
      </c>
      <c r="D98" s="103"/>
      <c r="E98" s="103"/>
      <c r="F98" s="103"/>
      <c r="G98" s="103"/>
      <c r="H98" s="70">
        <f t="shared" si="7"/>
        <v>0</v>
      </c>
      <c r="O98" s="59"/>
    </row>
    <row r="99" spans="2:15" ht="16" hidden="1" thickBot="1" x14ac:dyDescent="0.4">
      <c r="C99" s="206" t="s">
        <v>6</v>
      </c>
      <c r="D99" s="103"/>
      <c r="E99" s="103"/>
      <c r="F99" s="103"/>
      <c r="G99" s="103"/>
      <c r="H99" s="70">
        <f t="shared" si="7"/>
        <v>0</v>
      </c>
      <c r="O99" s="59"/>
    </row>
    <row r="100" spans="2:15" ht="25.5" hidden="1" customHeight="1" thickBot="1" x14ac:dyDescent="0.4">
      <c r="C100" s="206" t="s">
        <v>4</v>
      </c>
      <c r="D100" s="103"/>
      <c r="E100" s="103"/>
      <c r="F100" s="103"/>
      <c r="G100" s="103"/>
      <c r="H100" s="70">
        <f t="shared" si="7"/>
        <v>0</v>
      </c>
      <c r="O100" s="59"/>
    </row>
    <row r="101" spans="2:15" ht="35" hidden="1" customHeight="1" thickBot="1" x14ac:dyDescent="0.4">
      <c r="B101" s="60"/>
      <c r="C101" s="206" t="s">
        <v>20</v>
      </c>
      <c r="D101" s="103"/>
      <c r="E101" s="103"/>
      <c r="F101" s="103"/>
      <c r="G101" s="103"/>
      <c r="H101" s="70">
        <f t="shared" si="7"/>
        <v>0</v>
      </c>
      <c r="O101" s="59"/>
    </row>
    <row r="102" spans="2:15" ht="15.75" hidden="1" customHeight="1" thickBot="1" x14ac:dyDescent="0.4">
      <c r="C102" s="208" t="s">
        <v>560</v>
      </c>
      <c r="D102" s="71">
        <f>SUM(D95:D101)</f>
        <v>0</v>
      </c>
      <c r="E102" s="71">
        <f>SUM(E95:E101)</f>
        <v>0</v>
      </c>
      <c r="F102" s="71">
        <f>SUM(F95:F101)</f>
        <v>0</v>
      </c>
      <c r="G102" s="71">
        <f>SUM(G95:G101)</f>
        <v>0</v>
      </c>
      <c r="H102" s="70">
        <f t="shared" si="7"/>
        <v>0</v>
      </c>
      <c r="O102" s="59"/>
    </row>
    <row r="103" spans="2:15" ht="25.5" customHeight="1" x14ac:dyDescent="0.35">
      <c r="D103" s="62"/>
      <c r="E103" s="62"/>
      <c r="F103" s="62"/>
      <c r="G103" s="62"/>
      <c r="H103" s="62"/>
      <c r="O103" s="59"/>
    </row>
    <row r="104" spans="2:15" x14ac:dyDescent="0.35">
      <c r="B104" s="325" t="s">
        <v>561</v>
      </c>
      <c r="C104" s="326"/>
      <c r="D104" s="326"/>
      <c r="E104" s="326"/>
      <c r="F104" s="326"/>
      <c r="G104" s="326"/>
      <c r="H104" s="327"/>
      <c r="O104" s="59"/>
    </row>
    <row r="105" spans="2:15" x14ac:dyDescent="0.35">
      <c r="C105" s="325" t="s">
        <v>461</v>
      </c>
      <c r="D105" s="326"/>
      <c r="E105" s="326"/>
      <c r="F105" s="326"/>
      <c r="G105" s="326"/>
      <c r="H105" s="327"/>
      <c r="O105" s="59"/>
    </row>
    <row r="106" spans="2:15" ht="22.5" customHeight="1" thickBot="1" x14ac:dyDescent="0.4">
      <c r="C106" s="205" t="s">
        <v>554</v>
      </c>
      <c r="D106" s="69">
        <f>'1) Budget Table'!D109</f>
        <v>161697</v>
      </c>
      <c r="E106" s="69">
        <f>'1) Budget Table'!E109</f>
        <v>7934.97</v>
      </c>
      <c r="F106" s="69">
        <f>'1) Budget Table'!F109</f>
        <v>266597.2</v>
      </c>
      <c r="G106" s="69">
        <f>'1) Budget Table'!G109</f>
        <v>151570</v>
      </c>
      <c r="H106" s="70">
        <f>SUM(D106:G106)</f>
        <v>587799.17000000004</v>
      </c>
      <c r="O106" s="59"/>
    </row>
    <row r="107" spans="2:15" ht="16" thickBot="1" x14ac:dyDescent="0.4">
      <c r="C107" s="206" t="s">
        <v>0</v>
      </c>
      <c r="D107" s="103">
        <v>92334</v>
      </c>
      <c r="E107" s="268">
        <v>1788.98</v>
      </c>
      <c r="F107" s="250">
        <v>35000</v>
      </c>
      <c r="G107" s="268">
        <v>0</v>
      </c>
      <c r="H107" s="70">
        <f t="shared" ref="H107:H114" si="8">SUM(D107:G107)</f>
        <v>129122.98</v>
      </c>
      <c r="O107" s="59"/>
    </row>
    <row r="108" spans="2:15" ht="16" thickBot="1" x14ac:dyDescent="0.4">
      <c r="C108" s="206" t="s">
        <v>1</v>
      </c>
      <c r="D108" s="103">
        <v>5000</v>
      </c>
      <c r="E108" s="269">
        <f>1716.82+0.01</f>
        <v>1716.83</v>
      </c>
      <c r="F108" s="251">
        <v>25000</v>
      </c>
      <c r="G108" s="269">
        <v>10000</v>
      </c>
      <c r="H108" s="70">
        <f t="shared" si="8"/>
        <v>41716.83</v>
      </c>
      <c r="O108" s="59"/>
    </row>
    <row r="109" spans="2:15" ht="31.5" thickBot="1" x14ac:dyDescent="0.4">
      <c r="C109" s="206" t="s">
        <v>2</v>
      </c>
      <c r="D109" s="103">
        <v>10363</v>
      </c>
      <c r="E109" s="270">
        <v>24.76</v>
      </c>
      <c r="F109" s="252">
        <v>25000</v>
      </c>
      <c r="G109" s="270">
        <v>10793</v>
      </c>
      <c r="H109" s="70">
        <f t="shared" si="8"/>
        <v>46180.76</v>
      </c>
      <c r="O109" s="59"/>
    </row>
    <row r="110" spans="2:15" ht="16" thickBot="1" x14ac:dyDescent="0.4">
      <c r="C110" s="207" t="s">
        <v>3</v>
      </c>
      <c r="D110" s="103">
        <v>37000</v>
      </c>
      <c r="E110" s="270"/>
      <c r="F110" s="252">
        <v>10000</v>
      </c>
      <c r="G110" s="270">
        <v>45000</v>
      </c>
      <c r="H110" s="70">
        <f t="shared" si="8"/>
        <v>92000</v>
      </c>
      <c r="O110" s="59"/>
    </row>
    <row r="111" spans="2:15" ht="16" thickBot="1" x14ac:dyDescent="0.4">
      <c r="C111" s="206" t="s">
        <v>6</v>
      </c>
      <c r="D111" s="103">
        <v>2000</v>
      </c>
      <c r="E111" s="270">
        <v>763.07</v>
      </c>
      <c r="F111" s="252">
        <v>27000</v>
      </c>
      <c r="G111" s="270">
        <v>15000</v>
      </c>
      <c r="H111" s="70">
        <f t="shared" si="8"/>
        <v>44763.07</v>
      </c>
      <c r="O111" s="59"/>
    </row>
    <row r="112" spans="2:15" ht="16" thickBot="1" x14ac:dyDescent="0.4">
      <c r="C112" s="206" t="s">
        <v>4</v>
      </c>
      <c r="D112" s="103">
        <v>0</v>
      </c>
      <c r="E112" s="270">
        <v>0</v>
      </c>
      <c r="F112" s="252">
        <v>128000</v>
      </c>
      <c r="G112" s="270">
        <v>57777</v>
      </c>
      <c r="H112" s="70">
        <f t="shared" si="8"/>
        <v>185777</v>
      </c>
      <c r="O112" s="59"/>
    </row>
    <row r="113" spans="3:15" ht="35" customHeight="1" thickBot="1" x14ac:dyDescent="0.4">
      <c r="C113" s="206" t="s">
        <v>20</v>
      </c>
      <c r="D113" s="103">
        <v>15000</v>
      </c>
      <c r="E113" s="270">
        <v>3641.33</v>
      </c>
      <c r="F113" s="252">
        <v>16597.2</v>
      </c>
      <c r="G113" s="270">
        <v>13000</v>
      </c>
      <c r="H113" s="70">
        <f t="shared" si="8"/>
        <v>48238.53</v>
      </c>
      <c r="O113" s="59"/>
    </row>
    <row r="114" spans="3:15" ht="16" thickBot="1" x14ac:dyDescent="0.4">
      <c r="C114" s="208" t="s">
        <v>560</v>
      </c>
      <c r="D114" s="71">
        <f>SUM(D107:D113)</f>
        <v>161697</v>
      </c>
      <c r="E114" s="71">
        <f>SUM(E107:E113)</f>
        <v>7934.97</v>
      </c>
      <c r="F114" s="71">
        <f>SUM(F107:F113)</f>
        <v>266597.2</v>
      </c>
      <c r="G114" s="71">
        <f>SUM(G107:G113)</f>
        <v>151570</v>
      </c>
      <c r="H114" s="70">
        <f t="shared" si="8"/>
        <v>587799.17000000004</v>
      </c>
      <c r="O114" s="59"/>
    </row>
    <row r="115" spans="3:15" s="60" customFormat="1" x14ac:dyDescent="0.35">
      <c r="C115" s="72"/>
      <c r="D115" s="73"/>
      <c r="E115" s="73"/>
      <c r="F115" s="73"/>
      <c r="G115" s="73"/>
      <c r="H115" s="74"/>
    </row>
    <row r="116" spans="3:15" ht="15.75" customHeight="1" x14ac:dyDescent="0.35">
      <c r="C116" s="325" t="s">
        <v>562</v>
      </c>
      <c r="D116" s="326"/>
      <c r="E116" s="326"/>
      <c r="F116" s="326"/>
      <c r="G116" s="326"/>
      <c r="H116" s="327"/>
      <c r="O116" s="59"/>
    </row>
    <row r="117" spans="3:15" ht="21.75" customHeight="1" thickBot="1" x14ac:dyDescent="0.4">
      <c r="C117" s="205" t="s">
        <v>554</v>
      </c>
      <c r="D117" s="69">
        <f>'1) Budget Table'!D119</f>
        <v>155006</v>
      </c>
      <c r="E117" s="69">
        <f>'1) Budget Table'!E119</f>
        <v>160192.01999999999</v>
      </c>
      <c r="F117" s="69">
        <f>'1) Budget Table'!F119</f>
        <v>0</v>
      </c>
      <c r="G117" s="69">
        <f>'1) Budget Table'!G119</f>
        <v>0</v>
      </c>
      <c r="H117" s="70">
        <f>SUM(D117:G117)</f>
        <v>315198.02</v>
      </c>
      <c r="O117" s="59"/>
    </row>
    <row r="118" spans="3:15" ht="16" thickBot="1" x14ac:dyDescent="0.4">
      <c r="C118" s="206" t="s">
        <v>0</v>
      </c>
      <c r="D118" s="103">
        <v>87334</v>
      </c>
      <c r="E118" s="268">
        <v>30028.86</v>
      </c>
      <c r="F118" s="102">
        <v>0</v>
      </c>
      <c r="G118" s="102">
        <v>0</v>
      </c>
      <c r="H118" s="70">
        <f t="shared" ref="H118:H125" si="9">SUM(D118:G118)</f>
        <v>117362.86</v>
      </c>
      <c r="O118" s="59"/>
    </row>
    <row r="119" spans="3:15" ht="16" thickBot="1" x14ac:dyDescent="0.4">
      <c r="C119" s="206" t="s">
        <v>1</v>
      </c>
      <c r="D119" s="103">
        <v>0</v>
      </c>
      <c r="E119" s="269">
        <v>17716.82</v>
      </c>
      <c r="F119" s="102">
        <v>0</v>
      </c>
      <c r="G119" s="102">
        <v>0</v>
      </c>
      <c r="H119" s="70">
        <f t="shared" si="9"/>
        <v>17716.82</v>
      </c>
      <c r="O119" s="59"/>
    </row>
    <row r="120" spans="3:15" ht="31.5" thickBot="1" x14ac:dyDescent="0.4">
      <c r="C120" s="206" t="s">
        <v>2</v>
      </c>
      <c r="D120" s="103">
        <v>5714</v>
      </c>
      <c r="E120" s="270">
        <v>415.68</v>
      </c>
      <c r="F120" s="102">
        <v>0</v>
      </c>
      <c r="G120" s="102">
        <v>0</v>
      </c>
      <c r="H120" s="70">
        <f>SUM(D120:G120)</f>
        <v>6129.68</v>
      </c>
      <c r="O120" s="59"/>
    </row>
    <row r="121" spans="3:15" ht="16" thickBot="1" x14ac:dyDescent="0.4">
      <c r="C121" s="207" t="s">
        <v>3</v>
      </c>
      <c r="D121" s="103">
        <v>50000</v>
      </c>
      <c r="E121" s="270"/>
      <c r="F121" s="102">
        <v>0</v>
      </c>
      <c r="G121" s="102">
        <v>0</v>
      </c>
      <c r="H121" s="70">
        <f t="shared" si="9"/>
        <v>50000</v>
      </c>
      <c r="O121" s="59"/>
    </row>
    <row r="122" spans="3:15" ht="16" thickBot="1" x14ac:dyDescent="0.4">
      <c r="C122" s="206" t="s">
        <v>6</v>
      </c>
      <c r="D122" s="103">
        <v>0</v>
      </c>
      <c r="E122" s="270">
        <v>47208.59</v>
      </c>
      <c r="F122" s="102">
        <v>0</v>
      </c>
      <c r="G122" s="102">
        <v>0</v>
      </c>
      <c r="H122" s="70">
        <f t="shared" si="9"/>
        <v>47208.59</v>
      </c>
      <c r="O122" s="59"/>
    </row>
    <row r="123" spans="3:15" ht="16" thickBot="1" x14ac:dyDescent="0.4">
      <c r="C123" s="206" t="s">
        <v>4</v>
      </c>
      <c r="D123" s="103">
        <v>0</v>
      </c>
      <c r="E123" s="270"/>
      <c r="F123" s="102">
        <v>0</v>
      </c>
      <c r="G123" s="102">
        <v>0</v>
      </c>
      <c r="H123" s="70">
        <f t="shared" si="9"/>
        <v>0</v>
      </c>
      <c r="O123" s="59"/>
    </row>
    <row r="124" spans="3:15" ht="35" customHeight="1" thickBot="1" x14ac:dyDescent="0.4">
      <c r="C124" s="206" t="s">
        <v>20</v>
      </c>
      <c r="D124" s="103">
        <v>11958</v>
      </c>
      <c r="E124" s="270">
        <v>64822.07</v>
      </c>
      <c r="F124" s="102">
        <v>0</v>
      </c>
      <c r="G124" s="102">
        <v>0</v>
      </c>
      <c r="H124" s="70">
        <f t="shared" si="9"/>
        <v>76780.070000000007</v>
      </c>
      <c r="O124" s="59"/>
    </row>
    <row r="125" spans="3:15" ht="16" thickBot="1" x14ac:dyDescent="0.4">
      <c r="C125" s="208" t="s">
        <v>560</v>
      </c>
      <c r="D125" s="71">
        <f>SUM(D118:D124)</f>
        <v>155006</v>
      </c>
      <c r="E125" s="71">
        <f>SUM(E118:E124)</f>
        <v>160192.01999999999</v>
      </c>
      <c r="F125" s="71">
        <f>SUM(F118:F124)</f>
        <v>0</v>
      </c>
      <c r="G125" s="71">
        <f>SUM(G118:G124)</f>
        <v>0</v>
      </c>
      <c r="H125" s="70">
        <f t="shared" si="9"/>
        <v>315198.02</v>
      </c>
      <c r="O125" s="59"/>
    </row>
    <row r="126" spans="3:15" s="60" customFormat="1" x14ac:dyDescent="0.35">
      <c r="C126" s="72"/>
      <c r="D126" s="73"/>
      <c r="E126" s="73"/>
      <c r="F126" s="73"/>
      <c r="G126" s="73"/>
      <c r="H126" s="74"/>
    </row>
    <row r="127" spans="3:15" x14ac:dyDescent="0.35">
      <c r="C127" s="325" t="s">
        <v>479</v>
      </c>
      <c r="D127" s="326"/>
      <c r="E127" s="326"/>
      <c r="F127" s="326"/>
      <c r="G127" s="326"/>
      <c r="H127" s="327"/>
      <c r="O127" s="59"/>
    </row>
    <row r="128" spans="3:15" ht="21" customHeight="1" thickBot="1" x14ac:dyDescent="0.4">
      <c r="C128" s="205" t="s">
        <v>554</v>
      </c>
      <c r="D128" s="69">
        <f>'1) Budget Table'!D129</f>
        <v>366190</v>
      </c>
      <c r="E128" s="69">
        <f>'1) Budget Table'!E129</f>
        <v>0</v>
      </c>
      <c r="F128" s="69">
        <f>'1) Budget Table'!F129</f>
        <v>0</v>
      </c>
      <c r="G128" s="69">
        <f>'1) Budget Table'!G129</f>
        <v>0</v>
      </c>
      <c r="H128" s="70">
        <f>SUM(D128:G128)</f>
        <v>366190</v>
      </c>
      <c r="O128" s="59"/>
    </row>
    <row r="129" spans="3:15" ht="16" thickBot="1" x14ac:dyDescent="0.4">
      <c r="C129" s="206" t="s">
        <v>0</v>
      </c>
      <c r="D129" s="103">
        <v>184790</v>
      </c>
      <c r="E129" s="102">
        <v>0</v>
      </c>
      <c r="F129" s="102">
        <v>0</v>
      </c>
      <c r="G129" s="102">
        <v>0</v>
      </c>
      <c r="H129" s="70">
        <f t="shared" ref="H129:H135" si="10">SUM(D129:G129)</f>
        <v>184790</v>
      </c>
      <c r="O129" s="59"/>
    </row>
    <row r="130" spans="3:15" ht="16" thickBot="1" x14ac:dyDescent="0.4">
      <c r="C130" s="206" t="s">
        <v>1</v>
      </c>
      <c r="D130" s="103">
        <v>10000</v>
      </c>
      <c r="E130" s="102">
        <v>0</v>
      </c>
      <c r="F130" s="102">
        <v>0</v>
      </c>
      <c r="G130" s="102">
        <v>0</v>
      </c>
      <c r="H130" s="70">
        <f t="shared" si="10"/>
        <v>10000</v>
      </c>
      <c r="O130" s="59"/>
    </row>
    <row r="131" spans="3:15" ht="31.5" thickBot="1" x14ac:dyDescent="0.4">
      <c r="C131" s="206" t="s">
        <v>2</v>
      </c>
      <c r="D131" s="103">
        <v>21428</v>
      </c>
      <c r="E131" s="102">
        <v>0</v>
      </c>
      <c r="F131" s="102">
        <v>0</v>
      </c>
      <c r="G131" s="102">
        <v>0</v>
      </c>
      <c r="H131" s="70">
        <f t="shared" si="10"/>
        <v>21428</v>
      </c>
      <c r="O131" s="59"/>
    </row>
    <row r="132" spans="3:15" ht="16" thickBot="1" x14ac:dyDescent="0.4">
      <c r="C132" s="207" t="s">
        <v>3</v>
      </c>
      <c r="D132" s="103">
        <v>117972</v>
      </c>
      <c r="E132" s="102">
        <v>0</v>
      </c>
      <c r="F132" s="102">
        <v>0</v>
      </c>
      <c r="G132" s="102">
        <v>0</v>
      </c>
      <c r="H132" s="70">
        <f t="shared" si="10"/>
        <v>117972</v>
      </c>
      <c r="O132" s="59"/>
    </row>
    <row r="133" spans="3:15" ht="16" thickBot="1" x14ac:dyDescent="0.4">
      <c r="C133" s="206" t="s">
        <v>6</v>
      </c>
      <c r="D133" s="103">
        <v>10000</v>
      </c>
      <c r="E133" s="102">
        <v>0</v>
      </c>
      <c r="F133" s="102">
        <v>0</v>
      </c>
      <c r="G133" s="102">
        <v>0</v>
      </c>
      <c r="H133" s="70">
        <f t="shared" si="10"/>
        <v>10000</v>
      </c>
      <c r="O133" s="59"/>
    </row>
    <row r="134" spans="3:15" ht="16" thickBot="1" x14ac:dyDescent="0.4">
      <c r="C134" s="206" t="s">
        <v>4</v>
      </c>
      <c r="D134" s="103">
        <v>0</v>
      </c>
      <c r="E134" s="102">
        <v>0</v>
      </c>
      <c r="F134" s="102">
        <v>0</v>
      </c>
      <c r="G134" s="102">
        <v>0</v>
      </c>
      <c r="H134" s="70">
        <f t="shared" si="10"/>
        <v>0</v>
      </c>
      <c r="O134" s="59"/>
    </row>
    <row r="135" spans="3:15" ht="35" customHeight="1" thickBot="1" x14ac:dyDescent="0.4">
      <c r="C135" s="206" t="s">
        <v>20</v>
      </c>
      <c r="D135" s="103">
        <v>22000</v>
      </c>
      <c r="E135" s="102">
        <v>0</v>
      </c>
      <c r="F135" s="102">
        <v>0</v>
      </c>
      <c r="G135" s="102">
        <v>0</v>
      </c>
      <c r="H135" s="70">
        <f t="shared" si="10"/>
        <v>22000</v>
      </c>
      <c r="O135" s="59"/>
    </row>
    <row r="136" spans="3:15" ht="16" thickBot="1" x14ac:dyDescent="0.4">
      <c r="C136" s="208" t="s">
        <v>560</v>
      </c>
      <c r="D136" s="71">
        <f>SUM(D129:D135)</f>
        <v>366190</v>
      </c>
      <c r="E136" s="71">
        <f>SUM(E129:E135)</f>
        <v>0</v>
      </c>
      <c r="F136" s="71">
        <f>SUM(F129:F135)</f>
        <v>0</v>
      </c>
      <c r="G136" s="71">
        <f>SUM(G129:G135)</f>
        <v>0</v>
      </c>
      <c r="H136" s="70">
        <f>SUM(D136:G136)</f>
        <v>366190</v>
      </c>
      <c r="O136" s="59"/>
    </row>
    <row r="137" spans="3:15" s="60" customFormat="1" x14ac:dyDescent="0.35">
      <c r="C137" s="72"/>
      <c r="D137" s="73"/>
      <c r="E137" s="73"/>
      <c r="F137" s="73"/>
      <c r="G137" s="73"/>
      <c r="H137" s="74"/>
    </row>
    <row r="138" spans="3:15" hidden="1" x14ac:dyDescent="0.35">
      <c r="C138" s="325" t="s">
        <v>488</v>
      </c>
      <c r="D138" s="326"/>
      <c r="E138" s="326"/>
      <c r="F138" s="326"/>
      <c r="G138" s="326"/>
      <c r="H138" s="327"/>
      <c r="O138" s="59"/>
    </row>
    <row r="139" spans="3:15" ht="24" hidden="1" customHeight="1" thickBot="1" x14ac:dyDescent="0.4">
      <c r="C139" s="205" t="s">
        <v>554</v>
      </c>
      <c r="D139" s="69">
        <f>'1) Budget Table'!D139</f>
        <v>0</v>
      </c>
      <c r="E139" s="69">
        <f>'1) Budget Table'!E139</f>
        <v>0</v>
      </c>
      <c r="F139" s="69">
        <f>'1) Budget Table'!F139</f>
        <v>0</v>
      </c>
      <c r="G139" s="69">
        <f>'1) Budget Table'!G139</f>
        <v>0</v>
      </c>
      <c r="H139" s="70">
        <f>SUM(D139:G139)</f>
        <v>0</v>
      </c>
      <c r="O139" s="59"/>
    </row>
    <row r="140" spans="3:15" ht="15.75" hidden="1" customHeight="1" thickBot="1" x14ac:dyDescent="0.4">
      <c r="C140" s="206" t="s">
        <v>0</v>
      </c>
      <c r="D140" s="101"/>
      <c r="E140" s="102"/>
      <c r="F140" s="102"/>
      <c r="G140" s="102"/>
      <c r="H140" s="70">
        <f t="shared" ref="H140:H147" si="11">SUM(D140:G140)</f>
        <v>0</v>
      </c>
      <c r="O140" s="59"/>
    </row>
    <row r="141" spans="3:15" s="62" customFormat="1" ht="16" hidden="1" thickBot="1" x14ac:dyDescent="0.4">
      <c r="C141" s="206" t="s">
        <v>1</v>
      </c>
      <c r="D141" s="103"/>
      <c r="E141" s="20"/>
      <c r="F141" s="20"/>
      <c r="G141" s="20"/>
      <c r="H141" s="70">
        <f t="shared" si="11"/>
        <v>0</v>
      </c>
    </row>
    <row r="142" spans="3:15" s="62" customFormat="1" ht="31.5" hidden="1" thickBot="1" x14ac:dyDescent="0.4">
      <c r="C142" s="206" t="s">
        <v>2</v>
      </c>
      <c r="D142" s="103"/>
      <c r="E142" s="103"/>
      <c r="F142" s="103"/>
      <c r="G142" s="103"/>
      <c r="H142" s="70">
        <f t="shared" si="11"/>
        <v>0</v>
      </c>
    </row>
    <row r="143" spans="3:15" s="62" customFormat="1" ht="16" hidden="1" thickBot="1" x14ac:dyDescent="0.4">
      <c r="C143" s="207" t="s">
        <v>3</v>
      </c>
      <c r="D143" s="103"/>
      <c r="E143" s="103"/>
      <c r="F143" s="103"/>
      <c r="G143" s="103"/>
      <c r="H143" s="70">
        <f t="shared" si="11"/>
        <v>0</v>
      </c>
    </row>
    <row r="144" spans="3:15" s="62" customFormat="1" ht="16" hidden="1" thickBot="1" x14ac:dyDescent="0.4">
      <c r="C144" s="206" t="s">
        <v>6</v>
      </c>
      <c r="D144" s="103"/>
      <c r="E144" s="103"/>
      <c r="F144" s="103"/>
      <c r="G144" s="103"/>
      <c r="H144" s="70">
        <f t="shared" si="11"/>
        <v>0</v>
      </c>
    </row>
    <row r="145" spans="2:8" s="62" customFormat="1" ht="15.75" hidden="1" customHeight="1" thickBot="1" x14ac:dyDescent="0.4">
      <c r="C145" s="206" t="s">
        <v>4</v>
      </c>
      <c r="D145" s="103"/>
      <c r="E145" s="103"/>
      <c r="F145" s="103"/>
      <c r="G145" s="103"/>
      <c r="H145" s="70">
        <f t="shared" si="11"/>
        <v>0</v>
      </c>
    </row>
    <row r="146" spans="2:8" s="62" customFormat="1" ht="35" hidden="1" customHeight="1" thickBot="1" x14ac:dyDescent="0.4">
      <c r="C146" s="206" t="s">
        <v>20</v>
      </c>
      <c r="D146" s="103"/>
      <c r="E146" s="103"/>
      <c r="F146" s="103"/>
      <c r="G146" s="103"/>
      <c r="H146" s="70">
        <f t="shared" si="11"/>
        <v>0</v>
      </c>
    </row>
    <row r="147" spans="2:8" s="62" customFormat="1" ht="16" hidden="1" thickBot="1" x14ac:dyDescent="0.4">
      <c r="C147" s="208" t="s">
        <v>560</v>
      </c>
      <c r="D147" s="71">
        <f>SUM(D140:D146)</f>
        <v>0</v>
      </c>
      <c r="E147" s="71">
        <f>SUM(E140:E146)</f>
        <v>0</v>
      </c>
      <c r="F147" s="71">
        <f>SUM(F140:F146)</f>
        <v>0</v>
      </c>
      <c r="G147" s="71">
        <f>SUM(G140:G146)</f>
        <v>0</v>
      </c>
      <c r="H147" s="70">
        <f t="shared" si="11"/>
        <v>0</v>
      </c>
    </row>
    <row r="148" spans="2:8" s="62" customFormat="1" hidden="1" x14ac:dyDescent="0.35">
      <c r="C148" s="59"/>
      <c r="D148" s="60"/>
      <c r="E148" s="60"/>
      <c r="F148" s="60"/>
      <c r="G148" s="60"/>
      <c r="H148" s="59"/>
    </row>
    <row r="149" spans="2:8" s="62" customFormat="1" hidden="1" x14ac:dyDescent="0.35">
      <c r="B149" s="325" t="s">
        <v>369</v>
      </c>
      <c r="C149" s="326"/>
      <c r="D149" s="326"/>
      <c r="E149" s="326"/>
      <c r="F149" s="326"/>
      <c r="G149" s="326"/>
      <c r="H149" s="327"/>
    </row>
    <row r="150" spans="2:8" s="62" customFormat="1" hidden="1" x14ac:dyDescent="0.35">
      <c r="B150" s="59"/>
      <c r="C150" s="325" t="s">
        <v>498</v>
      </c>
      <c r="D150" s="326"/>
      <c r="E150" s="326"/>
      <c r="F150" s="326"/>
      <c r="G150" s="326"/>
      <c r="H150" s="327"/>
    </row>
    <row r="151" spans="2:8" s="62" customFormat="1" ht="24" hidden="1" customHeight="1" thickBot="1" x14ac:dyDescent="0.4">
      <c r="B151" s="59"/>
      <c r="C151" s="68" t="s">
        <v>554</v>
      </c>
      <c r="D151" s="69">
        <f>'1) Budget Table'!D151</f>
        <v>0</v>
      </c>
      <c r="E151" s="69">
        <f>'1) Budget Table'!E151</f>
        <v>0</v>
      </c>
      <c r="F151" s="69">
        <f>'1) Budget Table'!F151</f>
        <v>0</v>
      </c>
      <c r="G151" s="69">
        <f>'1) Budget Table'!G151</f>
        <v>0</v>
      </c>
      <c r="H151" s="70">
        <f>SUM(D151:G151)</f>
        <v>0</v>
      </c>
    </row>
    <row r="152" spans="2:8" s="62" customFormat="1" ht="24.75" hidden="1" customHeight="1" thickBot="1" x14ac:dyDescent="0.4">
      <c r="B152" s="59"/>
      <c r="C152" s="206" t="s">
        <v>0</v>
      </c>
      <c r="D152" s="103"/>
      <c r="E152" s="253"/>
      <c r="F152" s="250"/>
      <c r="G152" s="235"/>
      <c r="H152" s="70">
        <f t="shared" ref="H152:H159" si="12">SUM(D152:G152)</f>
        <v>0</v>
      </c>
    </row>
    <row r="153" spans="2:8" s="62" customFormat="1" ht="15.75" hidden="1" customHeight="1" thickBot="1" x14ac:dyDescent="0.4">
      <c r="B153" s="59"/>
      <c r="C153" s="206" t="s">
        <v>1</v>
      </c>
      <c r="D153" s="103"/>
      <c r="E153" s="254"/>
      <c r="F153" s="251"/>
      <c r="G153" s="236"/>
      <c r="H153" s="70">
        <f t="shared" si="12"/>
        <v>0</v>
      </c>
    </row>
    <row r="154" spans="2:8" s="62" customFormat="1" ht="31.5" hidden="1" thickBot="1" x14ac:dyDescent="0.4">
      <c r="B154" s="59"/>
      <c r="C154" s="206" t="s">
        <v>2</v>
      </c>
      <c r="D154" s="103"/>
      <c r="E154" s="255"/>
      <c r="F154" s="252"/>
      <c r="G154" s="237"/>
      <c r="H154" s="70">
        <f t="shared" si="12"/>
        <v>0</v>
      </c>
    </row>
    <row r="155" spans="2:8" s="62" customFormat="1" ht="15.75" hidden="1" customHeight="1" thickBot="1" x14ac:dyDescent="0.4">
      <c r="B155" s="59"/>
      <c r="C155" s="207" t="s">
        <v>3</v>
      </c>
      <c r="D155" s="103"/>
      <c r="E155" s="255"/>
      <c r="F155" s="252"/>
      <c r="G155" s="237"/>
      <c r="H155" s="70">
        <f t="shared" si="12"/>
        <v>0</v>
      </c>
    </row>
    <row r="156" spans="2:8" s="62" customFormat="1" ht="15.75" hidden="1" customHeight="1" thickBot="1" x14ac:dyDescent="0.4">
      <c r="B156" s="59"/>
      <c r="C156" s="206" t="s">
        <v>6</v>
      </c>
      <c r="D156" s="103"/>
      <c r="E156" s="255"/>
      <c r="F156" s="252"/>
      <c r="G156" s="237"/>
      <c r="H156" s="70">
        <f>SUM(D156:G156)</f>
        <v>0</v>
      </c>
    </row>
    <row r="157" spans="2:8" s="62" customFormat="1" ht="15.75" hidden="1" customHeight="1" thickBot="1" x14ac:dyDescent="0.4">
      <c r="B157" s="59"/>
      <c r="C157" s="206" t="s">
        <v>4</v>
      </c>
      <c r="D157" s="103"/>
      <c r="E157" s="255"/>
      <c r="F157" s="252"/>
      <c r="G157" s="237"/>
      <c r="H157" s="70">
        <f t="shared" si="12"/>
        <v>0</v>
      </c>
    </row>
    <row r="158" spans="2:8" s="62" customFormat="1" ht="15.75" hidden="1" customHeight="1" thickBot="1" x14ac:dyDescent="0.4">
      <c r="B158" s="59"/>
      <c r="C158" s="206" t="s">
        <v>20</v>
      </c>
      <c r="D158" s="103"/>
      <c r="E158" s="255"/>
      <c r="F158" s="252"/>
      <c r="G158" s="237"/>
      <c r="H158" s="70">
        <f t="shared" si="12"/>
        <v>0</v>
      </c>
    </row>
    <row r="159" spans="2:8" s="62" customFormat="1" ht="15.75" hidden="1" customHeight="1" thickBot="1" x14ac:dyDescent="0.4">
      <c r="B159" s="59"/>
      <c r="C159" s="61" t="s">
        <v>21</v>
      </c>
      <c r="D159" s="71">
        <f>SUM(D152:D158)</f>
        <v>0</v>
      </c>
      <c r="E159" s="71">
        <f>SUM(E152:E158)</f>
        <v>0</v>
      </c>
      <c r="F159" s="71">
        <f>SUM(F152:F158)</f>
        <v>0</v>
      </c>
      <c r="G159" s="71">
        <f>SUM(G152:G158)</f>
        <v>0</v>
      </c>
      <c r="H159" s="70">
        <f t="shared" si="12"/>
        <v>0</v>
      </c>
    </row>
    <row r="160" spans="2:8" s="60" customFormat="1" ht="15.75" hidden="1" customHeight="1" x14ac:dyDescent="0.35">
      <c r="C160" s="72"/>
      <c r="D160" s="73"/>
      <c r="E160" s="73"/>
      <c r="F160" s="73"/>
      <c r="G160" s="73"/>
      <c r="H160" s="74"/>
    </row>
    <row r="161" spans="3:8" s="62" customFormat="1" ht="15.75" hidden="1" customHeight="1" x14ac:dyDescent="0.35">
      <c r="C161" s="325" t="s">
        <v>507</v>
      </c>
      <c r="D161" s="326"/>
      <c r="E161" s="326"/>
      <c r="F161" s="326"/>
      <c r="G161" s="326"/>
      <c r="H161" s="327"/>
    </row>
    <row r="162" spans="3:8" s="62" customFormat="1" ht="21" hidden="1" customHeight="1" thickBot="1" x14ac:dyDescent="0.4">
      <c r="C162" s="68" t="s">
        <v>554</v>
      </c>
      <c r="D162" s="69">
        <f>'1) Budget Table'!D161</f>
        <v>0</v>
      </c>
      <c r="E162" s="69">
        <f>'1) Budget Table'!E161</f>
        <v>0</v>
      </c>
      <c r="F162" s="69">
        <f>'1) Budget Table'!F161</f>
        <v>0</v>
      </c>
      <c r="G162" s="69">
        <f>'1) Budget Table'!G161</f>
        <v>0</v>
      </c>
      <c r="H162" s="70">
        <f>SUM(D162:G162)</f>
        <v>0</v>
      </c>
    </row>
    <row r="163" spans="3:8" s="62" customFormat="1" ht="15.75" hidden="1" customHeight="1" thickBot="1" x14ac:dyDescent="0.4">
      <c r="C163" s="206" t="s">
        <v>0</v>
      </c>
      <c r="D163" s="103"/>
      <c r="E163" s="253"/>
      <c r="F163" s="102"/>
      <c r="G163" s="102"/>
      <c r="H163" s="70">
        <f t="shared" ref="H163:H170" si="13">SUM(D163:G163)</f>
        <v>0</v>
      </c>
    </row>
    <row r="164" spans="3:8" s="62" customFormat="1" ht="15.75" hidden="1" customHeight="1" thickBot="1" x14ac:dyDescent="0.4">
      <c r="C164" s="206" t="s">
        <v>1</v>
      </c>
      <c r="D164" s="103"/>
      <c r="E164" s="254"/>
      <c r="F164" s="20"/>
      <c r="G164" s="20"/>
      <c r="H164" s="70">
        <f t="shared" si="13"/>
        <v>0</v>
      </c>
    </row>
    <row r="165" spans="3:8" s="62" customFormat="1" ht="15.75" hidden="1" customHeight="1" thickBot="1" x14ac:dyDescent="0.4">
      <c r="C165" s="206" t="s">
        <v>2</v>
      </c>
      <c r="D165" s="103"/>
      <c r="E165" s="255"/>
      <c r="F165" s="103"/>
      <c r="G165" s="103"/>
      <c r="H165" s="70">
        <f t="shared" si="13"/>
        <v>0</v>
      </c>
    </row>
    <row r="166" spans="3:8" s="62" customFormat="1" ht="15.75" hidden="1" customHeight="1" thickBot="1" x14ac:dyDescent="0.4">
      <c r="C166" s="207" t="s">
        <v>3</v>
      </c>
      <c r="D166" s="103"/>
      <c r="E166" s="255"/>
      <c r="F166" s="103"/>
      <c r="G166" s="103"/>
      <c r="H166" s="70">
        <f t="shared" si="13"/>
        <v>0</v>
      </c>
    </row>
    <row r="167" spans="3:8" s="62" customFormat="1" ht="15.75" hidden="1" customHeight="1" thickBot="1" x14ac:dyDescent="0.4">
      <c r="C167" s="206" t="s">
        <v>6</v>
      </c>
      <c r="D167" s="103"/>
      <c r="E167" s="255"/>
      <c r="F167" s="103"/>
      <c r="G167" s="103"/>
      <c r="H167" s="70">
        <f t="shared" si="13"/>
        <v>0</v>
      </c>
    </row>
    <row r="168" spans="3:8" s="62" customFormat="1" ht="15.75" hidden="1" customHeight="1" thickBot="1" x14ac:dyDescent="0.4">
      <c r="C168" s="206" t="s">
        <v>4</v>
      </c>
      <c r="D168" s="103"/>
      <c r="E168" s="255"/>
      <c r="F168" s="103"/>
      <c r="G168" s="103"/>
      <c r="H168" s="70">
        <f t="shared" si="13"/>
        <v>0</v>
      </c>
    </row>
    <row r="169" spans="3:8" s="62" customFormat="1" ht="15.75" hidden="1" customHeight="1" thickBot="1" x14ac:dyDescent="0.4">
      <c r="C169" s="206" t="s">
        <v>20</v>
      </c>
      <c r="D169" s="103"/>
      <c r="E169" s="255"/>
      <c r="F169" s="103"/>
      <c r="G169" s="103"/>
      <c r="H169" s="70">
        <f t="shared" si="13"/>
        <v>0</v>
      </c>
    </row>
    <row r="170" spans="3:8" s="62" customFormat="1" ht="15.75" hidden="1" customHeight="1" thickBot="1" x14ac:dyDescent="0.4">
      <c r="C170" s="61" t="s">
        <v>21</v>
      </c>
      <c r="D170" s="71">
        <f>SUM(D163:D169)</f>
        <v>0</v>
      </c>
      <c r="E170" s="71">
        <f>SUM(E163:E169)</f>
        <v>0</v>
      </c>
      <c r="F170" s="71">
        <f>SUM(F163:F169)</f>
        <v>0</v>
      </c>
      <c r="G170" s="71">
        <f>SUM(G163:G169)</f>
        <v>0</v>
      </c>
      <c r="H170" s="70">
        <f t="shared" si="13"/>
        <v>0</v>
      </c>
    </row>
    <row r="171" spans="3:8" s="60" customFormat="1" ht="15.75" hidden="1" customHeight="1" x14ac:dyDescent="0.35">
      <c r="C171" s="72"/>
      <c r="D171" s="73"/>
      <c r="E171" s="73"/>
      <c r="F171" s="73"/>
      <c r="G171" s="73"/>
      <c r="H171" s="74"/>
    </row>
    <row r="172" spans="3:8" s="62" customFormat="1" ht="15.75" hidden="1" customHeight="1" x14ac:dyDescent="0.35">
      <c r="C172" s="325" t="s">
        <v>516</v>
      </c>
      <c r="D172" s="326"/>
      <c r="E172" s="326"/>
      <c r="F172" s="326"/>
      <c r="G172" s="326"/>
      <c r="H172" s="327"/>
    </row>
    <row r="173" spans="3:8" s="62" customFormat="1" ht="19.5" hidden="1" customHeight="1" thickBot="1" x14ac:dyDescent="0.4">
      <c r="C173" s="68" t="s">
        <v>554</v>
      </c>
      <c r="D173" s="69">
        <f>'1) Budget Table'!D171</f>
        <v>0</v>
      </c>
      <c r="E173" s="69">
        <f>'1) Budget Table'!E171</f>
        <v>0</v>
      </c>
      <c r="F173" s="69">
        <f>'1) Budget Table'!F171</f>
        <v>0</v>
      </c>
      <c r="G173" s="69">
        <f>'1) Budget Table'!G171</f>
        <v>0</v>
      </c>
      <c r="H173" s="70">
        <f>SUM(D173:G173)</f>
        <v>0</v>
      </c>
    </row>
    <row r="174" spans="3:8" s="62" customFormat="1" ht="15.75" hidden="1" customHeight="1" thickBot="1" x14ac:dyDescent="0.4">
      <c r="C174" s="206" t="s">
        <v>0</v>
      </c>
      <c r="D174" s="103"/>
      <c r="E174" s="102"/>
      <c r="F174" s="102"/>
      <c r="G174" s="102"/>
      <c r="H174" s="70">
        <f t="shared" ref="H174:H181" si="14">SUM(D174:G174)</f>
        <v>0</v>
      </c>
    </row>
    <row r="175" spans="3:8" s="62" customFormat="1" ht="15.75" hidden="1" customHeight="1" thickBot="1" x14ac:dyDescent="0.4">
      <c r="C175" s="206" t="s">
        <v>1</v>
      </c>
      <c r="D175" s="103"/>
      <c r="E175" s="20"/>
      <c r="F175" s="20"/>
      <c r="G175" s="20"/>
      <c r="H175" s="70">
        <f>SUM(D175:G175)</f>
        <v>0</v>
      </c>
    </row>
    <row r="176" spans="3:8" s="62" customFormat="1" ht="15.75" hidden="1" customHeight="1" thickBot="1" x14ac:dyDescent="0.4">
      <c r="C176" s="206" t="s">
        <v>2</v>
      </c>
      <c r="D176" s="103"/>
      <c r="E176" s="103"/>
      <c r="F176" s="103"/>
      <c r="G176" s="103"/>
      <c r="H176" s="70">
        <f t="shared" si="14"/>
        <v>0</v>
      </c>
    </row>
    <row r="177" spans="3:8" s="62" customFormat="1" ht="15.75" hidden="1" customHeight="1" thickBot="1" x14ac:dyDescent="0.4">
      <c r="C177" s="207" t="s">
        <v>3</v>
      </c>
      <c r="D177" s="103"/>
      <c r="E177" s="103"/>
      <c r="F177" s="103"/>
      <c r="G177" s="103"/>
      <c r="H177" s="70">
        <f t="shared" si="14"/>
        <v>0</v>
      </c>
    </row>
    <row r="178" spans="3:8" s="62" customFormat="1" ht="15.75" hidden="1" customHeight="1" thickBot="1" x14ac:dyDescent="0.4">
      <c r="C178" s="206" t="s">
        <v>6</v>
      </c>
      <c r="D178" s="103"/>
      <c r="E178" s="103"/>
      <c r="F178" s="103"/>
      <c r="G178" s="103"/>
      <c r="H178" s="70">
        <f t="shared" si="14"/>
        <v>0</v>
      </c>
    </row>
    <row r="179" spans="3:8" s="62" customFormat="1" ht="15.75" hidden="1" customHeight="1" thickBot="1" x14ac:dyDescent="0.4">
      <c r="C179" s="206" t="s">
        <v>4</v>
      </c>
      <c r="D179" s="103"/>
      <c r="E179" s="103"/>
      <c r="F179" s="103"/>
      <c r="G179" s="103"/>
      <c r="H179" s="70">
        <f t="shared" si="14"/>
        <v>0</v>
      </c>
    </row>
    <row r="180" spans="3:8" s="62" customFormat="1" ht="15.75" hidden="1" customHeight="1" thickBot="1" x14ac:dyDescent="0.4">
      <c r="C180" s="206" t="s">
        <v>20</v>
      </c>
      <c r="D180" s="103"/>
      <c r="E180" s="103"/>
      <c r="F180" s="103"/>
      <c r="G180" s="103"/>
      <c r="H180" s="70">
        <f t="shared" si="14"/>
        <v>0</v>
      </c>
    </row>
    <row r="181" spans="3:8" s="62" customFormat="1" ht="15.75" hidden="1" customHeight="1" thickBot="1" x14ac:dyDescent="0.4">
      <c r="C181" s="61" t="s">
        <v>21</v>
      </c>
      <c r="D181" s="71">
        <f>SUM(D174:D180)</f>
        <v>0</v>
      </c>
      <c r="E181" s="71">
        <f>SUM(E174:E180)</f>
        <v>0</v>
      </c>
      <c r="F181" s="71">
        <f>SUM(F174:F180)</f>
        <v>0</v>
      </c>
      <c r="G181" s="71">
        <f>SUM(G174:G180)</f>
        <v>0</v>
      </c>
      <c r="H181" s="70">
        <f t="shared" si="14"/>
        <v>0</v>
      </c>
    </row>
    <row r="182" spans="3:8" s="60" customFormat="1" ht="15.75" hidden="1" customHeight="1" x14ac:dyDescent="0.35">
      <c r="C182" s="72"/>
      <c r="D182" s="73"/>
      <c r="E182" s="73"/>
      <c r="F182" s="73"/>
      <c r="G182" s="73"/>
      <c r="H182" s="74"/>
    </row>
    <row r="183" spans="3:8" s="62" customFormat="1" ht="15.75" hidden="1" customHeight="1" x14ac:dyDescent="0.35">
      <c r="C183" s="325" t="s">
        <v>525</v>
      </c>
      <c r="D183" s="326"/>
      <c r="E183" s="326"/>
      <c r="F183" s="326"/>
      <c r="G183" s="326"/>
      <c r="H183" s="327"/>
    </row>
    <row r="184" spans="3:8" s="62" customFormat="1" ht="22.5" hidden="1" customHeight="1" thickBot="1" x14ac:dyDescent="0.4">
      <c r="C184" s="68" t="s">
        <v>554</v>
      </c>
      <c r="D184" s="69">
        <f>'1) Budget Table'!D181</f>
        <v>0</v>
      </c>
      <c r="E184" s="69">
        <f>'1) Budget Table'!E181</f>
        <v>0</v>
      </c>
      <c r="F184" s="69">
        <f>'1) Budget Table'!F181</f>
        <v>0</v>
      </c>
      <c r="G184" s="69">
        <f>'1) Budget Table'!G181</f>
        <v>0</v>
      </c>
      <c r="H184" s="70">
        <f>SUM(D184:G184)</f>
        <v>0</v>
      </c>
    </row>
    <row r="185" spans="3:8" s="62" customFormat="1" ht="15.75" hidden="1" customHeight="1" thickBot="1" x14ac:dyDescent="0.4">
      <c r="C185" s="206" t="s">
        <v>0</v>
      </c>
      <c r="D185" s="101"/>
      <c r="E185" s="102"/>
      <c r="F185" s="102"/>
      <c r="G185" s="102"/>
      <c r="H185" s="70">
        <f t="shared" ref="H185:H192" si="15">SUM(D185:G185)</f>
        <v>0</v>
      </c>
    </row>
    <row r="186" spans="3:8" s="62" customFormat="1" ht="15.75" hidden="1" customHeight="1" thickBot="1" x14ac:dyDescent="0.4">
      <c r="C186" s="206" t="s">
        <v>1</v>
      </c>
      <c r="D186" s="103"/>
      <c r="E186" s="20"/>
      <c r="F186" s="20"/>
      <c r="G186" s="20"/>
      <c r="H186" s="70">
        <f t="shared" si="15"/>
        <v>0</v>
      </c>
    </row>
    <row r="187" spans="3:8" s="62" customFormat="1" ht="15.75" hidden="1" customHeight="1" thickBot="1" x14ac:dyDescent="0.4">
      <c r="C187" s="206" t="s">
        <v>2</v>
      </c>
      <c r="D187" s="103"/>
      <c r="E187" s="103"/>
      <c r="F187" s="103"/>
      <c r="G187" s="103"/>
      <c r="H187" s="70">
        <f t="shared" si="15"/>
        <v>0</v>
      </c>
    </row>
    <row r="188" spans="3:8" s="62" customFormat="1" ht="15.75" hidden="1" customHeight="1" thickBot="1" x14ac:dyDescent="0.4">
      <c r="C188" s="207" t="s">
        <v>3</v>
      </c>
      <c r="D188" s="103"/>
      <c r="E188" s="103"/>
      <c r="F188" s="103"/>
      <c r="G188" s="103"/>
      <c r="H188" s="70">
        <f t="shared" si="15"/>
        <v>0</v>
      </c>
    </row>
    <row r="189" spans="3:8" s="62" customFormat="1" ht="15.75" hidden="1" customHeight="1" thickBot="1" x14ac:dyDescent="0.4">
      <c r="C189" s="206" t="s">
        <v>6</v>
      </c>
      <c r="D189" s="103"/>
      <c r="E189" s="103"/>
      <c r="F189" s="103"/>
      <c r="G189" s="103"/>
      <c r="H189" s="70">
        <f t="shared" si="15"/>
        <v>0</v>
      </c>
    </row>
    <row r="190" spans="3:8" s="62" customFormat="1" ht="15.75" hidden="1" customHeight="1" thickBot="1" x14ac:dyDescent="0.4">
      <c r="C190" s="206" t="s">
        <v>4</v>
      </c>
      <c r="D190" s="103"/>
      <c r="E190" s="103"/>
      <c r="F190" s="103"/>
      <c r="G190" s="103"/>
      <c r="H190" s="70">
        <f t="shared" si="15"/>
        <v>0</v>
      </c>
    </row>
    <row r="191" spans="3:8" s="62" customFormat="1" ht="15.75" hidden="1" customHeight="1" thickBot="1" x14ac:dyDescent="0.4">
      <c r="C191" s="206" t="s">
        <v>20</v>
      </c>
      <c r="D191" s="103"/>
      <c r="E191" s="103"/>
      <c r="F191" s="103"/>
      <c r="G191" s="103"/>
      <c r="H191" s="70">
        <f>SUM(D191:G191)</f>
        <v>0</v>
      </c>
    </row>
    <row r="192" spans="3:8" s="62" customFormat="1" ht="15.75" hidden="1" customHeight="1" thickBot="1" x14ac:dyDescent="0.4">
      <c r="C192" s="61" t="s">
        <v>21</v>
      </c>
      <c r="D192" s="71">
        <f>SUM(D185:D191)</f>
        <v>0</v>
      </c>
      <c r="E192" s="71">
        <f>SUM(E185:E191)</f>
        <v>0</v>
      </c>
      <c r="F192" s="71">
        <f>SUM(F185:F191)</f>
        <v>0</v>
      </c>
      <c r="G192" s="71">
        <f>SUM(G185:G191)</f>
        <v>0</v>
      </c>
      <c r="H192" s="70">
        <f t="shared" si="15"/>
        <v>0</v>
      </c>
    </row>
    <row r="193" spans="3:8" s="62" customFormat="1" ht="15.75" customHeight="1" x14ac:dyDescent="0.35">
      <c r="C193" s="59"/>
      <c r="D193" s="60"/>
      <c r="E193" s="60"/>
      <c r="F193" s="60"/>
      <c r="G193" s="60"/>
      <c r="H193" s="59"/>
    </row>
    <row r="194" spans="3:8" s="62" customFormat="1" ht="15.75" customHeight="1" x14ac:dyDescent="0.35">
      <c r="C194" s="325" t="s">
        <v>563</v>
      </c>
      <c r="D194" s="326"/>
      <c r="E194" s="326"/>
      <c r="F194" s="326"/>
      <c r="G194" s="326"/>
      <c r="H194" s="327"/>
    </row>
    <row r="195" spans="3:8" s="62" customFormat="1" ht="36" customHeight="1" thickBot="1" x14ac:dyDescent="0.4">
      <c r="C195" s="68" t="s">
        <v>564</v>
      </c>
      <c r="D195" s="69">
        <f>'1) Budget Table'!D188</f>
        <v>338909</v>
      </c>
      <c r="E195" s="69">
        <f>'1) Budget Table'!E188</f>
        <v>30440</v>
      </c>
      <c r="F195" s="69">
        <f>'1) Budget Table'!F188</f>
        <v>35000</v>
      </c>
      <c r="G195" s="69">
        <f>'1) Budget Table'!G188</f>
        <v>87776</v>
      </c>
      <c r="H195" s="70">
        <f>SUM(D195:G195)</f>
        <v>492125</v>
      </c>
    </row>
    <row r="196" spans="3:8" s="62" customFormat="1" ht="15.75" customHeight="1" thickBot="1" x14ac:dyDescent="0.4">
      <c r="C196" s="203" t="s">
        <v>0</v>
      </c>
      <c r="D196" s="101">
        <f>156909+33242+4209</f>
        <v>194360</v>
      </c>
      <c r="E196" s="264">
        <v>2340</v>
      </c>
      <c r="F196" s="250">
        <v>0</v>
      </c>
      <c r="G196" s="273">
        <v>25576</v>
      </c>
      <c r="H196" s="70">
        <f t="shared" ref="H196:H202" si="16">SUM(D196:G196)</f>
        <v>222276</v>
      </c>
    </row>
    <row r="197" spans="3:8" s="62" customFormat="1" ht="15.75" customHeight="1" thickBot="1" x14ac:dyDescent="0.4">
      <c r="C197" s="204" t="s">
        <v>1</v>
      </c>
      <c r="D197" s="103">
        <v>0</v>
      </c>
      <c r="E197" s="265"/>
      <c r="F197" s="251">
        <v>0</v>
      </c>
      <c r="G197" s="236">
        <v>22200</v>
      </c>
      <c r="H197" s="70">
        <f t="shared" si="16"/>
        <v>22200</v>
      </c>
    </row>
    <row r="198" spans="3:8" s="62" customFormat="1" ht="15.75" customHeight="1" thickBot="1" x14ac:dyDescent="0.4">
      <c r="C198" s="204" t="s">
        <v>2</v>
      </c>
      <c r="D198" s="103">
        <v>0</v>
      </c>
      <c r="E198" s="266"/>
      <c r="F198" s="252"/>
      <c r="G198" s="237">
        <v>10000</v>
      </c>
      <c r="H198" s="70">
        <f>SUM(D198:G198)</f>
        <v>10000</v>
      </c>
    </row>
    <row r="199" spans="3:8" s="62" customFormat="1" ht="15.75" customHeight="1" thickBot="1" x14ac:dyDescent="0.4">
      <c r="C199" s="58" t="s">
        <v>3</v>
      </c>
      <c r="D199" s="103">
        <f>17000+10000+16000+21600</f>
        <v>64600</v>
      </c>
      <c r="E199" s="266">
        <v>5600</v>
      </c>
      <c r="F199" s="252">
        <v>6462</v>
      </c>
      <c r="G199" s="237">
        <v>0</v>
      </c>
      <c r="H199" s="70">
        <f t="shared" si="16"/>
        <v>76662</v>
      </c>
    </row>
    <row r="200" spans="3:8" s="62" customFormat="1" ht="15.75" customHeight="1" thickBot="1" x14ac:dyDescent="0.4">
      <c r="C200" s="204" t="s">
        <v>6</v>
      </c>
      <c r="D200" s="103">
        <v>5949</v>
      </c>
      <c r="E200" s="266">
        <v>8700</v>
      </c>
      <c r="F200" s="252">
        <v>20000</v>
      </c>
      <c r="G200" s="237">
        <v>20000</v>
      </c>
      <c r="H200" s="70">
        <f t="shared" si="16"/>
        <v>54649</v>
      </c>
    </row>
    <row r="201" spans="3:8" s="62" customFormat="1" ht="15.75" customHeight="1" thickBot="1" x14ac:dyDescent="0.4">
      <c r="C201" s="204" t="s">
        <v>4</v>
      </c>
      <c r="D201" s="103">
        <v>0</v>
      </c>
      <c r="E201" s="266"/>
      <c r="F201" s="252">
        <v>0</v>
      </c>
      <c r="G201" s="237">
        <v>0</v>
      </c>
      <c r="H201" s="70">
        <f t="shared" si="16"/>
        <v>0</v>
      </c>
    </row>
    <row r="202" spans="3:8" s="62" customFormat="1" ht="15.75" customHeight="1" thickBot="1" x14ac:dyDescent="0.4">
      <c r="C202" s="204" t="s">
        <v>20</v>
      </c>
      <c r="D202" s="103">
        <v>74000</v>
      </c>
      <c r="E202" s="266">
        <v>13800</v>
      </c>
      <c r="F202" s="252">
        <v>8538</v>
      </c>
      <c r="G202" s="237">
        <v>10000</v>
      </c>
      <c r="H202" s="70">
        <f t="shared" si="16"/>
        <v>106338</v>
      </c>
    </row>
    <row r="203" spans="3:8" s="62" customFormat="1" ht="15.75" customHeight="1" thickBot="1" x14ac:dyDescent="0.4">
      <c r="C203" s="61" t="s">
        <v>21</v>
      </c>
      <c r="D203" s="71">
        <f>SUM(D196:D202)</f>
        <v>338909</v>
      </c>
      <c r="E203" s="71">
        <f>SUM(E196:E202)</f>
        <v>30440</v>
      </c>
      <c r="F203" s="71">
        <f>SUM(F196:F202)</f>
        <v>35000</v>
      </c>
      <c r="G203" s="71">
        <f>SUM(G196:G202)</f>
        <v>87776</v>
      </c>
      <c r="H203" s="70">
        <f>SUM(D203:G203)</f>
        <v>492125</v>
      </c>
    </row>
    <row r="204" spans="3:8" s="62" customFormat="1" ht="15.75" customHeight="1" thickBot="1" x14ac:dyDescent="0.4">
      <c r="C204" s="59"/>
      <c r="D204" s="60"/>
      <c r="E204" s="60"/>
      <c r="F204" s="60"/>
      <c r="G204" s="60"/>
      <c r="H204" s="59"/>
    </row>
    <row r="205" spans="3:8" s="62" customFormat="1" ht="19.5" customHeight="1" thickBot="1" x14ac:dyDescent="0.4">
      <c r="C205" s="344" t="s">
        <v>13</v>
      </c>
      <c r="D205" s="345"/>
      <c r="E205" s="345"/>
      <c r="F205" s="345"/>
      <c r="G205" s="345"/>
      <c r="H205" s="346"/>
    </row>
    <row r="206" spans="3:8" s="62" customFormat="1" ht="42.75" customHeight="1" x14ac:dyDescent="0.35">
      <c r="C206" s="79"/>
      <c r="D206" s="189" t="s">
        <v>576</v>
      </c>
      <c r="E206" s="189" t="s">
        <v>577</v>
      </c>
      <c r="F206" s="189" t="s">
        <v>578</v>
      </c>
      <c r="G206" s="189" t="s">
        <v>579</v>
      </c>
      <c r="H206" s="336" t="s">
        <v>13</v>
      </c>
    </row>
    <row r="207" spans="3:8" s="62" customFormat="1" ht="19.5" customHeight="1" x14ac:dyDescent="0.35">
      <c r="C207" s="152"/>
      <c r="D207" s="187" t="str">
        <f>'1) Budget Table'!D13</f>
        <v>UNDP</v>
      </c>
      <c r="E207" s="187" t="str">
        <f>'1) Budget Table'!E13</f>
        <v>IOM</v>
      </c>
      <c r="F207" s="187" t="str">
        <f>'1) Budget Table'!F13</f>
        <v>UNFPA</v>
      </c>
      <c r="G207" s="187" t="str">
        <f>'1) Budget Table'!G13</f>
        <v>UN Women</v>
      </c>
      <c r="H207" s="337"/>
    </row>
    <row r="208" spans="3:8" s="62" customFormat="1" ht="19.5" customHeight="1" x14ac:dyDescent="0.35">
      <c r="C208" s="215" t="s">
        <v>0</v>
      </c>
      <c r="D208" s="80">
        <f>SUM(D185,D174,D163,D152,D140,D129,D118,D107,D95,D84,D73,D62,D50,D39,D28,D17,D196)</f>
        <v>793778</v>
      </c>
      <c r="E208" s="80">
        <f>SUM(E185,E174,E163,E152,E140,E129,E118,E107,E95,E84,E73,E62,E50,E39,E28,E17,E196)</f>
        <v>110700</v>
      </c>
      <c r="F208" s="80">
        <f t="shared" ref="F208" si="17">SUM(F185,F174,F163,F152,F140,F129,F118,F107,F95,F84,F73,F62,F50,F39,F28,F17,F196)</f>
        <v>55000</v>
      </c>
      <c r="G208" s="80">
        <f t="shared" ref="G208:G214" si="18">SUM(G185,G174,G163,G152,G140,G129,G118,G107,G95,G84,G73,G62,G50,G39,G28,G17,G196)</f>
        <v>25576</v>
      </c>
      <c r="H208" s="77">
        <f t="shared" ref="H208:H215" si="19">SUM(D208:G208)</f>
        <v>985054</v>
      </c>
    </row>
    <row r="209" spans="3:15" s="62" customFormat="1" ht="34.5" customHeight="1" x14ac:dyDescent="0.35">
      <c r="C209" s="215" t="s">
        <v>1</v>
      </c>
      <c r="D209" s="80">
        <f>SUM(D186,D175,D164,D153,D141,D130,D119,D108,D96,D85,D74,D63,D51,D40,D29,D18,D197)</f>
        <v>271000</v>
      </c>
      <c r="E209" s="80">
        <f t="shared" ref="E209:F209" si="20">SUM(E186,E175,E164,E153,E141,E130,E119,E108,E96,E85,E74,E63,E51,E40,E29,E18,E197)</f>
        <v>32867.31</v>
      </c>
      <c r="F209" s="80">
        <f t="shared" si="20"/>
        <v>47000</v>
      </c>
      <c r="G209" s="80">
        <f t="shared" si="18"/>
        <v>62200</v>
      </c>
      <c r="H209" s="77">
        <f t="shared" si="19"/>
        <v>413067.31</v>
      </c>
    </row>
    <row r="210" spans="3:15" s="62" customFormat="1" ht="48" customHeight="1" x14ac:dyDescent="0.35">
      <c r="C210" s="215" t="s">
        <v>2</v>
      </c>
      <c r="D210" s="80">
        <f t="shared" ref="D210:F214" si="21">SUM(D187,D176,D165,D154,D142,D131,D120,D109,D97,D86,D75,D64,D52,D41,D30,D19,D198)</f>
        <v>59647</v>
      </c>
      <c r="E210" s="80">
        <f t="shared" si="21"/>
        <v>1499.99</v>
      </c>
      <c r="F210" s="80">
        <f t="shared" si="21"/>
        <v>35000</v>
      </c>
      <c r="G210" s="80">
        <f t="shared" si="18"/>
        <v>30793</v>
      </c>
      <c r="H210" s="77">
        <f t="shared" si="19"/>
        <v>126939.98999999999</v>
      </c>
    </row>
    <row r="211" spans="3:15" s="62" customFormat="1" ht="33" customHeight="1" x14ac:dyDescent="0.35">
      <c r="C211" s="34" t="s">
        <v>3</v>
      </c>
      <c r="D211" s="80">
        <f t="shared" si="21"/>
        <v>404572</v>
      </c>
      <c r="E211" s="80">
        <f t="shared" si="21"/>
        <v>5600</v>
      </c>
      <c r="F211" s="80">
        <f t="shared" si="21"/>
        <v>81462</v>
      </c>
      <c r="G211" s="80">
        <f t="shared" si="18"/>
        <v>65000</v>
      </c>
      <c r="H211" s="77">
        <f t="shared" si="19"/>
        <v>556634</v>
      </c>
    </row>
    <row r="212" spans="3:15" s="62" customFormat="1" ht="21" customHeight="1" x14ac:dyDescent="0.35">
      <c r="C212" s="215" t="s">
        <v>6</v>
      </c>
      <c r="D212" s="80">
        <f t="shared" si="21"/>
        <v>27949</v>
      </c>
      <c r="E212" s="80">
        <f t="shared" si="21"/>
        <v>114560</v>
      </c>
      <c r="F212" s="80">
        <f t="shared" si="21"/>
        <v>107000</v>
      </c>
      <c r="G212" s="80">
        <f t="shared" si="18"/>
        <v>95000</v>
      </c>
      <c r="H212" s="77">
        <f t="shared" si="19"/>
        <v>344509</v>
      </c>
      <c r="I212" s="26"/>
      <c r="J212" s="26"/>
      <c r="K212" s="26"/>
      <c r="L212" s="26"/>
      <c r="M212" s="26"/>
      <c r="N212" s="25"/>
    </row>
    <row r="213" spans="3:15" s="62" customFormat="1" ht="39.75" customHeight="1" x14ac:dyDescent="0.35">
      <c r="C213" s="215" t="s">
        <v>4</v>
      </c>
      <c r="D213" s="80">
        <f t="shared" si="21"/>
        <v>230000</v>
      </c>
      <c r="E213" s="80">
        <f t="shared" si="21"/>
        <v>0</v>
      </c>
      <c r="F213" s="80">
        <f t="shared" si="21"/>
        <v>250000</v>
      </c>
      <c r="G213" s="80">
        <f t="shared" si="18"/>
        <v>311679.8</v>
      </c>
      <c r="H213" s="77">
        <f t="shared" si="19"/>
        <v>791679.8</v>
      </c>
      <c r="I213" s="26"/>
      <c r="J213" s="26"/>
      <c r="K213" s="26"/>
      <c r="L213" s="26"/>
      <c r="M213" s="26"/>
      <c r="N213" s="25"/>
    </row>
    <row r="214" spans="3:15" s="62" customFormat="1" ht="39.75" customHeight="1" x14ac:dyDescent="0.35">
      <c r="C214" s="215" t="s">
        <v>20</v>
      </c>
      <c r="D214" s="134">
        <f t="shared" si="21"/>
        <v>152458</v>
      </c>
      <c r="E214" s="134">
        <f t="shared" si="21"/>
        <v>272839.99</v>
      </c>
      <c r="F214" s="134">
        <f t="shared" si="21"/>
        <v>52135.199999999997</v>
      </c>
      <c r="G214" s="134">
        <f t="shared" si="18"/>
        <v>43000</v>
      </c>
      <c r="H214" s="77">
        <f t="shared" si="19"/>
        <v>520433.19</v>
      </c>
      <c r="I214" s="26"/>
      <c r="J214" s="26"/>
      <c r="K214" s="26"/>
      <c r="L214" s="26"/>
      <c r="M214" s="26"/>
      <c r="N214" s="25"/>
    </row>
    <row r="215" spans="3:15" s="62" customFormat="1" ht="22.5" customHeight="1" x14ac:dyDescent="0.35">
      <c r="C215" s="216" t="s">
        <v>566</v>
      </c>
      <c r="D215" s="135">
        <f>SUM(D208:D214)</f>
        <v>1939404</v>
      </c>
      <c r="E215" s="135">
        <f>SUM(E208:E214)</f>
        <v>538067.29</v>
      </c>
      <c r="F215" s="135">
        <f>SUM(F208:F214)</f>
        <v>627597.19999999995</v>
      </c>
      <c r="G215" s="135">
        <f>SUM(G208:G214)</f>
        <v>633248.80000000005</v>
      </c>
      <c r="H215" s="136">
        <f t="shared" si="19"/>
        <v>3738317.29</v>
      </c>
      <c r="I215" s="26"/>
      <c r="J215" s="26"/>
      <c r="K215" s="26"/>
      <c r="L215" s="26"/>
      <c r="M215" s="26"/>
      <c r="N215" s="25"/>
    </row>
    <row r="216" spans="3:15" s="62" customFormat="1" ht="26.25" customHeight="1" thickBot="1" x14ac:dyDescent="0.4">
      <c r="C216" s="217" t="s">
        <v>374</v>
      </c>
      <c r="D216" s="82">
        <f>D215*0.07</f>
        <v>135758.28</v>
      </c>
      <c r="E216" s="82">
        <f t="shared" ref="E216:F216" si="22">E215*0.07</f>
        <v>37664.710300000006</v>
      </c>
      <c r="F216" s="82">
        <f t="shared" si="22"/>
        <v>43931.804000000004</v>
      </c>
      <c r="G216" s="82">
        <f>G215*0.07</f>
        <v>44327.416000000005</v>
      </c>
      <c r="H216" s="139">
        <f>H215*0.07</f>
        <v>261682.21030000004</v>
      </c>
      <c r="I216" s="36"/>
      <c r="J216" s="36"/>
      <c r="K216" s="36"/>
      <c r="L216" s="36"/>
      <c r="M216" s="63"/>
      <c r="N216" s="60"/>
    </row>
    <row r="217" spans="3:15" s="62" customFormat="1" ht="23.25" customHeight="1" thickBot="1" x14ac:dyDescent="0.4">
      <c r="C217" s="137" t="s">
        <v>371</v>
      </c>
      <c r="D217" s="138">
        <f>SUM(D215:D216)</f>
        <v>2075162.28</v>
      </c>
      <c r="E217" s="138">
        <f>SUM(E215:E216)</f>
        <v>575732.00030000007</v>
      </c>
      <c r="F217" s="138">
        <f>SUM(F215:F216)</f>
        <v>671529.00399999996</v>
      </c>
      <c r="G217" s="138">
        <f>SUM(G215:G216)</f>
        <v>677576.21600000001</v>
      </c>
      <c r="H217" s="81">
        <f>SUM(H215:H216)</f>
        <v>3999999.5003</v>
      </c>
      <c r="I217" s="36"/>
      <c r="J217" s="36"/>
      <c r="K217" s="36"/>
      <c r="L217" s="36"/>
      <c r="M217" s="63"/>
      <c r="N217" s="60"/>
    </row>
    <row r="218" spans="3:15" ht="15.75" customHeight="1" x14ac:dyDescent="0.35">
      <c r="M218" s="64"/>
    </row>
    <row r="219" spans="3:15" ht="15.75" customHeight="1" x14ac:dyDescent="0.35">
      <c r="I219" s="46"/>
      <c r="J219" s="46"/>
      <c r="M219" s="64"/>
    </row>
    <row r="220" spans="3:15" ht="15.75" customHeight="1" x14ac:dyDescent="0.35">
      <c r="I220" s="46"/>
      <c r="J220" s="46"/>
      <c r="M220" s="62"/>
    </row>
    <row r="221" spans="3:15" ht="40.5" customHeight="1" x14ac:dyDescent="0.35">
      <c r="I221" s="46"/>
      <c r="J221" s="46"/>
      <c r="M221" s="65"/>
    </row>
    <row r="222" spans="3:15" ht="24.75" customHeight="1" x14ac:dyDescent="0.35">
      <c r="I222" s="46"/>
      <c r="J222" s="46"/>
      <c r="M222" s="65"/>
    </row>
    <row r="223" spans="3:15" ht="41.25" customHeight="1" x14ac:dyDescent="0.35">
      <c r="I223" s="13"/>
      <c r="J223" s="46"/>
      <c r="M223" s="65"/>
    </row>
    <row r="224" spans="3:15" ht="51.75" customHeight="1" x14ac:dyDescent="0.35">
      <c r="I224" s="13"/>
      <c r="J224" s="46"/>
      <c r="M224" s="65"/>
      <c r="O224" s="59"/>
    </row>
    <row r="225" spans="3:15" ht="42" customHeight="1" x14ac:dyDescent="0.35">
      <c r="I225" s="46"/>
      <c r="J225" s="46"/>
      <c r="M225" s="65"/>
      <c r="O225" s="59"/>
    </row>
    <row r="226" spans="3:15" s="60" customFormat="1" ht="42" customHeight="1" x14ac:dyDescent="0.35">
      <c r="C226" s="59"/>
      <c r="H226" s="59"/>
      <c r="I226" s="62"/>
      <c r="J226" s="46"/>
      <c r="K226" s="59"/>
      <c r="L226" s="59"/>
      <c r="M226" s="65"/>
      <c r="N226" s="59"/>
    </row>
    <row r="227" spans="3:15" s="60" customFormat="1" ht="42" customHeight="1" x14ac:dyDescent="0.35">
      <c r="C227" s="59"/>
      <c r="H227" s="59"/>
      <c r="I227" s="59"/>
      <c r="J227" s="46"/>
      <c r="K227" s="59"/>
      <c r="L227" s="59"/>
      <c r="M227" s="59"/>
      <c r="N227" s="59"/>
    </row>
    <row r="228" spans="3:15" s="60" customFormat="1" ht="63.75" customHeight="1" x14ac:dyDescent="0.35">
      <c r="C228" s="59"/>
      <c r="H228" s="59"/>
      <c r="I228" s="59"/>
      <c r="J228" s="64"/>
      <c r="K228" s="62"/>
      <c r="L228" s="62"/>
      <c r="M228" s="59"/>
      <c r="N228" s="59"/>
    </row>
    <row r="229" spans="3:15" s="60" customFormat="1" ht="42" customHeight="1" x14ac:dyDescent="0.35">
      <c r="C229" s="59"/>
      <c r="H229" s="59"/>
      <c r="I229" s="59"/>
      <c r="J229" s="59"/>
      <c r="K229" s="59"/>
      <c r="L229" s="59"/>
      <c r="M229" s="59"/>
      <c r="N229" s="64"/>
    </row>
    <row r="230" spans="3:15" ht="23.25" customHeight="1" x14ac:dyDescent="0.35">
      <c r="O230" s="59"/>
    </row>
    <row r="231" spans="3:15" ht="27.75" customHeight="1" x14ac:dyDescent="0.35">
      <c r="M231" s="62"/>
      <c r="O231" s="59"/>
    </row>
    <row r="232" spans="3:15" ht="55.5" customHeight="1" x14ac:dyDescent="0.35">
      <c r="O232" s="59"/>
    </row>
    <row r="233" spans="3:15" ht="57.75" customHeight="1" x14ac:dyDescent="0.35">
      <c r="N233" s="62"/>
      <c r="O233" s="59"/>
    </row>
    <row r="234" spans="3:15" ht="21.75" customHeight="1" x14ac:dyDescent="0.35">
      <c r="O234" s="59"/>
    </row>
    <row r="235" spans="3:15" ht="49.5" customHeight="1" x14ac:dyDescent="0.35">
      <c r="O235" s="59"/>
    </row>
    <row r="236" spans="3:15" ht="28.5" customHeight="1" x14ac:dyDescent="0.35">
      <c r="O236" s="59"/>
    </row>
    <row r="237" spans="3:15" ht="28.5" customHeight="1" x14ac:dyDescent="0.35">
      <c r="O237" s="59"/>
    </row>
    <row r="238" spans="3:15" ht="28.5" customHeight="1" x14ac:dyDescent="0.35">
      <c r="O238" s="59"/>
    </row>
    <row r="239" spans="3:15" ht="23.25" customHeight="1" x14ac:dyDescent="0.35">
      <c r="O239" s="64"/>
    </row>
    <row r="240" spans="3:15" ht="43.5" customHeight="1" x14ac:dyDescent="0.35">
      <c r="O240" s="64"/>
    </row>
    <row r="241" spans="3:15" ht="55.5" customHeight="1" x14ac:dyDescent="0.35">
      <c r="O241" s="59"/>
    </row>
    <row r="242" spans="3:15" ht="42.75" customHeight="1" x14ac:dyDescent="0.35">
      <c r="O242" s="64"/>
    </row>
    <row r="243" spans="3:15" ht="21.75" customHeight="1" x14ac:dyDescent="0.35">
      <c r="O243" s="64"/>
    </row>
    <row r="244" spans="3:15" ht="21.75" customHeight="1" x14ac:dyDescent="0.35">
      <c r="O244" s="64"/>
    </row>
    <row r="245" spans="3:15" s="62" customFormat="1" ht="23.25" customHeight="1" x14ac:dyDescent="0.35">
      <c r="C245" s="59"/>
      <c r="D245" s="60"/>
      <c r="E245" s="60"/>
      <c r="F245" s="60"/>
      <c r="G245" s="60"/>
      <c r="H245" s="59"/>
      <c r="I245" s="59"/>
      <c r="J245" s="59"/>
      <c r="K245" s="59"/>
      <c r="L245" s="59"/>
      <c r="M245" s="59"/>
      <c r="N245" s="59"/>
    </row>
    <row r="246" spans="3:15" ht="23.25" customHeight="1" x14ac:dyDescent="0.35"/>
    <row r="247" spans="3:15" ht="21.75" customHeight="1" x14ac:dyDescent="0.35"/>
    <row r="248" spans="3:15" ht="16.5" customHeight="1" x14ac:dyDescent="0.35"/>
    <row r="249" spans="3:15" ht="29.25" customHeight="1" x14ac:dyDescent="0.35"/>
    <row r="250" spans="3:15" ht="24.75" customHeight="1" x14ac:dyDescent="0.35"/>
    <row r="251" spans="3:15" ht="33" customHeight="1" x14ac:dyDescent="0.35"/>
    <row r="253" spans="3:15" ht="15" customHeight="1" x14ac:dyDescent="0.35"/>
    <row r="254" spans="3:15" ht="25.5" customHeight="1" x14ac:dyDescent="0.35"/>
  </sheetData>
  <sheetProtection sheet="1" insertColumns="0" insertRows="0" deleteRows="0"/>
  <mergeCells count="28">
    <mergeCell ref="C194:H194"/>
    <mergeCell ref="H206:H207"/>
    <mergeCell ref="C172:H172"/>
    <mergeCell ref="C183:H183"/>
    <mergeCell ref="C6:H8"/>
    <mergeCell ref="C161:H161"/>
    <mergeCell ref="C60:H60"/>
    <mergeCell ref="C105:H105"/>
    <mergeCell ref="C116:H116"/>
    <mergeCell ref="C127:H127"/>
    <mergeCell ref="C205:H205"/>
    <mergeCell ref="C138:H138"/>
    <mergeCell ref="B149:H149"/>
    <mergeCell ref="C150:H150"/>
    <mergeCell ref="C71:H71"/>
    <mergeCell ref="C82:H82"/>
    <mergeCell ref="C93:H93"/>
    <mergeCell ref="B104:H104"/>
    <mergeCell ref="C2:F2"/>
    <mergeCell ref="C10:F10"/>
    <mergeCell ref="B14:H14"/>
    <mergeCell ref="C15:H15"/>
    <mergeCell ref="B59:H59"/>
    <mergeCell ref="H12:H13"/>
    <mergeCell ref="C5:H5"/>
    <mergeCell ref="C26:H26"/>
    <mergeCell ref="C37:H37"/>
    <mergeCell ref="C48:H48"/>
  </mergeCells>
  <conditionalFormatting sqref="H24">
    <cfRule type="cellIs" dxfId="23" priority="18" operator="notEqual">
      <formula>$H$16</formula>
    </cfRule>
  </conditionalFormatting>
  <conditionalFormatting sqref="H35">
    <cfRule type="cellIs" dxfId="22" priority="17" operator="notEqual">
      <formula>$H$27</formula>
    </cfRule>
  </conditionalFormatting>
  <conditionalFormatting sqref="H46">
    <cfRule type="cellIs" dxfId="21" priority="16" operator="notEqual">
      <formula>$H$38</formula>
    </cfRule>
  </conditionalFormatting>
  <conditionalFormatting sqref="H57">
    <cfRule type="cellIs" dxfId="20" priority="15" operator="notEqual">
      <formula>$H$49</formula>
    </cfRule>
  </conditionalFormatting>
  <conditionalFormatting sqref="H69">
    <cfRule type="cellIs" dxfId="19" priority="14" operator="notEqual">
      <formula>$H$61</formula>
    </cfRule>
  </conditionalFormatting>
  <conditionalFormatting sqref="H80">
    <cfRule type="cellIs" dxfId="18" priority="13" operator="notEqual">
      <formula>$H$72</formula>
    </cfRule>
  </conditionalFormatting>
  <conditionalFormatting sqref="H91">
    <cfRule type="cellIs" dxfId="17" priority="12" operator="notEqual">
      <formula>$H$83</formula>
    </cfRule>
  </conditionalFormatting>
  <conditionalFormatting sqref="H102">
    <cfRule type="cellIs" dxfId="16" priority="11" operator="notEqual">
      <formula>$H$94</formula>
    </cfRule>
  </conditionalFormatting>
  <conditionalFormatting sqref="H114">
    <cfRule type="cellIs" dxfId="15" priority="10" operator="notEqual">
      <formula>$H$106</formula>
    </cfRule>
  </conditionalFormatting>
  <conditionalFormatting sqref="H125">
    <cfRule type="cellIs" dxfId="14" priority="9" operator="notEqual">
      <formula>$H$117</formula>
    </cfRule>
  </conditionalFormatting>
  <conditionalFormatting sqref="H136">
    <cfRule type="cellIs" dxfId="13" priority="8" operator="notEqual">
      <formula>$H$128</formula>
    </cfRule>
  </conditionalFormatting>
  <conditionalFormatting sqref="H147">
    <cfRule type="cellIs" dxfId="12" priority="7" operator="notEqual">
      <formula>$H$139</formula>
    </cfRule>
  </conditionalFormatting>
  <conditionalFormatting sqref="H159">
    <cfRule type="cellIs" dxfId="11" priority="6" operator="notEqual">
      <formula>$H$151</formula>
    </cfRule>
  </conditionalFormatting>
  <conditionalFormatting sqref="H170">
    <cfRule type="cellIs" dxfId="10" priority="5" operator="notEqual">
      <formula>$H$162</formula>
    </cfRule>
  </conditionalFormatting>
  <conditionalFormatting sqref="H181">
    <cfRule type="cellIs" dxfId="9" priority="4" operator="notEqual">
      <formula>$H$173</formula>
    </cfRule>
  </conditionalFormatting>
  <conditionalFormatting sqref="H192">
    <cfRule type="cellIs" dxfId="8" priority="3" operator="notEqual">
      <formula>$H$184</formula>
    </cfRule>
  </conditionalFormatting>
  <conditionalFormatting sqref="H203">
    <cfRule type="cellIs" dxfId="7" priority="2" operator="notEqual">
      <formula>$H$195</formula>
    </cfRule>
  </conditionalFormatting>
  <dataValidations count="7">
    <dataValidation allowBlank="1" showInputMessage="1" showErrorMessage="1" prompt=" Includes all general operating costs for running an office. Examples include telecommunication, rents, finance charges and other costs which cannot be mapped to other expense categories." sqref="C214 C202 C23 C34 C45 C56 C68 C79" xr:uid="{00000000-0002-0000-01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213 C201 C22 C33 C44 C55 C67 C78" xr:uid="{00000000-0002-0000-0100-000001000000}"/>
    <dataValidation allowBlank="1" showInputMessage="1" showErrorMessage="1" prompt="Services contracted by an organization which follow the normal procurement processes." sqref="C211 C199 C20 C31 C42 C53 C65 C76" xr:uid="{00000000-0002-0000-0100-000002000000}"/>
    <dataValidation allowBlank="1" showInputMessage="1" showErrorMessage="1" prompt="Includes staff and non-staff travel paid for by the organization directly related to a project." sqref="C212 C200 C21 C32 C43 C54 C66 C77" xr:uid="{00000000-0002-0000-01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210 C198 C19 C30 C41 C52 C64 C75" xr:uid="{00000000-0002-0000-01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209 C197 C18 C29 C40 C51 C63 C74" xr:uid="{00000000-0002-0000-0100-000005000000}"/>
    <dataValidation allowBlank="1" showInputMessage="1" showErrorMessage="1" prompt="Includes all related staff and temporary staff costs including base salary, post adjustment and all staff entitlements." sqref="C208 C196 C17 C28 C39 C50 C62 C73" xr:uid="{00000000-0002-0000-0100-000006000000}"/>
  </dataValidations>
  <pageMargins left="0.7" right="0.7" top="0.75" bottom="0.75" header="0.3" footer="0.3"/>
  <pageSetup scale="74" orientation="landscape" r:id="rId1"/>
  <rowBreaks count="1" manualBreakCount="1">
    <brk id="70"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6259D438-6EBB-49DE-A9F4-2D28ACA38D2E}">
            <xm:f>'1) Budget Table'!$H$201</xm:f>
            <x14:dxf>
              <font>
                <color rgb="FF9C0006"/>
              </font>
              <fill>
                <patternFill>
                  <bgColor rgb="FFFFC7CE"/>
                </patternFill>
              </fill>
            </x14:dxf>
          </x14:cfRule>
          <xm:sqref>H217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499984740745262"/>
  </sheetPr>
  <dimension ref="B1:F15"/>
  <sheetViews>
    <sheetView showGridLines="0" workbookViewId="0">
      <selection activeCell="D24" sqref="D24"/>
    </sheetView>
  </sheetViews>
  <sheetFormatPr defaultColWidth="8.81640625" defaultRowHeight="14.5" x14ac:dyDescent="0.35"/>
  <cols>
    <col min="2" max="2" width="73.453125" customWidth="1"/>
  </cols>
  <sheetData>
    <row r="1" spans="2:6" ht="15" thickBot="1" x14ac:dyDescent="0.4"/>
    <row r="2" spans="2:6" ht="15" thickBot="1" x14ac:dyDescent="0.4">
      <c r="B2" s="218" t="s">
        <v>567</v>
      </c>
      <c r="C2" s="1"/>
      <c r="D2" s="1"/>
      <c r="E2" s="1"/>
      <c r="F2" s="1"/>
    </row>
    <row r="3" spans="2:6" ht="29" x14ac:dyDescent="0.35">
      <c r="B3" s="219" t="s">
        <v>568</v>
      </c>
    </row>
    <row r="4" spans="2:6" x14ac:dyDescent="0.35">
      <c r="B4" s="219"/>
    </row>
    <row r="5" spans="2:6" ht="58" x14ac:dyDescent="0.35">
      <c r="B5" s="219" t="s">
        <v>569</v>
      </c>
    </row>
    <row r="6" spans="2:6" x14ac:dyDescent="0.35">
      <c r="B6" s="219"/>
    </row>
    <row r="7" spans="2:6" ht="58" x14ac:dyDescent="0.35">
      <c r="B7" s="219" t="s">
        <v>570</v>
      </c>
    </row>
    <row r="8" spans="2:6" x14ac:dyDescent="0.35">
      <c r="B8" s="219"/>
    </row>
    <row r="9" spans="2:6" ht="58" x14ac:dyDescent="0.35">
      <c r="B9" s="219" t="s">
        <v>571</v>
      </c>
    </row>
    <row r="10" spans="2:6" x14ac:dyDescent="0.35">
      <c r="B10" s="219"/>
    </row>
    <row r="11" spans="2:6" ht="29" x14ac:dyDescent="0.35">
      <c r="B11" s="219" t="s">
        <v>572</v>
      </c>
    </row>
    <row r="12" spans="2:6" x14ac:dyDescent="0.35">
      <c r="B12" s="219"/>
    </row>
    <row r="13" spans="2:6" ht="58" x14ac:dyDescent="0.35">
      <c r="B13" s="219" t="s">
        <v>573</v>
      </c>
    </row>
    <row r="14" spans="2:6" x14ac:dyDescent="0.35">
      <c r="B14" s="219"/>
    </row>
    <row r="15" spans="2:6" ht="44" thickBot="1" x14ac:dyDescent="0.4">
      <c r="B15" s="220" t="s">
        <v>574</v>
      </c>
    </row>
  </sheetData>
  <sheetProtection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D47"/>
  <sheetViews>
    <sheetView showGridLines="0" showZeros="0" zoomScale="80" zoomScaleNormal="80" zoomScaleSheetLayoutView="70" workbookViewId="0"/>
  </sheetViews>
  <sheetFormatPr defaultColWidth="8.81640625" defaultRowHeight="14.5" x14ac:dyDescent="0.35"/>
  <cols>
    <col min="2" max="2" width="61.81640625" customWidth="1"/>
    <col min="4" max="4" width="17.81640625" customWidth="1"/>
  </cols>
  <sheetData>
    <row r="1" spans="2:4" ht="15" thickBot="1" x14ac:dyDescent="0.4"/>
    <row r="2" spans="2:4" x14ac:dyDescent="0.35">
      <c r="B2" s="360" t="s">
        <v>372</v>
      </c>
      <c r="C2" s="361"/>
      <c r="D2" s="362"/>
    </row>
    <row r="3" spans="2:4" ht="15" thickBot="1" x14ac:dyDescent="0.4">
      <c r="B3" s="363"/>
      <c r="C3" s="364"/>
      <c r="D3" s="365"/>
    </row>
    <row r="4" spans="2:4" ht="15" thickBot="1" x14ac:dyDescent="0.4"/>
    <row r="5" spans="2:4" x14ac:dyDescent="0.35">
      <c r="B5" s="351" t="s">
        <v>22</v>
      </c>
      <c r="C5" s="352"/>
      <c r="D5" s="353"/>
    </row>
    <row r="6" spans="2:4" ht="15" thickBot="1" x14ac:dyDescent="0.4">
      <c r="B6" s="354"/>
      <c r="C6" s="355"/>
      <c r="D6" s="356"/>
    </row>
    <row r="7" spans="2:4" x14ac:dyDescent="0.35">
      <c r="B7" s="90" t="s">
        <v>23</v>
      </c>
      <c r="C7" s="349">
        <f>SUM('1) Budget Table'!D24:F24,'1) Budget Table'!D35:F35,'1) Budget Table'!D45:F45,'1) Budget Table'!D55:F55)</f>
        <v>1436054.3</v>
      </c>
      <c r="D7" s="350"/>
    </row>
    <row r="8" spans="2:4" x14ac:dyDescent="0.35">
      <c r="B8" s="90" t="s">
        <v>370</v>
      </c>
      <c r="C8" s="347">
        <f>SUM(D10:D14)</f>
        <v>0</v>
      </c>
      <c r="D8" s="348"/>
    </row>
    <row r="9" spans="2:4" x14ac:dyDescent="0.35">
      <c r="B9" s="91" t="s">
        <v>364</v>
      </c>
      <c r="C9" s="92" t="s">
        <v>365</v>
      </c>
      <c r="D9" s="93" t="s">
        <v>366</v>
      </c>
    </row>
    <row r="10" spans="2:4" ht="35" customHeight="1" x14ac:dyDescent="0.35">
      <c r="B10" s="115"/>
      <c r="C10" s="95"/>
      <c r="D10" s="96">
        <f>$C$7*C10</f>
        <v>0</v>
      </c>
    </row>
    <row r="11" spans="2:4" ht="35" customHeight="1" x14ac:dyDescent="0.35">
      <c r="B11" s="115"/>
      <c r="C11" s="95"/>
      <c r="D11" s="96">
        <f>C7*C11</f>
        <v>0</v>
      </c>
    </row>
    <row r="12" spans="2:4" ht="35" customHeight="1" x14ac:dyDescent="0.35">
      <c r="B12" s="116"/>
      <c r="C12" s="95"/>
      <c r="D12" s="96">
        <f>C7*C12</f>
        <v>0</v>
      </c>
    </row>
    <row r="13" spans="2:4" ht="35" customHeight="1" x14ac:dyDescent="0.35">
      <c r="B13" s="116"/>
      <c r="C13" s="95"/>
      <c r="D13" s="96">
        <f>C7*C13</f>
        <v>0</v>
      </c>
    </row>
    <row r="14" spans="2:4" ht="35" customHeight="1" thickBot="1" x14ac:dyDescent="0.4">
      <c r="B14" s="117"/>
      <c r="C14" s="95"/>
      <c r="D14" s="100">
        <f>C7*C14</f>
        <v>0</v>
      </c>
    </row>
    <row r="15" spans="2:4" ht="15" thickBot="1" x14ac:dyDescent="0.4"/>
    <row r="16" spans="2:4" x14ac:dyDescent="0.35">
      <c r="B16" s="351" t="s">
        <v>367</v>
      </c>
      <c r="C16" s="352"/>
      <c r="D16" s="353"/>
    </row>
    <row r="17" spans="2:4" ht="15" thickBot="1" x14ac:dyDescent="0.4">
      <c r="B17" s="357"/>
      <c r="C17" s="358"/>
      <c r="D17" s="359"/>
    </row>
    <row r="18" spans="2:4" x14ac:dyDescent="0.35">
      <c r="B18" s="90" t="s">
        <v>23</v>
      </c>
      <c r="C18" s="349">
        <f>SUM('1) Budget Table'!D67:F67,'1) Budget Table'!D77:F77,'1) Budget Table'!D87:F87,'1) Budget Table'!D97:F97)</f>
        <v>147048</v>
      </c>
      <c r="D18" s="350"/>
    </row>
    <row r="19" spans="2:4" x14ac:dyDescent="0.35">
      <c r="B19" s="90" t="s">
        <v>370</v>
      </c>
      <c r="C19" s="347">
        <f>SUM(D21:D25)</f>
        <v>0</v>
      </c>
      <c r="D19" s="348"/>
    </row>
    <row r="20" spans="2:4" x14ac:dyDescent="0.35">
      <c r="B20" s="91" t="s">
        <v>364</v>
      </c>
      <c r="C20" s="92" t="s">
        <v>365</v>
      </c>
      <c r="D20" s="93" t="s">
        <v>366</v>
      </c>
    </row>
    <row r="21" spans="2:4" ht="35" customHeight="1" x14ac:dyDescent="0.35">
      <c r="B21" s="94"/>
      <c r="C21" s="95"/>
      <c r="D21" s="96">
        <f>$C$18*C21</f>
        <v>0</v>
      </c>
    </row>
    <row r="22" spans="2:4" ht="35" customHeight="1" x14ac:dyDescent="0.35">
      <c r="B22" s="97"/>
      <c r="C22" s="95"/>
      <c r="D22" s="96">
        <f>$C$18*C22</f>
        <v>0</v>
      </c>
    </row>
    <row r="23" spans="2:4" ht="35" customHeight="1" x14ac:dyDescent="0.35">
      <c r="B23" s="98"/>
      <c r="C23" s="95"/>
      <c r="D23" s="96">
        <f>$C$18*C23</f>
        <v>0</v>
      </c>
    </row>
    <row r="24" spans="2:4" ht="35" customHeight="1" x14ac:dyDescent="0.35">
      <c r="B24" s="98"/>
      <c r="C24" s="95"/>
      <c r="D24" s="96">
        <f>$C$18*C24</f>
        <v>0</v>
      </c>
    </row>
    <row r="25" spans="2:4" ht="35" customHeight="1" thickBot="1" x14ac:dyDescent="0.4">
      <c r="B25" s="99"/>
      <c r="C25" s="95"/>
      <c r="D25" s="96">
        <f>$C$18*C25</f>
        <v>0</v>
      </c>
    </row>
    <row r="26" spans="2:4" ht="15" thickBot="1" x14ac:dyDescent="0.4"/>
    <row r="27" spans="2:4" x14ac:dyDescent="0.35">
      <c r="B27" s="351" t="s">
        <v>368</v>
      </c>
      <c r="C27" s="352"/>
      <c r="D27" s="353"/>
    </row>
    <row r="28" spans="2:4" ht="15" thickBot="1" x14ac:dyDescent="0.4">
      <c r="B28" s="354"/>
      <c r="C28" s="355"/>
      <c r="D28" s="356"/>
    </row>
    <row r="29" spans="2:4" x14ac:dyDescent="0.35">
      <c r="B29" s="90" t="s">
        <v>23</v>
      </c>
      <c r="C29" s="349">
        <f>SUM('1) Budget Table'!D109:F109,'1) Budget Table'!D119:F119,'1) Budget Table'!D129:F129,'1) Budget Table'!D139:F139)</f>
        <v>1117617.19</v>
      </c>
      <c r="D29" s="350"/>
    </row>
    <row r="30" spans="2:4" x14ac:dyDescent="0.35">
      <c r="B30" s="90" t="s">
        <v>370</v>
      </c>
      <c r="C30" s="347">
        <f>SUM(D32:D36)</f>
        <v>0</v>
      </c>
      <c r="D30" s="348"/>
    </row>
    <row r="31" spans="2:4" x14ac:dyDescent="0.35">
      <c r="B31" s="91" t="s">
        <v>364</v>
      </c>
      <c r="C31" s="92" t="s">
        <v>365</v>
      </c>
      <c r="D31" s="93" t="s">
        <v>366</v>
      </c>
    </row>
    <row r="32" spans="2:4" ht="35" customHeight="1" x14ac:dyDescent="0.35">
      <c r="B32" s="94"/>
      <c r="C32" s="95"/>
      <c r="D32" s="96">
        <f>$C$29*C32</f>
        <v>0</v>
      </c>
    </row>
    <row r="33" spans="2:4" ht="35" customHeight="1" x14ac:dyDescent="0.35">
      <c r="B33" s="97"/>
      <c r="C33" s="95"/>
      <c r="D33" s="96">
        <f>$C$29*C33</f>
        <v>0</v>
      </c>
    </row>
    <row r="34" spans="2:4" ht="35" customHeight="1" x14ac:dyDescent="0.35">
      <c r="B34" s="98"/>
      <c r="C34" s="95"/>
      <c r="D34" s="96">
        <f>$C$29*C34</f>
        <v>0</v>
      </c>
    </row>
    <row r="35" spans="2:4" ht="35" customHeight="1" x14ac:dyDescent="0.35">
      <c r="B35" s="98"/>
      <c r="C35" s="95"/>
      <c r="D35" s="96">
        <f>$C$29*C35</f>
        <v>0</v>
      </c>
    </row>
    <row r="36" spans="2:4" ht="35" customHeight="1" thickBot="1" x14ac:dyDescent="0.4">
      <c r="B36" s="99"/>
      <c r="C36" s="95"/>
      <c r="D36" s="96">
        <f>$C$29*C36</f>
        <v>0</v>
      </c>
    </row>
    <row r="37" spans="2:4" ht="15" thickBot="1" x14ac:dyDescent="0.4"/>
    <row r="38" spans="2:4" x14ac:dyDescent="0.35">
      <c r="B38" s="351" t="s">
        <v>369</v>
      </c>
      <c r="C38" s="352"/>
      <c r="D38" s="353"/>
    </row>
    <row r="39" spans="2:4" ht="15" thickBot="1" x14ac:dyDescent="0.4">
      <c r="B39" s="354"/>
      <c r="C39" s="355"/>
      <c r="D39" s="356"/>
    </row>
    <row r="40" spans="2:4" x14ac:dyDescent="0.35">
      <c r="B40" s="90" t="s">
        <v>23</v>
      </c>
      <c r="C40" s="349">
        <f>SUM('1) Budget Table'!D151:F151,'1) Budget Table'!D161:F161,'1) Budget Table'!D171:F171,'1) Budget Table'!D181:F181)</f>
        <v>0</v>
      </c>
      <c r="D40" s="350"/>
    </row>
    <row r="41" spans="2:4" x14ac:dyDescent="0.35">
      <c r="B41" s="90" t="s">
        <v>370</v>
      </c>
      <c r="C41" s="347">
        <f>SUM(D43:D47)</f>
        <v>0</v>
      </c>
      <c r="D41" s="348"/>
    </row>
    <row r="42" spans="2:4" x14ac:dyDescent="0.35">
      <c r="B42" s="91" t="s">
        <v>364</v>
      </c>
      <c r="C42" s="92" t="s">
        <v>365</v>
      </c>
      <c r="D42" s="93" t="s">
        <v>366</v>
      </c>
    </row>
    <row r="43" spans="2:4" ht="35" customHeight="1" x14ac:dyDescent="0.35">
      <c r="B43" s="94"/>
      <c r="C43" s="95"/>
      <c r="D43" s="96">
        <f>$C$40*C43</f>
        <v>0</v>
      </c>
    </row>
    <row r="44" spans="2:4" ht="35" customHeight="1" x14ac:dyDescent="0.35">
      <c r="B44" s="97"/>
      <c r="C44" s="95"/>
      <c r="D44" s="96">
        <f>$C$40*C44</f>
        <v>0</v>
      </c>
    </row>
    <row r="45" spans="2:4" ht="35" customHeight="1" x14ac:dyDescent="0.35">
      <c r="B45" s="98"/>
      <c r="C45" s="95"/>
      <c r="D45" s="96">
        <f>$C$40*C45</f>
        <v>0</v>
      </c>
    </row>
    <row r="46" spans="2:4" ht="35" customHeight="1" x14ac:dyDescent="0.35">
      <c r="B46" s="98"/>
      <c r="C46" s="95"/>
      <c r="D46" s="96">
        <f>$C$40*C46</f>
        <v>0</v>
      </c>
    </row>
    <row r="47" spans="2:4" ht="35" customHeight="1" thickBot="1" x14ac:dyDescent="0.4">
      <c r="B47" s="99"/>
      <c r="C47" s="95"/>
      <c r="D47" s="100">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30:D30">
    <cfRule type="cellIs" dxfId="5" priority="2" operator="greaterThan">
      <formula>$C$29</formula>
    </cfRule>
    <cfRule type="cellIs" dxfId="4" priority="5" operator="greaterThan">
      <formula>$C$29</formula>
    </cfRule>
  </conditionalFormatting>
  <conditionalFormatting sqref="C8:D8">
    <cfRule type="cellIs" dxfId="3" priority="4" operator="greaterThan">
      <formula>$C$7</formula>
    </cfRule>
  </conditionalFormatting>
  <conditionalFormatting sqref="C19:D19">
    <cfRule type="cellIs" dxfId="2" priority="3" operator="greaterThan">
      <formula>$C$18</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Sheet2!$A$1:$A$170</xm:f>
          </x14:formula1>
          <xm:sqref>B10:B14 B21:B25 B32:B36 B43:B47</xm:sqref>
        </x14:dataValidation>
        <x14:dataValidation type="list" allowBlank="1" showInputMessage="1" showErrorMessage="1" xr:uid="{00000000-0002-0000-0300-000001000000}">
          <x14:formula1>
            <xm:f>Dropdowns!$A$1:$A$6</xm:f>
          </x14:formula1>
          <xm:sqref>C10:C14 C21:C25 C32:C36 C43:C47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H25"/>
  <sheetViews>
    <sheetView showGridLines="0" zoomScale="80" zoomScaleNormal="80" workbookViewId="0"/>
  </sheetViews>
  <sheetFormatPr defaultColWidth="8.81640625" defaultRowHeight="14.5" x14ac:dyDescent="0.35"/>
  <cols>
    <col min="1" max="1" width="12.453125" customWidth="1"/>
    <col min="2" max="2" width="20.453125" customWidth="1"/>
    <col min="3" max="6" width="25.453125" customWidth="1"/>
    <col min="7" max="7" width="24.453125" customWidth="1"/>
    <col min="8" max="8" width="18.453125" customWidth="1"/>
    <col min="9" max="9" width="21.453125" customWidth="1"/>
    <col min="10" max="11" width="15.81640625" bestFit="1" customWidth="1"/>
    <col min="12" max="12" width="11.1796875" bestFit="1" customWidth="1"/>
  </cols>
  <sheetData>
    <row r="1" spans="2:7" ht="15" thickBot="1" x14ac:dyDescent="0.4"/>
    <row r="2" spans="2:7" s="83" customFormat="1" ht="15.5" x14ac:dyDescent="0.35">
      <c r="B2" s="370" t="s">
        <v>14</v>
      </c>
      <c r="C2" s="371"/>
      <c r="D2" s="371"/>
      <c r="E2" s="371"/>
      <c r="F2" s="371"/>
      <c r="G2" s="372"/>
    </row>
    <row r="3" spans="2:7" s="83" customFormat="1" ht="16" thickBot="1" x14ac:dyDescent="0.4">
      <c r="B3" s="373"/>
      <c r="C3" s="374"/>
      <c r="D3" s="374"/>
      <c r="E3" s="374"/>
      <c r="F3" s="374"/>
      <c r="G3" s="375"/>
    </row>
    <row r="4" spans="2:7" s="83" customFormat="1" ht="16" thickBot="1" x14ac:dyDescent="0.4"/>
    <row r="5" spans="2:7" s="83" customFormat="1" ht="16" thickBot="1" x14ac:dyDescent="0.4">
      <c r="B5" s="344" t="s">
        <v>7</v>
      </c>
      <c r="C5" s="345"/>
      <c r="D5" s="345"/>
      <c r="E5" s="345"/>
      <c r="F5" s="345"/>
      <c r="G5" s="346"/>
    </row>
    <row r="6" spans="2:7" s="83" customFormat="1" ht="15.5" x14ac:dyDescent="0.35">
      <c r="B6" s="79"/>
      <c r="C6" s="66" t="s">
        <v>12</v>
      </c>
      <c r="D6" s="66" t="s">
        <v>15</v>
      </c>
      <c r="E6" s="66" t="s">
        <v>16</v>
      </c>
      <c r="F6" s="66" t="s">
        <v>378</v>
      </c>
      <c r="G6" s="336" t="s">
        <v>7</v>
      </c>
    </row>
    <row r="7" spans="2:7" s="83" customFormat="1" ht="15.5" x14ac:dyDescent="0.35">
      <c r="B7" s="79"/>
      <c r="C7" s="187" t="str">
        <f>'1) Budget Table'!D13</f>
        <v>UNDP</v>
      </c>
      <c r="D7" s="187" t="str">
        <f>'1) Budget Table'!E13</f>
        <v>IOM</v>
      </c>
      <c r="E7" s="187" t="str">
        <f>'1) Budget Table'!F13</f>
        <v>UNFPA</v>
      </c>
      <c r="F7" s="187" t="str">
        <f>'1) Budget Table'!G13</f>
        <v>UN Women</v>
      </c>
      <c r="G7" s="337"/>
    </row>
    <row r="8" spans="2:7" s="83" customFormat="1" ht="31" x14ac:dyDescent="0.35">
      <c r="B8" s="22" t="s">
        <v>0</v>
      </c>
      <c r="C8" s="80">
        <f>'2) By Category'!D208</f>
        <v>793778</v>
      </c>
      <c r="D8" s="80">
        <f>'2) By Category'!E208</f>
        <v>110700</v>
      </c>
      <c r="E8" s="80">
        <f>'2) By Category'!F208</f>
        <v>55000</v>
      </c>
      <c r="F8" s="80">
        <f>'2) By Category'!G208</f>
        <v>25576</v>
      </c>
      <c r="G8" s="77">
        <f>SUM(C8:F8)</f>
        <v>985054</v>
      </c>
    </row>
    <row r="9" spans="2:7" s="83" customFormat="1" ht="46.5" x14ac:dyDescent="0.35">
      <c r="B9" s="22" t="s">
        <v>1</v>
      </c>
      <c r="C9" s="80">
        <f>'2) By Category'!D209</f>
        <v>271000</v>
      </c>
      <c r="D9" s="80">
        <f>'2) By Category'!E209</f>
        <v>32867.31</v>
      </c>
      <c r="E9" s="80">
        <f>'2) By Category'!F209</f>
        <v>47000</v>
      </c>
      <c r="F9" s="80">
        <f>'2) By Category'!G209</f>
        <v>62200</v>
      </c>
      <c r="G9" s="78">
        <f t="shared" ref="G9:G15" si="0">SUM(C9:F9)</f>
        <v>413067.31</v>
      </c>
    </row>
    <row r="10" spans="2:7" s="83" customFormat="1" ht="62" x14ac:dyDescent="0.35">
      <c r="B10" s="22" t="s">
        <v>2</v>
      </c>
      <c r="C10" s="80">
        <f>'2) By Category'!D210</f>
        <v>59647</v>
      </c>
      <c r="D10" s="80">
        <f>'2) By Category'!E210</f>
        <v>1499.99</v>
      </c>
      <c r="E10" s="80">
        <f>'2) By Category'!F210</f>
        <v>35000</v>
      </c>
      <c r="F10" s="80">
        <f>'2) By Category'!G210</f>
        <v>30793</v>
      </c>
      <c r="G10" s="78">
        <f t="shared" si="0"/>
        <v>126939.98999999999</v>
      </c>
    </row>
    <row r="11" spans="2:7" s="83" customFormat="1" ht="31" x14ac:dyDescent="0.35">
      <c r="B11" s="34" t="s">
        <v>3</v>
      </c>
      <c r="C11" s="80">
        <f>'2) By Category'!D211</f>
        <v>404572</v>
      </c>
      <c r="D11" s="80">
        <f>'2) By Category'!E211</f>
        <v>5600</v>
      </c>
      <c r="E11" s="80">
        <f>'2) By Category'!F211</f>
        <v>81462</v>
      </c>
      <c r="F11" s="80">
        <f>'2) By Category'!G211</f>
        <v>65000</v>
      </c>
      <c r="G11" s="78">
        <f t="shared" si="0"/>
        <v>556634</v>
      </c>
    </row>
    <row r="12" spans="2:7" s="83" customFormat="1" ht="15.5" x14ac:dyDescent="0.35">
      <c r="B12" s="22" t="s">
        <v>6</v>
      </c>
      <c r="C12" s="80">
        <f>'2) By Category'!D212</f>
        <v>27949</v>
      </c>
      <c r="D12" s="80">
        <f>'2) By Category'!E212</f>
        <v>114560</v>
      </c>
      <c r="E12" s="80">
        <f>'2) By Category'!F212</f>
        <v>107000</v>
      </c>
      <c r="F12" s="80">
        <f>'2) By Category'!G212</f>
        <v>95000</v>
      </c>
      <c r="G12" s="78">
        <f t="shared" si="0"/>
        <v>344509</v>
      </c>
    </row>
    <row r="13" spans="2:7" s="83" customFormat="1" ht="46.5" x14ac:dyDescent="0.35">
      <c r="B13" s="22" t="s">
        <v>4</v>
      </c>
      <c r="C13" s="80">
        <f>'2) By Category'!D213</f>
        <v>230000</v>
      </c>
      <c r="D13" s="80">
        <f>'2) By Category'!E213</f>
        <v>0</v>
      </c>
      <c r="E13" s="80">
        <f>'2) By Category'!F213</f>
        <v>250000</v>
      </c>
      <c r="F13" s="80">
        <f>'2) By Category'!G213</f>
        <v>311679.8</v>
      </c>
      <c r="G13" s="78">
        <f t="shared" si="0"/>
        <v>791679.8</v>
      </c>
    </row>
    <row r="14" spans="2:7" s="83" customFormat="1" ht="31.5" thickBot="1" x14ac:dyDescent="0.4">
      <c r="B14" s="157" t="s">
        <v>20</v>
      </c>
      <c r="C14" s="158">
        <f>'2) By Category'!D214</f>
        <v>152458</v>
      </c>
      <c r="D14" s="158">
        <f>'2) By Category'!E214</f>
        <v>272839.99</v>
      </c>
      <c r="E14" s="158">
        <f>'2) By Category'!F214</f>
        <v>52135.199999999997</v>
      </c>
      <c r="F14" s="158">
        <f>'2) By Category'!G214</f>
        <v>43000</v>
      </c>
      <c r="G14" s="159">
        <f t="shared" si="0"/>
        <v>520433.19</v>
      </c>
    </row>
    <row r="15" spans="2:7" s="83" customFormat="1" ht="30" customHeight="1" x14ac:dyDescent="0.35">
      <c r="B15" s="162" t="s">
        <v>375</v>
      </c>
      <c r="C15" s="163">
        <f>SUM(C8:C14)</f>
        <v>1939404</v>
      </c>
      <c r="D15" s="163">
        <f>SUM(D8:D14)</f>
        <v>538067.29</v>
      </c>
      <c r="E15" s="163">
        <f>SUM(E8:E14)</f>
        <v>627597.19999999995</v>
      </c>
      <c r="F15" s="163">
        <f>SUM(F8:F14)</f>
        <v>633248.80000000005</v>
      </c>
      <c r="G15" s="164">
        <f t="shared" si="0"/>
        <v>3738317.29</v>
      </c>
    </row>
    <row r="16" spans="2:7" s="83" customFormat="1" ht="22.5" customHeight="1" x14ac:dyDescent="0.35">
      <c r="B16" s="153" t="s">
        <v>374</v>
      </c>
      <c r="C16" s="154">
        <f>C15*0.07</f>
        <v>135758.28</v>
      </c>
      <c r="D16" s="154">
        <f t="shared" ref="D16:E16" si="1">D15*0.07</f>
        <v>37664.710300000006</v>
      </c>
      <c r="E16" s="154">
        <f t="shared" si="1"/>
        <v>43931.804000000004</v>
      </c>
      <c r="F16" s="154">
        <f t="shared" ref="F16" si="2">F15*0.07</f>
        <v>44327.416000000005</v>
      </c>
      <c r="G16" s="160">
        <f>G15*0.07</f>
        <v>261682.21030000004</v>
      </c>
    </row>
    <row r="17" spans="2:8" s="83" customFormat="1" ht="30" customHeight="1" thickBot="1" x14ac:dyDescent="0.4">
      <c r="B17" s="155" t="s">
        <v>13</v>
      </c>
      <c r="C17" s="156">
        <f>C15+C16</f>
        <v>2075162.28</v>
      </c>
      <c r="D17" s="156">
        <f t="shared" ref="D17:E17" si="3">D15+D16</f>
        <v>575732.00030000007</v>
      </c>
      <c r="E17" s="156">
        <f t="shared" si="3"/>
        <v>671529.00399999996</v>
      </c>
      <c r="F17" s="156">
        <f t="shared" ref="F17" si="4">F15+F16</f>
        <v>677576.21600000001</v>
      </c>
      <c r="G17" s="161">
        <f>G15+G16</f>
        <v>3999999.5003</v>
      </c>
    </row>
    <row r="18" spans="2:8" s="83" customFormat="1" ht="16" thickBot="1" x14ac:dyDescent="0.4"/>
    <row r="19" spans="2:8" s="83" customFormat="1" ht="16" thickBot="1" x14ac:dyDescent="0.4">
      <c r="B19" s="366" t="s">
        <v>8</v>
      </c>
      <c r="C19" s="367"/>
      <c r="D19" s="367"/>
      <c r="E19" s="367"/>
      <c r="F19" s="368"/>
      <c r="G19" s="369"/>
    </row>
    <row r="20" spans="2:8" ht="15.5" x14ac:dyDescent="0.35">
      <c r="B20" s="31"/>
      <c r="C20" s="29" t="s">
        <v>17</v>
      </c>
      <c r="D20" s="29" t="s">
        <v>18</v>
      </c>
      <c r="E20" s="29" t="s">
        <v>19</v>
      </c>
      <c r="F20" s="66" t="s">
        <v>378</v>
      </c>
      <c r="G20" s="32" t="s">
        <v>371</v>
      </c>
      <c r="H20" s="211" t="s">
        <v>10</v>
      </c>
    </row>
    <row r="21" spans="2:8" ht="15.5" x14ac:dyDescent="0.35">
      <c r="B21" s="31"/>
      <c r="C21" s="29" t="str">
        <f>'1) Budget Table'!D13</f>
        <v>UNDP</v>
      </c>
      <c r="D21" s="29" t="str">
        <f>'1) Budget Table'!E13</f>
        <v>IOM</v>
      </c>
      <c r="E21" s="29" t="str">
        <f>'1) Budget Table'!F13</f>
        <v>UNFPA</v>
      </c>
      <c r="F21" s="29" t="str">
        <f>'1) Budget Table'!G13</f>
        <v>UN Women</v>
      </c>
      <c r="G21" s="32"/>
      <c r="H21" s="212"/>
    </row>
    <row r="22" spans="2:8" ht="23.25" customHeight="1" x14ac:dyDescent="0.35">
      <c r="B22" s="30" t="s">
        <v>9</v>
      </c>
      <c r="C22" s="28">
        <f>'1) Budget Table'!D207</f>
        <v>1452613.5959999999</v>
      </c>
      <c r="D22" s="28">
        <f>'1) Budget Table'!E207</f>
        <v>403012.40020999993</v>
      </c>
      <c r="E22" s="28">
        <f>'1) Budget Table'!F207</f>
        <v>470070.30279999995</v>
      </c>
      <c r="F22" s="28">
        <f>'1) Budget Table'!G207</f>
        <v>474303.35119999998</v>
      </c>
      <c r="G22" s="185">
        <f>'1) Budget Table'!H207</f>
        <v>2799999.6502099996</v>
      </c>
      <c r="H22" s="213">
        <f>'1) Budget Table'!I207</f>
        <v>0.7</v>
      </c>
    </row>
    <row r="23" spans="2:8" ht="24.75" customHeight="1" x14ac:dyDescent="0.35">
      <c r="B23" s="30" t="s">
        <v>11</v>
      </c>
      <c r="C23" s="28">
        <f>'1) Budget Table'!D208</f>
        <v>622548.68400000001</v>
      </c>
      <c r="D23" s="28">
        <f>'1) Budget Table'!E208</f>
        <v>172719.60008999999</v>
      </c>
      <c r="E23" s="28">
        <f>'1) Budget Table'!F208</f>
        <v>201458.70119999998</v>
      </c>
      <c r="F23" s="28">
        <f>'1) Budget Table'!G208</f>
        <v>203272.86480000001</v>
      </c>
      <c r="G23" s="185">
        <f>'1) Budget Table'!H208</f>
        <v>1199999.8500900001</v>
      </c>
      <c r="H23" s="213">
        <f>'1) Budget Table'!I208</f>
        <v>0.3</v>
      </c>
    </row>
    <row r="24" spans="2:8" ht="24.75" customHeight="1" thickBot="1" x14ac:dyDescent="0.4">
      <c r="B24" s="30" t="s">
        <v>377</v>
      </c>
      <c r="C24" s="28">
        <f>'1) Budget Table'!D209</f>
        <v>0</v>
      </c>
      <c r="D24" s="28">
        <f>'1) Budget Table'!E209</f>
        <v>0</v>
      </c>
      <c r="E24" s="28">
        <f>'1) Budget Table'!F209</f>
        <v>0</v>
      </c>
      <c r="F24" s="28">
        <f>'1) Budget Table'!G209</f>
        <v>0</v>
      </c>
      <c r="G24" s="185">
        <f>'1) Budget Table'!H209</f>
        <v>0</v>
      </c>
      <c r="H24" s="214">
        <f>'1) Budget Table'!I209</f>
        <v>0</v>
      </c>
    </row>
    <row r="25" spans="2:8" ht="16" thickBot="1" x14ac:dyDescent="0.4">
      <c r="B25" s="9" t="s">
        <v>371</v>
      </c>
      <c r="C25" s="186">
        <f>'1) Budget Table'!D210</f>
        <v>2075162.2799999998</v>
      </c>
      <c r="D25" s="186">
        <f>'1) Budget Table'!E210</f>
        <v>575732.00029999996</v>
      </c>
      <c r="E25" s="186">
        <f>'1) Budget Table'!F210</f>
        <v>671529.00399999996</v>
      </c>
      <c r="F25" s="209">
        <f>'1) Budget Table'!G210</f>
        <v>677576.21600000001</v>
      </c>
      <c r="G25" s="210">
        <f>'1) Budget Table'!H210</f>
        <v>3999999.5002999995</v>
      </c>
    </row>
  </sheetData>
  <sheetProtection sheet="1" objects="1" scenarios="1" formatCells="0" formatColumns="0" formatRows="0"/>
  <mergeCells count="4">
    <mergeCell ref="B19:G19"/>
    <mergeCell ref="B5:G5"/>
    <mergeCell ref="G6:G7"/>
    <mergeCell ref="B2:G3"/>
  </mergeCells>
  <dataValidations count="7">
    <dataValidation allowBlank="1" showInputMessage="1" showErrorMessage="1" prompt="Includes all related staff and temporary staff costs including base salary, post adjustment and all staff entitlements." sqref="B8" xr:uid="{00000000-0002-0000-04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4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400-000002000000}"/>
    <dataValidation allowBlank="1" showInputMessage="1" showErrorMessage="1" prompt="Includes staff and non-staff travel paid for by the organization directly related to a project." sqref="B12" xr:uid="{00000000-0002-0000-0400-000003000000}"/>
    <dataValidation allowBlank="1" showInputMessage="1" showErrorMessage="1" prompt="Services contracted by an organization which follow the normal procurement processes." sqref="B11" xr:uid="{00000000-0002-0000-04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4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400-000006000000}"/>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Budget Table'!$H$201</xm:f>
            <x14:dxf>
              <font>
                <color rgb="FF9C0006"/>
              </font>
              <fill>
                <patternFill>
                  <bgColor rgb="FFFFC7CE"/>
                </patternFill>
              </fill>
            </x14:dxf>
          </x14:cfRule>
          <xm:sqref>G17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A1:A6"/>
  <sheetViews>
    <sheetView workbookViewId="0">
      <selection activeCell="A9" sqref="A9"/>
    </sheetView>
  </sheetViews>
  <sheetFormatPr defaultColWidth="8.81640625" defaultRowHeight="14.5" x14ac:dyDescent="0.35"/>
  <sheetData>
    <row r="1" spans="1:1" x14ac:dyDescent="0.35">
      <c r="A1" s="143">
        <v>0</v>
      </c>
    </row>
    <row r="2" spans="1:1" x14ac:dyDescent="0.35">
      <c r="A2" s="143">
        <v>0.2</v>
      </c>
    </row>
    <row r="3" spans="1:1" x14ac:dyDescent="0.35">
      <c r="A3" s="143">
        <v>0.4</v>
      </c>
    </row>
    <row r="4" spans="1:1" x14ac:dyDescent="0.35">
      <c r="A4" s="143">
        <v>0.6</v>
      </c>
    </row>
    <row r="5" spans="1:1" x14ac:dyDescent="0.35">
      <c r="A5" s="143">
        <v>0.8</v>
      </c>
    </row>
    <row r="6" spans="1:1" x14ac:dyDescent="0.35">
      <c r="A6" s="143">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70"/>
  <sheetViews>
    <sheetView topLeftCell="A148" workbookViewId="0">
      <selection activeCell="D3" sqref="D3"/>
    </sheetView>
  </sheetViews>
  <sheetFormatPr defaultColWidth="8.81640625" defaultRowHeight="14.5" x14ac:dyDescent="0.35"/>
  <sheetData>
    <row r="1" spans="1:2" x14ac:dyDescent="0.35">
      <c r="A1" s="84" t="s">
        <v>24</v>
      </c>
      <c r="B1" s="85" t="s">
        <v>25</v>
      </c>
    </row>
    <row r="2" spans="1:2" x14ac:dyDescent="0.35">
      <c r="A2" s="86" t="s">
        <v>26</v>
      </c>
      <c r="B2" s="87" t="s">
        <v>27</v>
      </c>
    </row>
    <row r="3" spans="1:2" x14ac:dyDescent="0.35">
      <c r="A3" s="86" t="s">
        <v>28</v>
      </c>
      <c r="B3" s="87" t="s">
        <v>29</v>
      </c>
    </row>
    <row r="4" spans="1:2" x14ac:dyDescent="0.35">
      <c r="A4" s="86" t="s">
        <v>30</v>
      </c>
      <c r="B4" s="87" t="s">
        <v>31</v>
      </c>
    </row>
    <row r="5" spans="1:2" x14ac:dyDescent="0.35">
      <c r="A5" s="86" t="s">
        <v>32</v>
      </c>
      <c r="B5" s="87" t="s">
        <v>33</v>
      </c>
    </row>
    <row r="6" spans="1:2" x14ac:dyDescent="0.35">
      <c r="A6" s="86" t="s">
        <v>34</v>
      </c>
      <c r="B6" s="87" t="s">
        <v>35</v>
      </c>
    </row>
    <row r="7" spans="1:2" x14ac:dyDescent="0.35">
      <c r="A7" s="86" t="s">
        <v>36</v>
      </c>
      <c r="B7" s="87" t="s">
        <v>37</v>
      </c>
    </row>
    <row r="8" spans="1:2" x14ac:dyDescent="0.35">
      <c r="A8" s="86" t="s">
        <v>38</v>
      </c>
      <c r="B8" s="87" t="s">
        <v>39</v>
      </c>
    </row>
    <row r="9" spans="1:2" x14ac:dyDescent="0.35">
      <c r="A9" s="86" t="s">
        <v>40</v>
      </c>
      <c r="B9" s="87" t="s">
        <v>41</v>
      </c>
    </row>
    <row r="10" spans="1:2" x14ac:dyDescent="0.35">
      <c r="A10" s="86" t="s">
        <v>42</v>
      </c>
      <c r="B10" s="87" t="s">
        <v>43</v>
      </c>
    </row>
    <row r="11" spans="1:2" x14ac:dyDescent="0.35">
      <c r="A11" s="86" t="s">
        <v>44</v>
      </c>
      <c r="B11" s="87" t="s">
        <v>45</v>
      </c>
    </row>
    <row r="12" spans="1:2" x14ac:dyDescent="0.35">
      <c r="A12" s="86" t="s">
        <v>46</v>
      </c>
      <c r="B12" s="87" t="s">
        <v>47</v>
      </c>
    </row>
    <row r="13" spans="1:2" x14ac:dyDescent="0.35">
      <c r="A13" s="86" t="s">
        <v>48</v>
      </c>
      <c r="B13" s="87" t="s">
        <v>49</v>
      </c>
    </row>
    <row r="14" spans="1:2" x14ac:dyDescent="0.35">
      <c r="A14" s="86" t="s">
        <v>50</v>
      </c>
      <c r="B14" s="87" t="s">
        <v>51</v>
      </c>
    </row>
    <row r="15" spans="1:2" x14ac:dyDescent="0.35">
      <c r="A15" s="86" t="s">
        <v>52</v>
      </c>
      <c r="B15" s="87" t="s">
        <v>53</v>
      </c>
    </row>
    <row r="16" spans="1:2" x14ac:dyDescent="0.35">
      <c r="A16" s="86" t="s">
        <v>54</v>
      </c>
      <c r="B16" s="87" t="s">
        <v>55</v>
      </c>
    </row>
    <row r="17" spans="1:2" x14ac:dyDescent="0.35">
      <c r="A17" s="86" t="s">
        <v>56</v>
      </c>
      <c r="B17" s="87" t="s">
        <v>57</v>
      </c>
    </row>
    <row r="18" spans="1:2" x14ac:dyDescent="0.35">
      <c r="A18" s="86" t="s">
        <v>58</v>
      </c>
      <c r="B18" s="87" t="s">
        <v>59</v>
      </c>
    </row>
    <row r="19" spans="1:2" x14ac:dyDescent="0.35">
      <c r="A19" s="86" t="s">
        <v>60</v>
      </c>
      <c r="B19" s="87" t="s">
        <v>61</v>
      </c>
    </row>
    <row r="20" spans="1:2" x14ac:dyDescent="0.35">
      <c r="A20" s="86" t="s">
        <v>62</v>
      </c>
      <c r="B20" s="87" t="s">
        <v>63</v>
      </c>
    </row>
    <row r="21" spans="1:2" x14ac:dyDescent="0.35">
      <c r="A21" s="86" t="s">
        <v>64</v>
      </c>
      <c r="B21" s="87" t="s">
        <v>65</v>
      </c>
    </row>
    <row r="22" spans="1:2" x14ac:dyDescent="0.35">
      <c r="A22" s="86" t="s">
        <v>66</v>
      </c>
      <c r="B22" s="87" t="s">
        <v>67</v>
      </c>
    </row>
    <row r="23" spans="1:2" x14ac:dyDescent="0.35">
      <c r="A23" s="86" t="s">
        <v>68</v>
      </c>
      <c r="B23" s="87" t="s">
        <v>69</v>
      </c>
    </row>
    <row r="24" spans="1:2" x14ac:dyDescent="0.35">
      <c r="A24" s="86" t="s">
        <v>70</v>
      </c>
      <c r="B24" s="87" t="s">
        <v>71</v>
      </c>
    </row>
    <row r="25" spans="1:2" x14ac:dyDescent="0.35">
      <c r="A25" s="86" t="s">
        <v>72</v>
      </c>
      <c r="B25" s="87" t="s">
        <v>73</v>
      </c>
    </row>
    <row r="26" spans="1:2" x14ac:dyDescent="0.35">
      <c r="A26" s="86" t="s">
        <v>74</v>
      </c>
      <c r="B26" s="87" t="s">
        <v>75</v>
      </c>
    </row>
    <row r="27" spans="1:2" x14ac:dyDescent="0.35">
      <c r="A27" s="86" t="s">
        <v>76</v>
      </c>
      <c r="B27" s="87" t="s">
        <v>77</v>
      </c>
    </row>
    <row r="28" spans="1:2" x14ac:dyDescent="0.35">
      <c r="A28" s="86" t="s">
        <v>78</v>
      </c>
      <c r="B28" s="87" t="s">
        <v>79</v>
      </c>
    </row>
    <row r="29" spans="1:2" x14ac:dyDescent="0.35">
      <c r="A29" s="86" t="s">
        <v>80</v>
      </c>
      <c r="B29" s="87" t="s">
        <v>81</v>
      </c>
    </row>
    <row r="30" spans="1:2" x14ac:dyDescent="0.35">
      <c r="A30" s="86" t="s">
        <v>82</v>
      </c>
      <c r="B30" s="87" t="s">
        <v>83</v>
      </c>
    </row>
    <row r="31" spans="1:2" x14ac:dyDescent="0.35">
      <c r="A31" s="86" t="s">
        <v>84</v>
      </c>
      <c r="B31" s="87" t="s">
        <v>85</v>
      </c>
    </row>
    <row r="32" spans="1:2" x14ac:dyDescent="0.35">
      <c r="A32" s="86" t="s">
        <v>86</v>
      </c>
      <c r="B32" s="87" t="s">
        <v>87</v>
      </c>
    </row>
    <row r="33" spans="1:2" x14ac:dyDescent="0.35">
      <c r="A33" s="86" t="s">
        <v>88</v>
      </c>
      <c r="B33" s="87" t="s">
        <v>89</v>
      </c>
    </row>
    <row r="34" spans="1:2" x14ac:dyDescent="0.35">
      <c r="A34" s="86" t="s">
        <v>90</v>
      </c>
      <c r="B34" s="87" t="s">
        <v>91</v>
      </c>
    </row>
    <row r="35" spans="1:2" x14ac:dyDescent="0.35">
      <c r="A35" s="86" t="s">
        <v>92</v>
      </c>
      <c r="B35" s="87" t="s">
        <v>93</v>
      </c>
    </row>
    <row r="36" spans="1:2" x14ac:dyDescent="0.35">
      <c r="A36" s="86" t="s">
        <v>94</v>
      </c>
      <c r="B36" s="87" t="s">
        <v>95</v>
      </c>
    </row>
    <row r="37" spans="1:2" x14ac:dyDescent="0.35">
      <c r="A37" s="86" t="s">
        <v>96</v>
      </c>
      <c r="B37" s="87" t="s">
        <v>97</v>
      </c>
    </row>
    <row r="38" spans="1:2" x14ac:dyDescent="0.35">
      <c r="A38" s="86" t="s">
        <v>98</v>
      </c>
      <c r="B38" s="87" t="s">
        <v>99</v>
      </c>
    </row>
    <row r="39" spans="1:2" x14ac:dyDescent="0.35">
      <c r="A39" s="86" t="s">
        <v>100</v>
      </c>
      <c r="B39" s="87" t="s">
        <v>101</v>
      </c>
    </row>
    <row r="40" spans="1:2" x14ac:dyDescent="0.35">
      <c r="A40" s="86" t="s">
        <v>102</v>
      </c>
      <c r="B40" s="87" t="s">
        <v>103</v>
      </c>
    </row>
    <row r="41" spans="1:2" x14ac:dyDescent="0.35">
      <c r="A41" s="86" t="s">
        <v>104</v>
      </c>
      <c r="B41" s="87" t="s">
        <v>105</v>
      </c>
    </row>
    <row r="42" spans="1:2" x14ac:dyDescent="0.35">
      <c r="A42" s="86" t="s">
        <v>106</v>
      </c>
      <c r="B42" s="87" t="s">
        <v>107</v>
      </c>
    </row>
    <row r="43" spans="1:2" x14ac:dyDescent="0.35">
      <c r="A43" s="86" t="s">
        <v>108</v>
      </c>
      <c r="B43" s="87" t="s">
        <v>109</v>
      </c>
    </row>
    <row r="44" spans="1:2" x14ac:dyDescent="0.35">
      <c r="A44" s="86" t="s">
        <v>110</v>
      </c>
      <c r="B44" s="87" t="s">
        <v>111</v>
      </c>
    </row>
    <row r="45" spans="1:2" x14ac:dyDescent="0.35">
      <c r="A45" s="86" t="s">
        <v>112</v>
      </c>
      <c r="B45" s="87" t="s">
        <v>113</v>
      </c>
    </row>
    <row r="46" spans="1:2" x14ac:dyDescent="0.35">
      <c r="A46" s="86" t="s">
        <v>114</v>
      </c>
      <c r="B46" s="87" t="s">
        <v>115</v>
      </c>
    </row>
    <row r="47" spans="1:2" x14ac:dyDescent="0.35">
      <c r="A47" s="86" t="s">
        <v>116</v>
      </c>
      <c r="B47" s="87" t="s">
        <v>117</v>
      </c>
    </row>
    <row r="48" spans="1:2" x14ac:dyDescent="0.35">
      <c r="A48" s="86" t="s">
        <v>118</v>
      </c>
      <c r="B48" s="87" t="s">
        <v>119</v>
      </c>
    </row>
    <row r="49" spans="1:2" x14ac:dyDescent="0.35">
      <c r="A49" s="86" t="s">
        <v>120</v>
      </c>
      <c r="B49" s="87" t="s">
        <v>121</v>
      </c>
    </row>
    <row r="50" spans="1:2" x14ac:dyDescent="0.35">
      <c r="A50" s="86" t="s">
        <v>122</v>
      </c>
      <c r="B50" s="87" t="s">
        <v>123</v>
      </c>
    </row>
    <row r="51" spans="1:2" x14ac:dyDescent="0.35">
      <c r="A51" s="86" t="s">
        <v>124</v>
      </c>
      <c r="B51" s="87" t="s">
        <v>125</v>
      </c>
    </row>
    <row r="52" spans="1:2" x14ac:dyDescent="0.35">
      <c r="A52" s="86" t="s">
        <v>126</v>
      </c>
      <c r="B52" s="87" t="s">
        <v>127</v>
      </c>
    </row>
    <row r="53" spans="1:2" x14ac:dyDescent="0.35">
      <c r="A53" s="86" t="s">
        <v>128</v>
      </c>
      <c r="B53" s="87" t="s">
        <v>129</v>
      </c>
    </row>
    <row r="54" spans="1:2" x14ac:dyDescent="0.35">
      <c r="A54" s="86" t="s">
        <v>130</v>
      </c>
      <c r="B54" s="87" t="s">
        <v>131</v>
      </c>
    </row>
    <row r="55" spans="1:2" x14ac:dyDescent="0.35">
      <c r="A55" s="86" t="s">
        <v>132</v>
      </c>
      <c r="B55" s="87" t="s">
        <v>133</v>
      </c>
    </row>
    <row r="56" spans="1:2" x14ac:dyDescent="0.35">
      <c r="A56" s="86" t="s">
        <v>134</v>
      </c>
      <c r="B56" s="87" t="s">
        <v>135</v>
      </c>
    </row>
    <row r="57" spans="1:2" x14ac:dyDescent="0.35">
      <c r="A57" s="86" t="s">
        <v>136</v>
      </c>
      <c r="B57" s="87" t="s">
        <v>137</v>
      </c>
    </row>
    <row r="58" spans="1:2" x14ac:dyDescent="0.35">
      <c r="A58" s="86" t="s">
        <v>138</v>
      </c>
      <c r="B58" s="87" t="s">
        <v>139</v>
      </c>
    </row>
    <row r="59" spans="1:2" x14ac:dyDescent="0.35">
      <c r="A59" s="86" t="s">
        <v>140</v>
      </c>
      <c r="B59" s="87" t="s">
        <v>141</v>
      </c>
    </row>
    <row r="60" spans="1:2" x14ac:dyDescent="0.35">
      <c r="A60" s="86" t="s">
        <v>142</v>
      </c>
      <c r="B60" s="87" t="s">
        <v>143</v>
      </c>
    </row>
    <row r="61" spans="1:2" x14ac:dyDescent="0.35">
      <c r="A61" s="86" t="s">
        <v>144</v>
      </c>
      <c r="B61" s="87" t="s">
        <v>145</v>
      </c>
    </row>
    <row r="62" spans="1:2" x14ac:dyDescent="0.35">
      <c r="A62" s="86" t="s">
        <v>146</v>
      </c>
      <c r="B62" s="87" t="s">
        <v>147</v>
      </c>
    </row>
    <row r="63" spans="1:2" x14ac:dyDescent="0.35">
      <c r="A63" s="86" t="s">
        <v>148</v>
      </c>
      <c r="B63" s="87" t="s">
        <v>149</v>
      </c>
    </row>
    <row r="64" spans="1:2" x14ac:dyDescent="0.35">
      <c r="A64" s="86" t="s">
        <v>150</v>
      </c>
      <c r="B64" s="87" t="s">
        <v>151</v>
      </c>
    </row>
    <row r="65" spans="1:2" x14ac:dyDescent="0.35">
      <c r="A65" s="86" t="s">
        <v>152</v>
      </c>
      <c r="B65" s="87" t="s">
        <v>153</v>
      </c>
    </row>
    <row r="66" spans="1:2" x14ac:dyDescent="0.35">
      <c r="A66" s="86" t="s">
        <v>154</v>
      </c>
      <c r="B66" s="87" t="s">
        <v>155</v>
      </c>
    </row>
    <row r="67" spans="1:2" x14ac:dyDescent="0.35">
      <c r="A67" s="86" t="s">
        <v>156</v>
      </c>
      <c r="B67" s="87" t="s">
        <v>157</v>
      </c>
    </row>
    <row r="68" spans="1:2" x14ac:dyDescent="0.35">
      <c r="A68" s="86" t="s">
        <v>158</v>
      </c>
      <c r="B68" s="87" t="s">
        <v>159</v>
      </c>
    </row>
    <row r="69" spans="1:2" x14ac:dyDescent="0.35">
      <c r="A69" s="86" t="s">
        <v>160</v>
      </c>
      <c r="B69" s="87" t="s">
        <v>161</v>
      </c>
    </row>
    <row r="70" spans="1:2" x14ac:dyDescent="0.35">
      <c r="A70" s="86" t="s">
        <v>162</v>
      </c>
      <c r="B70" s="87" t="s">
        <v>163</v>
      </c>
    </row>
    <row r="71" spans="1:2" x14ac:dyDescent="0.35">
      <c r="A71" s="86" t="s">
        <v>164</v>
      </c>
      <c r="B71" s="87" t="s">
        <v>165</v>
      </c>
    </row>
    <row r="72" spans="1:2" x14ac:dyDescent="0.35">
      <c r="A72" s="86" t="s">
        <v>166</v>
      </c>
      <c r="B72" s="87" t="s">
        <v>167</v>
      </c>
    </row>
    <row r="73" spans="1:2" x14ac:dyDescent="0.35">
      <c r="A73" s="86" t="s">
        <v>168</v>
      </c>
      <c r="B73" s="87" t="s">
        <v>169</v>
      </c>
    </row>
    <row r="74" spans="1:2" x14ac:dyDescent="0.35">
      <c r="A74" s="86" t="s">
        <v>170</v>
      </c>
      <c r="B74" s="87" t="s">
        <v>171</v>
      </c>
    </row>
    <row r="75" spans="1:2" x14ac:dyDescent="0.35">
      <c r="A75" s="86" t="s">
        <v>172</v>
      </c>
      <c r="B75" s="88" t="s">
        <v>173</v>
      </c>
    </row>
    <row r="76" spans="1:2" x14ac:dyDescent="0.35">
      <c r="A76" s="86" t="s">
        <v>174</v>
      </c>
      <c r="B76" s="88" t="s">
        <v>175</v>
      </c>
    </row>
    <row r="77" spans="1:2" x14ac:dyDescent="0.35">
      <c r="A77" s="86" t="s">
        <v>176</v>
      </c>
      <c r="B77" s="88" t="s">
        <v>177</v>
      </c>
    </row>
    <row r="78" spans="1:2" x14ac:dyDescent="0.35">
      <c r="A78" s="86" t="s">
        <v>178</v>
      </c>
      <c r="B78" s="88" t="s">
        <v>179</v>
      </c>
    </row>
    <row r="79" spans="1:2" x14ac:dyDescent="0.35">
      <c r="A79" s="86" t="s">
        <v>180</v>
      </c>
      <c r="B79" s="88" t="s">
        <v>181</v>
      </c>
    </row>
    <row r="80" spans="1:2" x14ac:dyDescent="0.35">
      <c r="A80" s="86" t="s">
        <v>182</v>
      </c>
      <c r="B80" s="88" t="s">
        <v>183</v>
      </c>
    </row>
    <row r="81" spans="1:2" x14ac:dyDescent="0.35">
      <c r="A81" s="86" t="s">
        <v>184</v>
      </c>
      <c r="B81" s="88" t="s">
        <v>185</v>
      </c>
    </row>
    <row r="82" spans="1:2" x14ac:dyDescent="0.35">
      <c r="A82" s="86" t="s">
        <v>186</v>
      </c>
      <c r="B82" s="88" t="s">
        <v>187</v>
      </c>
    </row>
    <row r="83" spans="1:2" x14ac:dyDescent="0.35">
      <c r="A83" s="86" t="s">
        <v>188</v>
      </c>
      <c r="B83" s="88" t="s">
        <v>189</v>
      </c>
    </row>
    <row r="84" spans="1:2" x14ac:dyDescent="0.35">
      <c r="A84" s="86" t="s">
        <v>190</v>
      </c>
      <c r="B84" s="88" t="s">
        <v>191</v>
      </c>
    </row>
    <row r="85" spans="1:2" x14ac:dyDescent="0.35">
      <c r="A85" s="86" t="s">
        <v>192</v>
      </c>
      <c r="B85" s="88" t="s">
        <v>193</v>
      </c>
    </row>
    <row r="86" spans="1:2" x14ac:dyDescent="0.35">
      <c r="A86" s="86" t="s">
        <v>194</v>
      </c>
      <c r="B86" s="88" t="s">
        <v>195</v>
      </c>
    </row>
    <row r="87" spans="1:2" x14ac:dyDescent="0.35">
      <c r="A87" s="86" t="s">
        <v>196</v>
      </c>
      <c r="B87" s="88" t="s">
        <v>197</v>
      </c>
    </row>
    <row r="88" spans="1:2" x14ac:dyDescent="0.35">
      <c r="A88" s="86" t="s">
        <v>198</v>
      </c>
      <c r="B88" s="88" t="s">
        <v>199</v>
      </c>
    </row>
    <row r="89" spans="1:2" x14ac:dyDescent="0.35">
      <c r="A89" s="86" t="s">
        <v>200</v>
      </c>
      <c r="B89" s="88" t="s">
        <v>201</v>
      </c>
    </row>
    <row r="90" spans="1:2" x14ac:dyDescent="0.35">
      <c r="A90" s="86" t="s">
        <v>202</v>
      </c>
      <c r="B90" s="88" t="s">
        <v>203</v>
      </c>
    </row>
    <row r="91" spans="1:2" x14ac:dyDescent="0.35">
      <c r="A91" s="86" t="s">
        <v>204</v>
      </c>
      <c r="B91" s="88" t="s">
        <v>205</v>
      </c>
    </row>
    <row r="92" spans="1:2" x14ac:dyDescent="0.35">
      <c r="A92" s="86" t="s">
        <v>206</v>
      </c>
      <c r="B92" s="88" t="s">
        <v>207</v>
      </c>
    </row>
    <row r="93" spans="1:2" x14ac:dyDescent="0.35">
      <c r="A93" s="86" t="s">
        <v>208</v>
      </c>
      <c r="B93" s="88" t="s">
        <v>209</v>
      </c>
    </row>
    <row r="94" spans="1:2" x14ac:dyDescent="0.35">
      <c r="A94" s="86" t="s">
        <v>210</v>
      </c>
      <c r="B94" s="88" t="s">
        <v>211</v>
      </c>
    </row>
    <row r="95" spans="1:2" x14ac:dyDescent="0.35">
      <c r="A95" s="86" t="s">
        <v>212</v>
      </c>
      <c r="B95" s="88" t="s">
        <v>213</v>
      </c>
    </row>
    <row r="96" spans="1:2" x14ac:dyDescent="0.35">
      <c r="A96" s="86" t="s">
        <v>214</v>
      </c>
      <c r="B96" s="88" t="s">
        <v>215</v>
      </c>
    </row>
    <row r="97" spans="1:2" x14ac:dyDescent="0.35">
      <c r="A97" s="86" t="s">
        <v>216</v>
      </c>
      <c r="B97" s="88" t="s">
        <v>217</v>
      </c>
    </row>
    <row r="98" spans="1:2" x14ac:dyDescent="0.35">
      <c r="A98" s="86" t="s">
        <v>218</v>
      </c>
      <c r="B98" s="88" t="s">
        <v>219</v>
      </c>
    </row>
    <row r="99" spans="1:2" x14ac:dyDescent="0.35">
      <c r="A99" s="86" t="s">
        <v>220</v>
      </c>
      <c r="B99" s="88" t="s">
        <v>221</v>
      </c>
    </row>
    <row r="100" spans="1:2" x14ac:dyDescent="0.35">
      <c r="A100" s="86" t="s">
        <v>222</v>
      </c>
      <c r="B100" s="88" t="s">
        <v>223</v>
      </c>
    </row>
    <row r="101" spans="1:2" x14ac:dyDescent="0.35">
      <c r="A101" s="86" t="s">
        <v>224</v>
      </c>
      <c r="B101" s="88" t="s">
        <v>225</v>
      </c>
    </row>
    <row r="102" spans="1:2" x14ac:dyDescent="0.35">
      <c r="A102" s="86" t="s">
        <v>226</v>
      </c>
      <c r="B102" s="88" t="s">
        <v>227</v>
      </c>
    </row>
    <row r="103" spans="1:2" x14ac:dyDescent="0.35">
      <c r="A103" s="86" t="s">
        <v>228</v>
      </c>
      <c r="B103" s="88" t="s">
        <v>229</v>
      </c>
    </row>
    <row r="104" spans="1:2" x14ac:dyDescent="0.35">
      <c r="A104" s="86" t="s">
        <v>230</v>
      </c>
      <c r="B104" s="88" t="s">
        <v>231</v>
      </c>
    </row>
    <row r="105" spans="1:2" x14ac:dyDescent="0.35">
      <c r="A105" s="86" t="s">
        <v>232</v>
      </c>
      <c r="B105" s="88" t="s">
        <v>233</v>
      </c>
    </row>
    <row r="106" spans="1:2" x14ac:dyDescent="0.35">
      <c r="A106" s="86" t="s">
        <v>234</v>
      </c>
      <c r="B106" s="88" t="s">
        <v>235</v>
      </c>
    </row>
    <row r="107" spans="1:2" x14ac:dyDescent="0.35">
      <c r="A107" s="86" t="s">
        <v>236</v>
      </c>
      <c r="B107" s="88" t="s">
        <v>237</v>
      </c>
    </row>
    <row r="108" spans="1:2" x14ac:dyDescent="0.35">
      <c r="A108" s="86" t="s">
        <v>238</v>
      </c>
      <c r="B108" s="88" t="s">
        <v>239</v>
      </c>
    </row>
    <row r="109" spans="1:2" x14ac:dyDescent="0.35">
      <c r="A109" s="86" t="s">
        <v>240</v>
      </c>
      <c r="B109" s="88" t="s">
        <v>241</v>
      </c>
    </row>
    <row r="110" spans="1:2" x14ac:dyDescent="0.35">
      <c r="A110" s="86" t="s">
        <v>242</v>
      </c>
      <c r="B110" s="88" t="s">
        <v>243</v>
      </c>
    </row>
    <row r="111" spans="1:2" x14ac:dyDescent="0.35">
      <c r="A111" s="86" t="s">
        <v>244</v>
      </c>
      <c r="B111" s="88" t="s">
        <v>245</v>
      </c>
    </row>
    <row r="112" spans="1:2" x14ac:dyDescent="0.35">
      <c r="A112" s="86" t="s">
        <v>246</v>
      </c>
      <c r="B112" s="88" t="s">
        <v>247</v>
      </c>
    </row>
    <row r="113" spans="1:2" x14ac:dyDescent="0.35">
      <c r="A113" s="86" t="s">
        <v>248</v>
      </c>
      <c r="B113" s="88" t="s">
        <v>249</v>
      </c>
    </row>
    <row r="114" spans="1:2" x14ac:dyDescent="0.35">
      <c r="A114" s="86" t="s">
        <v>250</v>
      </c>
      <c r="B114" s="88" t="s">
        <v>251</v>
      </c>
    </row>
    <row r="115" spans="1:2" x14ac:dyDescent="0.35">
      <c r="A115" s="86" t="s">
        <v>252</v>
      </c>
      <c r="B115" s="88" t="s">
        <v>253</v>
      </c>
    </row>
    <row r="116" spans="1:2" x14ac:dyDescent="0.35">
      <c r="A116" s="86" t="s">
        <v>254</v>
      </c>
      <c r="B116" s="88" t="s">
        <v>255</v>
      </c>
    </row>
    <row r="117" spans="1:2" x14ac:dyDescent="0.35">
      <c r="A117" s="86" t="s">
        <v>256</v>
      </c>
      <c r="B117" s="88" t="s">
        <v>257</v>
      </c>
    </row>
    <row r="118" spans="1:2" x14ac:dyDescent="0.35">
      <c r="A118" s="86" t="s">
        <v>258</v>
      </c>
      <c r="B118" s="88" t="s">
        <v>259</v>
      </c>
    </row>
    <row r="119" spans="1:2" x14ac:dyDescent="0.35">
      <c r="A119" s="86" t="s">
        <v>260</v>
      </c>
      <c r="B119" s="88" t="s">
        <v>261</v>
      </c>
    </row>
    <row r="120" spans="1:2" x14ac:dyDescent="0.35">
      <c r="A120" s="86" t="s">
        <v>262</v>
      </c>
      <c r="B120" s="88" t="s">
        <v>263</v>
      </c>
    </row>
    <row r="121" spans="1:2" x14ac:dyDescent="0.35">
      <c r="A121" s="86" t="s">
        <v>264</v>
      </c>
      <c r="B121" s="88" t="s">
        <v>265</v>
      </c>
    </row>
    <row r="122" spans="1:2" x14ac:dyDescent="0.35">
      <c r="A122" s="86" t="s">
        <v>266</v>
      </c>
      <c r="B122" s="88" t="s">
        <v>267</v>
      </c>
    </row>
    <row r="123" spans="1:2" x14ac:dyDescent="0.35">
      <c r="A123" s="86" t="s">
        <v>268</v>
      </c>
      <c r="B123" s="88" t="s">
        <v>269</v>
      </c>
    </row>
    <row r="124" spans="1:2" x14ac:dyDescent="0.35">
      <c r="A124" s="86" t="s">
        <v>270</v>
      </c>
      <c r="B124" s="88" t="s">
        <v>271</v>
      </c>
    </row>
    <row r="125" spans="1:2" x14ac:dyDescent="0.35">
      <c r="A125" s="86" t="s">
        <v>272</v>
      </c>
      <c r="B125" s="88" t="s">
        <v>273</v>
      </c>
    </row>
    <row r="126" spans="1:2" x14ac:dyDescent="0.35">
      <c r="A126" s="86" t="s">
        <v>274</v>
      </c>
      <c r="B126" s="88" t="s">
        <v>275</v>
      </c>
    </row>
    <row r="127" spans="1:2" x14ac:dyDescent="0.35">
      <c r="A127" s="86" t="s">
        <v>276</v>
      </c>
      <c r="B127" s="88" t="s">
        <v>277</v>
      </c>
    </row>
    <row r="128" spans="1:2" x14ac:dyDescent="0.35">
      <c r="A128" s="86" t="s">
        <v>278</v>
      </c>
      <c r="B128" s="88" t="s">
        <v>279</v>
      </c>
    </row>
    <row r="129" spans="1:2" x14ac:dyDescent="0.35">
      <c r="A129" s="86" t="s">
        <v>280</v>
      </c>
      <c r="B129" s="88" t="s">
        <v>281</v>
      </c>
    </row>
    <row r="130" spans="1:2" x14ac:dyDescent="0.35">
      <c r="A130" s="86" t="s">
        <v>282</v>
      </c>
      <c r="B130" s="88" t="s">
        <v>283</v>
      </c>
    </row>
    <row r="131" spans="1:2" x14ac:dyDescent="0.35">
      <c r="A131" s="86" t="s">
        <v>284</v>
      </c>
      <c r="B131" s="88" t="s">
        <v>285</v>
      </c>
    </row>
    <row r="132" spans="1:2" x14ac:dyDescent="0.35">
      <c r="A132" s="86" t="s">
        <v>286</v>
      </c>
      <c r="B132" s="88" t="s">
        <v>287</v>
      </c>
    </row>
    <row r="133" spans="1:2" x14ac:dyDescent="0.35">
      <c r="A133" s="86" t="s">
        <v>288</v>
      </c>
      <c r="B133" s="88" t="s">
        <v>289</v>
      </c>
    </row>
    <row r="134" spans="1:2" x14ac:dyDescent="0.35">
      <c r="A134" s="86" t="s">
        <v>290</v>
      </c>
      <c r="B134" s="88" t="s">
        <v>291</v>
      </c>
    </row>
    <row r="135" spans="1:2" x14ac:dyDescent="0.35">
      <c r="A135" s="86" t="s">
        <v>292</v>
      </c>
      <c r="B135" s="88" t="s">
        <v>293</v>
      </c>
    </row>
    <row r="136" spans="1:2" x14ac:dyDescent="0.35">
      <c r="A136" s="86" t="s">
        <v>294</v>
      </c>
      <c r="B136" s="88" t="s">
        <v>295</v>
      </c>
    </row>
    <row r="137" spans="1:2" x14ac:dyDescent="0.35">
      <c r="A137" s="86" t="s">
        <v>296</v>
      </c>
      <c r="B137" s="88" t="s">
        <v>297</v>
      </c>
    </row>
    <row r="138" spans="1:2" x14ac:dyDescent="0.35">
      <c r="A138" s="86" t="s">
        <v>298</v>
      </c>
      <c r="B138" s="88" t="s">
        <v>299</v>
      </c>
    </row>
    <row r="139" spans="1:2" x14ac:dyDescent="0.35">
      <c r="A139" s="86" t="s">
        <v>300</v>
      </c>
      <c r="B139" s="88" t="s">
        <v>301</v>
      </c>
    </row>
    <row r="140" spans="1:2" x14ac:dyDescent="0.35">
      <c r="A140" s="86" t="s">
        <v>302</v>
      </c>
      <c r="B140" s="88" t="s">
        <v>303</v>
      </c>
    </row>
    <row r="141" spans="1:2" x14ac:dyDescent="0.35">
      <c r="A141" s="86" t="s">
        <v>304</v>
      </c>
      <c r="B141" s="88" t="s">
        <v>305</v>
      </c>
    </row>
    <row r="142" spans="1:2" x14ac:dyDescent="0.35">
      <c r="A142" s="86" t="s">
        <v>306</v>
      </c>
      <c r="B142" s="88" t="s">
        <v>307</v>
      </c>
    </row>
    <row r="143" spans="1:2" x14ac:dyDescent="0.35">
      <c r="A143" s="86" t="s">
        <v>308</v>
      </c>
      <c r="B143" s="88" t="s">
        <v>309</v>
      </c>
    </row>
    <row r="144" spans="1:2" x14ac:dyDescent="0.35">
      <c r="A144" s="86" t="s">
        <v>310</v>
      </c>
      <c r="B144" s="89" t="s">
        <v>311</v>
      </c>
    </row>
    <row r="145" spans="1:2" x14ac:dyDescent="0.35">
      <c r="A145" s="86" t="s">
        <v>312</v>
      </c>
      <c r="B145" s="88" t="s">
        <v>313</v>
      </c>
    </row>
    <row r="146" spans="1:2" x14ac:dyDescent="0.35">
      <c r="A146" s="86" t="s">
        <v>314</v>
      </c>
      <c r="B146" s="88" t="s">
        <v>315</v>
      </c>
    </row>
    <row r="147" spans="1:2" x14ac:dyDescent="0.35">
      <c r="A147" s="86" t="s">
        <v>316</v>
      </c>
      <c r="B147" s="88" t="s">
        <v>317</v>
      </c>
    </row>
    <row r="148" spans="1:2" x14ac:dyDescent="0.35">
      <c r="A148" s="86" t="s">
        <v>318</v>
      </c>
      <c r="B148" s="88" t="s">
        <v>319</v>
      </c>
    </row>
    <row r="149" spans="1:2" x14ac:dyDescent="0.35">
      <c r="A149" s="86" t="s">
        <v>320</v>
      </c>
      <c r="B149" s="88" t="s">
        <v>321</v>
      </c>
    </row>
    <row r="150" spans="1:2" x14ac:dyDescent="0.35">
      <c r="A150" s="86" t="s">
        <v>322</v>
      </c>
      <c r="B150" s="88" t="s">
        <v>323</v>
      </c>
    </row>
    <row r="151" spans="1:2" x14ac:dyDescent="0.35">
      <c r="A151" s="86" t="s">
        <v>324</v>
      </c>
      <c r="B151" s="88" t="s">
        <v>325</v>
      </c>
    </row>
    <row r="152" spans="1:2" x14ac:dyDescent="0.35">
      <c r="A152" s="86" t="s">
        <v>326</v>
      </c>
      <c r="B152" s="88" t="s">
        <v>327</v>
      </c>
    </row>
    <row r="153" spans="1:2" x14ac:dyDescent="0.35">
      <c r="A153" s="86" t="s">
        <v>328</v>
      </c>
      <c r="B153" s="88" t="s">
        <v>329</v>
      </c>
    </row>
    <row r="154" spans="1:2" x14ac:dyDescent="0.35">
      <c r="A154" s="86" t="s">
        <v>330</v>
      </c>
      <c r="B154" s="88" t="s">
        <v>331</v>
      </c>
    </row>
    <row r="155" spans="1:2" x14ac:dyDescent="0.35">
      <c r="A155" s="86" t="s">
        <v>332</v>
      </c>
      <c r="B155" s="88" t="s">
        <v>333</v>
      </c>
    </row>
    <row r="156" spans="1:2" x14ac:dyDescent="0.35">
      <c r="A156" s="86" t="s">
        <v>334</v>
      </c>
      <c r="B156" s="88" t="s">
        <v>335</v>
      </c>
    </row>
    <row r="157" spans="1:2" x14ac:dyDescent="0.35">
      <c r="A157" s="86" t="s">
        <v>336</v>
      </c>
      <c r="B157" s="88" t="s">
        <v>337</v>
      </c>
    </row>
    <row r="158" spans="1:2" x14ac:dyDescent="0.35">
      <c r="A158" s="86" t="s">
        <v>338</v>
      </c>
      <c r="B158" s="88" t="s">
        <v>339</v>
      </c>
    </row>
    <row r="159" spans="1:2" x14ac:dyDescent="0.35">
      <c r="A159" s="86" t="s">
        <v>340</v>
      </c>
      <c r="B159" s="88" t="s">
        <v>341</v>
      </c>
    </row>
    <row r="160" spans="1:2" x14ac:dyDescent="0.35">
      <c r="A160" s="86" t="s">
        <v>342</v>
      </c>
      <c r="B160" s="88" t="s">
        <v>343</v>
      </c>
    </row>
    <row r="161" spans="1:2" x14ac:dyDescent="0.35">
      <c r="A161" s="86" t="s">
        <v>344</v>
      </c>
      <c r="B161" s="88" t="s">
        <v>345</v>
      </c>
    </row>
    <row r="162" spans="1:2" x14ac:dyDescent="0.35">
      <c r="A162" s="86" t="s">
        <v>346</v>
      </c>
      <c r="B162" s="88" t="s">
        <v>347</v>
      </c>
    </row>
    <row r="163" spans="1:2" x14ac:dyDescent="0.35">
      <c r="A163" s="86" t="s">
        <v>348</v>
      </c>
      <c r="B163" s="88" t="s">
        <v>349</v>
      </c>
    </row>
    <row r="164" spans="1:2" x14ac:dyDescent="0.35">
      <c r="A164" s="86" t="s">
        <v>350</v>
      </c>
      <c r="B164" s="88" t="s">
        <v>351</v>
      </c>
    </row>
    <row r="165" spans="1:2" x14ac:dyDescent="0.35">
      <c r="A165" s="86" t="s">
        <v>352</v>
      </c>
      <c r="B165" s="88" t="s">
        <v>353</v>
      </c>
    </row>
    <row r="166" spans="1:2" x14ac:dyDescent="0.35">
      <c r="A166" s="86" t="s">
        <v>354</v>
      </c>
      <c r="B166" s="88" t="s">
        <v>355</v>
      </c>
    </row>
    <row r="167" spans="1:2" x14ac:dyDescent="0.35">
      <c r="A167" s="86" t="s">
        <v>356</v>
      </c>
      <c r="B167" s="88" t="s">
        <v>357</v>
      </c>
    </row>
    <row r="168" spans="1:2" x14ac:dyDescent="0.35">
      <c r="A168" s="86" t="s">
        <v>358</v>
      </c>
      <c r="B168" s="88" t="s">
        <v>359</v>
      </c>
    </row>
    <row r="169" spans="1:2" x14ac:dyDescent="0.35">
      <c r="A169" s="86" t="s">
        <v>360</v>
      </c>
      <c r="B169" s="88" t="s">
        <v>361</v>
      </c>
    </row>
    <row r="170" spans="1:2" x14ac:dyDescent="0.35">
      <c r="A170" s="86" t="s">
        <v>362</v>
      </c>
      <c r="B170" s="88" t="s">
        <v>363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grace.aboreburua@un.org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MPTF_00006_00761</ProjectId>
    <FundCode xmlns="f9695bc1-6109-4dcd-a27a-f8a0370b00e2">MPTF_00006</FundCode>
    <Comments xmlns="f9695bc1-6109-4dcd-a27a-f8a0370b00e2">Annual Report Expenditure</Comments>
    <Active xmlns="f9695bc1-6109-4dcd-a27a-f8a0370b00e2">Yes</Active>
    <DocumentDate xmlns="b1528a4b-5ccb-40f7-a09e-43427183cd95">2024-06-21T07:00:00+00:00</DocumentDate>
    <Featured xmlns="b1528a4b-5ccb-40f7-a09e-43427183cd95">1</Featured>
    <FormTypeCode xmlns="b1528a4b-5ccb-40f7-a09e-43427183cd9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cea61b834f8ee701850a84e4d098b1dc">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b7c69fab125bdb54e21c4307976656df"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84FF07-2F1C-417E-B961-9C8F87D1A41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A2FBB85-5201-420D-B2F7-3DB69105D9FA}">
  <ds:schemaRefs>
    <ds:schemaRef ds:uri="http://schemas.microsoft.com/sharepoint/v3/contenttype/forms"/>
  </ds:schemaRefs>
</ds:datastoreItem>
</file>

<file path=customXml/itemProps3.xml><?xml version="1.0" encoding="utf-8"?>
<ds:datastoreItem xmlns:ds="http://schemas.openxmlformats.org/officeDocument/2006/customXml" ds:itemID="{12138487-DD1C-4341-8C31-A58C28B3808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 Budget Table</vt:lpstr>
      <vt:lpstr>2) By Category</vt:lpstr>
      <vt:lpstr>3) Explanatory Notes</vt:lpstr>
      <vt:lpstr>4) For PBSO Use</vt:lpstr>
      <vt:lpstr>5)For MPTFO Use</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240615 CCfP_PRF 00124826_Annual Report_Expenditure.xlsx</dc:title>
  <dc:creator>Jelena Zelenovic</dc:creator>
  <cp:lastModifiedBy>Ahmad Rashid Watanpahl</cp:lastModifiedBy>
  <cp:lastPrinted>2017-12-11T22:51:21Z</cp:lastPrinted>
  <dcterms:created xsi:type="dcterms:W3CDTF">2017-11-15T21:17:43Z</dcterms:created>
  <dcterms:modified xsi:type="dcterms:W3CDTF">2024-06-20T05:49:45Z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