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unitednations.sharepoint.com/sites/DCO-WG-UNCT_MD/Shared Documents/UN Joint Projects/PBF/3. Reporting/"/>
    </mc:Choice>
  </mc:AlternateContent>
  <xr:revisionPtr revIDLastSave="2548" documentId="13_ncr:1_{C183B127-9353-4EE2-A023-C3F403F37188}" xr6:coauthVersionLast="47" xr6:coauthVersionMax="47" xr10:uidLastSave="{E446B1EF-52E1-4EB8-BD2C-512FDC2D276D}"/>
  <bookViews>
    <workbookView xWindow="-110" yWindow="-110" windowWidth="19420" windowHeight="11620" xr2:uid="{1D79216C-8BC2-4027-A415-F1F4FB15BD55}"/>
  </bookViews>
  <sheets>
    <sheet name="Activity Costs" sheetId="2" r:id="rId1"/>
    <sheet name="Non-Activity cost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43" i="2" l="1"/>
  <c r="I343" i="2"/>
  <c r="M343" i="2"/>
  <c r="O343" i="2"/>
  <c r="K343" i="2"/>
  <c r="L331" i="2"/>
  <c r="F29" i="3" l="1"/>
  <c r="F30" i="3"/>
  <c r="F31" i="3"/>
  <c r="F32" i="3"/>
  <c r="E28" i="3"/>
  <c r="E18" i="3"/>
  <c r="E16" i="3"/>
  <c r="E15" i="3"/>
  <c r="E13" i="3"/>
  <c r="E9" i="3"/>
  <c r="E12" i="3"/>
  <c r="E7" i="3"/>
  <c r="E6" i="3"/>
  <c r="K19" i="2"/>
  <c r="K123" i="2"/>
  <c r="L234" i="2"/>
  <c r="L235" i="2"/>
  <c r="L233" i="2"/>
  <c r="K269" i="2"/>
  <c r="M245" i="2"/>
  <c r="M257" i="2"/>
  <c r="D18" i="3"/>
  <c r="F18" i="3"/>
  <c r="F19" i="3"/>
  <c r="L127" i="2"/>
  <c r="L128" i="2"/>
  <c r="L129" i="2"/>
  <c r="L62" i="2"/>
  <c r="D27" i="3"/>
  <c r="D16" i="3" l="1"/>
  <c r="D6" i="3"/>
  <c r="L19" i="2"/>
  <c r="L18" i="2"/>
  <c r="E27" i="3"/>
  <c r="E33" i="3"/>
  <c r="K84" i="2" l="1"/>
  <c r="M84" i="2"/>
  <c r="C28" i="3"/>
  <c r="C29" i="3"/>
  <c r="D28" i="3"/>
  <c r="D29" i="3"/>
  <c r="O84" i="2" l="1"/>
  <c r="F28" i="3"/>
  <c r="L126" i="2"/>
  <c r="L61" i="2"/>
  <c r="L60" i="2"/>
  <c r="F37" i="3" l="1"/>
  <c r="F36" i="3"/>
  <c r="D17" i="3" l="1"/>
  <c r="D7" i="3"/>
  <c r="D33" i="3" s="1"/>
  <c r="F33" i="3" s="1"/>
  <c r="L257" i="2"/>
  <c r="L245" i="2"/>
  <c r="L254" i="2" s="1"/>
  <c r="L173" i="2"/>
  <c r="L182" i="2" s="1"/>
  <c r="L161" i="2"/>
  <c r="L170" i="2" s="1"/>
  <c r="L42" i="2"/>
  <c r="L44" i="2"/>
  <c r="L45" i="2"/>
  <c r="L46" i="2"/>
  <c r="L47" i="2"/>
  <c r="L48" i="2"/>
  <c r="L72" i="2"/>
  <c r="M170" i="2"/>
  <c r="L138" i="2"/>
  <c r="L139" i="2"/>
  <c r="L140" i="2"/>
  <c r="L141" i="2"/>
  <c r="L142" i="2"/>
  <c r="L143" i="2"/>
  <c r="L144" i="2"/>
  <c r="L145" i="2"/>
  <c r="L137" i="2"/>
  <c r="L198" i="2"/>
  <c r="L199" i="2"/>
  <c r="L200" i="2"/>
  <c r="L201" i="2"/>
  <c r="L202" i="2"/>
  <c r="L203" i="2"/>
  <c r="L204" i="2"/>
  <c r="L205" i="2"/>
  <c r="L197" i="2"/>
  <c r="L210" i="2"/>
  <c r="L211" i="2"/>
  <c r="L212" i="2"/>
  <c r="L213" i="2"/>
  <c r="L214" i="2"/>
  <c r="L215" i="2"/>
  <c r="L216" i="2"/>
  <c r="L217" i="2"/>
  <c r="L209" i="2"/>
  <c r="L222" i="2"/>
  <c r="L223" i="2"/>
  <c r="L224" i="2"/>
  <c r="L225" i="2"/>
  <c r="L226" i="2"/>
  <c r="L227" i="2"/>
  <c r="L228" i="2"/>
  <c r="L229" i="2"/>
  <c r="L221" i="2"/>
  <c r="L270" i="2"/>
  <c r="L271" i="2"/>
  <c r="L272" i="2"/>
  <c r="L273" i="2"/>
  <c r="L274" i="2"/>
  <c r="L277" i="2"/>
  <c r="L278" i="2"/>
  <c r="L279" i="2"/>
  <c r="L269" i="2"/>
  <c r="C22" i="3"/>
  <c r="F20" i="3"/>
  <c r="E22" i="3"/>
  <c r="O341" i="2" s="1"/>
  <c r="L116" i="2"/>
  <c r="L117" i="2"/>
  <c r="L118" i="2"/>
  <c r="L119" i="2"/>
  <c r="L120" i="2"/>
  <c r="L121" i="2"/>
  <c r="L122" i="2"/>
  <c r="L322" i="2"/>
  <c r="L323" i="2"/>
  <c r="L324" i="2"/>
  <c r="L325" i="2"/>
  <c r="L326" i="2"/>
  <c r="L327" i="2"/>
  <c r="L320" i="2"/>
  <c r="L321" i="2"/>
  <c r="L319" i="2"/>
  <c r="L43" i="2"/>
  <c r="L49" i="2"/>
  <c r="L50" i="2"/>
  <c r="L31" i="2"/>
  <c r="L32" i="2"/>
  <c r="L34" i="2"/>
  <c r="L35" i="2"/>
  <c r="L36" i="2"/>
  <c r="L37" i="2"/>
  <c r="L38" i="2"/>
  <c r="L30" i="2"/>
  <c r="L20" i="2"/>
  <c r="L21" i="2"/>
  <c r="L22" i="2"/>
  <c r="L23" i="2"/>
  <c r="L25" i="2"/>
  <c r="L26" i="2"/>
  <c r="L7" i="2"/>
  <c r="L9" i="2"/>
  <c r="L10" i="2"/>
  <c r="L11" i="2"/>
  <c r="L12" i="2"/>
  <c r="L13" i="2"/>
  <c r="L14" i="2"/>
  <c r="D22" i="3"/>
  <c r="F329" i="2"/>
  <c r="E329" i="2"/>
  <c r="D329" i="2"/>
  <c r="G115" i="2"/>
  <c r="F21" i="3"/>
  <c r="L115" i="2"/>
  <c r="L125" i="2"/>
  <c r="L133" i="2"/>
  <c r="L123" i="2"/>
  <c r="L75" i="2"/>
  <c r="L74" i="2"/>
  <c r="L73" i="2"/>
  <c r="F13" i="3"/>
  <c r="F14" i="3"/>
  <c r="F15" i="3"/>
  <c r="M15" i="2"/>
  <c r="M27" i="2"/>
  <c r="M39" i="2"/>
  <c r="M51" i="2"/>
  <c r="M69" i="2"/>
  <c r="M112" i="2"/>
  <c r="M134" i="2"/>
  <c r="M158" i="2"/>
  <c r="M182" i="2"/>
  <c r="M194" i="2"/>
  <c r="M206" i="2"/>
  <c r="M218" i="2"/>
  <c r="M230" i="2"/>
  <c r="M242" i="2"/>
  <c r="M254" i="2"/>
  <c r="M266" i="2"/>
  <c r="M280" i="2"/>
  <c r="M292" i="2"/>
  <c r="M304" i="2"/>
  <c r="M316" i="2"/>
  <c r="M328" i="2"/>
  <c r="L56" i="2"/>
  <c r="L57" i="2"/>
  <c r="L58" i="2"/>
  <c r="L59" i="2"/>
  <c r="L66" i="2"/>
  <c r="L67" i="2"/>
  <c r="L68" i="2"/>
  <c r="L112" i="2"/>
  <c r="L158" i="2"/>
  <c r="L194" i="2"/>
  <c r="L242" i="2"/>
  <c r="L266" i="2"/>
  <c r="L292" i="2"/>
  <c r="L304" i="2"/>
  <c r="L316" i="2"/>
  <c r="K15" i="2"/>
  <c r="K27" i="2"/>
  <c r="K39" i="2"/>
  <c r="O39" i="2" s="1"/>
  <c r="K51" i="2"/>
  <c r="K69" i="2"/>
  <c r="O69" i="2" s="1"/>
  <c r="K112" i="2"/>
  <c r="O112" i="2" s="1"/>
  <c r="K134" i="2"/>
  <c r="O134" i="2" s="1"/>
  <c r="K146" i="2"/>
  <c r="K158" i="2"/>
  <c r="K170" i="2"/>
  <c r="K182" i="2"/>
  <c r="K194" i="2"/>
  <c r="K206" i="2"/>
  <c r="O206" i="2" s="1"/>
  <c r="K218" i="2"/>
  <c r="O218" i="2" s="1"/>
  <c r="K230" i="2"/>
  <c r="O230" i="2" s="1"/>
  <c r="K242" i="2"/>
  <c r="O242" i="2" s="1"/>
  <c r="K254" i="2"/>
  <c r="K266" i="2"/>
  <c r="K280" i="2"/>
  <c r="K292" i="2"/>
  <c r="O292" i="2" s="1"/>
  <c r="K304" i="2"/>
  <c r="K316" i="2"/>
  <c r="O316" i="2" s="1"/>
  <c r="K328" i="2"/>
  <c r="M100" i="2"/>
  <c r="M146" i="2"/>
  <c r="L55" i="2"/>
  <c r="L54" i="2"/>
  <c r="L100" i="2"/>
  <c r="F12" i="3"/>
  <c r="F11" i="3"/>
  <c r="F10" i="3"/>
  <c r="F9" i="3"/>
  <c r="F8" i="3"/>
  <c r="F7" i="3"/>
  <c r="F6" i="3"/>
  <c r="G319" i="2"/>
  <c r="G307" i="2"/>
  <c r="G295" i="2"/>
  <c r="G283" i="2"/>
  <c r="G269" i="2"/>
  <c r="G257" i="2"/>
  <c r="G245" i="2"/>
  <c r="G233" i="2"/>
  <c r="G221" i="2"/>
  <c r="G209" i="2"/>
  <c r="G197" i="2"/>
  <c r="G185" i="2"/>
  <c r="G173" i="2"/>
  <c r="G149" i="2"/>
  <c r="G137" i="2"/>
  <c r="G103" i="2"/>
  <c r="G87" i="2"/>
  <c r="G72" i="2"/>
  <c r="G54" i="2"/>
  <c r="G42" i="2"/>
  <c r="G30" i="2"/>
  <c r="I39" i="2" s="1"/>
  <c r="P39" i="2" s="1"/>
  <c r="G18" i="2"/>
  <c r="G6" i="2"/>
  <c r="I15" i="2" s="1"/>
  <c r="K100" i="2"/>
  <c r="O100" i="2" s="1"/>
  <c r="F17" i="3"/>
  <c r="K337" i="2" l="1"/>
  <c r="O328" i="2"/>
  <c r="K339" i="2"/>
  <c r="O158" i="2"/>
  <c r="O146" i="2"/>
  <c r="M337" i="2"/>
  <c r="O254" i="2"/>
  <c r="L84" i="2"/>
  <c r="O15" i="2"/>
  <c r="P15" i="2"/>
  <c r="O194" i="2"/>
  <c r="M339" i="2"/>
  <c r="P339" i="2" s="1"/>
  <c r="O27" i="2"/>
  <c r="O266" i="2"/>
  <c r="O182" i="2"/>
  <c r="O170" i="2"/>
  <c r="O51" i="2"/>
  <c r="M341" i="2"/>
  <c r="O304" i="2"/>
  <c r="O280" i="2"/>
  <c r="O329" i="2" s="1"/>
  <c r="K341" i="2"/>
  <c r="I266" i="2"/>
  <c r="P266" i="2" s="1"/>
  <c r="F16" i="3"/>
  <c r="F22" i="3"/>
  <c r="F27" i="3"/>
  <c r="I280" i="2"/>
  <c r="P280" i="2" s="1"/>
  <c r="I242" i="2"/>
  <c r="P242" i="2" s="1"/>
  <c r="I230" i="2"/>
  <c r="P230" i="2" s="1"/>
  <c r="I27" i="2"/>
  <c r="P27" i="2" s="1"/>
  <c r="I254" i="2"/>
  <c r="P254" i="2" s="1"/>
  <c r="I304" i="2"/>
  <c r="P304" i="2" s="1"/>
  <c r="I206" i="2"/>
  <c r="P206" i="2" s="1"/>
  <c r="I182" i="2"/>
  <c r="P182" i="2" s="1"/>
  <c r="I51" i="2"/>
  <c r="P51" i="2" s="1"/>
  <c r="I194" i="2"/>
  <c r="P194" i="2" s="1"/>
  <c r="I112" i="2"/>
  <c r="P112" i="2" s="1"/>
  <c r="L230" i="2"/>
  <c r="L206" i="2"/>
  <c r="L146" i="2"/>
  <c r="L328" i="2"/>
  <c r="I134" i="2"/>
  <c r="P134" i="2" s="1"/>
  <c r="I100" i="2"/>
  <c r="P100" i="2" s="1"/>
  <c r="I316" i="2"/>
  <c r="P316" i="2" s="1"/>
  <c r="I146" i="2"/>
  <c r="P146" i="2" s="1"/>
  <c r="L51" i="2"/>
  <c r="I69" i="2"/>
  <c r="P69" i="2" s="1"/>
  <c r="L134" i="2"/>
  <c r="L15" i="2"/>
  <c r="L218" i="2"/>
  <c r="L27" i="2"/>
  <c r="L280" i="2"/>
  <c r="L69" i="2"/>
  <c r="I170" i="2"/>
  <c r="P170" i="2" s="1"/>
  <c r="I292" i="2"/>
  <c r="P292" i="2" s="1"/>
  <c r="I158" i="2"/>
  <c r="P158" i="2" s="1"/>
  <c r="L39" i="2"/>
  <c r="G329" i="2"/>
  <c r="I328" i="2"/>
  <c r="P328" i="2" s="1"/>
  <c r="I218" i="2"/>
  <c r="P218" i="2" s="1"/>
  <c r="P337" i="2" l="1"/>
  <c r="P341" i="2"/>
  <c r="M329" i="2"/>
  <c r="I84" i="2"/>
  <c r="K329" i="2"/>
  <c r="P343" i="2" l="1"/>
  <c r="I329" i="2"/>
  <c r="I335" i="2" s="1"/>
  <c r="P84" i="2"/>
  <c r="P329" i="2" s="1"/>
  <c r="L329" i="2"/>
  <c r="I33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Iulia Terpan [UNWOMEN]</author>
    <author>tc={0E35C2D5-5A65-412D-BE00-A7CD32D82B08}</author>
    <author>tc={5A2B09E3-8847-4042-A2DA-AC7155A75498}</author>
    <author>tc={3B558504-BC95-472F-9718-12C64557DF25}</author>
  </authors>
  <commentList>
    <comment ref="E30" authorId="0" shapeId="0" xr:uid="{83A628E7-65DC-4973-BE0D-2494DEE0362C}">
      <text>
        <r>
          <rPr>
            <sz val="11"/>
            <color theme="1"/>
            <rFont val="Calibri"/>
            <family val="2"/>
            <scheme val="minor"/>
          </rPr>
          <t>Iulia Terpan [UNWOMEN]:
and here - 13000 to output 2.2</t>
        </r>
      </text>
    </comment>
    <comment ref="K61" authorId="1" shapeId="0" xr:uid="{0E35C2D5-5A65-412D-BE00-A7CD32D82B08}">
      <text>
        <t xml:space="preserve">[Threaded comment]
Your version of Excel allows you to read this threaded comment; however, any edits to it will get removed if the file is opened in a newer version of Excel. Learn more: https://go.microsoft.com/fwlink/?linkid=870924
Comment:
    Checking if translation services were also paid in this amount. </t>
      </text>
    </comment>
    <comment ref="K92" authorId="2" shapeId="0" xr:uid="{5A2B09E3-8847-4042-A2DA-AC7155A75498}">
      <text>
        <t>[Threaded comment]
Your version of Excel allows you to read this threaded comment; however, any edits to it will get removed if the file is opened in a newer version of Excel. Learn more: https://go.microsoft.com/fwlink/?linkid=870924
Comment:
    Still might increase once bills for transport and translation arrive</t>
      </text>
    </comment>
    <comment ref="K93" authorId="3" shapeId="0" xr:uid="{3B558504-BC95-472F-9718-12C64557DF25}">
      <text>
        <t>[Threaded comment]
Your version of Excel allows you to read this threaded comment; however, any edits to it will get removed if the file is opened in a newer version of Excel. Learn more: https://go.microsoft.com/fwlink/?linkid=870924
Comment:
    Still need the final bills, this is an estimate</t>
      </text>
    </comment>
    <comment ref="E283" authorId="0" shapeId="0" xr:uid="{28A93F9F-114E-4894-9328-B37E7B8C6A05}">
      <text>
        <r>
          <rPr>
            <sz val="11"/>
            <color theme="1"/>
            <rFont val="Calibri"/>
            <family val="2"/>
            <scheme val="minor"/>
          </rPr>
          <t xml:space="preserve">Iulia Terpan [UNWOMEN]:
Here  should be + 13000 after NCE </t>
        </r>
      </text>
    </comment>
  </commentList>
</comments>
</file>

<file path=xl/sharedStrings.xml><?xml version="1.0" encoding="utf-8"?>
<sst xmlns="http://schemas.openxmlformats.org/spreadsheetml/2006/main" count="661" uniqueCount="245">
  <si>
    <t>totals est expend</t>
  </si>
  <si>
    <t>remaining est.</t>
  </si>
  <si>
    <t>Activity No.</t>
  </si>
  <si>
    <t>Activity Name</t>
  </si>
  <si>
    <t>Available budget</t>
  </si>
  <si>
    <t>Implemented activities/expenses</t>
  </si>
  <si>
    <t>GEWE</t>
  </si>
  <si>
    <t>OHCHR</t>
  </si>
  <si>
    <t>UN Women</t>
  </si>
  <si>
    <t>UNDP</t>
  </si>
  <si>
    <t>Total</t>
  </si>
  <si>
    <t>Sub No.</t>
  </si>
  <si>
    <t>Sub-activity name</t>
  </si>
  <si>
    <t>Date/Period</t>
  </si>
  <si>
    <t>Expenditure</t>
  </si>
  <si>
    <t>Expenditure (70%)</t>
  </si>
  <si>
    <t>Committed funds</t>
  </si>
  <si>
    <t>A.1.1.1</t>
  </si>
  <si>
    <t>Facilitate tailored trainings, regional exchanges and peer-to-peer networking events on human rights based approach, and gender-sensitive conflict resolution, negotiation, and mediation for the settlement process actors</t>
  </si>
  <si>
    <t>Contracting the International Consultant  on Gender Equality in Peacebuilding for peace process actors, including trip (UNW)</t>
  </si>
  <si>
    <t>18 May 2023-18 May 2024</t>
  </si>
  <si>
    <t>National consultant to provide a capacity-building programme on Gender Responsive Peacebuilding (UNW)</t>
  </si>
  <si>
    <t>19 June 2023-18 June 2024</t>
  </si>
  <si>
    <t>Geneva Peace Week (UNW)</t>
  </si>
  <si>
    <t>30 October - 3 November 2023</t>
  </si>
  <si>
    <t>Gender-sensitive cross-river assessment</t>
  </si>
  <si>
    <t>Remaining</t>
  </si>
  <si>
    <t>Expenditure (100%)</t>
  </si>
  <si>
    <t>A.1.1.2</t>
  </si>
  <si>
    <t>Produce knowledge products, advocacy papers, policy recommendations highlighting the importance and benefits of the balanced and meaningful participation of women in conflict analysis and peacebuilding processes</t>
  </si>
  <si>
    <t>Contracting the National consultant to develop a series of knowledge products, advocacy papers and regulatory policy recommendations to integrate Gender Equality commitments in peace processes (UNW)</t>
  </si>
  <si>
    <t>May 2023-May 2024</t>
  </si>
  <si>
    <t>Editing/review knowledge product</t>
  </si>
  <si>
    <t>Translation knowledge product</t>
  </si>
  <si>
    <t>Design services knowledge product</t>
  </si>
  <si>
    <t>Event for knowledge product presentation</t>
  </si>
  <si>
    <t>Print knowledge product</t>
  </si>
  <si>
    <t>A.1.1.3</t>
  </si>
  <si>
    <t xml:space="preserve">Organize advocacy and dialogue events bringing togther CSOs, gender and human rights activists and settlement process actors on entry points for integrating gender equality and human security perspectives in the negotiation agenda isusues, and in broader peacebuilding processes </t>
  </si>
  <si>
    <t>Dialogue event on peacebulidng and WPS agenda (UNW)</t>
  </si>
  <si>
    <t xml:space="preserve">Support 2 additional initiatives in the Security Zone </t>
  </si>
  <si>
    <t xml:space="preserve">Translation services events </t>
  </si>
  <si>
    <t xml:space="preserve">Debriefing event </t>
  </si>
  <si>
    <t>Expenditure (40%)</t>
  </si>
  <si>
    <t>A.1.1.4</t>
  </si>
  <si>
    <t>Provide expertise in analysing the priority development issues object of working groups discussion as well as emerging areas of work from the  settlement process perspective, identify solutions for the challenges under each thematic group and advocate for their inclusion in the setlement process discussions.</t>
  </si>
  <si>
    <t>Direct granting of the Institute for Strategic Initiatives (IPIS) for the organisation of dialogues and meetings for the strengthening of cross-river engagement and productive interaction for thematic collaboration platforms in a non-formal setting with experts from the working groups. (UNDP)</t>
  </si>
  <si>
    <t>November 2023 - June 2024</t>
  </si>
  <si>
    <t>Expenditure 35%</t>
  </si>
  <si>
    <t>A.1.2.1</t>
  </si>
  <si>
    <t>Establish and empower a platform of CSOs, HRD and journalist from both banks of Nistru river to be able to advance the human rights, including gender perspectives</t>
  </si>
  <si>
    <t>CSO Network event 1 (OHCHR)</t>
  </si>
  <si>
    <t>CSO Network event 2 (OHCHR)</t>
  </si>
  <si>
    <t>27-28 April 2023</t>
  </si>
  <si>
    <t>CSO Network event 3 (OHCHR)</t>
  </si>
  <si>
    <t>27-28 July 2023</t>
  </si>
  <si>
    <t>CSO Network event 4 (OHCHR)</t>
  </si>
  <si>
    <t>30-31 Oct 2023</t>
  </si>
  <si>
    <t>Advocacy Consultant (OHCHR)</t>
  </si>
  <si>
    <t>Until Dec 2024</t>
  </si>
  <si>
    <t>CSO Network event 5 (OHCHR)</t>
  </si>
  <si>
    <t>21-22 Feb 2024</t>
  </si>
  <si>
    <t>Support to HRDs Advocacy - GVA CERD visit</t>
  </si>
  <si>
    <t>17-21 Apr 2024</t>
  </si>
  <si>
    <t>CSO Network event 6 (OHCHR)</t>
  </si>
  <si>
    <t>25-26 Mar 2024</t>
  </si>
  <si>
    <t>CSO Advocacy cross-river 1</t>
  </si>
  <si>
    <t>CSO Advicacy Conference (tentative)</t>
  </si>
  <si>
    <t>Activity related transport (overall)</t>
  </si>
  <si>
    <t>Photography services (overall)</t>
  </si>
  <si>
    <t>Expenditure 100 %</t>
  </si>
  <si>
    <t>A.1.2.2</t>
  </si>
  <si>
    <t>Provide multidimensional support to CSOs from both banks to enhance their institutional and expertise capacities to advance the implementation of the WPS Agenda, human rights and gender equality</t>
  </si>
  <si>
    <t>M&amp;E National Consultant (UNW)</t>
  </si>
  <si>
    <t>10 Febr 2023 - 30 Aug 2024</t>
  </si>
  <si>
    <t>Small Grants provided to 6 local CSOs from both banks of the river Nistru (UNW)</t>
  </si>
  <si>
    <t>6 Contracts UNW-CSOs from 14 April 2023</t>
  </si>
  <si>
    <t>Small grants Awarding Ceremony (event management services, photo/video, liverstreaming, translation etc.) (UNW)</t>
  </si>
  <si>
    <t>Small Grant Sum-up event (UNW)</t>
  </si>
  <si>
    <t>Expenditure (20%)</t>
  </si>
  <si>
    <t>A.1.2.3</t>
  </si>
  <si>
    <t>Facilitate dialogues and exchanges of good practices on human rights and gender equality monitoring, reporting, public awareness and advocacy between People's Advocate and human rights focal point of left bank of Nistru river and CSOs from both banks</t>
  </si>
  <si>
    <t>International Consultant</t>
  </si>
  <si>
    <t>Until Aug 2024</t>
  </si>
  <si>
    <t>1st virtual meeting LB+RB</t>
  </si>
  <si>
    <t>Travel international consultant June '23</t>
  </si>
  <si>
    <t>26-29 Jun 2023</t>
  </si>
  <si>
    <t xml:space="preserve">2nd virtual meeting LB+RB </t>
  </si>
  <si>
    <t>Support to PA - HR Forum with CSOs</t>
  </si>
  <si>
    <t>3rd meeting LB+RB Ombuds, Bender</t>
  </si>
  <si>
    <t>28-29 Mar 2024</t>
  </si>
  <si>
    <t>Civic Space - CSO + Ombuds</t>
  </si>
  <si>
    <t>25-26 April</t>
  </si>
  <si>
    <t>Travel international consultant Mar '24</t>
  </si>
  <si>
    <t>A.1.2.4</t>
  </si>
  <si>
    <t>Provide capacity development support and create joint dialogue spaces bringing togther local community actors from both banks, including along the Security Zone, to enable their meaningful and inclusive contribution  to the implementation of WPS Agenda at local level and advancing human security aspects</t>
  </si>
  <si>
    <t>Contract CONTACT Centre (UNW)</t>
  </si>
  <si>
    <t>A.1.3.1</t>
  </si>
  <si>
    <t>Design and undertake public awareness and advocacy campaigns on both banks on promoting human rights, GE, WPS, prevention of discrimination, inclusive dialogue and meaningful participation</t>
  </si>
  <si>
    <t>Contracted Communications Consultant (UNW)</t>
  </si>
  <si>
    <t>10 February 2023 - 30 August 2024</t>
  </si>
  <si>
    <t>Visibility materials (UNW)</t>
  </si>
  <si>
    <t>March 2023-October 2023</t>
  </si>
  <si>
    <t>Design services (UNW)</t>
  </si>
  <si>
    <t>Contracted Initiatives4Peace contract (UNW)</t>
  </si>
  <si>
    <t>July 2023-July 2024</t>
  </si>
  <si>
    <t>Painting UDHR 75 Murals and promo (OHCHR)</t>
  </si>
  <si>
    <t>Comms (awareness) consultancies (OHCHR)</t>
  </si>
  <si>
    <t>Human Rights online Quiz (OHCHR)</t>
  </si>
  <si>
    <t>Oct-Dec 2023</t>
  </si>
  <si>
    <t>Photography services (UNW)</t>
  </si>
  <si>
    <t>Human Rights Gala (UNW)</t>
  </si>
  <si>
    <t>Promo materials PBF and Soc Cohesion (OHCHR)</t>
  </si>
  <si>
    <t>Hate speech initiatives (2024) (OHCHR)</t>
  </si>
  <si>
    <t>A.1.3.2</t>
  </si>
  <si>
    <t xml:space="preserve">Organize Women for Peace Leadership School, incl. for Young women, and Youth for Peace Accelerator Programmes bringing together young and emerging leaders (women and men) from both banks </t>
  </si>
  <si>
    <t>Contracted Initiatives4Peace for A 1.3.2 - 1.3.3</t>
  </si>
  <si>
    <t>Expenditure (50%)_</t>
  </si>
  <si>
    <t>A.1.3.3</t>
  </si>
  <si>
    <t>Organize social coding events bringing together women and men with different technical backgrounds (including young women programmers/coders) to generate and implement ideas for human centred tech products/solutions accelerating peace and social cohesion</t>
  </si>
  <si>
    <t>Expenditure (10%)</t>
  </si>
  <si>
    <t>A.1.3.4</t>
  </si>
  <si>
    <t>Develop and implement a roadmap for the establishment of the institution of paralegals on the left bank on Nistru river based on the best practices from the right bank</t>
  </si>
  <si>
    <t xml:space="preserve">Direct granting of the Centre for the Persons with Disabilities (CDPD) for the development and implementation of the roadmap for the establishment of he institution of paralegals. </t>
  </si>
  <si>
    <t>November 2023 - December 2024</t>
  </si>
  <si>
    <t>A.1.3.5</t>
  </si>
  <si>
    <t>Build capacities of the network of paralegals to operate on the left bank of Nistru river to provide legal assistance and facilitate the access to services available on the right bank for residents of Transnistrian region</t>
  </si>
  <si>
    <t>Direct granting of the Centre for the Persons with Disabilities (CDPD) for the capacity-building of paralegals.</t>
  </si>
  <si>
    <t>November 2023-December 2024</t>
  </si>
  <si>
    <t>A.1.3.6</t>
  </si>
  <si>
    <t xml:space="preserve">Pilot the institution of paralegals through supporting the delivery of legal assitance to people form the left bank of Nistru river. </t>
  </si>
  <si>
    <t xml:space="preserve">Select an organisation to pilot the institution of paralegals in synergy with the previous two activities. </t>
  </si>
  <si>
    <t>Expenditure (25%)</t>
  </si>
  <si>
    <t>A.2.1.1</t>
  </si>
  <si>
    <t>Increase capacities of judges, prosecutors, lawyers, police officers to monitor, investigate and prosecute incidents of hate speech and hate crimes in line with international standards</t>
  </si>
  <si>
    <t>Wshop Hate speech (inter-institutional ToT)</t>
  </si>
  <si>
    <t>15-16 Jun 2023</t>
  </si>
  <si>
    <t>Law enforcement training (police)</t>
  </si>
  <si>
    <t>16-17 Oct 2023</t>
  </si>
  <si>
    <t>WG on Guide on HC and HS (1st meeting)</t>
  </si>
  <si>
    <t>Wshop Counter Hate Speech Guide</t>
  </si>
  <si>
    <t>29-31 May 2024</t>
  </si>
  <si>
    <t>Expenditure (30%)</t>
  </si>
  <si>
    <t>A.2.1.2</t>
  </si>
  <si>
    <t>Advocate with duty bearers from the left bank to address hate speech, discrimination and intolerance</t>
  </si>
  <si>
    <t>Three CSO actions to counter Hate Speech (LB)</t>
  </si>
  <si>
    <t>16-19 Jun 2023</t>
  </si>
  <si>
    <t>Assement and awareness events in LB re Hate speech</t>
  </si>
  <si>
    <t>May-Sept 2024</t>
  </si>
  <si>
    <t>A.2.1.3</t>
  </si>
  <si>
    <t>Increase capacities of CSOs from both banks to monitor and engage in advocacy on countering hate speech in online and traditional media through training programs</t>
  </si>
  <si>
    <t>Training on Advocacy against Hate Speech</t>
  </si>
  <si>
    <t>8-9 Nov 2023</t>
  </si>
  <si>
    <t>Print Banners 'No to Hate Speech'</t>
  </si>
  <si>
    <t>Hate speech youth camp</t>
  </si>
  <si>
    <t xml:space="preserve">Expenditure </t>
  </si>
  <si>
    <t>A.2.1.4</t>
  </si>
  <si>
    <t>Select social media influencers popular on the left bank of Nistru river and increase their media and online literacy</t>
  </si>
  <si>
    <t xml:space="preserve">Contracting an Individual Contractor who will support the project's implementing team in the implementation of the project. </t>
  </si>
  <si>
    <t>Social media influencers workshop</t>
  </si>
  <si>
    <t>Travel</t>
  </si>
  <si>
    <t>A.2.1.5</t>
  </si>
  <si>
    <t>Involve NGOs in developing and implementing tools to tackle misinformation and divissive narratives including through small grants programme</t>
  </si>
  <si>
    <t>Direct granting Transparency International Moldova for the implementation of the hackaton Nistru TruthBridge.</t>
  </si>
  <si>
    <t>Expenditure  (30%)</t>
  </si>
  <si>
    <t>A.2.1.6</t>
  </si>
  <si>
    <t>Organise "deep listening" exercise in communities hosting refugees from Ukraine</t>
  </si>
  <si>
    <t>Direct granting the Federation of Families for Unity and Peace in Moldova (FFUPLM) for the organisation of the deep listening exercices.</t>
  </si>
  <si>
    <t>Expenditure (75%)</t>
  </si>
  <si>
    <t>A.2.2.1</t>
  </si>
  <si>
    <t>Increase capacity and develop practical tools for media professionals from both banks on human rights and gender responsive reporting in conflict and post-conflict settings, monitoring and countering hate speech, gender stereotypes, and promoting non-discrimination, social cohesion and tolerance;</t>
  </si>
  <si>
    <t>Contracted Association for Independent Press for A 2.2.1 - 2.2.2 (UNW)</t>
  </si>
  <si>
    <t>July 2023 - July 2024</t>
  </si>
  <si>
    <t>Peace Journalism Corner at Media Forum (OHCHR)</t>
  </si>
  <si>
    <t xml:space="preserve">Media Academy (OHCHR) </t>
  </si>
  <si>
    <t>18-21  Mar 2024</t>
  </si>
  <si>
    <t>Consultancy S.Youngblood (OHCHR)</t>
  </si>
  <si>
    <t>Mar-Aug 2024</t>
  </si>
  <si>
    <t>Online Course Peace Journalism (OHCHR)</t>
  </si>
  <si>
    <t>A.2.2.2</t>
  </si>
  <si>
    <t>Conduct confidence building/exchange/dialogue events and support joint initiatives between media outlets on both banks on role of media in conflict settlement process from human rights and gender perspectives, conducive to social cohesion</t>
  </si>
  <si>
    <t>Media Brunch (OHCHR)</t>
  </si>
  <si>
    <t>Media products (OHCHR)</t>
  </si>
  <si>
    <t>May-June 2024</t>
  </si>
  <si>
    <t>A.2.2.3</t>
  </si>
  <si>
    <t>Develop and support the implementation of a digital solution to fight missinformation and hate speech</t>
  </si>
  <si>
    <t xml:space="preserve">For the implementation of this activity, UNDP will engage a grants coordinator that will support the team in a grants call for the implementation of digital solutions. Planned for 2024. </t>
  </si>
  <si>
    <t>ICT Consultant</t>
  </si>
  <si>
    <t>June 2024 - February 2025</t>
  </si>
  <si>
    <t>Expenditure (15%)</t>
  </si>
  <si>
    <t>A.2.3.1</t>
  </si>
  <si>
    <t>Raise capacity of civil servants from the areas with large refugee populations  in delivering public services based on human rights, equality and non-discrimination</t>
  </si>
  <si>
    <t>Three workshops for civil servants in Summer/Fall 2024</t>
  </si>
  <si>
    <t>A.2.3.2</t>
  </si>
  <si>
    <t>Increase capacity and support joint activities of didactic and supporting personnel at schools with larger refugee populations on both banks on unconcious biases, non-discrimination, social tolerance and countering hate speech</t>
  </si>
  <si>
    <t>Initial workshop with school staff (OHCHR)</t>
  </si>
  <si>
    <t>1-3 Nov 2023</t>
  </si>
  <si>
    <t>Two consultants (OHCHR)</t>
  </si>
  <si>
    <t>until Dec 2024</t>
  </si>
  <si>
    <t>Second Workshop School staff (OHCHR)</t>
  </si>
  <si>
    <t>Support to schools for awareness actions</t>
  </si>
  <si>
    <t>Publication of the Guide for Teachers</t>
  </si>
  <si>
    <t>TOTAL</t>
  </si>
  <si>
    <t>Actual</t>
  </si>
  <si>
    <t>Committed</t>
  </si>
  <si>
    <t xml:space="preserve">Remains with committed expenses: </t>
  </si>
  <si>
    <t xml:space="preserve"> non-activity</t>
  </si>
  <si>
    <t xml:space="preserve">OHCHR </t>
  </si>
  <si>
    <t>UNW</t>
  </si>
  <si>
    <t xml:space="preserve"> </t>
  </si>
  <si>
    <r>
      <t xml:space="preserve">PBF Moldova expenses Sep 2022 - April 2024 </t>
    </r>
    <r>
      <rPr>
        <b/>
        <i/>
        <sz val="12"/>
        <color rgb="FF000000"/>
        <rFont val="Calibri"/>
        <family val="2"/>
        <scheme val="minor"/>
      </rPr>
      <t>(informal calculations)</t>
    </r>
  </si>
  <si>
    <t>Description of costs</t>
  </si>
  <si>
    <t>ALL RUNOs (totals)</t>
  </si>
  <si>
    <t>Rent of Office</t>
  </si>
  <si>
    <t>Cleaning, utilities</t>
  </si>
  <si>
    <t>Office Furniture</t>
  </si>
  <si>
    <t>Communications equipment</t>
  </si>
  <si>
    <t>Communications expenses (phone, internet)</t>
  </si>
  <si>
    <t>Equipment maintenance</t>
  </si>
  <si>
    <t> </t>
  </si>
  <si>
    <t xml:space="preserve">Office supplies (stationery, …) </t>
  </si>
  <si>
    <t>IT equipment</t>
  </si>
  <si>
    <t>EntryMedExm</t>
  </si>
  <si>
    <t>Indirect costs (7%)</t>
  </si>
  <si>
    <t>support costs, UNDP services</t>
  </si>
  <si>
    <t>other direct costs (translation/transportation)</t>
  </si>
  <si>
    <t>Staff salaries</t>
  </si>
  <si>
    <t>Cost Recovery</t>
  </si>
  <si>
    <t>M&amp;E consultant</t>
  </si>
  <si>
    <t>Baseline &amp; Endline study</t>
  </si>
  <si>
    <t>Totals</t>
  </si>
  <si>
    <t>All expenditures as per original budget</t>
  </si>
  <si>
    <t>1. Staff and other personnel</t>
  </si>
  <si>
    <t>2. Supplies, Commodities, Materials</t>
  </si>
  <si>
    <t>3. Equipment, Vehicles, and Furniture (including Depreciation)</t>
  </si>
  <si>
    <t>4. Contractual services (activities)</t>
  </si>
  <si>
    <t>5. Travel</t>
  </si>
  <si>
    <t>6. Transfers and Grants to Counterparts</t>
  </si>
  <si>
    <t>7. General Operating and other Costs</t>
  </si>
  <si>
    <t>Monitoring budget ($62,500.00)</t>
  </si>
  <si>
    <t>Budget for independent final evaluation ($60,000.00)</t>
  </si>
  <si>
    <t>Table of informal estimates of expenses - activity related costs of PBF Moldova, Sep '22 - May '24 (NCE)</t>
  </si>
  <si>
    <t>Table 2 - Other non-activity costs (informal estimates reporting)</t>
  </si>
  <si>
    <t>committed (activity)</t>
  </si>
  <si>
    <t>actual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</si>
</sst>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_([$$-409]* #,##0.00_);_([$$-409]* \(#,##0.00\);_([$$-409]*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8"/>
      <name val="Calibri"/>
      <family val="2"/>
      <scheme val="minor"/>
    </font>
    <font>
      <b/>
      <sz val="10"/>
      <color theme="1"/>
      <name val="Calibri"/>
      <family val="2"/>
      <scheme val="minor"/>
    </font>
    <font>
      <b/>
      <sz val="12"/>
      <color theme="1"/>
      <name val="Calibri"/>
      <family val="2"/>
    </font>
    <font>
      <sz val="12"/>
      <color theme="1"/>
      <name val="Calibri"/>
      <family val="2"/>
    </font>
    <font>
      <b/>
      <sz val="14"/>
      <color theme="1"/>
      <name val="Calibri"/>
      <family val="2"/>
      <scheme val="minor"/>
    </font>
    <font>
      <b/>
      <sz val="12"/>
      <color theme="1"/>
      <name val="Calibri"/>
      <family val="2"/>
      <scheme val="minor"/>
    </font>
    <font>
      <sz val="11"/>
      <color rgb="FF000000"/>
      <name val="Calibri"/>
      <family val="2"/>
    </font>
    <font>
      <sz val="12"/>
      <color rgb="FF000000"/>
      <name val="Calibri"/>
      <family val="2"/>
    </font>
    <font>
      <b/>
      <sz val="12"/>
      <color rgb="FF000000"/>
      <name val="Calibri"/>
      <family val="2"/>
    </font>
    <font>
      <b/>
      <sz val="16"/>
      <color theme="1"/>
      <name val="Calibri"/>
      <family val="2"/>
      <scheme val="minor"/>
    </font>
    <font>
      <sz val="11"/>
      <color rgb="FF444444"/>
      <name val="Calibri"/>
      <family val="2"/>
      <charset val="1"/>
    </font>
    <font>
      <b/>
      <sz val="12"/>
      <color rgb="FF000000"/>
      <name val="Calibri"/>
      <family val="2"/>
      <scheme val="minor"/>
    </font>
    <font>
      <b/>
      <i/>
      <sz val="12"/>
      <color rgb="FF000000"/>
      <name val="Calibri"/>
      <family val="2"/>
      <scheme val="minor"/>
    </font>
    <font>
      <sz val="11"/>
      <name val="Calibri"/>
      <family val="2"/>
      <scheme val="minor"/>
    </font>
    <font>
      <sz val="11"/>
      <color rgb="FFFF0000"/>
      <name val="Calibri"/>
      <family val="2"/>
      <scheme val="minor"/>
    </font>
    <font>
      <b/>
      <sz val="12"/>
      <name val="Calibri"/>
      <family val="2"/>
      <scheme val="minor"/>
    </font>
    <font>
      <b/>
      <sz val="11"/>
      <name val="Calibri"/>
      <family val="2"/>
      <scheme val="minor"/>
    </font>
    <font>
      <b/>
      <sz val="12"/>
      <color theme="1" tint="0.499984740745262"/>
      <name val="Calibri"/>
      <family val="2"/>
      <scheme val="minor"/>
    </font>
    <font>
      <sz val="11"/>
      <color rgb="FFC00000"/>
      <name val="Calibri"/>
      <family val="2"/>
      <scheme val="minor"/>
    </font>
    <font>
      <b/>
      <sz val="11"/>
      <color rgb="FFC00000"/>
      <name val="Calibri"/>
      <family val="2"/>
      <scheme val="minor"/>
    </font>
    <font>
      <b/>
      <sz val="14"/>
      <color rgb="FFC00000"/>
      <name val="Arial"/>
      <family val="2"/>
    </font>
    <font>
      <b/>
      <sz val="11"/>
      <color theme="4"/>
      <name val="Calibri"/>
      <family val="2"/>
      <scheme val="minor"/>
    </font>
    <font>
      <sz val="11"/>
      <color rgb="FF000000"/>
      <name val="Calibri"/>
      <charset val="1"/>
    </font>
    <font>
      <sz val="16"/>
      <color theme="1"/>
      <name val="Calibri"/>
      <family val="2"/>
      <scheme val="minor"/>
    </font>
    <font>
      <b/>
      <sz val="16"/>
      <name val="Calibri"/>
      <family val="2"/>
      <scheme val="minor"/>
    </font>
    <font>
      <b/>
      <sz val="16"/>
      <color rgb="FFC00000"/>
      <name val="Calibri"/>
      <family val="2"/>
      <scheme val="minor"/>
    </font>
    <font>
      <sz val="16"/>
      <color rgb="FFC00000"/>
      <name val="Calibri"/>
      <family val="2"/>
      <scheme val="minor"/>
    </font>
    <font>
      <b/>
      <sz val="16"/>
      <color theme="4"/>
      <name val="Calibri"/>
      <family val="2"/>
      <scheme val="minor"/>
    </font>
    <font>
      <sz val="12"/>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CCC"/>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E699"/>
        <bgColor rgb="FF000000"/>
      </patternFill>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rgb="FF000000"/>
      </bottom>
      <diagonal/>
    </border>
    <border>
      <left style="medium">
        <color indexed="64"/>
      </left>
      <right style="thin">
        <color indexed="64"/>
      </right>
      <top/>
      <bottom/>
      <diagonal/>
    </border>
    <border>
      <left style="thin">
        <color indexed="64"/>
      </left>
      <right style="thin">
        <color indexed="64"/>
      </right>
      <top/>
      <bottom style="medium">
        <color rgb="FF000000"/>
      </bottom>
      <diagonal/>
    </border>
    <border>
      <left/>
      <right style="medium">
        <color indexed="64"/>
      </right>
      <top/>
      <bottom/>
      <diagonal/>
    </border>
    <border>
      <left style="thin">
        <color indexed="64"/>
      </left>
      <right/>
      <top/>
      <bottom/>
      <diagonal/>
    </border>
    <border>
      <left style="thin">
        <color rgb="FF000000"/>
      </left>
      <right/>
      <top style="thin">
        <color rgb="FF000000"/>
      </top>
      <bottom style="thin">
        <color rgb="FF000000"/>
      </bottom>
      <diagonal/>
    </border>
    <border>
      <left style="medium">
        <color indexed="64"/>
      </left>
      <right style="medium">
        <color rgb="FF000000"/>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s>
  <cellStyleXfs count="2">
    <xf numFmtId="0" fontId="0" fillId="0" borderId="0"/>
    <xf numFmtId="44" fontId="1" fillId="0" borderId="0" applyFont="0" applyFill="0" applyBorder="0" applyAlignment="0" applyProtection="0"/>
  </cellStyleXfs>
  <cellXfs count="248">
    <xf numFmtId="0" fontId="0" fillId="0" borderId="0" xfId="0"/>
    <xf numFmtId="0" fontId="0" fillId="0" borderId="1" xfId="0" applyBorder="1"/>
    <xf numFmtId="0" fontId="0" fillId="0" borderId="6" xfId="0" applyBorder="1"/>
    <xf numFmtId="0" fontId="0" fillId="0" borderId="7" xfId="0" applyBorder="1"/>
    <xf numFmtId="0" fontId="0" fillId="0" borderId="1" xfId="0" applyBorder="1" applyAlignment="1">
      <alignment horizontal="center"/>
    </xf>
    <xf numFmtId="0" fontId="0" fillId="0" borderId="10" xfId="0" applyBorder="1" applyAlignment="1">
      <alignment horizontal="center"/>
    </xf>
    <xf numFmtId="0" fontId="0" fillId="0" borderId="10" xfId="0" applyBorder="1"/>
    <xf numFmtId="0" fontId="0" fillId="0" borderId="6" xfId="0" applyBorder="1" applyAlignment="1">
      <alignment horizontal="center"/>
    </xf>
    <xf numFmtId="0" fontId="0" fillId="0" borderId="5" xfId="0" applyBorder="1" applyAlignment="1">
      <alignment horizontal="center"/>
    </xf>
    <xf numFmtId="164" fontId="0" fillId="0" borderId="15" xfId="0" applyNumberFormat="1" applyBorder="1"/>
    <xf numFmtId="15" fontId="0" fillId="0" borderId="10" xfId="0" applyNumberFormat="1" applyBorder="1"/>
    <xf numFmtId="0" fontId="0" fillId="6" borderId="0" xfId="0" applyFill="1"/>
    <xf numFmtId="0" fontId="0" fillId="6" borderId="9" xfId="0" applyFill="1" applyBorder="1"/>
    <xf numFmtId="0" fontId="0" fillId="3" borderId="0" xfId="0" applyFill="1"/>
    <xf numFmtId="0" fontId="0" fillId="3" borderId="9" xfId="0" applyFill="1" applyBorder="1"/>
    <xf numFmtId="0" fontId="0" fillId="7" borderId="0" xfId="0" applyFill="1"/>
    <xf numFmtId="0" fontId="0" fillId="7" borderId="13" xfId="0" applyFill="1" applyBorder="1"/>
    <xf numFmtId="0" fontId="0" fillId="0" borderId="11" xfId="0" applyBorder="1"/>
    <xf numFmtId="0" fontId="3" fillId="0" borderId="0" xfId="0" applyFont="1" applyAlignment="1">
      <alignment wrapText="1"/>
    </xf>
    <xf numFmtId="0" fontId="8" fillId="0" borderId="0" xfId="0" applyFont="1" applyAlignment="1">
      <alignment wrapText="1"/>
    </xf>
    <xf numFmtId="0" fontId="6" fillId="2" borderId="16" xfId="0" applyFont="1" applyFill="1" applyBorder="1" applyAlignment="1">
      <alignment vertical="center" wrapText="1"/>
    </xf>
    <xf numFmtId="0" fontId="6" fillId="2" borderId="16" xfId="0" applyFont="1" applyFill="1" applyBorder="1" applyAlignment="1" applyProtection="1">
      <alignment vertical="center" wrapText="1"/>
      <protection locked="0"/>
    </xf>
    <xf numFmtId="0" fontId="0" fillId="0" borderId="26" xfId="0" applyBorder="1"/>
    <xf numFmtId="164" fontId="0" fillId="0" borderId="27" xfId="0" applyNumberFormat="1" applyBorder="1"/>
    <xf numFmtId="0" fontId="0" fillId="0" borderId="10" xfId="0" applyBorder="1" applyAlignment="1">
      <alignment wrapText="1"/>
    </xf>
    <xf numFmtId="0" fontId="0" fillId="0" borderId="30" xfId="0" applyBorder="1" applyAlignment="1">
      <alignment horizontal="center"/>
    </xf>
    <xf numFmtId="0" fontId="0" fillId="0" borderId="31" xfId="0" applyBorder="1"/>
    <xf numFmtId="164" fontId="0" fillId="0" borderId="31" xfId="0" applyNumberFormat="1" applyBorder="1"/>
    <xf numFmtId="0" fontId="0" fillId="0" borderId="1" xfId="0" applyBorder="1" applyAlignment="1">
      <alignment wrapText="1"/>
    </xf>
    <xf numFmtId="164" fontId="0" fillId="0" borderId="20" xfId="0" applyNumberFormat="1" applyBorder="1"/>
    <xf numFmtId="15" fontId="0" fillId="0" borderId="1" xfId="0" applyNumberFormat="1" applyBorder="1" applyAlignment="1">
      <alignment wrapText="1"/>
    </xf>
    <xf numFmtId="0" fontId="0" fillId="0" borderId="33" xfId="0" applyBorder="1" applyAlignment="1">
      <alignment horizontal="center"/>
    </xf>
    <xf numFmtId="0" fontId="0" fillId="0" borderId="21" xfId="0" applyBorder="1"/>
    <xf numFmtId="0" fontId="0" fillId="0" borderId="34" xfId="0" applyBorder="1"/>
    <xf numFmtId="0" fontId="0" fillId="0" borderId="35" xfId="0" applyBorder="1"/>
    <xf numFmtId="4" fontId="0" fillId="0" borderId="35" xfId="0" applyNumberFormat="1" applyBorder="1"/>
    <xf numFmtId="0" fontId="0" fillId="0" borderId="36" xfId="0" applyBorder="1"/>
    <xf numFmtId="0" fontId="8" fillId="0" borderId="0" xfId="0" applyFont="1" applyAlignment="1">
      <alignment horizontal="left" wrapText="1"/>
    </xf>
    <xf numFmtId="44" fontId="9" fillId="7" borderId="6" xfId="0" applyNumberFormat="1" applyFont="1" applyFill="1" applyBorder="1" applyAlignment="1">
      <alignment horizontal="center" wrapText="1"/>
    </xf>
    <xf numFmtId="44" fontId="3" fillId="7" borderId="1" xfId="0" applyNumberFormat="1" applyFont="1" applyFill="1" applyBorder="1" applyAlignment="1" applyProtection="1">
      <alignment wrapText="1"/>
      <protection locked="0"/>
    </xf>
    <xf numFmtId="44" fontId="9" fillId="6" borderId="6" xfId="0" applyNumberFormat="1" applyFont="1" applyFill="1" applyBorder="1" applyAlignment="1">
      <alignment horizontal="center" wrapText="1"/>
    </xf>
    <xf numFmtId="44" fontId="3" fillId="6" borderId="1" xfId="1" applyFont="1" applyFill="1" applyBorder="1" applyAlignment="1" applyProtection="1">
      <alignment horizontal="center" vertical="center" wrapText="1"/>
      <protection locked="0"/>
    </xf>
    <xf numFmtId="44" fontId="9" fillId="3" borderId="6" xfId="0" applyNumberFormat="1" applyFont="1" applyFill="1" applyBorder="1" applyAlignment="1">
      <alignment horizontal="center" wrapText="1"/>
    </xf>
    <xf numFmtId="44" fontId="9" fillId="9" borderId="27" xfId="1" applyFont="1" applyFill="1" applyBorder="1" applyAlignment="1" applyProtection="1">
      <alignment wrapText="1"/>
    </xf>
    <xf numFmtId="44" fontId="9" fillId="9" borderId="18" xfId="1" applyFont="1" applyFill="1" applyBorder="1" applyAlignment="1">
      <alignment wrapText="1"/>
    </xf>
    <xf numFmtId="44" fontId="9" fillId="9" borderId="18" xfId="0" applyNumberFormat="1" applyFont="1" applyFill="1" applyBorder="1" applyAlignment="1">
      <alignment wrapText="1"/>
    </xf>
    <xf numFmtId="0" fontId="9" fillId="11" borderId="5" xfId="0" applyFont="1" applyFill="1" applyBorder="1" applyAlignment="1">
      <alignment horizontal="left" wrapText="1"/>
    </xf>
    <xf numFmtId="0" fontId="7" fillId="11" borderId="14" xfId="0" applyFont="1" applyFill="1" applyBorder="1" applyAlignment="1">
      <alignment vertical="center" wrapText="1"/>
    </xf>
    <xf numFmtId="0" fontId="7" fillId="11" borderId="16" xfId="0" applyFont="1" applyFill="1" applyBorder="1" applyAlignment="1">
      <alignment vertical="center" wrapText="1"/>
    </xf>
    <xf numFmtId="0" fontId="7" fillId="11" borderId="16" xfId="0" applyFont="1" applyFill="1" applyBorder="1" applyAlignment="1" applyProtection="1">
      <alignment vertical="center" wrapText="1"/>
      <protection locked="0"/>
    </xf>
    <xf numFmtId="44" fontId="9" fillId="11" borderId="5" xfId="1" applyFont="1" applyFill="1" applyBorder="1" applyAlignment="1" applyProtection="1">
      <alignment wrapText="1"/>
    </xf>
    <xf numFmtId="44" fontId="9" fillId="7" borderId="6" xfId="1" applyFont="1" applyFill="1" applyBorder="1" applyAlignment="1">
      <alignment wrapText="1"/>
    </xf>
    <xf numFmtId="44" fontId="9" fillId="11" borderId="7" xfId="0" applyNumberFormat="1" applyFont="1" applyFill="1" applyBorder="1" applyAlignment="1">
      <alignment horizontal="center" wrapText="1"/>
    </xf>
    <xf numFmtId="44" fontId="9" fillId="11" borderId="15" xfId="0" applyNumberFormat="1" applyFont="1" applyFill="1" applyBorder="1" applyAlignment="1">
      <alignment wrapText="1"/>
    </xf>
    <xf numFmtId="44" fontId="9" fillId="11" borderId="23" xfId="0" applyNumberFormat="1" applyFont="1" applyFill="1" applyBorder="1" applyAlignment="1">
      <alignment wrapText="1"/>
    </xf>
    <xf numFmtId="164" fontId="0" fillId="0" borderId="29" xfId="0" applyNumberFormat="1" applyBorder="1"/>
    <xf numFmtId="9" fontId="0" fillId="0" borderId="31" xfId="0" applyNumberFormat="1" applyBorder="1"/>
    <xf numFmtId="15" fontId="0" fillId="0" borderId="1" xfId="0" applyNumberFormat="1" applyBorder="1"/>
    <xf numFmtId="8" fontId="11" fillId="12" borderId="1" xfId="0" applyNumberFormat="1" applyFont="1" applyFill="1" applyBorder="1" applyAlignment="1">
      <alignment wrapText="1"/>
    </xf>
    <xf numFmtId="0" fontId="11" fillId="12" borderId="10" xfId="0" applyFont="1" applyFill="1" applyBorder="1" applyAlignment="1">
      <alignment wrapText="1"/>
    </xf>
    <xf numFmtId="8" fontId="11" fillId="12" borderId="10" xfId="0" applyNumberFormat="1" applyFont="1" applyFill="1" applyBorder="1" applyAlignment="1">
      <alignment wrapText="1"/>
    </xf>
    <xf numFmtId="8" fontId="12" fillId="12" borderId="25" xfId="0" applyNumberFormat="1" applyFont="1" applyFill="1" applyBorder="1" applyAlignment="1">
      <alignment wrapText="1"/>
    </xf>
    <xf numFmtId="16" fontId="0" fillId="0" borderId="1" xfId="0" applyNumberFormat="1" applyBorder="1"/>
    <xf numFmtId="164" fontId="9" fillId="8" borderId="0" xfId="0" applyNumberFormat="1" applyFont="1" applyFill="1"/>
    <xf numFmtId="164" fontId="2" fillId="0" borderId="32" xfId="0" applyNumberFormat="1" applyFont="1" applyBorder="1"/>
    <xf numFmtId="0" fontId="0" fillId="0" borderId="0" xfId="0" applyAlignment="1">
      <alignment horizontal="right"/>
    </xf>
    <xf numFmtId="44" fontId="8" fillId="11" borderId="7" xfId="0" applyNumberFormat="1" applyFont="1" applyFill="1" applyBorder="1" applyAlignment="1">
      <alignment wrapText="1"/>
    </xf>
    <xf numFmtId="164" fontId="0" fillId="0" borderId="0" xfId="0" applyNumberFormat="1"/>
    <xf numFmtId="165" fontId="0" fillId="0" borderId="0" xfId="0" applyNumberFormat="1"/>
    <xf numFmtId="0" fontId="7" fillId="11" borderId="39" xfId="0" applyFont="1" applyFill="1" applyBorder="1" applyAlignment="1">
      <alignment vertical="center" wrapText="1"/>
    </xf>
    <xf numFmtId="44" fontId="3" fillId="7" borderId="9" xfId="0" applyNumberFormat="1" applyFont="1" applyFill="1" applyBorder="1" applyAlignment="1" applyProtection="1">
      <alignment wrapText="1"/>
      <protection locked="0"/>
    </xf>
    <xf numFmtId="44" fontId="9" fillId="11" borderId="41" xfId="0" applyNumberFormat="1" applyFont="1" applyFill="1" applyBorder="1" applyAlignment="1">
      <alignment wrapText="1"/>
    </xf>
    <xf numFmtId="0" fontId="0" fillId="0" borderId="7" xfId="0" applyBorder="1" applyAlignment="1">
      <alignment horizontal="center" vertical="center"/>
    </xf>
    <xf numFmtId="0" fontId="0" fillId="0" borderId="24" xfId="0" applyBorder="1" applyAlignment="1">
      <alignment horizontal="center" vertical="center"/>
    </xf>
    <xf numFmtId="44" fontId="9" fillId="6" borderId="25" xfId="1" applyFont="1" applyFill="1" applyBorder="1" applyAlignment="1">
      <alignment wrapText="1"/>
    </xf>
    <xf numFmtId="164" fontId="9" fillId="7" borderId="1" xfId="0" applyNumberFormat="1" applyFont="1" applyFill="1" applyBorder="1"/>
    <xf numFmtId="164" fontId="9" fillId="6" borderId="1" xfId="0" applyNumberFormat="1" applyFont="1" applyFill="1" applyBorder="1"/>
    <xf numFmtId="164" fontId="9" fillId="3" borderId="1" xfId="0" applyNumberFormat="1" applyFont="1" applyFill="1" applyBorder="1"/>
    <xf numFmtId="164" fontId="9" fillId="0" borderId="0" xfId="0" applyNumberFormat="1" applyFont="1"/>
    <xf numFmtId="164" fontId="8" fillId="5" borderId="0" xfId="0" applyNumberFormat="1" applyFont="1" applyFill="1"/>
    <xf numFmtId="0" fontId="14" fillId="0" borderId="0" xfId="0" applyFont="1" applyAlignment="1">
      <alignment wrapText="1"/>
    </xf>
    <xf numFmtId="0" fontId="0" fillId="0" borderId="29" xfId="0" applyBorder="1" applyAlignment="1">
      <alignment horizontal="center"/>
    </xf>
    <xf numFmtId="0" fontId="0" fillId="0" borderId="29" xfId="0" applyBorder="1" applyAlignment="1">
      <alignment wrapText="1"/>
    </xf>
    <xf numFmtId="15" fontId="0" fillId="0" borderId="29" xfId="0" applyNumberFormat="1" applyBorder="1" applyAlignment="1">
      <alignment wrapText="1"/>
    </xf>
    <xf numFmtId="0" fontId="0" fillId="0" borderId="29" xfId="0" applyBorder="1"/>
    <xf numFmtId="0" fontId="0" fillId="0" borderId="47" xfId="0" applyBorder="1"/>
    <xf numFmtId="0" fontId="0" fillId="0" borderId="40" xfId="0" applyBorder="1" applyAlignment="1">
      <alignment horizontal="center"/>
    </xf>
    <xf numFmtId="0" fontId="0" fillId="0" borderId="40" xfId="0" applyBorder="1" applyAlignment="1">
      <alignment wrapText="1"/>
    </xf>
    <xf numFmtId="0" fontId="0" fillId="0" borderId="39" xfId="0" applyBorder="1" applyAlignment="1">
      <alignment horizontal="center"/>
    </xf>
    <xf numFmtId="0" fontId="0" fillId="0" borderId="9" xfId="0" applyBorder="1" applyAlignment="1">
      <alignment horizontal="center"/>
    </xf>
    <xf numFmtId="0" fontId="0" fillId="0" borderId="9" xfId="0" applyBorder="1"/>
    <xf numFmtId="0" fontId="0" fillId="0" borderId="41" xfId="0" applyBorder="1"/>
    <xf numFmtId="164" fontId="0" fillId="9" borderId="15" xfId="0" applyNumberFormat="1" applyFill="1" applyBorder="1"/>
    <xf numFmtId="164" fontId="0" fillId="9" borderId="29" xfId="0" applyNumberFormat="1" applyFill="1" applyBorder="1"/>
    <xf numFmtId="164" fontId="0" fillId="9" borderId="48" xfId="0" applyNumberFormat="1" applyFill="1" applyBorder="1"/>
    <xf numFmtId="164" fontId="0" fillId="9" borderId="49" xfId="0" applyNumberFormat="1" applyFill="1" applyBorder="1"/>
    <xf numFmtId="164" fontId="0" fillId="0" borderId="49" xfId="0" applyNumberFormat="1" applyBorder="1"/>
    <xf numFmtId="164" fontId="0" fillId="0" borderId="1" xfId="0" applyNumberFormat="1" applyBorder="1"/>
    <xf numFmtId="17" fontId="0" fillId="0" borderId="1" xfId="0" applyNumberFormat="1" applyBorder="1"/>
    <xf numFmtId="17" fontId="0" fillId="0" borderId="1" xfId="0" applyNumberFormat="1" applyBorder="1" applyAlignment="1">
      <alignment wrapText="1"/>
    </xf>
    <xf numFmtId="0" fontId="2" fillId="0" borderId="1" xfId="0" applyFont="1" applyBorder="1"/>
    <xf numFmtId="0" fontId="2" fillId="0" borderId="0" xfId="0" applyFont="1"/>
    <xf numFmtId="10" fontId="0" fillId="0" borderId="0" xfId="0" applyNumberFormat="1"/>
    <xf numFmtId="0" fontId="10" fillId="0" borderId="29" xfId="0" applyFont="1" applyBorder="1"/>
    <xf numFmtId="0" fontId="10" fillId="0" borderId="29" xfId="0" applyFont="1" applyBorder="1" applyAlignment="1">
      <alignment wrapText="1"/>
    </xf>
    <xf numFmtId="0" fontId="10" fillId="0" borderId="1" xfId="0" applyFont="1" applyBorder="1"/>
    <xf numFmtId="14" fontId="10" fillId="0" borderId="29" xfId="0" applyNumberFormat="1" applyFont="1" applyBorder="1"/>
    <xf numFmtId="14" fontId="10" fillId="0" borderId="0" xfId="0" applyNumberFormat="1" applyFont="1"/>
    <xf numFmtId="164" fontId="0" fillId="0" borderId="50" xfId="0" applyNumberFormat="1" applyBorder="1"/>
    <xf numFmtId="14" fontId="0" fillId="0" borderId="1" xfId="0" applyNumberFormat="1" applyBorder="1"/>
    <xf numFmtId="0" fontId="10" fillId="0" borderId="51" xfId="0" applyFont="1" applyBorder="1"/>
    <xf numFmtId="164" fontId="0" fillId="9" borderId="1" xfId="0" applyNumberFormat="1" applyFill="1" applyBorder="1"/>
    <xf numFmtId="165" fontId="0" fillId="0" borderId="1" xfId="0" applyNumberFormat="1" applyBorder="1"/>
    <xf numFmtId="165" fontId="10" fillId="0" borderId="1" xfId="0" applyNumberFormat="1" applyFont="1" applyBorder="1" applyAlignment="1">
      <alignment wrapText="1"/>
    </xf>
    <xf numFmtId="0" fontId="2" fillId="0" borderId="6" xfId="0" applyFont="1" applyBorder="1" applyAlignment="1">
      <alignment horizontal="center"/>
    </xf>
    <xf numFmtId="164" fontId="2" fillId="5" borderId="6" xfId="0" applyNumberFormat="1" applyFont="1" applyFill="1" applyBorder="1"/>
    <xf numFmtId="0" fontId="2" fillId="0" borderId="6" xfId="0" applyFont="1" applyBorder="1" applyAlignment="1">
      <alignment horizontal="right"/>
    </xf>
    <xf numFmtId="164" fontId="2" fillId="0" borderId="17" xfId="0" applyNumberFormat="1" applyFont="1" applyBorder="1"/>
    <xf numFmtId="164" fontId="2" fillId="0" borderId="28" xfId="0" applyNumberFormat="1" applyFont="1" applyBorder="1"/>
    <xf numFmtId="164" fontId="2" fillId="5" borderId="25" xfId="0" applyNumberFormat="1" applyFont="1" applyFill="1" applyBorder="1"/>
    <xf numFmtId="0" fontId="2" fillId="0" borderId="25" xfId="0" applyFont="1" applyBorder="1" applyAlignment="1">
      <alignment horizontal="right"/>
    </xf>
    <xf numFmtId="164" fontId="2" fillId="0" borderId="52" xfId="0" applyNumberFormat="1" applyFont="1" applyBorder="1"/>
    <xf numFmtId="0" fontId="0" fillId="0" borderId="51" xfId="0" applyBorder="1"/>
    <xf numFmtId="44" fontId="9" fillId="9" borderId="0" xfId="1" applyFont="1" applyFill="1" applyBorder="1" applyAlignment="1" applyProtection="1">
      <alignment wrapText="1"/>
    </xf>
    <xf numFmtId="44" fontId="9" fillId="9" borderId="0" xfId="1" applyFont="1" applyFill="1" applyBorder="1" applyAlignment="1">
      <alignment wrapText="1"/>
    </xf>
    <xf numFmtId="44" fontId="9" fillId="9" borderId="0" xfId="0" applyNumberFormat="1" applyFont="1" applyFill="1" applyAlignment="1">
      <alignment wrapText="1"/>
    </xf>
    <xf numFmtId="0" fontId="0" fillId="7" borderId="1" xfId="0" applyFill="1" applyBorder="1"/>
    <xf numFmtId="0" fontId="0" fillId="6" borderId="1" xfId="0" applyFill="1" applyBorder="1"/>
    <xf numFmtId="0" fontId="0" fillId="3" borderId="1" xfId="0" applyFill="1" applyBorder="1"/>
    <xf numFmtId="0" fontId="6" fillId="2" borderId="2" xfId="0" applyFont="1" applyFill="1" applyBorder="1" applyAlignment="1">
      <alignment vertical="center" wrapText="1"/>
    </xf>
    <xf numFmtId="0" fontId="6" fillId="2" borderId="5" xfId="0" applyFont="1" applyFill="1" applyBorder="1" applyAlignment="1">
      <alignment vertical="center" wrapText="1"/>
    </xf>
    <xf numFmtId="0" fontId="9" fillId="2" borderId="2" xfId="0" applyFont="1" applyFill="1" applyBorder="1" applyAlignment="1">
      <alignment vertical="center" wrapText="1"/>
    </xf>
    <xf numFmtId="44" fontId="3" fillId="7" borderId="22" xfId="0" applyNumberFormat="1" applyFont="1" applyFill="1" applyBorder="1" applyAlignment="1" applyProtection="1">
      <alignment vertical="center" wrapText="1"/>
      <protection locked="0"/>
    </xf>
    <xf numFmtId="44" fontId="3" fillId="6" borderId="3" xfId="1" applyFont="1" applyFill="1" applyBorder="1" applyAlignment="1" applyProtection="1">
      <alignment horizontal="center" vertical="center" wrapText="1"/>
      <protection locked="0"/>
    </xf>
    <xf numFmtId="8" fontId="11" fillId="12" borderId="3" xfId="0" applyNumberFormat="1" applyFont="1" applyFill="1" applyBorder="1" applyAlignment="1">
      <alignment vertical="center" wrapText="1"/>
    </xf>
    <xf numFmtId="44" fontId="9" fillId="11" borderId="42" xfId="0" applyNumberFormat="1" applyFont="1" applyFill="1" applyBorder="1" applyAlignment="1">
      <alignment vertical="center" wrapText="1"/>
    </xf>
    <xf numFmtId="0" fontId="9" fillId="2" borderId="24" xfId="0" applyFont="1" applyFill="1" applyBorder="1" applyAlignment="1">
      <alignment vertical="center" wrapText="1"/>
    </xf>
    <xf numFmtId="44" fontId="3" fillId="7" borderId="6" xfId="0" applyNumberFormat="1" applyFont="1" applyFill="1" applyBorder="1" applyAlignment="1" applyProtection="1">
      <alignment vertical="center" wrapText="1"/>
      <protection locked="0"/>
    </xf>
    <xf numFmtId="44" fontId="3" fillId="6" borderId="6" xfId="1" applyFont="1" applyFill="1" applyBorder="1" applyAlignment="1" applyProtection="1">
      <alignment horizontal="center" vertical="center" wrapText="1"/>
      <protection locked="0"/>
    </xf>
    <xf numFmtId="8" fontId="11" fillId="12" borderId="6" xfId="0" applyNumberFormat="1" applyFont="1" applyFill="1" applyBorder="1" applyAlignment="1">
      <alignment vertical="center" wrapText="1"/>
    </xf>
    <xf numFmtId="44" fontId="9" fillId="11" borderId="7" xfId="0" applyNumberFormat="1" applyFont="1" applyFill="1" applyBorder="1" applyAlignment="1">
      <alignment vertical="center" wrapText="1"/>
    </xf>
    <xf numFmtId="164" fontId="17" fillId="0" borderId="15" xfId="0" applyNumberFormat="1" applyFont="1" applyBorder="1"/>
    <xf numFmtId="44" fontId="0" fillId="6" borderId="1" xfId="0" applyNumberFormat="1" applyFill="1" applyBorder="1"/>
    <xf numFmtId="44" fontId="0" fillId="6" borderId="6" xfId="0" applyNumberFormat="1" applyFill="1" applyBorder="1"/>
    <xf numFmtId="44" fontId="0" fillId="6" borderId="3" xfId="0" applyNumberFormat="1" applyFill="1" applyBorder="1"/>
    <xf numFmtId="44" fontId="0" fillId="7" borderId="3" xfId="0" applyNumberFormat="1" applyFill="1" applyBorder="1"/>
    <xf numFmtId="44" fontId="0" fillId="7" borderId="1" xfId="0" applyNumberFormat="1" applyFill="1" applyBorder="1"/>
    <xf numFmtId="164" fontId="19" fillId="0" borderId="0" xfId="0" applyNumberFormat="1" applyFont="1"/>
    <xf numFmtId="164" fontId="21" fillId="0" borderId="0" xfId="0" applyNumberFormat="1" applyFont="1"/>
    <xf numFmtId="164" fontId="18" fillId="0" borderId="0" xfId="0" applyNumberFormat="1" applyFont="1"/>
    <xf numFmtId="0" fontId="18" fillId="0" borderId="0" xfId="0" applyFont="1"/>
    <xf numFmtId="44" fontId="2" fillId="11" borderId="4" xfId="0" applyNumberFormat="1" applyFont="1" applyFill="1" applyBorder="1"/>
    <xf numFmtId="44" fontId="0" fillId="11" borderId="23" xfId="0" applyNumberFormat="1" applyFill="1" applyBorder="1"/>
    <xf numFmtId="8" fontId="0" fillId="3" borderId="6" xfId="0" applyNumberFormat="1" applyFill="1" applyBorder="1"/>
    <xf numFmtId="44" fontId="0" fillId="11" borderId="7" xfId="0" applyNumberFormat="1" applyFill="1" applyBorder="1"/>
    <xf numFmtId="8" fontId="0" fillId="3" borderId="3" xfId="0" applyNumberFormat="1" applyFill="1" applyBorder="1"/>
    <xf numFmtId="0" fontId="22" fillId="0" borderId="0" xfId="0" applyFont="1"/>
    <xf numFmtId="164" fontId="23" fillId="0" borderId="0" xfId="0" applyNumberFormat="1" applyFont="1"/>
    <xf numFmtId="4" fontId="22" fillId="0" borderId="0" xfId="0" applyNumberFormat="1" applyFont="1"/>
    <xf numFmtId="0" fontId="24" fillId="0" borderId="0" xfId="0" applyFont="1" applyAlignment="1">
      <alignment wrapText="1"/>
    </xf>
    <xf numFmtId="0" fontId="23" fillId="0" borderId="0" xfId="0" applyFont="1"/>
    <xf numFmtId="0" fontId="25" fillId="0" borderId="0" xfId="0" applyFont="1"/>
    <xf numFmtId="164" fontId="25" fillId="0" borderId="0" xfId="0" applyNumberFormat="1" applyFont="1"/>
    <xf numFmtId="0" fontId="20" fillId="0" borderId="0" xfId="0" applyFont="1"/>
    <xf numFmtId="0" fontId="26" fillId="0" borderId="0" xfId="0" applyFont="1"/>
    <xf numFmtId="15" fontId="0" fillId="0" borderId="1" xfId="0" applyNumberFormat="1" applyBorder="1" applyAlignment="1">
      <alignment horizontal="left"/>
    </xf>
    <xf numFmtId="0" fontId="0" fillId="0" borderId="10" xfId="0" applyBorder="1" applyAlignment="1">
      <alignment horizontal="left" vertical="center" wrapText="1"/>
    </xf>
    <xf numFmtId="8" fontId="0" fillId="3" borderId="1" xfId="0" applyNumberFormat="1" applyFill="1" applyBorder="1"/>
    <xf numFmtId="0" fontId="0" fillId="0" borderId="2"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2" fillId="4" borderId="12" xfId="0" applyFont="1" applyFill="1" applyBorder="1" applyAlignment="1">
      <alignment horizontal="center"/>
    </xf>
    <xf numFmtId="0" fontId="2" fillId="4" borderId="3" xfId="0" applyFont="1" applyFill="1" applyBorder="1" applyAlignment="1">
      <alignment horizontal="center"/>
    </xf>
    <xf numFmtId="0" fontId="2" fillId="4" borderId="8" xfId="0" applyFont="1" applyFill="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vertical="top" wrapText="1"/>
    </xf>
    <xf numFmtId="0" fontId="0" fillId="0" borderId="1" xfId="0" applyBorder="1" applyAlignment="1">
      <alignment vertical="top" wrapText="1"/>
    </xf>
    <xf numFmtId="0" fontId="0" fillId="0" borderId="9" xfId="0" applyBorder="1" applyAlignment="1">
      <alignment vertical="top" wrapText="1"/>
    </xf>
    <xf numFmtId="164" fontId="5" fillId="7" borderId="1" xfId="0" applyNumberFormat="1" applyFont="1" applyFill="1" applyBorder="1" applyAlignment="1">
      <alignment horizontal="center" vertical="center"/>
    </xf>
    <xf numFmtId="164" fontId="5" fillId="7" borderId="9" xfId="0" applyNumberFormat="1" applyFont="1" applyFill="1" applyBorder="1" applyAlignment="1">
      <alignment horizontal="center" vertical="center"/>
    </xf>
    <xf numFmtId="164" fontId="5" fillId="6" borderId="1" xfId="0" applyNumberFormat="1" applyFont="1" applyFill="1" applyBorder="1" applyAlignment="1">
      <alignment horizontal="center" vertical="center"/>
    </xf>
    <xf numFmtId="164" fontId="5" fillId="6" borderId="9"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5" fillId="0" borderId="19" xfId="0" applyNumberFormat="1" applyFont="1" applyBorder="1" applyAlignment="1">
      <alignment horizontal="center" vertical="center"/>
    </xf>
    <xf numFmtId="0" fontId="0" fillId="0" borderId="6" xfId="0" applyBorder="1" applyAlignment="1">
      <alignment vertical="top" wrapText="1"/>
    </xf>
    <xf numFmtId="164" fontId="5" fillId="7" borderId="6" xfId="0" applyNumberFormat="1" applyFont="1" applyFill="1" applyBorder="1" applyAlignment="1">
      <alignment horizontal="center" vertical="center"/>
    </xf>
    <xf numFmtId="164" fontId="5" fillId="6" borderId="6"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164" fontId="5" fillId="0" borderId="6" xfId="0" applyNumberFormat="1" applyFont="1"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164" fontId="5" fillId="7" borderId="9" xfId="0" applyNumberFormat="1" applyFont="1" applyFill="1" applyBorder="1" applyAlignment="1">
      <alignment horizontal="center" vertical="center" wrapText="1"/>
    </xf>
    <xf numFmtId="164" fontId="5" fillId="7" borderId="40" xfId="0" applyNumberFormat="1" applyFont="1" applyFill="1" applyBorder="1" applyAlignment="1">
      <alignment horizontal="center" vertical="center"/>
    </xf>
    <xf numFmtId="164" fontId="5" fillId="7" borderId="25" xfId="0" applyNumberFormat="1" applyFont="1" applyFill="1" applyBorder="1" applyAlignment="1">
      <alignment horizontal="center" vertical="center"/>
    </xf>
    <xf numFmtId="164" fontId="5" fillId="6" borderId="9" xfId="0" applyNumberFormat="1" applyFont="1" applyFill="1" applyBorder="1" applyAlignment="1">
      <alignment horizontal="center" vertical="center" wrapText="1"/>
    </xf>
    <xf numFmtId="164" fontId="5" fillId="6" borderId="40" xfId="0" applyNumberFormat="1" applyFont="1" applyFill="1" applyBorder="1" applyAlignment="1">
      <alignment horizontal="center" vertical="center"/>
    </xf>
    <xf numFmtId="164" fontId="5" fillId="6" borderId="25" xfId="0" applyNumberFormat="1" applyFont="1" applyFill="1" applyBorder="1" applyAlignment="1">
      <alignment horizontal="center" vertical="center"/>
    </xf>
    <xf numFmtId="164" fontId="5" fillId="3" borderId="40" xfId="0" applyNumberFormat="1" applyFont="1" applyFill="1" applyBorder="1" applyAlignment="1">
      <alignment horizontal="center" vertical="center"/>
    </xf>
    <xf numFmtId="164" fontId="5" fillId="3" borderId="25" xfId="0" applyNumberFormat="1" applyFont="1" applyFill="1" applyBorder="1" applyAlignment="1">
      <alignment horizontal="center" vertical="center"/>
    </xf>
    <xf numFmtId="164" fontId="5" fillId="0" borderId="40" xfId="0" applyNumberFormat="1" applyFont="1" applyBorder="1" applyAlignment="1">
      <alignment horizontal="center" vertical="center"/>
    </xf>
    <xf numFmtId="164" fontId="5" fillId="0" borderId="25" xfId="0" applyNumberFormat="1" applyFont="1" applyBorder="1" applyAlignment="1">
      <alignment horizontal="center" vertical="center"/>
    </xf>
    <xf numFmtId="0" fontId="10" fillId="0" borderId="45" xfId="0" applyFont="1" applyBorder="1" applyAlignment="1">
      <alignment horizontal="center" vertical="center"/>
    </xf>
    <xf numFmtId="0" fontId="10" fillId="0" borderId="44" xfId="0" applyFont="1" applyBorder="1" applyAlignment="1">
      <alignment horizontal="center" vertical="center"/>
    </xf>
    <xf numFmtId="0" fontId="10" fillId="0" borderId="40" xfId="0" applyFont="1" applyBorder="1" applyAlignment="1">
      <alignment horizontal="center" vertical="center" wrapText="1"/>
    </xf>
    <xf numFmtId="0" fontId="10" fillId="0" borderId="46" xfId="0" applyFont="1" applyBorder="1" applyAlignment="1">
      <alignment horizontal="center" vertical="center" wrapText="1"/>
    </xf>
    <xf numFmtId="0" fontId="2" fillId="4" borderId="37" xfId="0" applyFont="1" applyFill="1" applyBorder="1" applyAlignment="1">
      <alignment horizontal="center"/>
    </xf>
    <xf numFmtId="0" fontId="2" fillId="4" borderId="38" xfId="0" applyFont="1" applyFill="1" applyBorder="1" applyAlignment="1">
      <alignment horizontal="center"/>
    </xf>
    <xf numFmtId="0" fontId="13" fillId="0" borderId="0" xfId="0" applyFont="1" applyAlignment="1">
      <alignment horizontal="center"/>
    </xf>
    <xf numFmtId="0" fontId="8" fillId="0" borderId="18" xfId="0" applyFont="1" applyBorder="1" applyAlignment="1">
      <alignment horizontal="left" wrapText="1"/>
    </xf>
    <xf numFmtId="0" fontId="15" fillId="10" borderId="30" xfId="0" applyFont="1" applyFill="1" applyBorder="1" applyAlignment="1">
      <alignment horizontal="center" wrapText="1"/>
    </xf>
    <xf numFmtId="0" fontId="9" fillId="10" borderId="37" xfId="0" applyFont="1" applyFill="1" applyBorder="1" applyAlignment="1">
      <alignment horizontal="center" wrapText="1"/>
    </xf>
    <xf numFmtId="0" fontId="9" fillId="10" borderId="38" xfId="0" applyFont="1" applyFill="1" applyBorder="1" applyAlignment="1">
      <alignment horizontal="center" wrapText="1"/>
    </xf>
    <xf numFmtId="0" fontId="0" fillId="0" borderId="1" xfId="0" applyFill="1" applyBorder="1" applyAlignment="1">
      <alignment horizontal="center"/>
    </xf>
    <xf numFmtId="0" fontId="0" fillId="0" borderId="1" xfId="0" applyFill="1" applyBorder="1"/>
    <xf numFmtId="0" fontId="0" fillId="0" borderId="1" xfId="0" applyFill="1" applyBorder="1" applyAlignment="1">
      <alignment wrapText="1"/>
    </xf>
    <xf numFmtId="164" fontId="0" fillId="0" borderId="15" xfId="0" applyNumberFormat="1" applyFill="1" applyBorder="1"/>
    <xf numFmtId="164" fontId="0" fillId="0" borderId="31" xfId="0" applyNumberFormat="1" applyFill="1" applyBorder="1"/>
    <xf numFmtId="0" fontId="27" fillId="13" borderId="0" xfId="0" applyFont="1" applyFill="1"/>
    <xf numFmtId="164" fontId="13" fillId="13" borderId="0" xfId="0" applyNumberFormat="1" applyFont="1" applyFill="1"/>
    <xf numFmtId="164" fontId="28" fillId="13" borderId="0" xfId="0" applyNumberFormat="1" applyFont="1" applyFill="1"/>
    <xf numFmtId="164" fontId="29" fillId="13" borderId="0" xfId="0" applyNumberFormat="1" applyFont="1" applyFill="1"/>
    <xf numFmtId="0" fontId="27" fillId="0" borderId="0" xfId="0" applyFont="1"/>
    <xf numFmtId="0" fontId="28" fillId="0" borderId="0" xfId="0" applyFont="1"/>
    <xf numFmtId="0" fontId="30" fillId="0" borderId="0" xfId="0" applyFont="1"/>
    <xf numFmtId="0" fontId="27" fillId="6" borderId="0" xfId="0" applyFont="1" applyFill="1"/>
    <xf numFmtId="164" fontId="13" fillId="6" borderId="0" xfId="0" applyNumberFormat="1" applyFont="1" applyFill="1"/>
    <xf numFmtId="164" fontId="28" fillId="6" borderId="0" xfId="0" applyNumberFormat="1" applyFont="1" applyFill="1"/>
    <xf numFmtId="0" fontId="27" fillId="3" borderId="0" xfId="0" applyFont="1" applyFill="1"/>
    <xf numFmtId="164" fontId="13" fillId="3" borderId="0" xfId="0" applyNumberFormat="1" applyFont="1" applyFill="1"/>
    <xf numFmtId="6" fontId="28" fillId="3" borderId="0" xfId="0" applyNumberFormat="1" applyFont="1" applyFill="1"/>
    <xf numFmtId="0" fontId="31" fillId="0" borderId="0" xfId="0" applyFont="1"/>
    <xf numFmtId="164" fontId="29" fillId="0" borderId="0" xfId="0" applyNumberFormat="1" applyFont="1"/>
    <xf numFmtId="0" fontId="0" fillId="0" borderId="10" xfId="0" applyFill="1" applyBorder="1" applyAlignment="1">
      <alignment wrapText="1"/>
    </xf>
    <xf numFmtId="0" fontId="17" fillId="0" borderId="1" xfId="0" applyFont="1" applyBorder="1"/>
    <xf numFmtId="17" fontId="17" fillId="0" borderId="1" xfId="0" applyNumberFormat="1" applyFont="1" applyBorder="1"/>
    <xf numFmtId="164" fontId="17" fillId="0" borderId="31" xfId="0" applyNumberFormat="1" applyFont="1" applyBorder="1"/>
    <xf numFmtId="44" fontId="32" fillId="7" borderId="1" xfId="0" applyNumberFormat="1" applyFont="1" applyFill="1" applyBorder="1" applyAlignment="1" applyProtection="1">
      <alignment wrapText="1"/>
      <protection locked="0"/>
    </xf>
    <xf numFmtId="164" fontId="13" fillId="0" borderId="0" xfId="0" applyNumberFormat="1" applyFont="1"/>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Nikola Petrovski" id="{AF3AF4E0-DDFA-4A7B-B052-885F613D8342}" userId="S::nikola.petrovski@un.org::f3ef01ef-6a48-4d20-8d92-55ad0a15fa1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61" dT="2024-05-01T08:34:48.71" personId="{AF3AF4E0-DDFA-4A7B-B052-885F613D8342}" id="{0E35C2D5-5A65-412D-BE00-A7CD32D82B08}">
    <text xml:space="preserve">Checking if translation services were also paid in this amount. </text>
  </threadedComment>
  <threadedComment ref="K92" dT="2024-05-01T09:00:30.19" personId="{AF3AF4E0-DDFA-4A7B-B052-885F613D8342}" id="{5A2B09E3-8847-4042-A2DA-AC7155A75498}">
    <text>Still might increase once bills for transport and translation arrive</text>
  </threadedComment>
  <threadedComment ref="K93" dT="2024-05-01T09:02:41.13" personId="{AF3AF4E0-DDFA-4A7B-B052-885F613D8342}" id="{3B558504-BC95-472F-9718-12C64557DF25}">
    <text>Still need the final bills, this is an estimate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35E94-7B26-4A3B-A9F1-4FC944F537D4}">
  <dimension ref="B2:Q344"/>
  <sheetViews>
    <sheetView tabSelected="1" zoomScale="60" zoomScaleNormal="60" workbookViewId="0">
      <selection activeCell="Q349" sqref="Q349"/>
    </sheetView>
  </sheetViews>
  <sheetFormatPr defaultRowHeight="14.5" x14ac:dyDescent="0.35"/>
  <cols>
    <col min="1" max="1" width="3" customWidth="1"/>
    <col min="2" max="2" width="10.1796875" customWidth="1"/>
    <col min="3" max="3" width="25.81640625" customWidth="1"/>
    <col min="4" max="4" width="14.453125" style="15" customWidth="1"/>
    <col min="5" max="5" width="17.81640625" style="11" customWidth="1"/>
    <col min="6" max="6" width="17.81640625" style="13" customWidth="1"/>
    <col min="7" max="7" width="26.26953125" customWidth="1"/>
    <col min="8" max="8" width="11" customWidth="1"/>
    <col min="9" max="9" width="48.1796875" customWidth="1"/>
    <col min="10" max="10" width="17" customWidth="1"/>
    <col min="11" max="11" width="20.453125" customWidth="1"/>
    <col min="12" max="12" width="20" customWidth="1"/>
    <col min="13" max="13" width="22.81640625" customWidth="1"/>
    <col min="14" max="14" width="5.1796875" customWidth="1"/>
    <col min="15" max="15" width="20.453125" style="161" customWidth="1"/>
    <col min="16" max="16" width="19.1796875" style="156" customWidth="1"/>
    <col min="17" max="17" width="23.7265625" customWidth="1"/>
  </cols>
  <sheetData>
    <row r="2" spans="2:16" ht="21" x14ac:dyDescent="0.5">
      <c r="C2" s="217" t="s">
        <v>241</v>
      </c>
      <c r="D2" s="217"/>
      <c r="E2" s="217"/>
      <c r="F2" s="217"/>
      <c r="G2" s="217"/>
      <c r="H2" s="217"/>
      <c r="I2" s="217"/>
    </row>
    <row r="3" spans="2:16" ht="15" thickBot="1" x14ac:dyDescent="0.4">
      <c r="O3" s="161" t="s">
        <v>0</v>
      </c>
      <c r="P3" s="156" t="s">
        <v>1</v>
      </c>
    </row>
    <row r="4" spans="2:16" x14ac:dyDescent="0.35">
      <c r="B4" s="168" t="s">
        <v>2</v>
      </c>
      <c r="C4" s="170" t="s">
        <v>3</v>
      </c>
      <c r="D4" s="172" t="s">
        <v>4</v>
      </c>
      <c r="E4" s="172"/>
      <c r="F4" s="172"/>
      <c r="G4" s="172"/>
      <c r="H4" s="175" t="s">
        <v>5</v>
      </c>
      <c r="I4" s="175"/>
      <c r="J4" s="175"/>
      <c r="K4" s="175"/>
      <c r="L4" s="25" t="s">
        <v>6</v>
      </c>
      <c r="M4" s="31"/>
      <c r="N4" s="33"/>
    </row>
    <row r="5" spans="2:16" ht="15" thickBot="1" x14ac:dyDescent="0.4">
      <c r="B5" s="168"/>
      <c r="C5" s="170"/>
      <c r="D5" s="16" t="s">
        <v>7</v>
      </c>
      <c r="E5" s="12" t="s">
        <v>8</v>
      </c>
      <c r="F5" s="14" t="s">
        <v>9</v>
      </c>
      <c r="G5" s="17" t="s">
        <v>10</v>
      </c>
      <c r="H5" s="8" t="s">
        <v>11</v>
      </c>
      <c r="I5" s="7" t="s">
        <v>12</v>
      </c>
      <c r="J5" s="2" t="s">
        <v>13</v>
      </c>
      <c r="K5" s="22" t="s">
        <v>14</v>
      </c>
      <c r="L5" s="56" t="s">
        <v>15</v>
      </c>
      <c r="M5" s="32" t="s">
        <v>16</v>
      </c>
      <c r="N5" s="34"/>
    </row>
    <row r="6" spans="2:16" ht="43.5" x14ac:dyDescent="0.35">
      <c r="B6" s="178" t="s">
        <v>17</v>
      </c>
      <c r="C6" s="180" t="s">
        <v>18</v>
      </c>
      <c r="D6" s="183">
        <v>10000</v>
      </c>
      <c r="E6" s="185">
        <v>60000</v>
      </c>
      <c r="F6" s="187"/>
      <c r="G6" s="189">
        <f>SUM(D6:F6)</f>
        <v>70000</v>
      </c>
      <c r="H6" s="86">
        <v>1</v>
      </c>
      <c r="I6" s="87" t="s">
        <v>19</v>
      </c>
      <c r="J6" s="87" t="s">
        <v>20</v>
      </c>
      <c r="K6" s="94">
        <v>29075.8</v>
      </c>
      <c r="L6" s="97"/>
      <c r="M6" s="97"/>
      <c r="N6" s="85"/>
    </row>
    <row r="7" spans="2:16" ht="43.5" x14ac:dyDescent="0.35">
      <c r="B7" s="178"/>
      <c r="C7" s="180"/>
      <c r="D7" s="183"/>
      <c r="E7" s="185"/>
      <c r="F7" s="187"/>
      <c r="G7" s="189"/>
      <c r="H7" s="81">
        <v>2</v>
      </c>
      <c r="I7" s="82" t="s">
        <v>21</v>
      </c>
      <c r="J7" s="83" t="s">
        <v>22</v>
      </c>
      <c r="K7" s="95">
        <v>5205.8999999999996</v>
      </c>
      <c r="L7" s="97">
        <f t="shared" ref="L7:L14" si="0">K7*0.7</f>
        <v>3644.1299999999997</v>
      </c>
      <c r="M7" s="97">
        <v>794.1</v>
      </c>
      <c r="N7" s="85"/>
    </row>
    <row r="8" spans="2:16" ht="29" x14ac:dyDescent="0.35">
      <c r="B8" s="178"/>
      <c r="C8" s="180"/>
      <c r="D8" s="183"/>
      <c r="E8" s="185"/>
      <c r="F8" s="187"/>
      <c r="G8" s="189"/>
      <c r="H8" s="81">
        <v>3</v>
      </c>
      <c r="I8" s="103" t="s">
        <v>23</v>
      </c>
      <c r="J8" s="104" t="s">
        <v>24</v>
      </c>
      <c r="K8" s="95">
        <v>5704.13</v>
      </c>
      <c r="L8" s="97"/>
      <c r="M8" s="105"/>
      <c r="N8" s="85"/>
    </row>
    <row r="9" spans="2:16" x14ac:dyDescent="0.35">
      <c r="B9" s="178"/>
      <c r="C9" s="180"/>
      <c r="D9" s="183"/>
      <c r="E9" s="185"/>
      <c r="F9" s="187"/>
      <c r="G9" s="189"/>
      <c r="H9" s="81">
        <v>4</v>
      </c>
      <c r="I9" s="164" t="s">
        <v>25</v>
      </c>
      <c r="J9" s="84"/>
      <c r="K9" s="96">
        <v>0</v>
      </c>
      <c r="L9" s="97">
        <f t="shared" si="0"/>
        <v>0</v>
      </c>
      <c r="M9" s="97">
        <v>9600</v>
      </c>
      <c r="N9" s="85"/>
    </row>
    <row r="10" spans="2:16" x14ac:dyDescent="0.35">
      <c r="B10" s="178"/>
      <c r="C10" s="180"/>
      <c r="D10" s="183"/>
      <c r="E10" s="185"/>
      <c r="F10" s="187"/>
      <c r="G10" s="189"/>
      <c r="H10" s="81">
        <v>5</v>
      </c>
      <c r="I10" s="84"/>
      <c r="J10" s="84"/>
      <c r="K10" s="96">
        <v>0</v>
      </c>
      <c r="L10" s="97">
        <f t="shared" si="0"/>
        <v>0</v>
      </c>
      <c r="M10" s="97">
        <v>0</v>
      </c>
      <c r="N10" s="85"/>
    </row>
    <row r="11" spans="2:16" x14ac:dyDescent="0.35">
      <c r="B11" s="178"/>
      <c r="C11" s="180"/>
      <c r="D11" s="183"/>
      <c r="E11" s="185"/>
      <c r="F11" s="187"/>
      <c r="G11" s="189"/>
      <c r="H11" s="81"/>
      <c r="I11" s="84"/>
      <c r="J11" s="84"/>
      <c r="K11" s="96">
        <v>0</v>
      </c>
      <c r="L11" s="97">
        <f t="shared" si="0"/>
        <v>0</v>
      </c>
      <c r="M11" s="97">
        <v>0</v>
      </c>
      <c r="N11" s="85"/>
    </row>
    <row r="12" spans="2:16" x14ac:dyDescent="0.35">
      <c r="B12" s="178"/>
      <c r="C12" s="180"/>
      <c r="D12" s="183"/>
      <c r="E12" s="185"/>
      <c r="F12" s="187"/>
      <c r="G12" s="189"/>
      <c r="H12" s="5"/>
      <c r="I12" s="6"/>
      <c r="J12" s="6"/>
      <c r="K12" s="23">
        <v>0</v>
      </c>
      <c r="L12" s="97">
        <f t="shared" si="0"/>
        <v>0</v>
      </c>
      <c r="M12" s="97">
        <v>0</v>
      </c>
      <c r="N12" s="85"/>
    </row>
    <row r="13" spans="2:16" x14ac:dyDescent="0.35">
      <c r="B13" s="178"/>
      <c r="C13" s="180"/>
      <c r="D13" s="183"/>
      <c r="E13" s="185"/>
      <c r="F13" s="187"/>
      <c r="G13" s="189"/>
      <c r="H13" s="4"/>
      <c r="I13" s="1"/>
      <c r="J13" s="1"/>
      <c r="K13" s="23">
        <v>0</v>
      </c>
      <c r="L13" s="97">
        <f t="shared" si="0"/>
        <v>0</v>
      </c>
      <c r="M13" s="97">
        <v>0</v>
      </c>
      <c r="N13" s="85"/>
    </row>
    <row r="14" spans="2:16" x14ac:dyDescent="0.35">
      <c r="B14" s="178"/>
      <c r="C14" s="180"/>
      <c r="D14" s="183"/>
      <c r="E14" s="185"/>
      <c r="F14" s="187"/>
      <c r="G14" s="189"/>
      <c r="H14" s="4"/>
      <c r="I14" s="1"/>
      <c r="J14" s="1"/>
      <c r="K14" s="23">
        <v>0</v>
      </c>
      <c r="L14" s="97">
        <f t="shared" si="0"/>
        <v>0</v>
      </c>
      <c r="M14" s="97">
        <v>0</v>
      </c>
      <c r="N14" s="85"/>
    </row>
    <row r="15" spans="2:16" ht="15" thickBot="1" x14ac:dyDescent="0.4">
      <c r="B15" s="178"/>
      <c r="C15" s="180"/>
      <c r="D15" s="183"/>
      <c r="E15" s="185"/>
      <c r="F15" s="187"/>
      <c r="G15" s="189"/>
      <c r="H15" s="7" t="s">
        <v>26</v>
      </c>
      <c r="I15" s="115">
        <f>SUM(G6-K15)</f>
        <v>30014.170000000006</v>
      </c>
      <c r="J15" s="116" t="s">
        <v>10</v>
      </c>
      <c r="K15" s="118">
        <f>SUM(K6:K14)</f>
        <v>39985.829999999994</v>
      </c>
      <c r="L15" s="64">
        <f>SUM(L6:L14)</f>
        <v>3644.1299999999997</v>
      </c>
      <c r="M15" s="64">
        <f>SUM(M6:M14)</f>
        <v>10394.1</v>
      </c>
      <c r="N15" s="34"/>
      <c r="O15" s="162">
        <f>SUM(K15,M15)</f>
        <v>50379.929999999993</v>
      </c>
      <c r="P15" s="157">
        <f>I15-M15</f>
        <v>19620.070000000007</v>
      </c>
    </row>
    <row r="16" spans="2:16" x14ac:dyDescent="0.35">
      <c r="B16" s="168" t="s">
        <v>2</v>
      </c>
      <c r="C16" s="170" t="s">
        <v>3</v>
      </c>
      <c r="D16" s="172" t="s">
        <v>4</v>
      </c>
      <c r="E16" s="172"/>
      <c r="F16" s="172"/>
      <c r="G16" s="172"/>
      <c r="H16" s="175" t="s">
        <v>5</v>
      </c>
      <c r="I16" s="175"/>
      <c r="J16" s="175"/>
      <c r="K16" s="175"/>
      <c r="L16" s="25" t="s">
        <v>6</v>
      </c>
      <c r="M16" s="31"/>
      <c r="N16" s="34"/>
    </row>
    <row r="17" spans="2:16" x14ac:dyDescent="0.35">
      <c r="B17" s="168"/>
      <c r="C17" s="170"/>
      <c r="D17" s="16" t="s">
        <v>7</v>
      </c>
      <c r="E17" s="12" t="s">
        <v>8</v>
      </c>
      <c r="F17" s="14" t="s">
        <v>9</v>
      </c>
      <c r="G17" s="17" t="s">
        <v>10</v>
      </c>
      <c r="H17" s="88" t="s">
        <v>11</v>
      </c>
      <c r="I17" s="89" t="s">
        <v>12</v>
      </c>
      <c r="J17" s="90" t="s">
        <v>13</v>
      </c>
      <c r="K17" s="91" t="s">
        <v>14</v>
      </c>
      <c r="L17" s="26" t="s">
        <v>27</v>
      </c>
      <c r="M17" s="32" t="s">
        <v>16</v>
      </c>
      <c r="N17" s="34"/>
    </row>
    <row r="18" spans="2:16" ht="78.650000000000006" customHeight="1" x14ac:dyDescent="0.35">
      <c r="B18" s="178" t="s">
        <v>28</v>
      </c>
      <c r="C18" s="180" t="s">
        <v>29</v>
      </c>
      <c r="D18" s="183"/>
      <c r="E18" s="185">
        <v>15000</v>
      </c>
      <c r="F18" s="187"/>
      <c r="G18" s="191">
        <f>SUM(D18:F18)</f>
        <v>15000</v>
      </c>
      <c r="H18" s="81">
        <v>1</v>
      </c>
      <c r="I18" s="82" t="s">
        <v>30</v>
      </c>
      <c r="J18" s="82" t="s">
        <v>31</v>
      </c>
      <c r="K18" s="93">
        <v>3061.26</v>
      </c>
      <c r="L18" s="29">
        <f>K18</f>
        <v>3061.26</v>
      </c>
      <c r="M18" s="27">
        <v>4598.74</v>
      </c>
      <c r="N18" s="35"/>
      <c r="P18" s="158"/>
    </row>
    <row r="19" spans="2:16" x14ac:dyDescent="0.35">
      <c r="B19" s="178"/>
      <c r="C19" s="180"/>
      <c r="D19" s="183"/>
      <c r="E19" s="185"/>
      <c r="F19" s="187"/>
      <c r="G19" s="191"/>
      <c r="H19" s="81">
        <v>2</v>
      </c>
      <c r="I19" s="103" t="s">
        <v>32</v>
      </c>
      <c r="J19" s="106"/>
      <c r="K19" s="29">
        <f>368.04+50.88+141.7</f>
        <v>560.62</v>
      </c>
      <c r="L19" s="29">
        <f>K19</f>
        <v>560.62</v>
      </c>
      <c r="M19" s="108">
        <v>1000</v>
      </c>
      <c r="N19" s="34"/>
    </row>
    <row r="20" spans="2:16" x14ac:dyDescent="0.35">
      <c r="B20" s="178"/>
      <c r="C20" s="180"/>
      <c r="D20" s="183"/>
      <c r="E20" s="185"/>
      <c r="F20" s="187"/>
      <c r="G20" s="191"/>
      <c r="H20" s="81">
        <v>3</v>
      </c>
      <c r="I20" s="84" t="s">
        <v>33</v>
      </c>
      <c r="J20" s="84"/>
      <c r="K20" s="55">
        <v>0</v>
      </c>
      <c r="L20" s="29">
        <f t="shared" ref="L20:L26" si="1">K20</f>
        <v>0</v>
      </c>
      <c r="M20" s="108">
        <v>1000</v>
      </c>
      <c r="N20" s="34"/>
    </row>
    <row r="21" spans="2:16" x14ac:dyDescent="0.35">
      <c r="B21" s="178"/>
      <c r="C21" s="180"/>
      <c r="D21" s="183"/>
      <c r="E21" s="185"/>
      <c r="F21" s="187"/>
      <c r="G21" s="191"/>
      <c r="H21" s="81">
        <v>4</v>
      </c>
      <c r="I21" s="84" t="s">
        <v>34</v>
      </c>
      <c r="J21" s="84"/>
      <c r="K21" s="55">
        <v>0</v>
      </c>
      <c r="L21" s="29">
        <f t="shared" si="1"/>
        <v>0</v>
      </c>
      <c r="M21" s="108">
        <v>1000</v>
      </c>
      <c r="N21" s="34"/>
    </row>
    <row r="22" spans="2:16" x14ac:dyDescent="0.35">
      <c r="B22" s="178"/>
      <c r="C22" s="180"/>
      <c r="D22" s="183"/>
      <c r="E22" s="185"/>
      <c r="F22" s="187"/>
      <c r="G22" s="191"/>
      <c r="H22" s="81">
        <v>5</v>
      </c>
      <c r="I22" s="84" t="s">
        <v>35</v>
      </c>
      <c r="J22" s="84"/>
      <c r="K22" s="55">
        <v>0</v>
      </c>
      <c r="L22" s="29">
        <f t="shared" si="1"/>
        <v>0</v>
      </c>
      <c r="M22" s="108">
        <v>2700</v>
      </c>
      <c r="N22" s="34"/>
    </row>
    <row r="23" spans="2:16" x14ac:dyDescent="0.35">
      <c r="B23" s="178"/>
      <c r="C23" s="180"/>
      <c r="D23" s="183"/>
      <c r="E23" s="185"/>
      <c r="F23" s="187"/>
      <c r="G23" s="191"/>
      <c r="H23" s="81">
        <v>6</v>
      </c>
      <c r="I23" s="84" t="s">
        <v>36</v>
      </c>
      <c r="J23" s="84"/>
      <c r="K23" s="55">
        <v>0</v>
      </c>
      <c r="L23" s="29">
        <f t="shared" si="1"/>
        <v>0</v>
      </c>
      <c r="M23" s="108">
        <v>1000</v>
      </c>
      <c r="N23" s="34"/>
    </row>
    <row r="24" spans="2:16" x14ac:dyDescent="0.35">
      <c r="B24" s="178"/>
      <c r="C24" s="180"/>
      <c r="D24" s="183"/>
      <c r="E24" s="185"/>
      <c r="F24" s="187"/>
      <c r="G24" s="191"/>
      <c r="H24" s="5"/>
      <c r="I24" s="1"/>
      <c r="J24" s="62"/>
      <c r="K24" s="111">
        <v>0</v>
      </c>
      <c r="L24" s="97">
        <v>0</v>
      </c>
      <c r="M24" s="97">
        <v>0</v>
      </c>
      <c r="N24" s="34"/>
    </row>
    <row r="25" spans="2:16" x14ac:dyDescent="0.35">
      <c r="B25" s="178"/>
      <c r="C25" s="180"/>
      <c r="D25" s="183"/>
      <c r="E25" s="185"/>
      <c r="F25" s="187"/>
      <c r="G25" s="191"/>
      <c r="H25" s="4"/>
      <c r="I25" s="1"/>
      <c r="J25" s="1"/>
      <c r="K25" s="9">
        <v>0</v>
      </c>
      <c r="L25" s="29">
        <f t="shared" si="1"/>
        <v>0</v>
      </c>
      <c r="M25" s="27">
        <v>0</v>
      </c>
      <c r="N25" s="34"/>
    </row>
    <row r="26" spans="2:16" x14ac:dyDescent="0.35">
      <c r="B26" s="178"/>
      <c r="C26" s="180"/>
      <c r="D26" s="183"/>
      <c r="E26" s="185"/>
      <c r="F26" s="187"/>
      <c r="G26" s="191"/>
      <c r="H26" s="4"/>
      <c r="I26" s="1"/>
      <c r="J26" s="1"/>
      <c r="K26" s="9">
        <v>0</v>
      </c>
      <c r="L26" s="29">
        <f t="shared" si="1"/>
        <v>0</v>
      </c>
      <c r="M26" s="27">
        <v>0</v>
      </c>
      <c r="N26" s="34"/>
    </row>
    <row r="27" spans="2:16" ht="15" thickBot="1" x14ac:dyDescent="0.4">
      <c r="B27" s="178"/>
      <c r="C27" s="180"/>
      <c r="D27" s="183"/>
      <c r="E27" s="185"/>
      <c r="F27" s="187"/>
      <c r="G27" s="191"/>
      <c r="H27" s="7" t="s">
        <v>26</v>
      </c>
      <c r="I27" s="115">
        <f>SUM(G18-K27)</f>
        <v>11378.119999999999</v>
      </c>
      <c r="J27" s="116" t="s">
        <v>10</v>
      </c>
      <c r="K27" s="117">
        <f>SUM(K18:K26)</f>
        <v>3621.88</v>
      </c>
      <c r="L27" s="64">
        <f>SUM(L18:L26)</f>
        <v>3621.88</v>
      </c>
      <c r="M27" s="64">
        <f>SUM(M18:M26)</f>
        <v>11298.74</v>
      </c>
      <c r="N27" s="34"/>
      <c r="O27" s="162">
        <f>SUM(K27,M27)</f>
        <v>14920.619999999999</v>
      </c>
      <c r="P27" s="157">
        <f>I27-M27</f>
        <v>79.3799999999992</v>
      </c>
    </row>
    <row r="28" spans="2:16" x14ac:dyDescent="0.35">
      <c r="B28" s="168" t="s">
        <v>2</v>
      </c>
      <c r="C28" s="170" t="s">
        <v>3</v>
      </c>
      <c r="D28" s="172" t="s">
        <v>4</v>
      </c>
      <c r="E28" s="172"/>
      <c r="F28" s="172"/>
      <c r="G28" s="172"/>
      <c r="H28" s="175" t="s">
        <v>5</v>
      </c>
      <c r="I28" s="175"/>
      <c r="J28" s="175"/>
      <c r="K28" s="175"/>
      <c r="L28" s="25" t="s">
        <v>6</v>
      </c>
      <c r="M28" s="31"/>
      <c r="N28" s="34"/>
    </row>
    <row r="29" spans="2:16" ht="15" thickBot="1" x14ac:dyDescent="0.4">
      <c r="B29" s="168"/>
      <c r="C29" s="170"/>
      <c r="D29" s="16" t="s">
        <v>7</v>
      </c>
      <c r="E29" s="12" t="s">
        <v>8</v>
      </c>
      <c r="F29" s="14" t="s">
        <v>9</v>
      </c>
      <c r="G29" s="17" t="s">
        <v>10</v>
      </c>
      <c r="H29" s="8" t="s">
        <v>11</v>
      </c>
      <c r="I29" s="7" t="s">
        <v>12</v>
      </c>
      <c r="J29" s="2" t="s">
        <v>13</v>
      </c>
      <c r="K29" s="3" t="s">
        <v>14</v>
      </c>
      <c r="L29" s="26" t="s">
        <v>27</v>
      </c>
      <c r="M29" s="32" t="s">
        <v>16</v>
      </c>
      <c r="N29" s="34"/>
    </row>
    <row r="30" spans="2:16" ht="29" x14ac:dyDescent="0.35">
      <c r="B30" s="178" t="s">
        <v>37</v>
      </c>
      <c r="C30" s="180" t="s">
        <v>38</v>
      </c>
      <c r="D30" s="183"/>
      <c r="E30" s="185">
        <v>22000</v>
      </c>
      <c r="F30" s="187"/>
      <c r="G30" s="189">
        <f>SUM(D30:F30)</f>
        <v>22000</v>
      </c>
      <c r="H30" s="5">
        <v>1</v>
      </c>
      <c r="I30" s="24" t="s">
        <v>39</v>
      </c>
      <c r="J30" s="107">
        <v>45208</v>
      </c>
      <c r="K30" s="92">
        <v>1537.46</v>
      </c>
      <c r="L30" s="29">
        <f>K30</f>
        <v>1537.46</v>
      </c>
      <c r="M30" s="27">
        <v>0</v>
      </c>
      <c r="N30" s="34"/>
    </row>
    <row r="31" spans="2:16" x14ac:dyDescent="0.35">
      <c r="B31" s="178"/>
      <c r="C31" s="180"/>
      <c r="D31" s="183"/>
      <c r="E31" s="185"/>
      <c r="F31" s="187"/>
      <c r="G31" s="189"/>
      <c r="H31" s="4">
        <v>2</v>
      </c>
      <c r="I31" s="1" t="s">
        <v>40</v>
      </c>
      <c r="J31" s="1"/>
      <c r="K31" s="9">
        <v>0</v>
      </c>
      <c r="L31" s="29">
        <f t="shared" ref="L31:L38" si="2">K31</f>
        <v>0</v>
      </c>
      <c r="M31" s="27">
        <v>11755.26</v>
      </c>
      <c r="N31" s="34"/>
    </row>
    <row r="32" spans="2:16" x14ac:dyDescent="0.35">
      <c r="B32" s="178"/>
      <c r="C32" s="180"/>
      <c r="D32" s="183"/>
      <c r="E32" s="185"/>
      <c r="F32" s="187"/>
      <c r="G32" s="189"/>
      <c r="H32" s="4">
        <v>3</v>
      </c>
      <c r="I32" s="1" t="s">
        <v>41</v>
      </c>
      <c r="J32" s="98">
        <v>45323</v>
      </c>
      <c r="K32" s="9">
        <v>1701.84</v>
      </c>
      <c r="L32" s="29">
        <f t="shared" si="2"/>
        <v>1701.84</v>
      </c>
      <c r="M32" s="27">
        <v>3000</v>
      </c>
      <c r="N32" s="34"/>
    </row>
    <row r="33" spans="2:16" x14ac:dyDescent="0.35">
      <c r="B33" s="178"/>
      <c r="C33" s="180"/>
      <c r="D33" s="183"/>
      <c r="E33" s="185"/>
      <c r="F33" s="187"/>
      <c r="G33" s="189"/>
      <c r="H33" s="4">
        <v>4</v>
      </c>
      <c r="I33" s="1" t="s">
        <v>42</v>
      </c>
      <c r="J33" s="98">
        <v>45474</v>
      </c>
      <c r="K33" s="9"/>
      <c r="L33" s="29"/>
      <c r="M33" s="27">
        <v>3000</v>
      </c>
      <c r="N33" s="34"/>
    </row>
    <row r="34" spans="2:16" x14ac:dyDescent="0.35">
      <c r="B34" s="178"/>
      <c r="C34" s="180"/>
      <c r="D34" s="183"/>
      <c r="E34" s="185"/>
      <c r="F34" s="187"/>
      <c r="G34" s="189"/>
      <c r="H34" s="4"/>
      <c r="I34" s="1"/>
      <c r="J34" s="1"/>
      <c r="K34" s="9">
        <v>0</v>
      </c>
      <c r="L34" s="29">
        <f t="shared" si="2"/>
        <v>0</v>
      </c>
      <c r="M34" s="27">
        <v>0</v>
      </c>
      <c r="N34" s="34"/>
    </row>
    <row r="35" spans="2:16" x14ac:dyDescent="0.35">
      <c r="B35" s="178"/>
      <c r="C35" s="180"/>
      <c r="D35" s="183"/>
      <c r="E35" s="185"/>
      <c r="F35" s="187"/>
      <c r="G35" s="189"/>
      <c r="H35" s="4"/>
      <c r="I35" s="1"/>
      <c r="J35" s="1"/>
      <c r="K35" s="9">
        <v>0</v>
      </c>
      <c r="L35" s="29">
        <f t="shared" si="2"/>
        <v>0</v>
      </c>
      <c r="M35" s="27">
        <v>0</v>
      </c>
      <c r="N35" s="34"/>
    </row>
    <row r="36" spans="2:16" x14ac:dyDescent="0.35">
      <c r="B36" s="178"/>
      <c r="C36" s="180"/>
      <c r="D36" s="183"/>
      <c r="E36" s="185"/>
      <c r="F36" s="187"/>
      <c r="G36" s="189"/>
      <c r="H36" s="4"/>
      <c r="I36" s="1"/>
      <c r="J36" s="1"/>
      <c r="K36" s="9">
        <v>0</v>
      </c>
      <c r="L36" s="29">
        <f t="shared" si="2"/>
        <v>0</v>
      </c>
      <c r="M36" s="27">
        <v>0</v>
      </c>
      <c r="N36" s="34"/>
    </row>
    <row r="37" spans="2:16" x14ac:dyDescent="0.35">
      <c r="B37" s="178"/>
      <c r="C37" s="180"/>
      <c r="D37" s="183"/>
      <c r="E37" s="185"/>
      <c r="F37" s="187"/>
      <c r="G37" s="189"/>
      <c r="H37" s="4"/>
      <c r="I37" s="1"/>
      <c r="J37" s="1"/>
      <c r="K37" s="9">
        <v>0</v>
      </c>
      <c r="L37" s="29">
        <f t="shared" si="2"/>
        <v>0</v>
      </c>
      <c r="M37" s="27">
        <v>0</v>
      </c>
      <c r="N37" s="34"/>
    </row>
    <row r="38" spans="2:16" x14ac:dyDescent="0.35">
      <c r="B38" s="178"/>
      <c r="C38" s="180"/>
      <c r="D38" s="183"/>
      <c r="E38" s="185"/>
      <c r="F38" s="187"/>
      <c r="G38" s="189"/>
      <c r="H38" s="4"/>
      <c r="I38" s="1"/>
      <c r="J38" s="1"/>
      <c r="K38" s="9">
        <v>0</v>
      </c>
      <c r="L38" s="29">
        <f t="shared" si="2"/>
        <v>0</v>
      </c>
      <c r="M38" s="27">
        <v>0</v>
      </c>
      <c r="N38" s="34"/>
    </row>
    <row r="39" spans="2:16" ht="31.5" customHeight="1" thickBot="1" x14ac:dyDescent="0.4">
      <c r="B39" s="178"/>
      <c r="C39" s="180"/>
      <c r="D39" s="183"/>
      <c r="E39" s="185"/>
      <c r="F39" s="187"/>
      <c r="G39" s="189"/>
      <c r="H39" s="7" t="s">
        <v>26</v>
      </c>
      <c r="I39" s="115">
        <f>SUM(G30-K39)</f>
        <v>18760.7</v>
      </c>
      <c r="J39" s="116" t="s">
        <v>10</v>
      </c>
      <c r="K39" s="117">
        <f>SUM(K30:K38)</f>
        <v>3239.3</v>
      </c>
      <c r="L39" s="64">
        <f>SUM(L30:L38)</f>
        <v>3239.3</v>
      </c>
      <c r="M39" s="64">
        <f>SUM(M30:M38)</f>
        <v>17755.260000000002</v>
      </c>
      <c r="N39" s="34"/>
      <c r="O39" s="162">
        <f>SUM(K39,M39)</f>
        <v>20994.560000000001</v>
      </c>
      <c r="P39" s="157">
        <f>I39-M39</f>
        <v>1005.4399999999987</v>
      </c>
    </row>
    <row r="40" spans="2:16" x14ac:dyDescent="0.35">
      <c r="B40" s="168" t="s">
        <v>2</v>
      </c>
      <c r="C40" s="170" t="s">
        <v>3</v>
      </c>
      <c r="D40" s="172" t="s">
        <v>4</v>
      </c>
      <c r="E40" s="172"/>
      <c r="F40" s="172"/>
      <c r="G40" s="172"/>
      <c r="H40" s="175" t="s">
        <v>5</v>
      </c>
      <c r="I40" s="175"/>
      <c r="J40" s="175"/>
      <c r="K40" s="175"/>
      <c r="L40" s="25" t="s">
        <v>6</v>
      </c>
      <c r="M40" s="31"/>
      <c r="N40" s="34"/>
    </row>
    <row r="41" spans="2:16" ht="15" thickBot="1" x14ac:dyDescent="0.4">
      <c r="B41" s="168"/>
      <c r="C41" s="170"/>
      <c r="D41" s="16" t="s">
        <v>7</v>
      </c>
      <c r="E41" s="12" t="s">
        <v>8</v>
      </c>
      <c r="F41" s="14" t="s">
        <v>9</v>
      </c>
      <c r="G41" s="17" t="s">
        <v>10</v>
      </c>
      <c r="H41" s="8" t="s">
        <v>11</v>
      </c>
      <c r="I41" s="7" t="s">
        <v>12</v>
      </c>
      <c r="J41" s="2" t="s">
        <v>13</v>
      </c>
      <c r="K41" s="3" t="s">
        <v>14</v>
      </c>
      <c r="L41" s="26" t="s">
        <v>43</v>
      </c>
      <c r="M41" s="32" t="s">
        <v>16</v>
      </c>
      <c r="N41" s="34"/>
    </row>
    <row r="42" spans="2:16" ht="87" x14ac:dyDescent="0.35">
      <c r="B42" s="178" t="s">
        <v>44</v>
      </c>
      <c r="C42" s="180" t="s">
        <v>45</v>
      </c>
      <c r="D42" s="183"/>
      <c r="E42" s="185"/>
      <c r="F42" s="187">
        <v>85000</v>
      </c>
      <c r="G42" s="189">
        <f>SUM(D42:F42)</f>
        <v>85000</v>
      </c>
      <c r="H42" s="5">
        <v>1</v>
      </c>
      <c r="I42" s="24" t="s">
        <v>46</v>
      </c>
      <c r="J42" s="24" t="s">
        <v>47</v>
      </c>
      <c r="K42" s="9">
        <v>77299.09</v>
      </c>
      <c r="L42" s="27">
        <f>K42*0.4</f>
        <v>30919.635999999999</v>
      </c>
      <c r="M42" s="27">
        <v>7700.91</v>
      </c>
      <c r="N42" s="34"/>
    </row>
    <row r="43" spans="2:16" x14ac:dyDescent="0.35">
      <c r="B43" s="178"/>
      <c r="C43" s="180"/>
      <c r="D43" s="183"/>
      <c r="E43" s="185"/>
      <c r="F43" s="187"/>
      <c r="G43" s="189"/>
      <c r="H43" s="4"/>
      <c r="I43" s="1"/>
      <c r="J43" s="1"/>
      <c r="K43" s="9">
        <v>0</v>
      </c>
      <c r="L43" s="27">
        <f t="shared" ref="L43:L50" si="3">K43*0.4</f>
        <v>0</v>
      </c>
      <c r="M43" s="27">
        <v>0</v>
      </c>
      <c r="N43" s="34"/>
    </row>
    <row r="44" spans="2:16" x14ac:dyDescent="0.35">
      <c r="B44" s="179"/>
      <c r="C44" s="181"/>
      <c r="D44" s="183"/>
      <c r="E44" s="185"/>
      <c r="F44" s="187"/>
      <c r="G44" s="189"/>
      <c r="H44" s="4"/>
      <c r="I44" s="1"/>
      <c r="J44" s="1"/>
      <c r="K44" s="9">
        <v>0</v>
      </c>
      <c r="L44" s="27">
        <f>K44*0.4</f>
        <v>0</v>
      </c>
      <c r="M44" s="27">
        <v>0</v>
      </c>
      <c r="N44" s="34"/>
    </row>
    <row r="45" spans="2:16" x14ac:dyDescent="0.35">
      <c r="B45" s="179"/>
      <c r="C45" s="181"/>
      <c r="D45" s="183"/>
      <c r="E45" s="185"/>
      <c r="F45" s="187"/>
      <c r="G45" s="189"/>
      <c r="H45" s="4"/>
      <c r="I45" s="1"/>
      <c r="J45" s="1"/>
      <c r="K45" s="9">
        <v>0</v>
      </c>
      <c r="L45" s="27">
        <f>K45*0.4</f>
        <v>0</v>
      </c>
      <c r="M45" s="27">
        <v>0</v>
      </c>
      <c r="N45" s="34"/>
    </row>
    <row r="46" spans="2:16" x14ac:dyDescent="0.35">
      <c r="B46" s="179"/>
      <c r="C46" s="181"/>
      <c r="D46" s="183"/>
      <c r="E46" s="185"/>
      <c r="F46" s="187"/>
      <c r="G46" s="189"/>
      <c r="H46" s="4"/>
      <c r="I46" s="1"/>
      <c r="J46" s="1"/>
      <c r="K46" s="9">
        <v>0</v>
      </c>
      <c r="L46" s="27">
        <f>K46*0.4</f>
        <v>0</v>
      </c>
      <c r="M46" s="27">
        <v>0</v>
      </c>
      <c r="N46" s="34"/>
    </row>
    <row r="47" spans="2:16" x14ac:dyDescent="0.35">
      <c r="B47" s="179"/>
      <c r="C47" s="181"/>
      <c r="D47" s="183"/>
      <c r="E47" s="185"/>
      <c r="F47" s="187"/>
      <c r="G47" s="189"/>
      <c r="H47" s="4"/>
      <c r="I47" s="1"/>
      <c r="J47" s="1"/>
      <c r="K47" s="9">
        <v>0</v>
      </c>
      <c r="L47" s="27">
        <f>K47*0.4</f>
        <v>0</v>
      </c>
      <c r="M47" s="27">
        <v>0</v>
      </c>
      <c r="N47" s="34"/>
    </row>
    <row r="48" spans="2:16" x14ac:dyDescent="0.35">
      <c r="B48" s="179"/>
      <c r="C48" s="181"/>
      <c r="D48" s="183"/>
      <c r="E48" s="185"/>
      <c r="F48" s="187"/>
      <c r="G48" s="189"/>
      <c r="H48" s="4"/>
      <c r="I48" s="1"/>
      <c r="J48" s="1"/>
      <c r="K48" s="9">
        <v>0</v>
      </c>
      <c r="L48" s="27">
        <f>K48*0.4</f>
        <v>0</v>
      </c>
      <c r="M48" s="27">
        <v>0</v>
      </c>
      <c r="N48" s="34"/>
    </row>
    <row r="49" spans="2:16" x14ac:dyDescent="0.35">
      <c r="B49" s="178"/>
      <c r="C49" s="180"/>
      <c r="D49" s="183"/>
      <c r="E49" s="185"/>
      <c r="F49" s="187"/>
      <c r="G49" s="189"/>
      <c r="H49" s="4"/>
      <c r="I49" s="1"/>
      <c r="J49" s="1"/>
      <c r="K49" s="9">
        <v>0</v>
      </c>
      <c r="L49" s="27">
        <f t="shared" si="3"/>
        <v>0</v>
      </c>
      <c r="M49" s="27">
        <v>0</v>
      </c>
      <c r="N49" s="34"/>
    </row>
    <row r="50" spans="2:16" x14ac:dyDescent="0.35">
      <c r="B50" s="178"/>
      <c r="C50" s="180"/>
      <c r="D50" s="183"/>
      <c r="E50" s="185"/>
      <c r="F50" s="187"/>
      <c r="G50" s="189"/>
      <c r="H50" s="4"/>
      <c r="I50" s="1"/>
      <c r="J50" s="1"/>
      <c r="K50" s="9">
        <v>0</v>
      </c>
      <c r="L50" s="27">
        <f t="shared" si="3"/>
        <v>0</v>
      </c>
      <c r="M50" s="27">
        <v>0</v>
      </c>
      <c r="N50" s="34"/>
    </row>
    <row r="51" spans="2:16" ht="49" customHeight="1" thickBot="1" x14ac:dyDescent="0.4">
      <c r="B51" s="178"/>
      <c r="C51" s="180"/>
      <c r="D51" s="183"/>
      <c r="E51" s="185"/>
      <c r="F51" s="187"/>
      <c r="G51" s="189"/>
      <c r="H51" s="114" t="s">
        <v>26</v>
      </c>
      <c r="I51" s="115">
        <f>SUM(G42-K51)</f>
        <v>7700.9100000000035</v>
      </c>
      <c r="J51" s="116" t="s">
        <v>10</v>
      </c>
      <c r="K51" s="117">
        <f>SUM(K42:K50)</f>
        <v>77299.09</v>
      </c>
      <c r="L51" s="64">
        <f>SUM(L42:L50)</f>
        <v>30919.635999999999</v>
      </c>
      <c r="M51" s="64">
        <f>SUM(M42:M50)</f>
        <v>7700.91</v>
      </c>
      <c r="N51" s="34"/>
      <c r="O51" s="162">
        <f>SUM(K51,M51)</f>
        <v>85000</v>
      </c>
      <c r="P51" s="157">
        <f>I51-M51</f>
        <v>0</v>
      </c>
    </row>
    <row r="52" spans="2:16" x14ac:dyDescent="0.35">
      <c r="B52" s="168" t="s">
        <v>2</v>
      </c>
      <c r="C52" s="170" t="s">
        <v>3</v>
      </c>
      <c r="D52" s="172" t="s">
        <v>4</v>
      </c>
      <c r="E52" s="173"/>
      <c r="F52" s="173"/>
      <c r="G52" s="174"/>
      <c r="H52" s="175" t="s">
        <v>5</v>
      </c>
      <c r="I52" s="176"/>
      <c r="J52" s="176"/>
      <c r="K52" s="177"/>
      <c r="L52" s="25" t="s">
        <v>6</v>
      </c>
      <c r="M52" s="31"/>
      <c r="N52" s="34"/>
    </row>
    <row r="53" spans="2:16" ht="15" thickBot="1" x14ac:dyDescent="0.4">
      <c r="B53" s="169"/>
      <c r="C53" s="171"/>
      <c r="D53" s="16" t="s">
        <v>7</v>
      </c>
      <c r="E53" s="12" t="s">
        <v>8</v>
      </c>
      <c r="F53" s="14" t="s">
        <v>9</v>
      </c>
      <c r="G53" s="17" t="s">
        <v>10</v>
      </c>
      <c r="H53" s="8" t="s">
        <v>11</v>
      </c>
      <c r="I53" s="7" t="s">
        <v>12</v>
      </c>
      <c r="J53" s="2" t="s">
        <v>13</v>
      </c>
      <c r="K53" s="3" t="s">
        <v>14</v>
      </c>
      <c r="L53" s="26" t="s">
        <v>48</v>
      </c>
      <c r="M53" s="32" t="s">
        <v>16</v>
      </c>
      <c r="N53" s="34"/>
    </row>
    <row r="54" spans="2:16" x14ac:dyDescent="0.35">
      <c r="B54" s="178" t="s">
        <v>49</v>
      </c>
      <c r="C54" s="180" t="s">
        <v>50</v>
      </c>
      <c r="D54" s="183">
        <v>72265</v>
      </c>
      <c r="E54" s="185"/>
      <c r="F54" s="187"/>
      <c r="G54" s="189">
        <f>SUM(D54:F54)</f>
        <v>72265</v>
      </c>
      <c r="H54" s="5">
        <v>1</v>
      </c>
      <c r="I54" s="6" t="s">
        <v>51</v>
      </c>
      <c r="J54" s="10">
        <v>44937</v>
      </c>
      <c r="K54" s="9">
        <v>3002.65</v>
      </c>
      <c r="L54" s="27">
        <f>SUM(K54*0.35)</f>
        <v>1050.9275</v>
      </c>
      <c r="M54" s="27">
        <v>0</v>
      </c>
      <c r="N54" s="34"/>
    </row>
    <row r="55" spans="2:16" x14ac:dyDescent="0.35">
      <c r="B55" s="179"/>
      <c r="C55" s="181"/>
      <c r="D55" s="183"/>
      <c r="E55" s="185"/>
      <c r="F55" s="187"/>
      <c r="G55" s="189"/>
      <c r="H55" s="4">
        <v>2</v>
      </c>
      <c r="I55" s="1" t="s">
        <v>52</v>
      </c>
      <c r="J55" s="1" t="s">
        <v>53</v>
      </c>
      <c r="K55" s="9">
        <v>5520</v>
      </c>
      <c r="L55" s="27">
        <f t="shared" ref="L55:L68" si="4">SUM(K55*0.35)</f>
        <v>1931.9999999999998</v>
      </c>
      <c r="M55" s="27">
        <v>0</v>
      </c>
      <c r="N55" s="34"/>
    </row>
    <row r="56" spans="2:16" x14ac:dyDescent="0.35">
      <c r="B56" s="179"/>
      <c r="C56" s="181"/>
      <c r="D56" s="183"/>
      <c r="E56" s="185"/>
      <c r="F56" s="187"/>
      <c r="G56" s="189"/>
      <c r="H56" s="4">
        <v>3</v>
      </c>
      <c r="I56" s="1" t="s">
        <v>54</v>
      </c>
      <c r="J56" s="1" t="s">
        <v>55</v>
      </c>
      <c r="K56" s="9">
        <v>4264</v>
      </c>
      <c r="L56" s="27">
        <f t="shared" si="4"/>
        <v>1492.3999999999999</v>
      </c>
      <c r="M56" s="27">
        <v>0</v>
      </c>
      <c r="N56" s="34"/>
    </row>
    <row r="57" spans="2:16" x14ac:dyDescent="0.35">
      <c r="B57" s="179"/>
      <c r="C57" s="181"/>
      <c r="D57" s="183"/>
      <c r="E57" s="185"/>
      <c r="F57" s="187"/>
      <c r="G57" s="189"/>
      <c r="H57" s="4">
        <v>4</v>
      </c>
      <c r="I57" s="1" t="s">
        <v>56</v>
      </c>
      <c r="J57" s="1" t="s">
        <v>57</v>
      </c>
      <c r="K57" s="9">
        <v>5446</v>
      </c>
      <c r="L57" s="27">
        <f t="shared" si="4"/>
        <v>1906.1</v>
      </c>
      <c r="M57" s="27">
        <v>0</v>
      </c>
      <c r="N57" s="34"/>
    </row>
    <row r="58" spans="2:16" x14ac:dyDescent="0.35">
      <c r="B58" s="179"/>
      <c r="C58" s="181"/>
      <c r="D58" s="183"/>
      <c r="E58" s="185"/>
      <c r="F58" s="187"/>
      <c r="G58" s="189"/>
      <c r="H58" s="4">
        <v>5</v>
      </c>
      <c r="I58" s="1" t="s">
        <v>58</v>
      </c>
      <c r="J58" s="1" t="s">
        <v>59</v>
      </c>
      <c r="K58" s="9">
        <v>0</v>
      </c>
      <c r="L58" s="27">
        <f t="shared" si="4"/>
        <v>0</v>
      </c>
      <c r="M58" s="27">
        <v>8125</v>
      </c>
      <c r="N58" s="34"/>
    </row>
    <row r="59" spans="2:16" x14ac:dyDescent="0.35">
      <c r="B59" s="179"/>
      <c r="C59" s="181"/>
      <c r="D59" s="183"/>
      <c r="E59" s="185"/>
      <c r="F59" s="187"/>
      <c r="G59" s="189"/>
      <c r="H59" s="4">
        <v>6</v>
      </c>
      <c r="I59" s="1" t="s">
        <v>60</v>
      </c>
      <c r="J59" s="1" t="s">
        <v>61</v>
      </c>
      <c r="K59" s="9">
        <v>5000</v>
      </c>
      <c r="L59" s="27">
        <f t="shared" si="4"/>
        <v>1750</v>
      </c>
      <c r="M59" s="27">
        <v>0</v>
      </c>
      <c r="N59" s="34"/>
    </row>
    <row r="60" spans="2:16" x14ac:dyDescent="0.35">
      <c r="B60" s="179"/>
      <c r="C60" s="181"/>
      <c r="D60" s="183"/>
      <c r="E60" s="185"/>
      <c r="F60" s="187"/>
      <c r="G60" s="189"/>
      <c r="H60" s="4">
        <v>7</v>
      </c>
      <c r="I60" s="1" t="s">
        <v>62</v>
      </c>
      <c r="J60" s="1" t="s">
        <v>63</v>
      </c>
      <c r="K60" s="141">
        <v>9530</v>
      </c>
      <c r="L60" s="27">
        <f t="shared" si="4"/>
        <v>3335.5</v>
      </c>
      <c r="M60" s="27">
        <v>0</v>
      </c>
      <c r="N60" s="34"/>
    </row>
    <row r="61" spans="2:16" x14ac:dyDescent="0.35">
      <c r="B61" s="179"/>
      <c r="C61" s="181"/>
      <c r="D61" s="183"/>
      <c r="E61" s="185"/>
      <c r="F61" s="187"/>
      <c r="G61" s="189"/>
      <c r="H61" s="4">
        <v>8</v>
      </c>
      <c r="I61" s="1" t="s">
        <v>64</v>
      </c>
      <c r="J61" s="1" t="s">
        <v>65</v>
      </c>
      <c r="K61" s="9">
        <v>3445</v>
      </c>
      <c r="L61" s="27">
        <f t="shared" si="4"/>
        <v>1205.75</v>
      </c>
      <c r="M61" s="27">
        <v>0</v>
      </c>
      <c r="N61" s="34"/>
    </row>
    <row r="62" spans="2:16" x14ac:dyDescent="0.35">
      <c r="B62" s="179"/>
      <c r="C62" s="181"/>
      <c r="D62" s="183"/>
      <c r="E62" s="185"/>
      <c r="F62" s="187"/>
      <c r="G62" s="189"/>
      <c r="H62" s="4">
        <v>9</v>
      </c>
      <c r="I62" s="1" t="s">
        <v>66</v>
      </c>
      <c r="J62" s="98">
        <v>45444</v>
      </c>
      <c r="K62" s="9">
        <v>9900</v>
      </c>
      <c r="L62" s="27">
        <f t="shared" si="4"/>
        <v>3465</v>
      </c>
      <c r="M62" s="27">
        <v>0</v>
      </c>
      <c r="N62" s="34"/>
    </row>
    <row r="63" spans="2:16" x14ac:dyDescent="0.35">
      <c r="B63" s="179"/>
      <c r="C63" s="181"/>
      <c r="D63" s="183"/>
      <c r="E63" s="185"/>
      <c r="F63" s="187"/>
      <c r="G63" s="189"/>
      <c r="H63" s="4"/>
      <c r="I63" s="1"/>
      <c r="J63" s="1"/>
      <c r="K63" s="9"/>
      <c r="L63" s="27"/>
      <c r="M63" s="27">
        <v>0</v>
      </c>
      <c r="N63" s="34"/>
    </row>
    <row r="64" spans="2:16" x14ac:dyDescent="0.35">
      <c r="B64" s="179"/>
      <c r="C64" s="181"/>
      <c r="D64" s="183"/>
      <c r="E64" s="185"/>
      <c r="F64" s="187"/>
      <c r="G64" s="189"/>
      <c r="H64" s="4"/>
      <c r="I64" s="1"/>
      <c r="J64" s="1"/>
      <c r="K64" s="9"/>
      <c r="L64" s="27"/>
      <c r="M64" s="27">
        <v>0</v>
      </c>
      <c r="N64" s="34"/>
    </row>
    <row r="65" spans="2:16" x14ac:dyDescent="0.35">
      <c r="B65" s="179"/>
      <c r="C65" s="181"/>
      <c r="D65" s="183"/>
      <c r="E65" s="185"/>
      <c r="F65" s="187"/>
      <c r="G65" s="189"/>
      <c r="H65" s="4"/>
      <c r="I65" s="1"/>
      <c r="J65" s="1"/>
      <c r="K65" s="9"/>
      <c r="L65" s="27"/>
      <c r="M65" s="27">
        <v>0</v>
      </c>
      <c r="N65" s="34"/>
    </row>
    <row r="66" spans="2:16" x14ac:dyDescent="0.35">
      <c r="B66" s="179"/>
      <c r="C66" s="181"/>
      <c r="D66" s="183"/>
      <c r="E66" s="185"/>
      <c r="F66" s="187"/>
      <c r="G66" s="189"/>
      <c r="H66" s="4"/>
      <c r="I66" s="1" t="s">
        <v>67</v>
      </c>
      <c r="J66" s="98">
        <v>45566</v>
      </c>
      <c r="K66" s="9">
        <v>0</v>
      </c>
      <c r="L66" s="27">
        <f t="shared" si="4"/>
        <v>0</v>
      </c>
      <c r="M66" s="27">
        <v>5000</v>
      </c>
      <c r="N66" s="34"/>
    </row>
    <row r="67" spans="2:16" x14ac:dyDescent="0.35">
      <c r="B67" s="179"/>
      <c r="C67" s="181"/>
      <c r="D67" s="183"/>
      <c r="E67" s="185"/>
      <c r="F67" s="187"/>
      <c r="G67" s="189"/>
      <c r="H67" s="4"/>
      <c r="I67" s="1" t="s">
        <v>68</v>
      </c>
      <c r="J67" s="1"/>
      <c r="K67" s="9">
        <v>1116</v>
      </c>
      <c r="L67" s="27">
        <f t="shared" si="4"/>
        <v>390.59999999999997</v>
      </c>
      <c r="M67" s="27">
        <v>0</v>
      </c>
      <c r="N67" s="34"/>
    </row>
    <row r="68" spans="2:16" x14ac:dyDescent="0.35">
      <c r="B68" s="179"/>
      <c r="C68" s="181"/>
      <c r="D68" s="183"/>
      <c r="E68" s="185"/>
      <c r="F68" s="187"/>
      <c r="G68" s="189"/>
      <c r="H68" s="4"/>
      <c r="I68" s="1" t="s">
        <v>69</v>
      </c>
      <c r="J68" s="1"/>
      <c r="K68" s="9">
        <v>426</v>
      </c>
      <c r="L68" s="27">
        <f t="shared" si="4"/>
        <v>149.1</v>
      </c>
      <c r="M68" s="27">
        <v>0</v>
      </c>
      <c r="N68" s="34"/>
    </row>
    <row r="69" spans="2:16" ht="15" thickBot="1" x14ac:dyDescent="0.4">
      <c r="B69" s="169"/>
      <c r="C69" s="192"/>
      <c r="D69" s="193"/>
      <c r="E69" s="194"/>
      <c r="F69" s="195"/>
      <c r="G69" s="196"/>
      <c r="H69" s="7" t="s">
        <v>26</v>
      </c>
      <c r="I69" s="115">
        <f>SUM(G54-K69)</f>
        <v>24615.35</v>
      </c>
      <c r="J69" s="116" t="s">
        <v>10</v>
      </c>
      <c r="K69" s="117">
        <f>SUM(K54:K68)</f>
        <v>47649.65</v>
      </c>
      <c r="L69" s="64">
        <f>SUM(L54:L68)</f>
        <v>16677.377499999999</v>
      </c>
      <c r="M69" s="64">
        <f t="shared" ref="M69" si="5">SUM(M54:M68)</f>
        <v>13125</v>
      </c>
      <c r="N69" s="34"/>
      <c r="O69" s="162">
        <f>SUM(K69,M69)</f>
        <v>60774.65</v>
      </c>
      <c r="P69" s="157">
        <f>I69-M69</f>
        <v>11490.349999999999</v>
      </c>
    </row>
    <row r="70" spans="2:16" x14ac:dyDescent="0.35">
      <c r="B70" s="168" t="s">
        <v>2</v>
      </c>
      <c r="C70" s="170" t="s">
        <v>3</v>
      </c>
      <c r="D70" s="172" t="s">
        <v>4</v>
      </c>
      <c r="E70" s="173"/>
      <c r="F70" s="173"/>
      <c r="G70" s="174"/>
      <c r="H70" s="175" t="s">
        <v>5</v>
      </c>
      <c r="I70" s="176"/>
      <c r="J70" s="176"/>
      <c r="K70" s="177"/>
      <c r="L70" s="25" t="s">
        <v>6</v>
      </c>
      <c r="M70" s="31"/>
      <c r="N70" s="34"/>
    </row>
    <row r="71" spans="2:16" ht="15" thickBot="1" x14ac:dyDescent="0.4">
      <c r="B71" s="169"/>
      <c r="C71" s="171"/>
      <c r="D71" s="16" t="s">
        <v>7</v>
      </c>
      <c r="E71" s="12" t="s">
        <v>8</v>
      </c>
      <c r="F71" s="14" t="s">
        <v>9</v>
      </c>
      <c r="G71" s="17" t="s">
        <v>10</v>
      </c>
      <c r="H71" s="8" t="s">
        <v>11</v>
      </c>
      <c r="I71" s="89" t="s">
        <v>12</v>
      </c>
      <c r="J71" s="90" t="s">
        <v>13</v>
      </c>
      <c r="K71" s="91" t="s">
        <v>14</v>
      </c>
      <c r="L71" s="110" t="s">
        <v>70</v>
      </c>
      <c r="M71" s="32" t="s">
        <v>16</v>
      </c>
      <c r="N71" s="34"/>
    </row>
    <row r="72" spans="2:16" ht="29" x14ac:dyDescent="0.35">
      <c r="B72" s="178" t="s">
        <v>71</v>
      </c>
      <c r="C72" s="180" t="s">
        <v>72</v>
      </c>
      <c r="D72" s="183"/>
      <c r="E72" s="185">
        <v>90000</v>
      </c>
      <c r="F72" s="187"/>
      <c r="G72" s="189">
        <f>SUM(D72:F72)</f>
        <v>90000</v>
      </c>
      <c r="H72" s="5">
        <v>1</v>
      </c>
      <c r="I72" s="1" t="s">
        <v>73</v>
      </c>
      <c r="J72" s="28" t="s">
        <v>74</v>
      </c>
      <c r="K72" s="111">
        <v>14784.25</v>
      </c>
      <c r="L72" s="97">
        <f>SUM(K72*1)</f>
        <v>14784.25</v>
      </c>
      <c r="M72" s="97">
        <v>6215.75</v>
      </c>
      <c r="N72" s="85"/>
      <c r="O72" s="162"/>
    </row>
    <row r="73" spans="2:16" ht="43.5" x14ac:dyDescent="0.35">
      <c r="B73" s="179"/>
      <c r="C73" s="181"/>
      <c r="D73" s="183"/>
      <c r="E73" s="185"/>
      <c r="F73" s="187"/>
      <c r="G73" s="189"/>
      <c r="H73" s="4">
        <v>2</v>
      </c>
      <c r="I73" s="28" t="s">
        <v>75</v>
      </c>
      <c r="J73" s="28" t="s">
        <v>76</v>
      </c>
      <c r="K73" s="111">
        <v>59619.88</v>
      </c>
      <c r="L73" s="112">
        <f>SUM(K73*1)</f>
        <v>59619.88</v>
      </c>
      <c r="M73" s="97">
        <v>0</v>
      </c>
      <c r="N73" s="85"/>
    </row>
    <row r="74" spans="2:16" ht="43.5" x14ac:dyDescent="0.35">
      <c r="B74" s="179"/>
      <c r="C74" s="181"/>
      <c r="D74" s="183"/>
      <c r="E74" s="185"/>
      <c r="F74" s="187"/>
      <c r="G74" s="189"/>
      <c r="H74" s="4">
        <v>3</v>
      </c>
      <c r="I74" s="28" t="s">
        <v>77</v>
      </c>
      <c r="J74" s="30">
        <v>45044</v>
      </c>
      <c r="K74" s="111">
        <v>3117.84</v>
      </c>
      <c r="L74" s="113">
        <f>SUM(K74*1)</f>
        <v>3117.84</v>
      </c>
      <c r="M74" s="97">
        <v>0</v>
      </c>
      <c r="N74" s="85"/>
    </row>
    <row r="75" spans="2:16" x14ac:dyDescent="0.35">
      <c r="B75" s="179"/>
      <c r="C75" s="181"/>
      <c r="D75" s="183"/>
      <c r="E75" s="185"/>
      <c r="F75" s="187"/>
      <c r="G75" s="189"/>
      <c r="H75" s="4">
        <v>4</v>
      </c>
      <c r="I75" s="1" t="s">
        <v>78</v>
      </c>
      <c r="J75" s="57">
        <v>45224</v>
      </c>
      <c r="K75" s="111">
        <v>6720.38</v>
      </c>
      <c r="L75" s="97">
        <f>SUM(K75*1)</f>
        <v>6720.38</v>
      </c>
      <c r="M75" s="97">
        <v>0</v>
      </c>
      <c r="N75" s="85"/>
    </row>
    <row r="76" spans="2:16" x14ac:dyDescent="0.35">
      <c r="B76" s="179"/>
      <c r="C76" s="181"/>
      <c r="D76" s="183"/>
      <c r="E76" s="185"/>
      <c r="F76" s="187"/>
      <c r="G76" s="189"/>
      <c r="H76" s="4">
        <v>5</v>
      </c>
      <c r="I76" s="1"/>
      <c r="J76" s="57"/>
      <c r="K76" s="111"/>
      <c r="L76" s="97"/>
      <c r="M76" s="105"/>
      <c r="N76" s="85"/>
    </row>
    <row r="77" spans="2:16" x14ac:dyDescent="0.35">
      <c r="B77" s="179"/>
      <c r="C77" s="181"/>
      <c r="D77" s="183"/>
      <c r="E77" s="185"/>
      <c r="F77" s="187"/>
      <c r="G77" s="189"/>
      <c r="H77" s="4">
        <v>6</v>
      </c>
      <c r="I77" s="1"/>
      <c r="J77" s="57"/>
      <c r="K77" s="111"/>
      <c r="L77" s="97"/>
      <c r="M77" s="105"/>
      <c r="N77" s="85"/>
    </row>
    <row r="78" spans="2:16" x14ac:dyDescent="0.35">
      <c r="B78" s="179"/>
      <c r="C78" s="181"/>
      <c r="D78" s="183"/>
      <c r="E78" s="185"/>
      <c r="F78" s="187"/>
      <c r="G78" s="189"/>
      <c r="H78" s="4"/>
      <c r="I78" s="1"/>
      <c r="J78" s="57"/>
      <c r="K78" s="111"/>
      <c r="L78" s="97"/>
      <c r="M78" s="105"/>
      <c r="N78" s="85"/>
    </row>
    <row r="79" spans="2:16" x14ac:dyDescent="0.35">
      <c r="B79" s="179"/>
      <c r="C79" s="181"/>
      <c r="D79" s="183"/>
      <c r="E79" s="185"/>
      <c r="F79" s="187"/>
      <c r="G79" s="189"/>
      <c r="H79" s="4"/>
      <c r="I79" s="1"/>
      <c r="J79" s="57"/>
      <c r="K79" s="111"/>
      <c r="L79" s="97"/>
      <c r="M79" s="105"/>
      <c r="N79" s="85"/>
    </row>
    <row r="80" spans="2:16" x14ac:dyDescent="0.35">
      <c r="B80" s="179"/>
      <c r="C80" s="181"/>
      <c r="D80" s="183"/>
      <c r="E80" s="185"/>
      <c r="F80" s="187"/>
      <c r="G80" s="189"/>
      <c r="H80" s="4"/>
      <c r="I80" s="1"/>
      <c r="J80" s="57"/>
      <c r="K80" s="111"/>
      <c r="L80" s="97"/>
      <c r="M80" s="105"/>
      <c r="N80" s="85"/>
    </row>
    <row r="81" spans="2:17" x14ac:dyDescent="0.35">
      <c r="B81" s="179"/>
      <c r="C81" s="181"/>
      <c r="D81" s="183"/>
      <c r="E81" s="185"/>
      <c r="F81" s="187"/>
      <c r="G81" s="189"/>
      <c r="H81" s="4"/>
      <c r="I81" s="1"/>
      <c r="J81" s="57"/>
      <c r="K81" s="111"/>
      <c r="L81" s="97"/>
      <c r="M81" s="105"/>
      <c r="N81" s="85"/>
    </row>
    <row r="82" spans="2:17" x14ac:dyDescent="0.35">
      <c r="B82" s="179"/>
      <c r="C82" s="181"/>
      <c r="D82" s="183"/>
      <c r="E82" s="185"/>
      <c r="F82" s="187"/>
      <c r="G82" s="189"/>
      <c r="H82" s="4"/>
      <c r="I82" s="1"/>
      <c r="J82" s="1"/>
      <c r="K82" s="1"/>
      <c r="L82" s="1"/>
      <c r="M82" s="1"/>
      <c r="N82" s="85"/>
    </row>
    <row r="83" spans="2:17" x14ac:dyDescent="0.35">
      <c r="B83" s="179"/>
      <c r="C83" s="181"/>
      <c r="D83" s="183"/>
      <c r="E83" s="185"/>
      <c r="F83" s="187"/>
      <c r="G83" s="189"/>
      <c r="H83" s="4"/>
      <c r="I83" s="1"/>
      <c r="J83" s="1"/>
      <c r="K83" s="1"/>
      <c r="L83" s="1"/>
      <c r="M83" s="1"/>
      <c r="N83" s="85"/>
    </row>
    <row r="84" spans="2:17" x14ac:dyDescent="0.35">
      <c r="B84" s="169"/>
      <c r="C84" s="192"/>
      <c r="D84" s="193"/>
      <c r="E84" s="194"/>
      <c r="F84" s="195"/>
      <c r="G84" s="196"/>
      <c r="H84" s="7" t="s">
        <v>26</v>
      </c>
      <c r="I84" s="119">
        <f>SUM(G72-K84)</f>
        <v>5757.6499999999942</v>
      </c>
      <c r="J84" s="120" t="s">
        <v>10</v>
      </c>
      <c r="K84" s="117">
        <f>SUM(K72:K83)</f>
        <v>84242.35</v>
      </c>
      <c r="L84" s="121">
        <f>SUM(L72:L83)</f>
        <v>84242.35</v>
      </c>
      <c r="M84" s="121">
        <f>SUM(M72:M83)</f>
        <v>6215.75</v>
      </c>
      <c r="N84" s="34"/>
      <c r="O84" s="162">
        <f>SUM(K84,M84)</f>
        <v>90458.1</v>
      </c>
      <c r="P84" s="157">
        <f>I84-M84</f>
        <v>-458.10000000000582</v>
      </c>
      <c r="Q84" s="149"/>
    </row>
    <row r="85" spans="2:17" x14ac:dyDescent="0.35">
      <c r="B85" s="168" t="s">
        <v>2</v>
      </c>
      <c r="C85" s="170" t="s">
        <v>3</v>
      </c>
      <c r="D85" s="172" t="s">
        <v>4</v>
      </c>
      <c r="E85" s="173"/>
      <c r="F85" s="173"/>
      <c r="G85" s="174"/>
      <c r="H85" s="175" t="s">
        <v>5</v>
      </c>
      <c r="I85" s="176"/>
      <c r="J85" s="176"/>
      <c r="K85" s="177"/>
      <c r="L85" s="25" t="s">
        <v>6</v>
      </c>
      <c r="M85" s="31"/>
      <c r="N85" s="34"/>
    </row>
    <row r="86" spans="2:17" ht="15" thickBot="1" x14ac:dyDescent="0.4">
      <c r="B86" s="169"/>
      <c r="C86" s="171"/>
      <c r="D86" s="16" t="s">
        <v>7</v>
      </c>
      <c r="E86" s="12" t="s">
        <v>8</v>
      </c>
      <c r="F86" s="14" t="s">
        <v>9</v>
      </c>
      <c r="G86" s="17" t="s">
        <v>10</v>
      </c>
      <c r="H86" s="88" t="s">
        <v>11</v>
      </c>
      <c r="I86" s="89" t="s">
        <v>12</v>
      </c>
      <c r="J86" s="90" t="s">
        <v>13</v>
      </c>
      <c r="K86" s="91" t="s">
        <v>14</v>
      </c>
      <c r="L86" s="26" t="s">
        <v>79</v>
      </c>
      <c r="M86" s="32" t="s">
        <v>16</v>
      </c>
      <c r="N86" s="34"/>
    </row>
    <row r="87" spans="2:17" x14ac:dyDescent="0.35">
      <c r="B87" s="178" t="s">
        <v>80</v>
      </c>
      <c r="C87" s="180" t="s">
        <v>81</v>
      </c>
      <c r="D87" s="183">
        <v>75643</v>
      </c>
      <c r="E87" s="185"/>
      <c r="F87" s="187"/>
      <c r="G87" s="189">
        <f>SUM(D87:F87)</f>
        <v>75643</v>
      </c>
      <c r="H87" s="4">
        <v>1</v>
      </c>
      <c r="I87" s="1" t="s">
        <v>82</v>
      </c>
      <c r="J87" s="1" t="s">
        <v>83</v>
      </c>
      <c r="K87" s="97">
        <v>7800</v>
      </c>
      <c r="L87" s="29">
        <v>0</v>
      </c>
      <c r="M87" s="27">
        <v>12200</v>
      </c>
      <c r="N87" s="34"/>
    </row>
    <row r="88" spans="2:17" x14ac:dyDescent="0.35">
      <c r="B88" s="179"/>
      <c r="C88" s="181"/>
      <c r="D88" s="183"/>
      <c r="E88" s="185"/>
      <c r="F88" s="187"/>
      <c r="G88" s="189"/>
      <c r="H88" s="4">
        <v>2</v>
      </c>
      <c r="I88" s="1" t="s">
        <v>84</v>
      </c>
      <c r="J88" s="62">
        <v>45077</v>
      </c>
      <c r="K88" s="97">
        <v>540</v>
      </c>
      <c r="L88" s="29">
        <v>0</v>
      </c>
      <c r="M88" s="27">
        <v>0</v>
      </c>
      <c r="N88" s="34"/>
    </row>
    <row r="89" spans="2:17" x14ac:dyDescent="0.35">
      <c r="B89" s="179"/>
      <c r="C89" s="181"/>
      <c r="D89" s="183"/>
      <c r="E89" s="185"/>
      <c r="F89" s="187"/>
      <c r="G89" s="189"/>
      <c r="H89" s="4">
        <v>3</v>
      </c>
      <c r="I89" s="1" t="s">
        <v>85</v>
      </c>
      <c r="J89" s="57" t="s">
        <v>86</v>
      </c>
      <c r="K89" s="97">
        <v>1200</v>
      </c>
      <c r="L89" s="29">
        <v>0</v>
      </c>
      <c r="M89" s="27">
        <v>0</v>
      </c>
      <c r="N89" s="34"/>
    </row>
    <row r="90" spans="2:17" x14ac:dyDescent="0.35">
      <c r="B90" s="179"/>
      <c r="C90" s="181"/>
      <c r="D90" s="183"/>
      <c r="E90" s="185"/>
      <c r="F90" s="187"/>
      <c r="G90" s="189"/>
      <c r="H90" s="4">
        <v>4</v>
      </c>
      <c r="I90" s="1" t="s">
        <v>87</v>
      </c>
      <c r="J90" s="57">
        <v>45105</v>
      </c>
      <c r="K90" s="97">
        <v>540</v>
      </c>
      <c r="L90" s="29">
        <v>0</v>
      </c>
      <c r="M90" s="27">
        <v>0</v>
      </c>
      <c r="N90" s="34"/>
    </row>
    <row r="91" spans="2:17" x14ac:dyDescent="0.35">
      <c r="B91" s="179"/>
      <c r="C91" s="181"/>
      <c r="D91" s="183"/>
      <c r="E91" s="185"/>
      <c r="F91" s="187"/>
      <c r="G91" s="189"/>
      <c r="H91" s="4">
        <v>5</v>
      </c>
      <c r="I91" s="1" t="s">
        <v>88</v>
      </c>
      <c r="J91" s="57">
        <v>45266</v>
      </c>
      <c r="K91" s="97">
        <v>5560</v>
      </c>
      <c r="L91" s="29">
        <v>0</v>
      </c>
      <c r="M91" s="27">
        <v>0</v>
      </c>
      <c r="N91" s="34"/>
    </row>
    <row r="92" spans="2:17" x14ac:dyDescent="0.35">
      <c r="B92" s="179"/>
      <c r="C92" s="181"/>
      <c r="D92" s="183"/>
      <c r="E92" s="185"/>
      <c r="F92" s="187"/>
      <c r="G92" s="189"/>
      <c r="H92" s="4">
        <v>6</v>
      </c>
      <c r="I92" s="1" t="s">
        <v>89</v>
      </c>
      <c r="J92" s="57" t="s">
        <v>90</v>
      </c>
      <c r="K92" s="97">
        <v>4855</v>
      </c>
      <c r="L92" s="29">
        <v>0</v>
      </c>
      <c r="M92" s="27">
        <v>0</v>
      </c>
      <c r="N92" s="34"/>
    </row>
    <row r="93" spans="2:17" x14ac:dyDescent="0.35">
      <c r="B93" s="179"/>
      <c r="C93" s="181"/>
      <c r="D93" s="183"/>
      <c r="E93" s="185"/>
      <c r="F93" s="187"/>
      <c r="G93" s="189"/>
      <c r="H93" s="4">
        <v>7</v>
      </c>
      <c r="I93" s="1" t="s">
        <v>91</v>
      </c>
      <c r="J93" s="57" t="s">
        <v>92</v>
      </c>
      <c r="K93" s="97">
        <v>8200</v>
      </c>
      <c r="L93" s="29">
        <v>0</v>
      </c>
      <c r="M93" s="27">
        <v>0</v>
      </c>
      <c r="N93" s="34"/>
    </row>
    <row r="94" spans="2:17" x14ac:dyDescent="0.35">
      <c r="B94" s="179"/>
      <c r="C94" s="181"/>
      <c r="D94" s="183"/>
      <c r="E94" s="185"/>
      <c r="F94" s="187"/>
      <c r="G94" s="189"/>
      <c r="H94" s="4">
        <v>8</v>
      </c>
      <c r="I94" s="1" t="s">
        <v>93</v>
      </c>
      <c r="J94" s="57">
        <v>45352</v>
      </c>
      <c r="K94" s="97">
        <v>1935</v>
      </c>
      <c r="L94" s="29">
        <v>0</v>
      </c>
      <c r="M94" s="27">
        <v>0</v>
      </c>
      <c r="N94" s="34"/>
    </row>
    <row r="95" spans="2:17" x14ac:dyDescent="0.35">
      <c r="B95" s="179"/>
      <c r="C95" s="181"/>
      <c r="D95" s="183"/>
      <c r="E95" s="185"/>
      <c r="F95" s="187"/>
      <c r="G95" s="189"/>
      <c r="H95" s="4"/>
      <c r="I95" s="1"/>
      <c r="J95" s="1"/>
      <c r="K95" s="97">
        <v>0</v>
      </c>
      <c r="L95" s="29">
        <v>0</v>
      </c>
      <c r="M95" s="27">
        <v>0</v>
      </c>
      <c r="N95" s="34"/>
    </row>
    <row r="96" spans="2:17" x14ac:dyDescent="0.35">
      <c r="B96" s="179"/>
      <c r="C96" s="181"/>
      <c r="D96" s="183"/>
      <c r="E96" s="185"/>
      <c r="F96" s="187"/>
      <c r="G96" s="189"/>
      <c r="H96" s="4"/>
      <c r="I96" s="1"/>
      <c r="J96" s="1"/>
      <c r="K96" s="97">
        <v>0</v>
      </c>
      <c r="L96" s="29">
        <v>0</v>
      </c>
      <c r="M96" s="27">
        <v>0</v>
      </c>
      <c r="N96" s="34"/>
    </row>
    <row r="97" spans="2:16" x14ac:dyDescent="0.35">
      <c r="B97" s="179"/>
      <c r="C97" s="181"/>
      <c r="D97" s="183"/>
      <c r="E97" s="185"/>
      <c r="F97" s="187"/>
      <c r="G97" s="189"/>
      <c r="H97" s="4"/>
      <c r="I97" s="1"/>
      <c r="J97" s="1"/>
      <c r="K97" s="97">
        <v>0</v>
      </c>
      <c r="L97" s="29">
        <v>0</v>
      </c>
      <c r="M97" s="27">
        <v>0</v>
      </c>
      <c r="N97" s="34"/>
    </row>
    <row r="98" spans="2:16" x14ac:dyDescent="0.35">
      <c r="B98" s="179"/>
      <c r="C98" s="181"/>
      <c r="D98" s="183"/>
      <c r="E98" s="185"/>
      <c r="F98" s="187"/>
      <c r="G98" s="189"/>
      <c r="H98" s="4"/>
      <c r="I98" s="1"/>
      <c r="J98" s="1"/>
      <c r="K98" s="97">
        <v>0</v>
      </c>
      <c r="L98" s="29">
        <v>0</v>
      </c>
      <c r="M98" s="27">
        <v>0</v>
      </c>
      <c r="N98" s="34"/>
    </row>
    <row r="99" spans="2:16" x14ac:dyDescent="0.35">
      <c r="B99" s="179"/>
      <c r="C99" s="181"/>
      <c r="D99" s="183"/>
      <c r="E99" s="185"/>
      <c r="F99" s="187"/>
      <c r="G99" s="189"/>
      <c r="H99" s="4"/>
      <c r="I99" s="1"/>
      <c r="J99" s="1"/>
      <c r="K99" s="9">
        <v>0</v>
      </c>
      <c r="L99" s="27">
        <v>0</v>
      </c>
      <c r="M99" s="27">
        <v>0</v>
      </c>
      <c r="N99" s="34"/>
    </row>
    <row r="100" spans="2:16" ht="15" thickBot="1" x14ac:dyDescent="0.4">
      <c r="B100" s="169"/>
      <c r="C100" s="192"/>
      <c r="D100" s="193"/>
      <c r="E100" s="194"/>
      <c r="F100" s="195"/>
      <c r="G100" s="196"/>
      <c r="H100" s="7" t="s">
        <v>26</v>
      </c>
      <c r="I100" s="115">
        <f>SUM(G87-K100)</f>
        <v>45013</v>
      </c>
      <c r="J100" s="116" t="s">
        <v>10</v>
      </c>
      <c r="K100" s="117">
        <f>SUM(K87:K99)</f>
        <v>30630</v>
      </c>
      <c r="L100" s="64">
        <f>SUM(L87:L99)</f>
        <v>0</v>
      </c>
      <c r="M100" s="64">
        <f>SUM(M87:M99)</f>
        <v>12200</v>
      </c>
      <c r="N100" s="34"/>
      <c r="O100" s="162">
        <f>SUM(K100,M100)</f>
        <v>42830</v>
      </c>
      <c r="P100" s="157">
        <f>I100-M100</f>
        <v>32813</v>
      </c>
    </row>
    <row r="101" spans="2:16" x14ac:dyDescent="0.35">
      <c r="B101" s="168" t="s">
        <v>2</v>
      </c>
      <c r="C101" s="170" t="s">
        <v>3</v>
      </c>
      <c r="D101" s="172" t="s">
        <v>4</v>
      </c>
      <c r="E101" s="173"/>
      <c r="F101" s="173"/>
      <c r="G101" s="174"/>
      <c r="H101" s="175" t="s">
        <v>5</v>
      </c>
      <c r="I101" s="176"/>
      <c r="J101" s="176"/>
      <c r="K101" s="177"/>
      <c r="L101" s="25" t="s">
        <v>6</v>
      </c>
      <c r="M101" s="31"/>
      <c r="N101" s="34"/>
    </row>
    <row r="102" spans="2:16" ht="15" thickBot="1" x14ac:dyDescent="0.4">
      <c r="B102" s="169"/>
      <c r="C102" s="171"/>
      <c r="D102" s="16" t="s">
        <v>7</v>
      </c>
      <c r="E102" s="12" t="s">
        <v>8</v>
      </c>
      <c r="F102" s="14" t="s">
        <v>9</v>
      </c>
      <c r="G102" s="17" t="s">
        <v>10</v>
      </c>
      <c r="H102" s="8" t="s">
        <v>11</v>
      </c>
      <c r="I102" s="7" t="s">
        <v>12</v>
      </c>
      <c r="J102" s="2" t="s">
        <v>13</v>
      </c>
      <c r="K102" s="3" t="s">
        <v>14</v>
      </c>
      <c r="L102" s="26" t="s">
        <v>27</v>
      </c>
      <c r="M102" s="32" t="s">
        <v>16</v>
      </c>
      <c r="N102" s="34"/>
    </row>
    <row r="103" spans="2:16" x14ac:dyDescent="0.35">
      <c r="B103" s="178" t="s">
        <v>94</v>
      </c>
      <c r="C103" s="180" t="s">
        <v>95</v>
      </c>
      <c r="D103" s="183"/>
      <c r="E103" s="185">
        <v>87000</v>
      </c>
      <c r="F103" s="187"/>
      <c r="G103" s="189">
        <f>SUM(D103:F103)</f>
        <v>87000</v>
      </c>
      <c r="H103" s="5">
        <v>1</v>
      </c>
      <c r="I103" s="6" t="s">
        <v>96</v>
      </c>
      <c r="J103" s="6"/>
      <c r="K103" s="9">
        <v>87000</v>
      </c>
      <c r="L103" s="27">
        <v>0</v>
      </c>
      <c r="M103" s="27">
        <v>0</v>
      </c>
      <c r="N103" s="34"/>
    </row>
    <row r="104" spans="2:16" x14ac:dyDescent="0.35">
      <c r="B104" s="179"/>
      <c r="C104" s="181"/>
      <c r="D104" s="183"/>
      <c r="E104" s="185"/>
      <c r="F104" s="187"/>
      <c r="G104" s="189"/>
      <c r="H104" s="4"/>
      <c r="I104" s="1"/>
      <c r="J104" s="1"/>
      <c r="K104" s="9">
        <v>0</v>
      </c>
      <c r="L104" s="27">
        <v>0</v>
      </c>
      <c r="M104" s="27">
        <v>0</v>
      </c>
      <c r="N104" s="34"/>
    </row>
    <row r="105" spans="2:16" x14ac:dyDescent="0.35">
      <c r="B105" s="179"/>
      <c r="C105" s="181"/>
      <c r="D105" s="183"/>
      <c r="E105" s="185"/>
      <c r="F105" s="187"/>
      <c r="G105" s="189"/>
      <c r="H105" s="4"/>
      <c r="I105" s="1"/>
      <c r="J105" s="1"/>
      <c r="K105" s="9">
        <v>0</v>
      </c>
      <c r="L105" s="27">
        <v>0</v>
      </c>
      <c r="M105" s="27">
        <v>0</v>
      </c>
      <c r="N105" s="34"/>
    </row>
    <row r="106" spans="2:16" x14ac:dyDescent="0.35">
      <c r="B106" s="179"/>
      <c r="C106" s="181"/>
      <c r="D106" s="183"/>
      <c r="E106" s="185"/>
      <c r="F106" s="187"/>
      <c r="G106" s="189"/>
      <c r="H106" s="4"/>
      <c r="I106" s="1"/>
      <c r="J106" s="1"/>
      <c r="K106" s="9">
        <v>0</v>
      </c>
      <c r="L106" s="27">
        <v>0</v>
      </c>
      <c r="M106" s="27">
        <v>0</v>
      </c>
      <c r="N106" s="34"/>
    </row>
    <row r="107" spans="2:16" x14ac:dyDescent="0.35">
      <c r="B107" s="179"/>
      <c r="C107" s="181"/>
      <c r="D107" s="183"/>
      <c r="E107" s="185"/>
      <c r="F107" s="187"/>
      <c r="G107" s="189"/>
      <c r="H107" s="4"/>
      <c r="I107" s="1"/>
      <c r="J107" s="1"/>
      <c r="K107" s="9">
        <v>0</v>
      </c>
      <c r="L107" s="27">
        <v>0</v>
      </c>
      <c r="M107" s="27">
        <v>0</v>
      </c>
      <c r="N107" s="34"/>
    </row>
    <row r="108" spans="2:16" x14ac:dyDescent="0.35">
      <c r="B108" s="179"/>
      <c r="C108" s="181"/>
      <c r="D108" s="183"/>
      <c r="E108" s="185"/>
      <c r="F108" s="187"/>
      <c r="G108" s="189"/>
      <c r="H108" s="4"/>
      <c r="I108" s="1"/>
      <c r="J108" s="1"/>
      <c r="K108" s="9">
        <v>0</v>
      </c>
      <c r="L108" s="27">
        <v>0</v>
      </c>
      <c r="M108" s="27">
        <v>0</v>
      </c>
      <c r="N108" s="34"/>
    </row>
    <row r="109" spans="2:16" x14ac:dyDescent="0.35">
      <c r="B109" s="179"/>
      <c r="C109" s="181"/>
      <c r="D109" s="183"/>
      <c r="E109" s="185"/>
      <c r="F109" s="187"/>
      <c r="G109" s="189"/>
      <c r="H109" s="4"/>
      <c r="I109" s="1"/>
      <c r="J109" s="1"/>
      <c r="K109" s="9">
        <v>0</v>
      </c>
      <c r="L109" s="27">
        <v>0</v>
      </c>
      <c r="M109" s="27">
        <v>0</v>
      </c>
      <c r="N109" s="34"/>
    </row>
    <row r="110" spans="2:16" x14ac:dyDescent="0.35">
      <c r="B110" s="179"/>
      <c r="C110" s="181"/>
      <c r="D110" s="183"/>
      <c r="E110" s="185"/>
      <c r="F110" s="187"/>
      <c r="G110" s="189"/>
      <c r="H110" s="4"/>
      <c r="I110" s="1"/>
      <c r="J110" s="1"/>
      <c r="K110" s="9">
        <v>0</v>
      </c>
      <c r="L110" s="27">
        <v>0</v>
      </c>
      <c r="M110" s="27">
        <v>0</v>
      </c>
      <c r="N110" s="34"/>
    </row>
    <row r="111" spans="2:16" x14ac:dyDescent="0.35">
      <c r="B111" s="179"/>
      <c r="C111" s="181"/>
      <c r="D111" s="183"/>
      <c r="E111" s="185"/>
      <c r="F111" s="187"/>
      <c r="G111" s="189"/>
      <c r="H111" s="4"/>
      <c r="I111" s="1"/>
      <c r="J111" s="1"/>
      <c r="K111" s="9">
        <v>0</v>
      </c>
      <c r="L111" s="27">
        <v>0</v>
      </c>
      <c r="M111" s="27">
        <v>0</v>
      </c>
      <c r="N111" s="34"/>
    </row>
    <row r="112" spans="2:16" x14ac:dyDescent="0.35">
      <c r="B112" s="169"/>
      <c r="C112" s="192"/>
      <c r="D112" s="193"/>
      <c r="E112" s="194"/>
      <c r="F112" s="195"/>
      <c r="G112" s="196"/>
      <c r="H112" s="7" t="s">
        <v>26</v>
      </c>
      <c r="I112" s="115">
        <f>SUM(G103-K112)</f>
        <v>0</v>
      </c>
      <c r="J112" s="116" t="s">
        <v>10</v>
      </c>
      <c r="K112" s="117">
        <f>SUM(K103:K111)</f>
        <v>87000</v>
      </c>
      <c r="L112" s="64">
        <f t="shared" ref="L112:M170" si="6">SUM(L103:L111)</f>
        <v>0</v>
      </c>
      <c r="M112" s="64">
        <f t="shared" si="6"/>
        <v>0</v>
      </c>
      <c r="N112" s="34"/>
      <c r="O112" s="162">
        <f>SUM(K112,M112)</f>
        <v>87000</v>
      </c>
      <c r="P112" s="157">
        <f>I112-M112</f>
        <v>0</v>
      </c>
    </row>
    <row r="113" spans="2:16" x14ac:dyDescent="0.35">
      <c r="B113" s="197" t="s">
        <v>2</v>
      </c>
      <c r="C113" s="199" t="s">
        <v>3</v>
      </c>
      <c r="D113" s="172" t="s">
        <v>4</v>
      </c>
      <c r="E113" s="173"/>
      <c r="F113" s="173"/>
      <c r="G113" s="174"/>
      <c r="H113" s="175" t="s">
        <v>5</v>
      </c>
      <c r="I113" s="176"/>
      <c r="J113" s="176"/>
      <c r="K113" s="177"/>
      <c r="L113" s="25" t="s">
        <v>6</v>
      </c>
      <c r="M113" s="31"/>
      <c r="N113" s="34"/>
    </row>
    <row r="114" spans="2:16" ht="15" thickBot="1" x14ac:dyDescent="0.4">
      <c r="B114" s="198"/>
      <c r="C114" s="200"/>
      <c r="D114" s="16" t="s">
        <v>7</v>
      </c>
      <c r="E114" s="12" t="s">
        <v>8</v>
      </c>
      <c r="F114" s="14" t="s">
        <v>9</v>
      </c>
      <c r="G114" s="17" t="s">
        <v>10</v>
      </c>
      <c r="H114" s="8" t="s">
        <v>11</v>
      </c>
      <c r="I114" s="89" t="s">
        <v>12</v>
      </c>
      <c r="J114" s="90" t="s">
        <v>13</v>
      </c>
      <c r="K114" s="91" t="s">
        <v>14</v>
      </c>
      <c r="L114" s="122" t="s">
        <v>70</v>
      </c>
      <c r="M114" s="32" t="s">
        <v>16</v>
      </c>
      <c r="N114" s="34"/>
    </row>
    <row r="115" spans="2:16" ht="29.5" x14ac:dyDescent="0.4">
      <c r="B115" s="211" t="s">
        <v>97</v>
      </c>
      <c r="C115" s="213" t="s">
        <v>98</v>
      </c>
      <c r="D115" s="201">
        <v>32720</v>
      </c>
      <c r="E115" s="204">
        <v>60000</v>
      </c>
      <c r="F115" s="188"/>
      <c r="G115" s="190">
        <f>SUM(D115:F134)</f>
        <v>92720</v>
      </c>
      <c r="H115" s="4">
        <v>1</v>
      </c>
      <c r="I115" s="1" t="s">
        <v>99</v>
      </c>
      <c r="J115" s="30" t="s">
        <v>100</v>
      </c>
      <c r="K115" s="97">
        <v>7719.11</v>
      </c>
      <c r="L115" s="97">
        <f t="shared" ref="L115:L133" si="7">SUM(K115*1)</f>
        <v>7719.11</v>
      </c>
      <c r="M115" s="97">
        <v>0</v>
      </c>
      <c r="N115" s="85"/>
      <c r="P115" s="159"/>
    </row>
    <row r="116" spans="2:16" ht="40.5" customHeight="1" x14ac:dyDescent="0.35">
      <c r="B116" s="211"/>
      <c r="C116" s="213"/>
      <c r="D116" s="202"/>
      <c r="E116" s="205"/>
      <c r="F116" s="207"/>
      <c r="G116" s="209"/>
      <c r="H116" s="4">
        <v>2</v>
      </c>
      <c r="I116" s="1" t="s">
        <v>101</v>
      </c>
      <c r="J116" s="30" t="s">
        <v>102</v>
      </c>
      <c r="K116" s="97">
        <v>11339.8</v>
      </c>
      <c r="L116" s="97">
        <f t="shared" si="7"/>
        <v>11339.8</v>
      </c>
      <c r="M116" s="97">
        <v>0</v>
      </c>
      <c r="N116" s="85"/>
    </row>
    <row r="117" spans="2:16" ht="29" x14ac:dyDescent="0.35">
      <c r="B117" s="211"/>
      <c r="C117" s="213"/>
      <c r="D117" s="202"/>
      <c r="E117" s="205"/>
      <c r="F117" s="207"/>
      <c r="G117" s="209"/>
      <c r="H117" s="4">
        <v>3</v>
      </c>
      <c r="I117" s="1" t="s">
        <v>103</v>
      </c>
      <c r="J117" s="28" t="s">
        <v>102</v>
      </c>
      <c r="K117" s="111">
        <v>996.17</v>
      </c>
      <c r="L117" s="97">
        <f t="shared" si="7"/>
        <v>996.17</v>
      </c>
      <c r="M117" s="97">
        <v>0</v>
      </c>
      <c r="N117" s="85"/>
    </row>
    <row r="118" spans="2:16" x14ac:dyDescent="0.35">
      <c r="B118" s="211"/>
      <c r="C118" s="213"/>
      <c r="D118" s="202"/>
      <c r="E118" s="205"/>
      <c r="F118" s="207"/>
      <c r="G118" s="209"/>
      <c r="H118" s="4">
        <v>4</v>
      </c>
      <c r="I118" s="1" t="s">
        <v>104</v>
      </c>
      <c r="J118" s="28" t="s">
        <v>105</v>
      </c>
      <c r="K118" s="97">
        <v>0</v>
      </c>
      <c r="L118" s="97">
        <f t="shared" si="7"/>
        <v>0</v>
      </c>
      <c r="M118" s="97">
        <v>36600</v>
      </c>
      <c r="N118" s="85"/>
    </row>
    <row r="119" spans="2:16" x14ac:dyDescent="0.35">
      <c r="B119" s="211"/>
      <c r="C119" s="213"/>
      <c r="D119" s="202"/>
      <c r="E119" s="205"/>
      <c r="F119" s="207"/>
      <c r="G119" s="209"/>
      <c r="H119" s="4">
        <v>5</v>
      </c>
      <c r="I119" s="1"/>
      <c r="J119" s="28"/>
      <c r="K119" s="97">
        <v>0</v>
      </c>
      <c r="L119" s="97">
        <f t="shared" si="7"/>
        <v>0</v>
      </c>
      <c r="M119" s="97">
        <v>0</v>
      </c>
      <c r="N119" s="85"/>
    </row>
    <row r="120" spans="2:16" x14ac:dyDescent="0.35">
      <c r="B120" s="211"/>
      <c r="C120" s="213"/>
      <c r="D120" s="202"/>
      <c r="E120" s="205"/>
      <c r="F120" s="207"/>
      <c r="G120" s="209"/>
      <c r="H120" s="4">
        <v>6</v>
      </c>
      <c r="I120" s="1" t="s">
        <v>106</v>
      </c>
      <c r="J120" s="99">
        <v>45200</v>
      </c>
      <c r="K120" s="97">
        <v>6700</v>
      </c>
      <c r="L120" s="97">
        <f t="shared" si="7"/>
        <v>6700</v>
      </c>
      <c r="M120" s="97">
        <v>0</v>
      </c>
      <c r="N120" s="85"/>
    </row>
    <row r="121" spans="2:16" x14ac:dyDescent="0.35">
      <c r="B121" s="211"/>
      <c r="C121" s="213"/>
      <c r="D121" s="202"/>
      <c r="E121" s="205"/>
      <c r="F121" s="207"/>
      <c r="G121" s="209"/>
      <c r="H121" s="4">
        <v>7</v>
      </c>
      <c r="I121" s="1" t="s">
        <v>107</v>
      </c>
      <c r="J121" s="28" t="s">
        <v>59</v>
      </c>
      <c r="K121" s="97">
        <v>0</v>
      </c>
      <c r="L121" s="97">
        <f t="shared" si="7"/>
        <v>0</v>
      </c>
      <c r="M121" s="97">
        <v>10500</v>
      </c>
      <c r="N121" s="85"/>
    </row>
    <row r="122" spans="2:16" x14ac:dyDescent="0.35">
      <c r="B122" s="211"/>
      <c r="C122" s="213"/>
      <c r="D122" s="202"/>
      <c r="E122" s="205"/>
      <c r="F122" s="207"/>
      <c r="G122" s="209"/>
      <c r="H122" s="4">
        <v>8</v>
      </c>
      <c r="I122" s="1" t="s">
        <v>108</v>
      </c>
      <c r="J122" s="28" t="s">
        <v>109</v>
      </c>
      <c r="K122" s="97">
        <v>2030</v>
      </c>
      <c r="L122" s="97">
        <f t="shared" si="7"/>
        <v>2030</v>
      </c>
      <c r="M122" s="97">
        <v>0</v>
      </c>
      <c r="N122" s="85"/>
    </row>
    <row r="123" spans="2:16" x14ac:dyDescent="0.35">
      <c r="B123" s="211"/>
      <c r="C123" s="213"/>
      <c r="D123" s="202"/>
      <c r="E123" s="205"/>
      <c r="F123" s="207"/>
      <c r="G123" s="209"/>
      <c r="H123" s="4">
        <v>9</v>
      </c>
      <c r="I123" s="1" t="s">
        <v>110</v>
      </c>
      <c r="J123" s="57"/>
      <c r="K123" s="111">
        <f>418.79+513</f>
        <v>931.79</v>
      </c>
      <c r="L123" s="97">
        <f t="shared" ref="L123" si="8">SUM(K123*1)</f>
        <v>931.79</v>
      </c>
      <c r="M123" s="97">
        <v>600</v>
      </c>
      <c r="N123" s="85"/>
    </row>
    <row r="124" spans="2:16" x14ac:dyDescent="0.35">
      <c r="B124" s="211"/>
      <c r="C124" s="213"/>
      <c r="D124" s="202"/>
      <c r="E124" s="205"/>
      <c r="F124" s="207"/>
      <c r="G124" s="209"/>
      <c r="H124" s="4">
        <v>10</v>
      </c>
      <c r="N124" s="85"/>
    </row>
    <row r="125" spans="2:16" x14ac:dyDescent="0.35">
      <c r="B125" s="211"/>
      <c r="C125" s="213"/>
      <c r="D125" s="202"/>
      <c r="E125" s="205"/>
      <c r="F125" s="207"/>
      <c r="G125" s="209"/>
      <c r="H125" s="4">
        <v>11</v>
      </c>
      <c r="I125" s="1" t="s">
        <v>111</v>
      </c>
      <c r="J125" s="109">
        <v>45261</v>
      </c>
      <c r="K125" s="97">
        <v>1685</v>
      </c>
      <c r="L125" s="97">
        <f t="shared" si="7"/>
        <v>1685</v>
      </c>
      <c r="M125" s="97">
        <v>0</v>
      </c>
      <c r="N125" s="85"/>
    </row>
    <row r="126" spans="2:16" x14ac:dyDescent="0.35">
      <c r="B126" s="211"/>
      <c r="C126" s="213"/>
      <c r="D126" s="202"/>
      <c r="E126" s="205"/>
      <c r="F126" s="207"/>
      <c r="G126" s="209"/>
      <c r="H126" s="4">
        <v>12</v>
      </c>
      <c r="I126" s="1" t="s">
        <v>112</v>
      </c>
      <c r="J126" s="109">
        <v>45383</v>
      </c>
      <c r="K126" s="97">
        <v>4500</v>
      </c>
      <c r="L126" s="97">
        <f t="shared" si="7"/>
        <v>4500</v>
      </c>
      <c r="M126" s="97">
        <v>0</v>
      </c>
      <c r="N126" s="85"/>
    </row>
    <row r="127" spans="2:16" x14ac:dyDescent="0.35">
      <c r="B127" s="211"/>
      <c r="C127" s="213"/>
      <c r="D127" s="202"/>
      <c r="E127" s="205"/>
      <c r="F127" s="207"/>
      <c r="G127" s="209"/>
      <c r="H127" s="4">
        <v>13</v>
      </c>
      <c r="I127" s="1" t="s">
        <v>113</v>
      </c>
      <c r="J127" s="109"/>
      <c r="K127" s="97">
        <v>0</v>
      </c>
      <c r="L127" s="97">
        <f t="shared" si="7"/>
        <v>0</v>
      </c>
      <c r="M127" s="97">
        <v>3000</v>
      </c>
      <c r="N127" s="85"/>
    </row>
    <row r="128" spans="2:16" x14ac:dyDescent="0.35">
      <c r="B128" s="211"/>
      <c r="C128" s="213"/>
      <c r="D128" s="202"/>
      <c r="E128" s="205"/>
      <c r="F128" s="207"/>
      <c r="G128" s="209"/>
      <c r="H128" s="4"/>
      <c r="I128" s="1"/>
      <c r="J128" s="109"/>
      <c r="K128" s="97"/>
      <c r="L128" s="97">
        <f t="shared" si="7"/>
        <v>0</v>
      </c>
      <c r="M128" s="97"/>
      <c r="N128" s="85"/>
    </row>
    <row r="129" spans="2:17" x14ac:dyDescent="0.35">
      <c r="B129" s="211"/>
      <c r="C129" s="213"/>
      <c r="D129" s="202"/>
      <c r="E129" s="205"/>
      <c r="F129" s="207"/>
      <c r="G129" s="209"/>
      <c r="H129" s="4"/>
      <c r="I129" s="1"/>
      <c r="J129" s="109"/>
      <c r="K129" s="97"/>
      <c r="L129" s="97">
        <f t="shared" si="7"/>
        <v>0</v>
      </c>
      <c r="M129" s="97"/>
      <c r="N129" s="85"/>
    </row>
    <row r="130" spans="2:17" x14ac:dyDescent="0.35">
      <c r="B130" s="211"/>
      <c r="C130" s="213"/>
      <c r="D130" s="202"/>
      <c r="E130" s="205"/>
      <c r="F130" s="207"/>
      <c r="G130" s="209"/>
      <c r="H130" s="4"/>
      <c r="I130" s="1"/>
      <c r="J130" s="109"/>
      <c r="K130" s="97"/>
      <c r="L130" s="97"/>
      <c r="M130" s="97"/>
      <c r="N130" s="85"/>
    </row>
    <row r="131" spans="2:17" x14ac:dyDescent="0.35">
      <c r="B131" s="211"/>
      <c r="C131" s="213"/>
      <c r="D131" s="202"/>
      <c r="E131" s="205"/>
      <c r="F131" s="207"/>
      <c r="G131" s="209"/>
      <c r="H131" s="4"/>
      <c r="I131" s="1"/>
      <c r="J131" s="109"/>
      <c r="K131" s="97"/>
      <c r="L131" s="97"/>
      <c r="M131" s="97"/>
      <c r="N131" s="85"/>
    </row>
    <row r="132" spans="2:17" x14ac:dyDescent="0.35">
      <c r="B132" s="211"/>
      <c r="C132" s="213"/>
      <c r="D132" s="202"/>
      <c r="E132" s="205"/>
      <c r="F132" s="207"/>
      <c r="G132" s="209"/>
      <c r="H132" s="4"/>
      <c r="I132" s="1"/>
      <c r="J132" s="109"/>
      <c r="K132" s="97"/>
      <c r="L132" s="97"/>
      <c r="M132" s="97"/>
      <c r="N132" s="85"/>
    </row>
    <row r="133" spans="2:17" x14ac:dyDescent="0.35">
      <c r="B133" s="211"/>
      <c r="C133" s="213"/>
      <c r="D133" s="202"/>
      <c r="E133" s="205"/>
      <c r="F133" s="207"/>
      <c r="G133" s="209"/>
      <c r="H133" s="4"/>
      <c r="I133" s="1"/>
      <c r="J133" s="1"/>
      <c r="K133" s="97">
        <v>0</v>
      </c>
      <c r="L133" s="97">
        <f t="shared" si="7"/>
        <v>0</v>
      </c>
      <c r="M133" s="97">
        <v>0</v>
      </c>
      <c r="N133" s="85"/>
    </row>
    <row r="134" spans="2:17" ht="15" thickBot="1" x14ac:dyDescent="0.4">
      <c r="B134" s="211"/>
      <c r="C134" s="213"/>
      <c r="D134" s="203"/>
      <c r="E134" s="206"/>
      <c r="F134" s="208"/>
      <c r="G134" s="210"/>
      <c r="H134" s="7" t="s">
        <v>26</v>
      </c>
      <c r="I134" s="119">
        <f>G115-K134</f>
        <v>56818.130000000005</v>
      </c>
      <c r="J134" s="120" t="s">
        <v>10</v>
      </c>
      <c r="K134" s="117">
        <f>SUM(K115:K133)</f>
        <v>35901.869999999995</v>
      </c>
      <c r="L134" s="121">
        <f>SUM(L115:L133)</f>
        <v>35901.869999999995</v>
      </c>
      <c r="M134" s="121">
        <f>SUM(M115:M133)</f>
        <v>50700</v>
      </c>
      <c r="N134" s="34"/>
      <c r="O134" s="162">
        <f>SUM(K134,M134)</f>
        <v>86601.87</v>
      </c>
      <c r="P134" s="157">
        <f>I134-M134</f>
        <v>6118.1300000000047</v>
      </c>
      <c r="Q134" s="150"/>
    </row>
    <row r="135" spans="2:17" x14ac:dyDescent="0.35">
      <c r="B135" s="212"/>
      <c r="C135" s="214"/>
      <c r="D135" s="174" t="s">
        <v>4</v>
      </c>
      <c r="E135" s="215"/>
      <c r="F135" s="215"/>
      <c r="G135" s="216"/>
      <c r="H135" s="175" t="s">
        <v>5</v>
      </c>
      <c r="I135" s="176"/>
      <c r="J135" s="176"/>
      <c r="K135" s="177"/>
      <c r="L135" s="25" t="s">
        <v>6</v>
      </c>
      <c r="M135" s="31"/>
      <c r="N135" s="34"/>
    </row>
    <row r="136" spans="2:17" x14ac:dyDescent="0.35">
      <c r="B136" s="73"/>
      <c r="C136" s="72"/>
      <c r="D136" s="16" t="s">
        <v>7</v>
      </c>
      <c r="E136" s="12" t="s">
        <v>8</v>
      </c>
      <c r="F136" s="14" t="s">
        <v>9</v>
      </c>
      <c r="G136" s="17" t="s">
        <v>10</v>
      </c>
      <c r="H136" s="8" t="s">
        <v>11</v>
      </c>
      <c r="I136" s="7" t="s">
        <v>12</v>
      </c>
      <c r="J136" s="2" t="s">
        <v>13</v>
      </c>
      <c r="K136" s="3" t="s">
        <v>14</v>
      </c>
      <c r="L136" s="26" t="s">
        <v>27</v>
      </c>
      <c r="M136" s="32" t="s">
        <v>16</v>
      </c>
      <c r="N136" s="34"/>
    </row>
    <row r="137" spans="2:17" x14ac:dyDescent="0.35">
      <c r="B137" s="178" t="s">
        <v>114</v>
      </c>
      <c r="C137" s="180" t="s">
        <v>115</v>
      </c>
      <c r="D137" s="183"/>
      <c r="E137" s="185">
        <v>70000</v>
      </c>
      <c r="F137" s="187"/>
      <c r="G137" s="189">
        <f>SUM(D137:F137)</f>
        <v>70000</v>
      </c>
      <c r="H137" s="5">
        <v>1</v>
      </c>
      <c r="I137" s="6" t="s">
        <v>116</v>
      </c>
      <c r="J137" s="10" t="s">
        <v>105</v>
      </c>
      <c r="K137" s="92">
        <v>70000</v>
      </c>
      <c r="L137" s="27">
        <f>K137</f>
        <v>70000</v>
      </c>
      <c r="M137" s="27"/>
      <c r="N137" s="34"/>
    </row>
    <row r="138" spans="2:17" x14ac:dyDescent="0.35">
      <c r="B138" s="179"/>
      <c r="C138" s="181"/>
      <c r="D138" s="183"/>
      <c r="E138" s="185"/>
      <c r="F138" s="187"/>
      <c r="G138" s="189"/>
      <c r="H138" s="4"/>
      <c r="I138" s="1"/>
      <c r="J138" s="1"/>
      <c r="K138" s="9">
        <v>0</v>
      </c>
      <c r="L138" s="27">
        <f t="shared" ref="L138:L145" si="9">K138</f>
        <v>0</v>
      </c>
      <c r="M138" s="27">
        <v>0</v>
      </c>
      <c r="N138" s="34"/>
    </row>
    <row r="139" spans="2:17" x14ac:dyDescent="0.35">
      <c r="B139" s="179"/>
      <c r="C139" s="181"/>
      <c r="D139" s="183"/>
      <c r="E139" s="185"/>
      <c r="F139" s="187"/>
      <c r="G139" s="189"/>
      <c r="H139" s="4"/>
      <c r="I139" s="1"/>
      <c r="J139" s="1"/>
      <c r="K139" s="9">
        <v>0</v>
      </c>
      <c r="L139" s="27">
        <f t="shared" si="9"/>
        <v>0</v>
      </c>
      <c r="M139" s="27">
        <v>0</v>
      </c>
      <c r="N139" s="34"/>
    </row>
    <row r="140" spans="2:17" x14ac:dyDescent="0.35">
      <c r="B140" s="179"/>
      <c r="C140" s="181"/>
      <c r="D140" s="183"/>
      <c r="E140" s="185"/>
      <c r="F140" s="187"/>
      <c r="G140" s="189"/>
      <c r="H140" s="4"/>
      <c r="I140" s="1"/>
      <c r="J140" s="1"/>
      <c r="K140" s="9">
        <v>0</v>
      </c>
      <c r="L140" s="27">
        <f t="shared" si="9"/>
        <v>0</v>
      </c>
      <c r="M140" s="27">
        <v>0</v>
      </c>
      <c r="N140" s="34"/>
    </row>
    <row r="141" spans="2:17" x14ac:dyDescent="0.35">
      <c r="B141" s="179"/>
      <c r="C141" s="181"/>
      <c r="D141" s="183"/>
      <c r="E141" s="185"/>
      <c r="F141" s="187"/>
      <c r="G141" s="189"/>
      <c r="H141" s="4"/>
      <c r="I141" s="1"/>
      <c r="J141" s="1"/>
      <c r="K141" s="9">
        <v>0</v>
      </c>
      <c r="L141" s="27">
        <f t="shared" si="9"/>
        <v>0</v>
      </c>
      <c r="M141" s="27">
        <v>0</v>
      </c>
      <c r="N141" s="34"/>
    </row>
    <row r="142" spans="2:17" x14ac:dyDescent="0.35">
      <c r="B142" s="179"/>
      <c r="C142" s="181"/>
      <c r="D142" s="183"/>
      <c r="E142" s="185"/>
      <c r="F142" s="187"/>
      <c r="G142" s="189"/>
      <c r="H142" s="4"/>
      <c r="I142" s="1"/>
      <c r="J142" s="1"/>
      <c r="K142" s="9">
        <v>0</v>
      </c>
      <c r="L142" s="27">
        <f t="shared" si="9"/>
        <v>0</v>
      </c>
      <c r="M142" s="27">
        <v>0</v>
      </c>
      <c r="N142" s="34"/>
    </row>
    <row r="143" spans="2:17" x14ac:dyDescent="0.35">
      <c r="B143" s="179"/>
      <c r="C143" s="181"/>
      <c r="D143" s="183"/>
      <c r="E143" s="185"/>
      <c r="F143" s="187"/>
      <c r="G143" s="189"/>
      <c r="H143" s="4"/>
      <c r="I143" s="1"/>
      <c r="J143" s="1"/>
      <c r="K143" s="9">
        <v>0</v>
      </c>
      <c r="L143" s="27">
        <f t="shared" si="9"/>
        <v>0</v>
      </c>
      <c r="M143" s="27">
        <v>0</v>
      </c>
      <c r="N143" s="34"/>
    </row>
    <row r="144" spans="2:17" x14ac:dyDescent="0.35">
      <c r="B144" s="179"/>
      <c r="C144" s="181"/>
      <c r="D144" s="183"/>
      <c r="E144" s="185"/>
      <c r="F144" s="187"/>
      <c r="G144" s="189"/>
      <c r="H144" s="4"/>
      <c r="I144" s="1"/>
      <c r="J144" s="1"/>
      <c r="K144" s="9">
        <v>0</v>
      </c>
      <c r="L144" s="27">
        <f t="shared" si="9"/>
        <v>0</v>
      </c>
      <c r="M144" s="27">
        <v>0</v>
      </c>
      <c r="N144" s="34"/>
    </row>
    <row r="145" spans="2:16" x14ac:dyDescent="0.35">
      <c r="B145" s="179"/>
      <c r="C145" s="181"/>
      <c r="D145" s="183"/>
      <c r="E145" s="185"/>
      <c r="F145" s="187"/>
      <c r="G145" s="189"/>
      <c r="H145" s="4"/>
      <c r="I145" s="1"/>
      <c r="J145" s="1"/>
      <c r="K145" s="9">
        <v>0</v>
      </c>
      <c r="L145" s="27">
        <f t="shared" si="9"/>
        <v>0</v>
      </c>
      <c r="M145" s="27">
        <v>0</v>
      </c>
      <c r="N145" s="34"/>
    </row>
    <row r="146" spans="2:16" ht="15" thickBot="1" x14ac:dyDescent="0.4">
      <c r="B146" s="169"/>
      <c r="C146" s="192"/>
      <c r="D146" s="193"/>
      <c r="E146" s="194"/>
      <c r="F146" s="195"/>
      <c r="G146" s="196"/>
      <c r="H146" s="7" t="s">
        <v>26</v>
      </c>
      <c r="I146" s="115">
        <f>SUM(G137-K146)</f>
        <v>0</v>
      </c>
      <c r="J146" s="116" t="s">
        <v>10</v>
      </c>
      <c r="K146" s="117">
        <f>SUM(K137:K145)</f>
        <v>70000</v>
      </c>
      <c r="L146" s="64">
        <f t="shared" si="6"/>
        <v>70000</v>
      </c>
      <c r="M146" s="64">
        <f t="shared" si="6"/>
        <v>0</v>
      </c>
      <c r="N146" s="34"/>
      <c r="O146" s="162">
        <f>SUM(K146,M146)</f>
        <v>70000</v>
      </c>
      <c r="P146" s="157">
        <f>I146-M146</f>
        <v>0</v>
      </c>
    </row>
    <row r="147" spans="2:16" x14ac:dyDescent="0.35">
      <c r="B147" s="168" t="s">
        <v>2</v>
      </c>
      <c r="C147" s="170" t="s">
        <v>3</v>
      </c>
      <c r="D147" s="172" t="s">
        <v>4</v>
      </c>
      <c r="E147" s="173"/>
      <c r="F147" s="173"/>
      <c r="G147" s="174"/>
      <c r="H147" s="175" t="s">
        <v>5</v>
      </c>
      <c r="I147" s="176"/>
      <c r="J147" s="176"/>
      <c r="K147" s="177"/>
      <c r="L147" s="25" t="s">
        <v>6</v>
      </c>
      <c r="M147" s="31"/>
      <c r="N147" s="34"/>
    </row>
    <row r="148" spans="2:16" ht="15" thickBot="1" x14ac:dyDescent="0.4">
      <c r="B148" s="169"/>
      <c r="C148" s="171"/>
      <c r="D148" s="16" t="s">
        <v>7</v>
      </c>
      <c r="E148" s="12" t="s">
        <v>8</v>
      </c>
      <c r="F148" s="14" t="s">
        <v>9</v>
      </c>
      <c r="G148" s="17" t="s">
        <v>10</v>
      </c>
      <c r="H148" s="8" t="s">
        <v>11</v>
      </c>
      <c r="I148" s="7" t="s">
        <v>12</v>
      </c>
      <c r="J148" s="2" t="s">
        <v>13</v>
      </c>
      <c r="K148" s="3" t="s">
        <v>14</v>
      </c>
      <c r="L148" s="26" t="s">
        <v>117</v>
      </c>
      <c r="M148" s="32" t="s">
        <v>16</v>
      </c>
      <c r="N148" s="34"/>
    </row>
    <row r="149" spans="2:16" x14ac:dyDescent="0.35">
      <c r="B149" s="178" t="s">
        <v>118</v>
      </c>
      <c r="C149" s="180" t="s">
        <v>119</v>
      </c>
      <c r="D149" s="183"/>
      <c r="E149" s="185">
        <v>60000</v>
      </c>
      <c r="F149" s="187"/>
      <c r="G149" s="189">
        <f>SUM(D149:F149)</f>
        <v>60000</v>
      </c>
      <c r="H149" s="5">
        <v>1</v>
      </c>
      <c r="I149" s="6" t="s">
        <v>116</v>
      </c>
      <c r="J149" s="6" t="s">
        <v>105</v>
      </c>
      <c r="K149" s="9">
        <v>302</v>
      </c>
      <c r="L149" s="27">
        <v>0</v>
      </c>
      <c r="M149" s="27">
        <v>59697.22</v>
      </c>
      <c r="N149" s="34"/>
    </row>
    <row r="150" spans="2:16" x14ac:dyDescent="0.35">
      <c r="B150" s="179"/>
      <c r="C150" s="181"/>
      <c r="D150" s="183"/>
      <c r="E150" s="185"/>
      <c r="F150" s="187"/>
      <c r="G150" s="189"/>
      <c r="H150" s="4"/>
      <c r="I150" s="1"/>
      <c r="J150" s="1"/>
      <c r="K150" s="9">
        <v>0</v>
      </c>
      <c r="L150" s="27">
        <v>0</v>
      </c>
      <c r="M150" s="27">
        <v>0</v>
      </c>
      <c r="N150" s="34"/>
    </row>
    <row r="151" spans="2:16" x14ac:dyDescent="0.35">
      <c r="B151" s="179"/>
      <c r="C151" s="181"/>
      <c r="D151" s="183"/>
      <c r="E151" s="185"/>
      <c r="F151" s="187"/>
      <c r="G151" s="189"/>
      <c r="H151" s="4"/>
      <c r="I151" s="1"/>
      <c r="J151" s="1"/>
      <c r="K151" s="9">
        <v>0</v>
      </c>
      <c r="L151" s="27">
        <v>0</v>
      </c>
      <c r="M151" s="27">
        <v>0</v>
      </c>
      <c r="N151" s="34"/>
    </row>
    <row r="152" spans="2:16" x14ac:dyDescent="0.35">
      <c r="B152" s="179"/>
      <c r="C152" s="181"/>
      <c r="D152" s="183"/>
      <c r="E152" s="185"/>
      <c r="F152" s="187"/>
      <c r="G152" s="189"/>
      <c r="H152" s="4"/>
      <c r="I152" s="1"/>
      <c r="J152" s="1"/>
      <c r="K152" s="9">
        <v>0</v>
      </c>
      <c r="L152" s="27">
        <v>0</v>
      </c>
      <c r="M152" s="27">
        <v>0</v>
      </c>
      <c r="N152" s="34"/>
    </row>
    <row r="153" spans="2:16" x14ac:dyDescent="0.35">
      <c r="B153" s="179"/>
      <c r="C153" s="181"/>
      <c r="D153" s="183"/>
      <c r="E153" s="185"/>
      <c r="F153" s="187"/>
      <c r="G153" s="189"/>
      <c r="H153" s="4"/>
      <c r="I153" s="1"/>
      <c r="J153" s="1"/>
      <c r="K153" s="9">
        <v>0</v>
      </c>
      <c r="L153" s="27">
        <v>0</v>
      </c>
      <c r="M153" s="27">
        <v>0</v>
      </c>
      <c r="N153" s="34"/>
    </row>
    <row r="154" spans="2:16" x14ac:dyDescent="0.35">
      <c r="B154" s="179"/>
      <c r="C154" s="181"/>
      <c r="D154" s="183"/>
      <c r="E154" s="185"/>
      <c r="F154" s="187"/>
      <c r="G154" s="189"/>
      <c r="H154" s="4"/>
      <c r="I154" s="1"/>
      <c r="J154" s="1"/>
      <c r="K154" s="9">
        <v>0</v>
      </c>
      <c r="L154" s="27">
        <v>0</v>
      </c>
      <c r="M154" s="27">
        <v>0</v>
      </c>
      <c r="N154" s="34"/>
    </row>
    <row r="155" spans="2:16" x14ac:dyDescent="0.35">
      <c r="B155" s="179"/>
      <c r="C155" s="181"/>
      <c r="D155" s="183"/>
      <c r="E155" s="185"/>
      <c r="F155" s="187"/>
      <c r="G155" s="189"/>
      <c r="H155" s="4"/>
      <c r="I155" s="1"/>
      <c r="J155" s="1"/>
      <c r="K155" s="9">
        <v>0</v>
      </c>
      <c r="L155" s="27">
        <v>0</v>
      </c>
      <c r="M155" s="27">
        <v>0</v>
      </c>
      <c r="N155" s="34"/>
    </row>
    <row r="156" spans="2:16" x14ac:dyDescent="0.35">
      <c r="B156" s="179"/>
      <c r="C156" s="181"/>
      <c r="D156" s="183"/>
      <c r="E156" s="185"/>
      <c r="F156" s="187"/>
      <c r="G156" s="189"/>
      <c r="H156" s="4"/>
      <c r="I156" s="1"/>
      <c r="J156" s="1"/>
      <c r="K156" s="9">
        <v>0</v>
      </c>
      <c r="L156" s="27">
        <v>0</v>
      </c>
      <c r="M156" s="27">
        <v>0</v>
      </c>
      <c r="N156" s="34"/>
    </row>
    <row r="157" spans="2:16" x14ac:dyDescent="0.35">
      <c r="B157" s="179"/>
      <c r="C157" s="181"/>
      <c r="D157" s="183"/>
      <c r="E157" s="185"/>
      <c r="F157" s="187"/>
      <c r="G157" s="189"/>
      <c r="H157" s="4"/>
      <c r="I157" s="1"/>
      <c r="J157" s="1"/>
      <c r="K157" s="9">
        <v>0</v>
      </c>
      <c r="L157" s="27">
        <v>0</v>
      </c>
      <c r="M157" s="27">
        <v>0</v>
      </c>
      <c r="N157" s="34"/>
    </row>
    <row r="158" spans="2:16" ht="48" customHeight="1" thickBot="1" x14ac:dyDescent="0.4">
      <c r="B158" s="169"/>
      <c r="C158" s="192"/>
      <c r="D158" s="193"/>
      <c r="E158" s="194"/>
      <c r="F158" s="195"/>
      <c r="G158" s="196"/>
      <c r="H158" s="7" t="s">
        <v>26</v>
      </c>
      <c r="I158" s="115">
        <f>SUM(G149-K158)</f>
        <v>59698</v>
      </c>
      <c r="J158" s="116" t="s">
        <v>10</v>
      </c>
      <c r="K158" s="117">
        <f>SUM(K149:K157)</f>
        <v>302</v>
      </c>
      <c r="L158" s="64">
        <f t="shared" si="6"/>
        <v>0</v>
      </c>
      <c r="M158" s="64">
        <f t="shared" si="6"/>
        <v>59697.22</v>
      </c>
      <c r="N158" s="34"/>
      <c r="O158" s="162">
        <f>SUM(K158,M158)</f>
        <v>59999.22</v>
      </c>
      <c r="P158" s="157">
        <f>I158-M158</f>
        <v>0.77999999999883585</v>
      </c>
    </row>
    <row r="159" spans="2:16" x14ac:dyDescent="0.35">
      <c r="B159" s="168" t="s">
        <v>2</v>
      </c>
      <c r="C159" s="170" t="s">
        <v>3</v>
      </c>
      <c r="D159" s="172" t="s">
        <v>4</v>
      </c>
      <c r="E159" s="173"/>
      <c r="F159" s="173"/>
      <c r="G159" s="174"/>
      <c r="H159" s="175" t="s">
        <v>5</v>
      </c>
      <c r="I159" s="176"/>
      <c r="J159" s="176"/>
      <c r="K159" s="177"/>
      <c r="L159" s="25" t="s">
        <v>6</v>
      </c>
      <c r="M159" s="31"/>
      <c r="N159" s="34"/>
    </row>
    <row r="160" spans="2:16" ht="15" thickBot="1" x14ac:dyDescent="0.4">
      <c r="B160" s="169"/>
      <c r="C160" s="171"/>
      <c r="D160" s="16" t="s">
        <v>7</v>
      </c>
      <c r="E160" s="12" t="s">
        <v>8</v>
      </c>
      <c r="F160" s="14" t="s">
        <v>9</v>
      </c>
      <c r="G160" s="17" t="s">
        <v>10</v>
      </c>
      <c r="H160" s="8" t="s">
        <v>11</v>
      </c>
      <c r="I160" s="7" t="s">
        <v>12</v>
      </c>
      <c r="J160" s="2" t="s">
        <v>13</v>
      </c>
      <c r="K160" s="3" t="s">
        <v>14</v>
      </c>
      <c r="L160" s="26" t="s">
        <v>120</v>
      </c>
      <c r="M160" s="32" t="s">
        <v>16</v>
      </c>
      <c r="N160" s="34"/>
    </row>
    <row r="161" spans="2:16" ht="58" x14ac:dyDescent="0.35">
      <c r="B161" s="178" t="s">
        <v>121</v>
      </c>
      <c r="C161" s="180" t="s">
        <v>122</v>
      </c>
      <c r="D161" s="183"/>
      <c r="E161" s="185"/>
      <c r="F161" s="187">
        <v>80000</v>
      </c>
      <c r="G161" s="189">
        <v>65000</v>
      </c>
      <c r="H161" s="5">
        <v>1</v>
      </c>
      <c r="I161" s="24" t="s">
        <v>123</v>
      </c>
      <c r="J161" s="166" t="s">
        <v>124</v>
      </c>
      <c r="K161" s="9">
        <v>38565.22</v>
      </c>
      <c r="L161" s="27">
        <f>K161*0.1</f>
        <v>3856.5220000000004</v>
      </c>
      <c r="M161" s="27">
        <v>6076.64</v>
      </c>
      <c r="N161" s="34"/>
    </row>
    <row r="162" spans="2:16" x14ac:dyDescent="0.35">
      <c r="B162" s="179"/>
      <c r="C162" s="181"/>
      <c r="D162" s="183"/>
      <c r="E162" s="185"/>
      <c r="F162" s="187"/>
      <c r="G162" s="189"/>
      <c r="H162" s="4"/>
      <c r="I162" s="1"/>
      <c r="J162" s="28"/>
      <c r="K162" s="9">
        <v>0</v>
      </c>
      <c r="L162" s="27">
        <v>0</v>
      </c>
      <c r="M162" s="27">
        <v>0</v>
      </c>
      <c r="N162" s="34"/>
    </row>
    <row r="163" spans="2:16" x14ac:dyDescent="0.35">
      <c r="B163" s="179"/>
      <c r="C163" s="181"/>
      <c r="D163" s="183"/>
      <c r="E163" s="185"/>
      <c r="F163" s="187"/>
      <c r="G163" s="189"/>
      <c r="H163" s="4"/>
      <c r="I163" s="1"/>
      <c r="J163" s="1"/>
      <c r="K163" s="9">
        <v>0</v>
      </c>
      <c r="L163" s="27">
        <v>0</v>
      </c>
      <c r="M163" s="27">
        <v>0</v>
      </c>
      <c r="N163" s="34"/>
    </row>
    <row r="164" spans="2:16" x14ac:dyDescent="0.35">
      <c r="B164" s="179"/>
      <c r="C164" s="181"/>
      <c r="D164" s="183"/>
      <c r="E164" s="185"/>
      <c r="F164" s="187"/>
      <c r="G164" s="189"/>
      <c r="H164" s="4"/>
      <c r="I164" s="1"/>
      <c r="J164" s="1"/>
      <c r="K164" s="9">
        <v>0</v>
      </c>
      <c r="L164" s="27">
        <v>0</v>
      </c>
      <c r="M164" s="27">
        <v>0</v>
      </c>
      <c r="N164" s="34"/>
    </row>
    <row r="165" spans="2:16" x14ac:dyDescent="0.35">
      <c r="B165" s="179"/>
      <c r="C165" s="181"/>
      <c r="D165" s="183"/>
      <c r="E165" s="185"/>
      <c r="F165" s="187"/>
      <c r="G165" s="189"/>
      <c r="H165" s="4"/>
      <c r="I165" s="1"/>
      <c r="J165" s="1"/>
      <c r="K165" s="9">
        <v>0</v>
      </c>
      <c r="L165" s="27">
        <v>0</v>
      </c>
      <c r="M165" s="27">
        <v>0</v>
      </c>
      <c r="N165" s="34"/>
    </row>
    <row r="166" spans="2:16" x14ac:dyDescent="0.35">
      <c r="B166" s="179"/>
      <c r="C166" s="181"/>
      <c r="D166" s="183"/>
      <c r="E166" s="185"/>
      <c r="F166" s="187"/>
      <c r="G166" s="189"/>
      <c r="H166" s="4"/>
      <c r="I166" s="1"/>
      <c r="J166" s="1"/>
      <c r="K166" s="9">
        <v>0</v>
      </c>
      <c r="L166" s="27">
        <v>0</v>
      </c>
      <c r="M166" s="27">
        <v>0</v>
      </c>
      <c r="N166" s="34"/>
    </row>
    <row r="167" spans="2:16" x14ac:dyDescent="0.35">
      <c r="B167" s="179"/>
      <c r="C167" s="181"/>
      <c r="D167" s="183"/>
      <c r="E167" s="185"/>
      <c r="F167" s="187"/>
      <c r="G167" s="189"/>
      <c r="H167" s="4"/>
      <c r="I167" s="1"/>
      <c r="J167" s="1"/>
      <c r="K167" s="9">
        <v>0</v>
      </c>
      <c r="L167" s="27">
        <v>0</v>
      </c>
      <c r="M167" s="27">
        <v>0</v>
      </c>
      <c r="N167" s="34"/>
    </row>
    <row r="168" spans="2:16" x14ac:dyDescent="0.35">
      <c r="B168" s="179"/>
      <c r="C168" s="181"/>
      <c r="D168" s="183"/>
      <c r="E168" s="185"/>
      <c r="F168" s="187"/>
      <c r="G168" s="189"/>
      <c r="H168" s="4"/>
      <c r="I168" s="1"/>
      <c r="J168" s="1"/>
      <c r="K168" s="9">
        <v>0</v>
      </c>
      <c r="L168" s="27">
        <v>0</v>
      </c>
      <c r="M168" s="27">
        <v>0</v>
      </c>
      <c r="N168" s="34"/>
    </row>
    <row r="169" spans="2:16" x14ac:dyDescent="0.35">
      <c r="B169" s="179"/>
      <c r="C169" s="181"/>
      <c r="D169" s="183"/>
      <c r="E169" s="185"/>
      <c r="F169" s="187"/>
      <c r="G169" s="189"/>
      <c r="H169" s="4"/>
      <c r="I169" s="1"/>
      <c r="J169" s="1"/>
      <c r="K169" s="9">
        <v>0</v>
      </c>
      <c r="L169" s="27">
        <v>0</v>
      </c>
      <c r="M169" s="27">
        <v>0</v>
      </c>
      <c r="N169" s="34"/>
    </row>
    <row r="170" spans="2:16" ht="15" thickBot="1" x14ac:dyDescent="0.4">
      <c r="B170" s="169"/>
      <c r="C170" s="192"/>
      <c r="D170" s="193"/>
      <c r="E170" s="194"/>
      <c r="F170" s="195"/>
      <c r="G170" s="196"/>
      <c r="H170" s="7" t="s">
        <v>26</v>
      </c>
      <c r="I170" s="115">
        <f>SUM(G161-K170)</f>
        <v>26434.78</v>
      </c>
      <c r="J170" s="116" t="s">
        <v>10</v>
      </c>
      <c r="K170" s="117">
        <f>SUM(K161:K169)</f>
        <v>38565.22</v>
      </c>
      <c r="L170" s="64">
        <f t="shared" si="6"/>
        <v>3856.5220000000004</v>
      </c>
      <c r="M170" s="64">
        <f>SUM(M161:M169)</f>
        <v>6076.64</v>
      </c>
      <c r="N170" s="34"/>
      <c r="O170" s="162">
        <f>SUM(K170,M170)</f>
        <v>44641.86</v>
      </c>
      <c r="P170" s="157">
        <f>I170-M170</f>
        <v>20358.14</v>
      </c>
    </row>
    <row r="171" spans="2:16" x14ac:dyDescent="0.35">
      <c r="B171" s="168" t="s">
        <v>2</v>
      </c>
      <c r="C171" s="170" t="s">
        <v>3</v>
      </c>
      <c r="D171" s="172" t="s">
        <v>4</v>
      </c>
      <c r="E171" s="173"/>
      <c r="F171" s="173"/>
      <c r="G171" s="174"/>
      <c r="H171" s="175" t="s">
        <v>5</v>
      </c>
      <c r="I171" s="176"/>
      <c r="J171" s="176"/>
      <c r="K171" s="177"/>
      <c r="L171" s="25" t="s">
        <v>6</v>
      </c>
      <c r="M171" s="31"/>
      <c r="N171" s="34"/>
    </row>
    <row r="172" spans="2:16" ht="15" thickBot="1" x14ac:dyDescent="0.4">
      <c r="B172" s="169"/>
      <c r="C172" s="171"/>
      <c r="D172" s="16" t="s">
        <v>7</v>
      </c>
      <c r="E172" s="12" t="s">
        <v>8</v>
      </c>
      <c r="F172" s="14" t="s">
        <v>9</v>
      </c>
      <c r="G172" s="17" t="s">
        <v>10</v>
      </c>
      <c r="H172" s="8" t="s">
        <v>11</v>
      </c>
      <c r="I172" s="7" t="s">
        <v>12</v>
      </c>
      <c r="J172" s="2" t="s">
        <v>13</v>
      </c>
      <c r="K172" s="3" t="s">
        <v>14</v>
      </c>
      <c r="L172" s="26" t="s">
        <v>43</v>
      </c>
      <c r="M172" s="32" t="s">
        <v>16</v>
      </c>
      <c r="N172" s="34"/>
    </row>
    <row r="173" spans="2:16" ht="43.5" x14ac:dyDescent="0.35">
      <c r="B173" s="178" t="s">
        <v>125</v>
      </c>
      <c r="C173" s="180" t="s">
        <v>126</v>
      </c>
      <c r="D173" s="183"/>
      <c r="E173" s="185"/>
      <c r="F173" s="187">
        <v>55000</v>
      </c>
      <c r="G173" s="189">
        <f>SUM(D173:F173)</f>
        <v>55000</v>
      </c>
      <c r="H173" s="5">
        <v>1</v>
      </c>
      <c r="I173" s="80" t="s">
        <v>127</v>
      </c>
      <c r="J173" s="24" t="s">
        <v>128</v>
      </c>
      <c r="K173" s="9">
        <v>31553.360000000001</v>
      </c>
      <c r="L173" s="27">
        <f>K173*0.4</f>
        <v>12621.344000000001</v>
      </c>
      <c r="M173" s="27">
        <v>3584.78</v>
      </c>
      <c r="N173" s="34"/>
    </row>
    <row r="174" spans="2:16" x14ac:dyDescent="0.35">
      <c r="B174" s="179"/>
      <c r="C174" s="181"/>
      <c r="D174" s="183"/>
      <c r="E174" s="185"/>
      <c r="F174" s="187"/>
      <c r="G174" s="189"/>
      <c r="H174" s="4"/>
      <c r="I174" s="1"/>
      <c r="J174" s="28"/>
      <c r="K174" s="9">
        <v>0</v>
      </c>
      <c r="L174" s="27">
        <v>0</v>
      </c>
      <c r="M174" s="27">
        <v>0</v>
      </c>
      <c r="N174" s="34"/>
    </row>
    <row r="175" spans="2:16" x14ac:dyDescent="0.35">
      <c r="B175" s="179"/>
      <c r="C175" s="181"/>
      <c r="D175" s="183"/>
      <c r="E175" s="185"/>
      <c r="F175" s="187"/>
      <c r="G175" s="189"/>
      <c r="H175" s="4"/>
      <c r="I175" s="1"/>
      <c r="J175" s="1"/>
      <c r="K175" s="9">
        <v>0</v>
      </c>
      <c r="L175" s="27">
        <v>0</v>
      </c>
      <c r="M175" s="27">
        <v>0</v>
      </c>
      <c r="N175" s="34"/>
    </row>
    <row r="176" spans="2:16" x14ac:dyDescent="0.35">
      <c r="B176" s="179"/>
      <c r="C176" s="181"/>
      <c r="D176" s="183"/>
      <c r="E176" s="185"/>
      <c r="F176" s="187"/>
      <c r="G176" s="189"/>
      <c r="H176" s="4"/>
      <c r="I176" s="1"/>
      <c r="J176" s="1"/>
      <c r="K176" s="9">
        <v>0</v>
      </c>
      <c r="L176" s="27">
        <v>0</v>
      </c>
      <c r="M176" s="27">
        <v>0</v>
      </c>
      <c r="N176" s="34"/>
    </row>
    <row r="177" spans="2:16" x14ac:dyDescent="0.35">
      <c r="B177" s="179"/>
      <c r="C177" s="181"/>
      <c r="D177" s="183"/>
      <c r="E177" s="185"/>
      <c r="F177" s="187"/>
      <c r="G177" s="189"/>
      <c r="H177" s="4"/>
      <c r="I177" s="1"/>
      <c r="J177" s="1"/>
      <c r="K177" s="9">
        <v>0</v>
      </c>
      <c r="L177" s="27">
        <v>0</v>
      </c>
      <c r="M177" s="27">
        <v>0</v>
      </c>
      <c r="N177" s="34"/>
    </row>
    <row r="178" spans="2:16" x14ac:dyDescent="0.35">
      <c r="B178" s="179"/>
      <c r="C178" s="181"/>
      <c r="D178" s="183"/>
      <c r="E178" s="185"/>
      <c r="F178" s="187"/>
      <c r="G178" s="189"/>
      <c r="H178" s="4"/>
      <c r="I178" s="1"/>
      <c r="J178" s="1"/>
      <c r="K178" s="9">
        <v>0</v>
      </c>
      <c r="L178" s="27">
        <v>0</v>
      </c>
      <c r="M178" s="27">
        <v>0</v>
      </c>
      <c r="N178" s="34"/>
    </row>
    <row r="179" spans="2:16" x14ac:dyDescent="0.35">
      <c r="B179" s="179"/>
      <c r="C179" s="181"/>
      <c r="D179" s="183"/>
      <c r="E179" s="185"/>
      <c r="F179" s="187"/>
      <c r="G179" s="189"/>
      <c r="H179" s="4"/>
      <c r="I179" s="1"/>
      <c r="J179" s="1"/>
      <c r="K179" s="9">
        <v>0</v>
      </c>
      <c r="L179" s="27">
        <v>0</v>
      </c>
      <c r="M179" s="27">
        <v>0</v>
      </c>
      <c r="N179" s="34"/>
    </row>
    <row r="180" spans="2:16" x14ac:dyDescent="0.35">
      <c r="B180" s="179"/>
      <c r="C180" s="181"/>
      <c r="D180" s="183"/>
      <c r="E180" s="185"/>
      <c r="F180" s="187"/>
      <c r="G180" s="189"/>
      <c r="H180" s="4"/>
      <c r="I180" s="1"/>
      <c r="J180" s="1"/>
      <c r="K180" s="9">
        <v>0</v>
      </c>
      <c r="L180" s="27">
        <v>0</v>
      </c>
      <c r="M180" s="27">
        <v>0</v>
      </c>
      <c r="N180" s="34"/>
    </row>
    <row r="181" spans="2:16" x14ac:dyDescent="0.35">
      <c r="B181" s="179"/>
      <c r="C181" s="181"/>
      <c r="D181" s="183"/>
      <c r="E181" s="185"/>
      <c r="F181" s="187"/>
      <c r="G181" s="189"/>
      <c r="H181" s="4"/>
      <c r="I181" s="1"/>
      <c r="J181" s="1"/>
      <c r="K181" s="9">
        <v>0</v>
      </c>
      <c r="L181" s="27">
        <v>0</v>
      </c>
      <c r="M181" s="27">
        <v>0</v>
      </c>
      <c r="N181" s="34"/>
    </row>
    <row r="182" spans="2:16" ht="15" thickBot="1" x14ac:dyDescent="0.4">
      <c r="B182" s="169"/>
      <c r="C182" s="192"/>
      <c r="D182" s="193"/>
      <c r="E182" s="194"/>
      <c r="F182" s="195"/>
      <c r="G182" s="196"/>
      <c r="H182" s="7" t="s">
        <v>26</v>
      </c>
      <c r="I182" s="115">
        <f>SUM(G173-K182)</f>
        <v>23446.639999999999</v>
      </c>
      <c r="J182" s="116" t="s">
        <v>10</v>
      </c>
      <c r="K182" s="117">
        <f>SUM(K173:K181)</f>
        <v>31553.360000000001</v>
      </c>
      <c r="L182" s="64">
        <f t="shared" ref="L182:M242" si="10">SUM(L173:L181)</f>
        <v>12621.344000000001</v>
      </c>
      <c r="M182" s="64">
        <f t="shared" si="10"/>
        <v>3584.78</v>
      </c>
      <c r="N182" s="34"/>
      <c r="O182" s="162">
        <f>SUM(K182,M182)</f>
        <v>35138.14</v>
      </c>
      <c r="P182" s="157">
        <f>I182-M182</f>
        <v>19861.86</v>
      </c>
    </row>
    <row r="183" spans="2:16" x14ac:dyDescent="0.35">
      <c r="B183" s="168" t="s">
        <v>2</v>
      </c>
      <c r="C183" s="170" t="s">
        <v>3</v>
      </c>
      <c r="D183" s="172" t="s">
        <v>4</v>
      </c>
      <c r="E183" s="173"/>
      <c r="F183" s="173"/>
      <c r="G183" s="174"/>
      <c r="H183" s="175" t="s">
        <v>5</v>
      </c>
      <c r="I183" s="176"/>
      <c r="J183" s="176"/>
      <c r="K183" s="177"/>
      <c r="L183" s="25" t="s">
        <v>6</v>
      </c>
      <c r="M183" s="31"/>
      <c r="N183" s="34"/>
    </row>
    <row r="184" spans="2:16" ht="15" thickBot="1" x14ac:dyDescent="0.4">
      <c r="B184" s="169"/>
      <c r="C184" s="171"/>
      <c r="D184" s="16" t="s">
        <v>7</v>
      </c>
      <c r="E184" s="12" t="s">
        <v>8</v>
      </c>
      <c r="F184" s="14" t="s">
        <v>9</v>
      </c>
      <c r="G184" s="17" t="s">
        <v>10</v>
      </c>
      <c r="H184" s="8" t="s">
        <v>11</v>
      </c>
      <c r="I184" s="7" t="s">
        <v>12</v>
      </c>
      <c r="J184" s="2" t="s">
        <v>13</v>
      </c>
      <c r="K184" s="3" t="s">
        <v>14</v>
      </c>
      <c r="L184" s="26" t="s">
        <v>43</v>
      </c>
      <c r="M184" s="32" t="s">
        <v>16</v>
      </c>
      <c r="N184" s="34"/>
    </row>
    <row r="185" spans="2:16" ht="29" x14ac:dyDescent="0.35">
      <c r="B185" s="178" t="s">
        <v>129</v>
      </c>
      <c r="C185" s="180" t="s">
        <v>130</v>
      </c>
      <c r="D185" s="183"/>
      <c r="E185" s="185"/>
      <c r="F185" s="187">
        <v>150000</v>
      </c>
      <c r="G185" s="189">
        <f>SUM(D185:F185)</f>
        <v>150000</v>
      </c>
      <c r="H185" s="5">
        <v>1</v>
      </c>
      <c r="I185" s="24" t="s">
        <v>131</v>
      </c>
      <c r="J185" s="24" t="s">
        <v>124</v>
      </c>
      <c r="K185" s="9">
        <v>0</v>
      </c>
      <c r="L185" s="27">
        <v>0</v>
      </c>
      <c r="M185" s="27">
        <v>0</v>
      </c>
      <c r="N185" s="34"/>
    </row>
    <row r="186" spans="2:16" x14ac:dyDescent="0.35">
      <c r="B186" s="179"/>
      <c r="C186" s="181"/>
      <c r="D186" s="183"/>
      <c r="E186" s="185"/>
      <c r="F186" s="187"/>
      <c r="G186" s="189"/>
      <c r="H186" s="4"/>
      <c r="I186" s="1"/>
      <c r="J186" s="1"/>
      <c r="K186" s="9">
        <v>0</v>
      </c>
      <c r="L186" s="27">
        <v>0</v>
      </c>
      <c r="M186" s="27">
        <v>0</v>
      </c>
      <c r="N186" s="34"/>
    </row>
    <row r="187" spans="2:16" x14ac:dyDescent="0.35">
      <c r="B187" s="179"/>
      <c r="C187" s="181"/>
      <c r="D187" s="183"/>
      <c r="E187" s="185"/>
      <c r="F187" s="187"/>
      <c r="G187" s="189"/>
      <c r="H187" s="4"/>
      <c r="I187" s="1"/>
      <c r="J187" s="1"/>
      <c r="K187" s="9">
        <v>0</v>
      </c>
      <c r="L187" s="27">
        <v>0</v>
      </c>
      <c r="M187" s="27">
        <v>0</v>
      </c>
      <c r="N187" s="34"/>
    </row>
    <row r="188" spans="2:16" x14ac:dyDescent="0.35">
      <c r="B188" s="179"/>
      <c r="C188" s="181"/>
      <c r="D188" s="183"/>
      <c r="E188" s="185"/>
      <c r="F188" s="187"/>
      <c r="G188" s="189"/>
      <c r="H188" s="4"/>
      <c r="I188" s="1"/>
      <c r="J188" s="1"/>
      <c r="K188" s="9">
        <v>0</v>
      </c>
      <c r="L188" s="27">
        <v>0</v>
      </c>
      <c r="M188" s="27">
        <v>0</v>
      </c>
      <c r="N188" s="34"/>
    </row>
    <row r="189" spans="2:16" x14ac:dyDescent="0.35">
      <c r="B189" s="179"/>
      <c r="C189" s="181"/>
      <c r="D189" s="183"/>
      <c r="E189" s="185"/>
      <c r="F189" s="187"/>
      <c r="G189" s="189"/>
      <c r="H189" s="4"/>
      <c r="I189" s="1"/>
      <c r="J189" s="1"/>
      <c r="K189" s="9">
        <v>0</v>
      </c>
      <c r="L189" s="27">
        <v>0</v>
      </c>
      <c r="M189" s="27">
        <v>0</v>
      </c>
      <c r="N189" s="34"/>
    </row>
    <row r="190" spans="2:16" x14ac:dyDescent="0.35">
      <c r="B190" s="179"/>
      <c r="C190" s="181"/>
      <c r="D190" s="183"/>
      <c r="E190" s="185"/>
      <c r="F190" s="187"/>
      <c r="G190" s="189"/>
      <c r="H190" s="4"/>
      <c r="I190" s="1"/>
      <c r="J190" s="1"/>
      <c r="K190" s="9">
        <v>0</v>
      </c>
      <c r="L190" s="27">
        <v>0</v>
      </c>
      <c r="M190" s="27">
        <v>0</v>
      </c>
      <c r="N190" s="34"/>
    </row>
    <row r="191" spans="2:16" x14ac:dyDescent="0.35">
      <c r="B191" s="179"/>
      <c r="C191" s="181"/>
      <c r="D191" s="183"/>
      <c r="E191" s="185"/>
      <c r="F191" s="187"/>
      <c r="G191" s="189"/>
      <c r="H191" s="4"/>
      <c r="I191" s="1"/>
      <c r="J191" s="1"/>
      <c r="K191" s="9">
        <v>0</v>
      </c>
      <c r="L191" s="27">
        <v>0</v>
      </c>
      <c r="M191" s="27">
        <v>0</v>
      </c>
      <c r="N191" s="34"/>
    </row>
    <row r="192" spans="2:16" x14ac:dyDescent="0.35">
      <c r="B192" s="179"/>
      <c r="C192" s="181"/>
      <c r="D192" s="183"/>
      <c r="E192" s="185"/>
      <c r="F192" s="187"/>
      <c r="G192" s="189"/>
      <c r="H192" s="4"/>
      <c r="I192" s="1"/>
      <c r="J192" s="1"/>
      <c r="K192" s="9">
        <v>0</v>
      </c>
      <c r="L192" s="27">
        <v>0</v>
      </c>
      <c r="M192" s="27">
        <v>0</v>
      </c>
      <c r="N192" s="34"/>
    </row>
    <row r="193" spans="2:16" x14ac:dyDescent="0.35">
      <c r="B193" s="179"/>
      <c r="C193" s="181"/>
      <c r="D193" s="183"/>
      <c r="E193" s="185"/>
      <c r="F193" s="187"/>
      <c r="G193" s="189"/>
      <c r="H193" s="4"/>
      <c r="I193" s="1"/>
      <c r="J193" s="1"/>
      <c r="K193" s="9">
        <v>0</v>
      </c>
      <c r="L193" s="27">
        <v>0</v>
      </c>
      <c r="M193" s="27">
        <v>0</v>
      </c>
      <c r="N193" s="34"/>
    </row>
    <row r="194" spans="2:16" ht="15" thickBot="1" x14ac:dyDescent="0.4">
      <c r="B194" s="169"/>
      <c r="C194" s="192"/>
      <c r="D194" s="193"/>
      <c r="E194" s="194"/>
      <c r="F194" s="195"/>
      <c r="G194" s="196"/>
      <c r="H194" s="7" t="s">
        <v>26</v>
      </c>
      <c r="I194" s="115">
        <f>SUM(G185-K194)</f>
        <v>150000</v>
      </c>
      <c r="J194" s="116" t="s">
        <v>10</v>
      </c>
      <c r="K194" s="117">
        <f>SUM(K185:K193)</f>
        <v>0</v>
      </c>
      <c r="L194" s="64">
        <f t="shared" si="10"/>
        <v>0</v>
      </c>
      <c r="M194" s="64">
        <f t="shared" si="10"/>
        <v>0</v>
      </c>
      <c r="N194" s="34"/>
      <c r="O194" s="162">
        <f>SUM(K194,M194)</f>
        <v>0</v>
      </c>
      <c r="P194" s="157">
        <f>I194-M194</f>
        <v>150000</v>
      </c>
    </row>
    <row r="195" spans="2:16" x14ac:dyDescent="0.35">
      <c r="B195" s="168" t="s">
        <v>2</v>
      </c>
      <c r="C195" s="170" t="s">
        <v>3</v>
      </c>
      <c r="D195" s="172" t="s">
        <v>4</v>
      </c>
      <c r="E195" s="173"/>
      <c r="F195" s="173"/>
      <c r="G195" s="174"/>
      <c r="H195" s="175" t="s">
        <v>5</v>
      </c>
      <c r="I195" s="176"/>
      <c r="J195" s="176"/>
      <c r="K195" s="177"/>
      <c r="L195" s="25" t="s">
        <v>6</v>
      </c>
      <c r="M195" s="31"/>
      <c r="N195" s="34"/>
    </row>
    <row r="196" spans="2:16" ht="15" thickBot="1" x14ac:dyDescent="0.4">
      <c r="B196" s="169"/>
      <c r="C196" s="171"/>
      <c r="D196" s="16" t="s">
        <v>7</v>
      </c>
      <c r="E196" s="12" t="s">
        <v>8</v>
      </c>
      <c r="F196" s="14" t="s">
        <v>9</v>
      </c>
      <c r="G196" s="17" t="s">
        <v>10</v>
      </c>
      <c r="H196" s="8" t="s">
        <v>11</v>
      </c>
      <c r="I196" s="7" t="s">
        <v>12</v>
      </c>
      <c r="J196" s="2" t="s">
        <v>13</v>
      </c>
      <c r="K196" s="3" t="s">
        <v>14</v>
      </c>
      <c r="L196" s="26" t="s">
        <v>132</v>
      </c>
      <c r="M196" s="32" t="s">
        <v>16</v>
      </c>
      <c r="N196" s="34"/>
    </row>
    <row r="197" spans="2:16" x14ac:dyDescent="0.35">
      <c r="B197" s="178" t="s">
        <v>133</v>
      </c>
      <c r="C197" s="180" t="s">
        <v>134</v>
      </c>
      <c r="D197" s="183">
        <v>24700</v>
      </c>
      <c r="E197" s="185"/>
      <c r="F197" s="187"/>
      <c r="G197" s="189">
        <f>SUM(D197:F197)</f>
        <v>24700</v>
      </c>
      <c r="H197" s="5">
        <v>1</v>
      </c>
      <c r="I197" s="6" t="s">
        <v>135</v>
      </c>
      <c r="J197" s="6" t="s">
        <v>136</v>
      </c>
      <c r="K197" s="9">
        <v>5505</v>
      </c>
      <c r="L197" s="27">
        <f>K197*0.25</f>
        <v>1376.25</v>
      </c>
      <c r="M197" s="27">
        <v>0</v>
      </c>
      <c r="N197" s="34"/>
    </row>
    <row r="198" spans="2:16" x14ac:dyDescent="0.35">
      <c r="B198" s="179"/>
      <c r="C198" s="181"/>
      <c r="D198" s="183"/>
      <c r="E198" s="185"/>
      <c r="F198" s="187"/>
      <c r="G198" s="189"/>
      <c r="H198" s="4">
        <v>2</v>
      </c>
      <c r="I198" s="1" t="s">
        <v>137</v>
      </c>
      <c r="J198" s="1" t="s">
        <v>138</v>
      </c>
      <c r="K198" s="9">
        <v>5820</v>
      </c>
      <c r="L198" s="27">
        <f t="shared" ref="L198:L205" si="11">K198*0.25</f>
        <v>1455</v>
      </c>
      <c r="M198" s="27">
        <v>0</v>
      </c>
      <c r="N198" s="34"/>
    </row>
    <row r="199" spans="2:16" x14ac:dyDescent="0.35">
      <c r="B199" s="179"/>
      <c r="C199" s="181"/>
      <c r="D199" s="183"/>
      <c r="E199" s="185"/>
      <c r="F199" s="187"/>
      <c r="G199" s="189"/>
      <c r="H199" s="4">
        <v>3</v>
      </c>
      <c r="I199" s="1" t="s">
        <v>139</v>
      </c>
      <c r="J199" s="57">
        <v>45217</v>
      </c>
      <c r="K199" s="9">
        <v>858</v>
      </c>
      <c r="L199" s="27">
        <f t="shared" si="11"/>
        <v>214.5</v>
      </c>
      <c r="M199" s="27">
        <v>0</v>
      </c>
      <c r="N199" s="34"/>
    </row>
    <row r="200" spans="2:16" x14ac:dyDescent="0.35">
      <c r="B200" s="179"/>
      <c r="C200" s="181"/>
      <c r="D200" s="183"/>
      <c r="E200" s="185"/>
      <c r="F200" s="187"/>
      <c r="G200" s="189"/>
      <c r="H200" s="4">
        <v>4</v>
      </c>
      <c r="I200" s="1" t="s">
        <v>140</v>
      </c>
      <c r="J200" s="57" t="s">
        <v>141</v>
      </c>
      <c r="K200" s="9">
        <v>5000</v>
      </c>
      <c r="L200" s="27">
        <f t="shared" si="11"/>
        <v>1250</v>
      </c>
      <c r="M200" s="27">
        <v>0</v>
      </c>
      <c r="N200" s="34"/>
    </row>
    <row r="201" spans="2:16" x14ac:dyDescent="0.35">
      <c r="B201" s="179"/>
      <c r="C201" s="181"/>
      <c r="D201" s="183"/>
      <c r="E201" s="185"/>
      <c r="F201" s="187"/>
      <c r="G201" s="189"/>
      <c r="H201" s="4"/>
      <c r="I201" s="1"/>
      <c r="J201" s="1"/>
      <c r="K201" s="9">
        <v>0</v>
      </c>
      <c r="L201" s="27">
        <f t="shared" si="11"/>
        <v>0</v>
      </c>
      <c r="M201" s="27">
        <v>0</v>
      </c>
      <c r="N201" s="34"/>
    </row>
    <row r="202" spans="2:16" x14ac:dyDescent="0.35">
      <c r="B202" s="179"/>
      <c r="C202" s="181"/>
      <c r="D202" s="183"/>
      <c r="E202" s="185"/>
      <c r="F202" s="187"/>
      <c r="G202" s="189"/>
      <c r="H202" s="4"/>
      <c r="I202" s="1"/>
      <c r="J202" s="1"/>
      <c r="K202" s="9">
        <v>0</v>
      </c>
      <c r="L202" s="27">
        <f t="shared" si="11"/>
        <v>0</v>
      </c>
      <c r="M202" s="27">
        <v>0</v>
      </c>
      <c r="N202" s="34"/>
    </row>
    <row r="203" spans="2:16" x14ac:dyDescent="0.35">
      <c r="B203" s="179"/>
      <c r="C203" s="181"/>
      <c r="D203" s="183"/>
      <c r="E203" s="185"/>
      <c r="F203" s="187"/>
      <c r="G203" s="189"/>
      <c r="H203" s="4"/>
      <c r="I203" s="1"/>
      <c r="J203" s="1"/>
      <c r="K203" s="9">
        <v>0</v>
      </c>
      <c r="L203" s="27">
        <f t="shared" si="11"/>
        <v>0</v>
      </c>
      <c r="M203" s="27">
        <v>0</v>
      </c>
      <c r="N203" s="34"/>
    </row>
    <row r="204" spans="2:16" x14ac:dyDescent="0.35">
      <c r="B204" s="179"/>
      <c r="C204" s="181"/>
      <c r="D204" s="183"/>
      <c r="E204" s="185"/>
      <c r="F204" s="187"/>
      <c r="G204" s="189"/>
      <c r="H204" s="4"/>
      <c r="I204" s="1"/>
      <c r="J204" s="1"/>
      <c r="K204" s="9">
        <v>0</v>
      </c>
      <c r="L204" s="27">
        <f t="shared" si="11"/>
        <v>0</v>
      </c>
      <c r="M204" s="27">
        <v>0</v>
      </c>
      <c r="N204" s="34"/>
    </row>
    <row r="205" spans="2:16" x14ac:dyDescent="0.35">
      <c r="B205" s="179"/>
      <c r="C205" s="181"/>
      <c r="D205" s="183"/>
      <c r="E205" s="185"/>
      <c r="F205" s="187"/>
      <c r="G205" s="189"/>
      <c r="H205" s="4"/>
      <c r="I205" s="1"/>
      <c r="J205" s="1"/>
      <c r="K205" s="9">
        <v>0</v>
      </c>
      <c r="L205" s="27">
        <f t="shared" si="11"/>
        <v>0</v>
      </c>
      <c r="M205" s="27">
        <v>0</v>
      </c>
      <c r="N205" s="34"/>
    </row>
    <row r="206" spans="2:16" ht="15" thickBot="1" x14ac:dyDescent="0.4">
      <c r="B206" s="169"/>
      <c r="C206" s="192"/>
      <c r="D206" s="193"/>
      <c r="E206" s="194"/>
      <c r="F206" s="195"/>
      <c r="G206" s="196"/>
      <c r="H206" s="7" t="s">
        <v>26</v>
      </c>
      <c r="I206" s="115">
        <f>SUM(G197-K206)</f>
        <v>7517</v>
      </c>
      <c r="J206" s="116" t="s">
        <v>10</v>
      </c>
      <c r="K206" s="117">
        <f>SUM(K197:K205)</f>
        <v>17183</v>
      </c>
      <c r="L206" s="64">
        <f t="shared" si="10"/>
        <v>4295.75</v>
      </c>
      <c r="M206" s="64">
        <f t="shared" si="10"/>
        <v>0</v>
      </c>
      <c r="N206" s="34"/>
      <c r="O206" s="162">
        <f>SUM(K206,M206)</f>
        <v>17183</v>
      </c>
      <c r="P206" s="157">
        <f>I206-M206</f>
        <v>7517</v>
      </c>
    </row>
    <row r="207" spans="2:16" x14ac:dyDescent="0.35">
      <c r="B207" s="168" t="s">
        <v>2</v>
      </c>
      <c r="C207" s="170" t="s">
        <v>3</v>
      </c>
      <c r="D207" s="172" t="s">
        <v>4</v>
      </c>
      <c r="E207" s="173"/>
      <c r="F207" s="173"/>
      <c r="G207" s="174"/>
      <c r="H207" s="175" t="s">
        <v>5</v>
      </c>
      <c r="I207" s="176"/>
      <c r="J207" s="176"/>
      <c r="K207" s="177"/>
      <c r="L207" s="25" t="s">
        <v>6</v>
      </c>
      <c r="M207" s="31"/>
      <c r="N207" s="34"/>
    </row>
    <row r="208" spans="2:16" ht="15" thickBot="1" x14ac:dyDescent="0.4">
      <c r="B208" s="169"/>
      <c r="C208" s="171"/>
      <c r="D208" s="16" t="s">
        <v>7</v>
      </c>
      <c r="E208" s="12" t="s">
        <v>8</v>
      </c>
      <c r="F208" s="14" t="s">
        <v>9</v>
      </c>
      <c r="G208" s="17" t="s">
        <v>10</v>
      </c>
      <c r="H208" s="8" t="s">
        <v>11</v>
      </c>
      <c r="I208" s="7" t="s">
        <v>12</v>
      </c>
      <c r="J208" s="2" t="s">
        <v>13</v>
      </c>
      <c r="K208" s="3" t="s">
        <v>14</v>
      </c>
      <c r="L208" s="26" t="s">
        <v>142</v>
      </c>
      <c r="M208" s="32" t="s">
        <v>16</v>
      </c>
      <c r="N208" s="34"/>
    </row>
    <row r="209" spans="2:16" x14ac:dyDescent="0.35">
      <c r="B209" s="178" t="s">
        <v>143</v>
      </c>
      <c r="C209" s="180" t="s">
        <v>144</v>
      </c>
      <c r="D209" s="183">
        <v>12200</v>
      </c>
      <c r="E209" s="185"/>
      <c r="F209" s="187"/>
      <c r="G209" s="189">
        <f>SUM(D209:F209)</f>
        <v>12200</v>
      </c>
      <c r="H209" s="5">
        <v>1</v>
      </c>
      <c r="I209" s="6" t="s">
        <v>145</v>
      </c>
      <c r="J209" s="6" t="s">
        <v>146</v>
      </c>
      <c r="K209" s="9">
        <v>2749</v>
      </c>
      <c r="L209" s="27">
        <f>K209*0.3</f>
        <v>824.69999999999993</v>
      </c>
      <c r="M209" s="27">
        <v>0</v>
      </c>
      <c r="N209" s="34"/>
    </row>
    <row r="210" spans="2:16" x14ac:dyDescent="0.35">
      <c r="B210" s="179"/>
      <c r="C210" s="181"/>
      <c r="D210" s="183"/>
      <c r="E210" s="185"/>
      <c r="F210" s="187"/>
      <c r="G210" s="189"/>
      <c r="H210" s="4">
        <v>2</v>
      </c>
      <c r="I210" s="28" t="s">
        <v>147</v>
      </c>
      <c r="J210" s="1" t="s">
        <v>148</v>
      </c>
      <c r="K210" s="9">
        <v>0</v>
      </c>
      <c r="L210" s="27">
        <f t="shared" ref="L210:L217" si="12">K210*0.3</f>
        <v>0</v>
      </c>
      <c r="M210" s="27">
        <v>8000</v>
      </c>
      <c r="N210" s="34"/>
    </row>
    <row r="211" spans="2:16" x14ac:dyDescent="0.35">
      <c r="B211" s="179"/>
      <c r="C211" s="181"/>
      <c r="D211" s="183"/>
      <c r="E211" s="185"/>
      <c r="F211" s="187"/>
      <c r="G211" s="189"/>
      <c r="H211" s="4"/>
      <c r="I211" s="1"/>
      <c r="J211" s="1"/>
      <c r="K211" s="9">
        <v>0</v>
      </c>
      <c r="L211" s="27">
        <f t="shared" si="12"/>
        <v>0</v>
      </c>
      <c r="M211" s="27">
        <v>0</v>
      </c>
      <c r="N211" s="34"/>
    </row>
    <row r="212" spans="2:16" x14ac:dyDescent="0.35">
      <c r="B212" s="179"/>
      <c r="C212" s="181"/>
      <c r="D212" s="183"/>
      <c r="E212" s="185"/>
      <c r="F212" s="187"/>
      <c r="G212" s="189"/>
      <c r="H212" s="4"/>
      <c r="I212" s="1"/>
      <c r="J212" s="1"/>
      <c r="K212" s="9">
        <v>0</v>
      </c>
      <c r="L212" s="27">
        <f t="shared" si="12"/>
        <v>0</v>
      </c>
      <c r="M212" s="27">
        <v>0</v>
      </c>
      <c r="N212" s="34"/>
    </row>
    <row r="213" spans="2:16" x14ac:dyDescent="0.35">
      <c r="B213" s="179"/>
      <c r="C213" s="181"/>
      <c r="D213" s="183"/>
      <c r="E213" s="185"/>
      <c r="F213" s="187"/>
      <c r="G213" s="189"/>
      <c r="H213" s="4"/>
      <c r="I213" s="1"/>
      <c r="J213" s="1"/>
      <c r="K213" s="9">
        <v>0</v>
      </c>
      <c r="L213" s="27">
        <f t="shared" si="12"/>
        <v>0</v>
      </c>
      <c r="M213" s="27">
        <v>0</v>
      </c>
      <c r="N213" s="34"/>
    </row>
    <row r="214" spans="2:16" x14ac:dyDescent="0.35">
      <c r="B214" s="179"/>
      <c r="C214" s="181"/>
      <c r="D214" s="183"/>
      <c r="E214" s="185"/>
      <c r="F214" s="187"/>
      <c r="G214" s="189"/>
      <c r="H214" s="4"/>
      <c r="I214" s="1"/>
      <c r="J214" s="1"/>
      <c r="K214" s="9">
        <v>0</v>
      </c>
      <c r="L214" s="27">
        <f t="shared" si="12"/>
        <v>0</v>
      </c>
      <c r="M214" s="27">
        <v>0</v>
      </c>
      <c r="N214" s="34"/>
    </row>
    <row r="215" spans="2:16" x14ac:dyDescent="0.35">
      <c r="B215" s="179"/>
      <c r="C215" s="181"/>
      <c r="D215" s="183"/>
      <c r="E215" s="185"/>
      <c r="F215" s="187"/>
      <c r="G215" s="189"/>
      <c r="H215" s="4"/>
      <c r="I215" s="1"/>
      <c r="J215" s="1"/>
      <c r="K215" s="9">
        <v>0</v>
      </c>
      <c r="L215" s="27">
        <f t="shared" si="12"/>
        <v>0</v>
      </c>
      <c r="M215" s="27">
        <v>0</v>
      </c>
      <c r="N215" s="34"/>
    </row>
    <row r="216" spans="2:16" x14ac:dyDescent="0.35">
      <c r="B216" s="179"/>
      <c r="C216" s="181"/>
      <c r="D216" s="183"/>
      <c r="E216" s="185"/>
      <c r="F216" s="187"/>
      <c r="G216" s="189"/>
      <c r="H216" s="4"/>
      <c r="I216" s="1"/>
      <c r="J216" s="1"/>
      <c r="K216" s="9">
        <v>0</v>
      </c>
      <c r="L216" s="27">
        <f t="shared" si="12"/>
        <v>0</v>
      </c>
      <c r="M216" s="27">
        <v>0</v>
      </c>
      <c r="N216" s="34"/>
    </row>
    <row r="217" spans="2:16" x14ac:dyDescent="0.35">
      <c r="B217" s="179"/>
      <c r="C217" s="181"/>
      <c r="D217" s="183"/>
      <c r="E217" s="185"/>
      <c r="F217" s="187"/>
      <c r="G217" s="189"/>
      <c r="H217" s="4"/>
      <c r="I217" s="1"/>
      <c r="J217" s="1"/>
      <c r="K217" s="9">
        <v>0</v>
      </c>
      <c r="L217" s="27">
        <f t="shared" si="12"/>
        <v>0</v>
      </c>
      <c r="M217" s="27">
        <v>0</v>
      </c>
      <c r="N217" s="34"/>
    </row>
    <row r="218" spans="2:16" ht="15" thickBot="1" x14ac:dyDescent="0.4">
      <c r="B218" s="169"/>
      <c r="C218" s="192"/>
      <c r="D218" s="193"/>
      <c r="E218" s="194"/>
      <c r="F218" s="195"/>
      <c r="G218" s="196"/>
      <c r="H218" s="7" t="s">
        <v>26</v>
      </c>
      <c r="I218" s="115">
        <f>SUM(G209-K218)</f>
        <v>9451</v>
      </c>
      <c r="J218" s="116" t="s">
        <v>10</v>
      </c>
      <c r="K218" s="117">
        <f>SUM(K209:K217)</f>
        <v>2749</v>
      </c>
      <c r="L218" s="64">
        <f t="shared" si="10"/>
        <v>824.69999999999993</v>
      </c>
      <c r="M218" s="64">
        <f t="shared" si="10"/>
        <v>8000</v>
      </c>
      <c r="N218" s="34"/>
      <c r="O218" s="162">
        <f>SUM(K218,M218)</f>
        <v>10749</v>
      </c>
      <c r="P218" s="157">
        <f>I218-M218</f>
        <v>1451</v>
      </c>
    </row>
    <row r="219" spans="2:16" x14ac:dyDescent="0.35">
      <c r="B219" s="168" t="s">
        <v>2</v>
      </c>
      <c r="C219" s="170" t="s">
        <v>3</v>
      </c>
      <c r="D219" s="172" t="s">
        <v>4</v>
      </c>
      <c r="E219" s="173"/>
      <c r="F219" s="173"/>
      <c r="G219" s="174"/>
      <c r="H219" s="175" t="s">
        <v>5</v>
      </c>
      <c r="I219" s="176"/>
      <c r="J219" s="176"/>
      <c r="K219" s="177"/>
      <c r="L219" s="25" t="s">
        <v>6</v>
      </c>
      <c r="M219" s="31"/>
      <c r="N219" s="34"/>
    </row>
    <row r="220" spans="2:16" ht="15" thickBot="1" x14ac:dyDescent="0.4">
      <c r="B220" s="169"/>
      <c r="C220" s="171"/>
      <c r="D220" s="16" t="s">
        <v>7</v>
      </c>
      <c r="E220" s="12" t="s">
        <v>8</v>
      </c>
      <c r="F220" s="14" t="s">
        <v>9</v>
      </c>
      <c r="G220" s="17" t="s">
        <v>10</v>
      </c>
      <c r="H220" s="8" t="s">
        <v>11</v>
      </c>
      <c r="I220" s="7" t="s">
        <v>12</v>
      </c>
      <c r="J220" s="2" t="s">
        <v>13</v>
      </c>
      <c r="K220" s="3" t="s">
        <v>14</v>
      </c>
      <c r="L220" s="26" t="s">
        <v>142</v>
      </c>
      <c r="M220" s="32" t="s">
        <v>16</v>
      </c>
      <c r="N220" s="34"/>
    </row>
    <row r="221" spans="2:16" x14ac:dyDescent="0.35">
      <c r="B221" s="178" t="s">
        <v>149</v>
      </c>
      <c r="C221" s="180" t="s">
        <v>150</v>
      </c>
      <c r="D221" s="183">
        <v>22200</v>
      </c>
      <c r="E221" s="185"/>
      <c r="F221" s="187"/>
      <c r="G221" s="189">
        <f>SUM(D221:F221)</f>
        <v>22200</v>
      </c>
      <c r="H221" s="5">
        <v>1</v>
      </c>
      <c r="I221" s="6" t="s">
        <v>151</v>
      </c>
      <c r="J221" s="6" t="s">
        <v>152</v>
      </c>
      <c r="K221" s="9">
        <v>6270</v>
      </c>
      <c r="L221" s="27">
        <f>K221*0.3</f>
        <v>1881</v>
      </c>
      <c r="M221" s="27">
        <v>0</v>
      </c>
      <c r="N221" s="34"/>
    </row>
    <row r="222" spans="2:16" x14ac:dyDescent="0.35">
      <c r="B222" s="179"/>
      <c r="C222" s="181"/>
      <c r="D222" s="183"/>
      <c r="E222" s="185"/>
      <c r="F222" s="187"/>
      <c r="G222" s="189"/>
      <c r="H222" s="4">
        <v>2</v>
      </c>
      <c r="I222" s="1" t="s">
        <v>153</v>
      </c>
      <c r="J222" s="98">
        <v>45078</v>
      </c>
      <c r="K222" s="9">
        <v>1225</v>
      </c>
      <c r="L222" s="27">
        <f t="shared" ref="L222:L229" si="13">K222*0.3</f>
        <v>367.5</v>
      </c>
      <c r="M222" s="27">
        <v>0</v>
      </c>
      <c r="N222" s="34"/>
    </row>
    <row r="223" spans="2:16" x14ac:dyDescent="0.35">
      <c r="B223" s="179"/>
      <c r="C223" s="181"/>
      <c r="D223" s="183"/>
      <c r="E223" s="185"/>
      <c r="F223" s="187"/>
      <c r="G223" s="189"/>
      <c r="H223" s="4">
        <v>3</v>
      </c>
      <c r="I223" s="243" t="s">
        <v>154</v>
      </c>
      <c r="J223" s="244">
        <v>45444</v>
      </c>
      <c r="K223" s="141">
        <v>0</v>
      </c>
      <c r="L223" s="245">
        <f t="shared" si="13"/>
        <v>0</v>
      </c>
      <c r="M223" s="245">
        <v>12000</v>
      </c>
      <c r="N223" s="34"/>
    </row>
    <row r="224" spans="2:16" x14ac:dyDescent="0.35">
      <c r="B224" s="179"/>
      <c r="C224" s="181"/>
      <c r="D224" s="183"/>
      <c r="E224" s="185"/>
      <c r="F224" s="187"/>
      <c r="G224" s="189"/>
      <c r="H224" s="4"/>
      <c r="I224" s="1"/>
      <c r="J224" s="1"/>
      <c r="K224" s="9">
        <v>0</v>
      </c>
      <c r="L224" s="27">
        <f t="shared" si="13"/>
        <v>0</v>
      </c>
      <c r="M224" s="27">
        <v>0</v>
      </c>
      <c r="N224" s="34"/>
    </row>
    <row r="225" spans="2:16" x14ac:dyDescent="0.35">
      <c r="B225" s="179"/>
      <c r="C225" s="181"/>
      <c r="D225" s="183"/>
      <c r="E225" s="185"/>
      <c r="F225" s="187"/>
      <c r="G225" s="189"/>
      <c r="H225" s="4"/>
      <c r="I225" s="1"/>
      <c r="J225" s="1"/>
      <c r="K225" s="9">
        <v>0</v>
      </c>
      <c r="L225" s="27">
        <f t="shared" si="13"/>
        <v>0</v>
      </c>
      <c r="M225" s="27">
        <v>0</v>
      </c>
      <c r="N225" s="34"/>
    </row>
    <row r="226" spans="2:16" x14ac:dyDescent="0.35">
      <c r="B226" s="179"/>
      <c r="C226" s="181"/>
      <c r="D226" s="183"/>
      <c r="E226" s="185"/>
      <c r="F226" s="187"/>
      <c r="G226" s="189"/>
      <c r="H226" s="4"/>
      <c r="I226" s="1"/>
      <c r="J226" s="1"/>
      <c r="K226" s="9">
        <v>0</v>
      </c>
      <c r="L226" s="27">
        <f t="shared" si="13"/>
        <v>0</v>
      </c>
      <c r="M226" s="27">
        <v>0</v>
      </c>
      <c r="N226" s="34"/>
    </row>
    <row r="227" spans="2:16" x14ac:dyDescent="0.35">
      <c r="B227" s="179"/>
      <c r="C227" s="181"/>
      <c r="D227" s="183"/>
      <c r="E227" s="185"/>
      <c r="F227" s="187"/>
      <c r="G227" s="189"/>
      <c r="H227" s="4"/>
      <c r="I227" s="1"/>
      <c r="J227" s="1"/>
      <c r="K227" s="9">
        <v>0</v>
      </c>
      <c r="L227" s="27">
        <f t="shared" si="13"/>
        <v>0</v>
      </c>
      <c r="M227" s="27">
        <v>0</v>
      </c>
      <c r="N227" s="34"/>
    </row>
    <row r="228" spans="2:16" x14ac:dyDescent="0.35">
      <c r="B228" s="179"/>
      <c r="C228" s="181"/>
      <c r="D228" s="183"/>
      <c r="E228" s="185"/>
      <c r="F228" s="187"/>
      <c r="G228" s="189"/>
      <c r="H228" s="4"/>
      <c r="I228" s="1"/>
      <c r="J228" s="1"/>
      <c r="K228" s="9">
        <v>0</v>
      </c>
      <c r="L228" s="27">
        <f t="shared" si="13"/>
        <v>0</v>
      </c>
      <c r="M228" s="27">
        <v>0</v>
      </c>
      <c r="N228" s="34"/>
    </row>
    <row r="229" spans="2:16" x14ac:dyDescent="0.35">
      <c r="B229" s="179"/>
      <c r="C229" s="181"/>
      <c r="D229" s="183"/>
      <c r="E229" s="185"/>
      <c r="F229" s="187"/>
      <c r="G229" s="189"/>
      <c r="H229" s="4"/>
      <c r="I229" s="1"/>
      <c r="J229" s="1"/>
      <c r="K229" s="9">
        <v>0</v>
      </c>
      <c r="L229" s="27">
        <f t="shared" si="13"/>
        <v>0</v>
      </c>
      <c r="M229" s="27">
        <v>0</v>
      </c>
      <c r="N229" s="34"/>
    </row>
    <row r="230" spans="2:16" ht="15" thickBot="1" x14ac:dyDescent="0.4">
      <c r="B230" s="169"/>
      <c r="C230" s="192"/>
      <c r="D230" s="193"/>
      <c r="E230" s="194"/>
      <c r="F230" s="195"/>
      <c r="G230" s="196"/>
      <c r="H230" s="7" t="s">
        <v>26</v>
      </c>
      <c r="I230" s="115">
        <f>SUM(G221-K230)</f>
        <v>14705</v>
      </c>
      <c r="J230" s="116" t="s">
        <v>10</v>
      </c>
      <c r="K230" s="117">
        <f>SUM(K221:K229)</f>
        <v>7495</v>
      </c>
      <c r="L230" s="64">
        <f t="shared" si="10"/>
        <v>2248.5</v>
      </c>
      <c r="M230" s="64">
        <f t="shared" si="10"/>
        <v>12000</v>
      </c>
      <c r="N230" s="34"/>
      <c r="O230" s="162">
        <f>SUM(K230,M230)</f>
        <v>19495</v>
      </c>
      <c r="P230" s="157">
        <f>I230-M230</f>
        <v>2705</v>
      </c>
    </row>
    <row r="231" spans="2:16" x14ac:dyDescent="0.35">
      <c r="B231" s="168" t="s">
        <v>2</v>
      </c>
      <c r="C231" s="170" t="s">
        <v>3</v>
      </c>
      <c r="D231" s="172" t="s">
        <v>4</v>
      </c>
      <c r="E231" s="173"/>
      <c r="F231" s="173"/>
      <c r="G231" s="174"/>
      <c r="H231" s="175" t="s">
        <v>5</v>
      </c>
      <c r="I231" s="176"/>
      <c r="J231" s="176"/>
      <c r="K231" s="177"/>
      <c r="L231" s="25" t="s">
        <v>6</v>
      </c>
      <c r="M231" s="31"/>
      <c r="N231" s="34"/>
    </row>
    <row r="232" spans="2:16" ht="15" thickBot="1" x14ac:dyDescent="0.4">
      <c r="B232" s="169"/>
      <c r="C232" s="171"/>
      <c r="D232" s="16" t="s">
        <v>7</v>
      </c>
      <c r="E232" s="12" t="s">
        <v>8</v>
      </c>
      <c r="F232" s="14" t="s">
        <v>9</v>
      </c>
      <c r="G232" s="17" t="s">
        <v>10</v>
      </c>
      <c r="H232" s="8" t="s">
        <v>11</v>
      </c>
      <c r="I232" s="7" t="s">
        <v>12</v>
      </c>
      <c r="J232" s="2" t="s">
        <v>13</v>
      </c>
      <c r="K232" s="3" t="s">
        <v>155</v>
      </c>
      <c r="L232" s="26" t="s">
        <v>43</v>
      </c>
      <c r="M232" s="32" t="s">
        <v>16</v>
      </c>
      <c r="N232" s="34"/>
    </row>
    <row r="233" spans="2:16" ht="43.5" x14ac:dyDescent="0.35">
      <c r="B233" s="178" t="s">
        <v>156</v>
      </c>
      <c r="C233" s="180" t="s">
        <v>157</v>
      </c>
      <c r="D233" s="183"/>
      <c r="E233" s="185"/>
      <c r="F233" s="187">
        <v>25000</v>
      </c>
      <c r="G233" s="189">
        <f>SUM(D233:F233)</f>
        <v>25000</v>
      </c>
      <c r="H233" s="5">
        <v>1</v>
      </c>
      <c r="I233" s="24" t="s">
        <v>158</v>
      </c>
      <c r="J233" s="24" t="s">
        <v>124</v>
      </c>
      <c r="K233" s="9">
        <v>5000</v>
      </c>
      <c r="L233" s="226">
        <f>K233*0.4</f>
        <v>2000</v>
      </c>
      <c r="M233" s="27">
        <v>8050</v>
      </c>
      <c r="N233" s="34"/>
    </row>
    <row r="234" spans="2:16" x14ac:dyDescent="0.35">
      <c r="B234" s="179"/>
      <c r="C234" s="181"/>
      <c r="D234" s="183"/>
      <c r="E234" s="185"/>
      <c r="F234" s="187"/>
      <c r="G234" s="189"/>
      <c r="H234" s="4">
        <v>2</v>
      </c>
      <c r="I234" s="1" t="s">
        <v>159</v>
      </c>
      <c r="J234" s="165">
        <v>45436</v>
      </c>
      <c r="K234" s="225">
        <v>4570.2</v>
      </c>
      <c r="L234" s="226">
        <f>K234*0.4</f>
        <v>1828.08</v>
      </c>
      <c r="M234" s="226">
        <v>7379.8</v>
      </c>
      <c r="N234" s="34"/>
    </row>
    <row r="235" spans="2:16" ht="29" x14ac:dyDescent="0.35">
      <c r="B235" s="179"/>
      <c r="C235" s="181"/>
      <c r="D235" s="183"/>
      <c r="E235" s="185"/>
      <c r="F235" s="187"/>
      <c r="G235" s="189"/>
      <c r="H235" s="222">
        <v>3</v>
      </c>
      <c r="I235" s="223" t="s">
        <v>160</v>
      </c>
      <c r="J235" s="224" t="s">
        <v>124</v>
      </c>
      <c r="K235" s="225">
        <v>0</v>
      </c>
      <c r="L235" s="226">
        <f>K235*0.4</f>
        <v>0</v>
      </c>
      <c r="M235" s="226">
        <v>2000</v>
      </c>
      <c r="N235" s="34"/>
    </row>
    <row r="236" spans="2:16" x14ac:dyDescent="0.35">
      <c r="B236" s="179"/>
      <c r="C236" s="181"/>
      <c r="D236" s="183"/>
      <c r="E236" s="185"/>
      <c r="F236" s="187"/>
      <c r="G236" s="189"/>
      <c r="H236" s="4"/>
      <c r="I236" s="1"/>
      <c r="J236" s="1"/>
      <c r="K236" s="9">
        <v>0</v>
      </c>
      <c r="L236" s="27">
        <v>0</v>
      </c>
      <c r="M236" s="27">
        <v>0</v>
      </c>
      <c r="N236" s="34"/>
    </row>
    <row r="237" spans="2:16" x14ac:dyDescent="0.35">
      <c r="B237" s="179"/>
      <c r="C237" s="181"/>
      <c r="D237" s="183"/>
      <c r="E237" s="185"/>
      <c r="F237" s="187"/>
      <c r="G237" s="189"/>
      <c r="H237" s="4"/>
      <c r="I237" s="1"/>
      <c r="J237" s="1"/>
      <c r="K237" s="9">
        <v>0</v>
      </c>
      <c r="L237" s="27">
        <v>0</v>
      </c>
      <c r="M237" s="27">
        <v>0</v>
      </c>
      <c r="N237" s="34"/>
    </row>
    <row r="238" spans="2:16" x14ac:dyDescent="0.35">
      <c r="B238" s="179"/>
      <c r="C238" s="181"/>
      <c r="D238" s="183"/>
      <c r="E238" s="185"/>
      <c r="F238" s="187"/>
      <c r="G238" s="189"/>
      <c r="H238" s="4"/>
      <c r="I238" s="1"/>
      <c r="J238" s="1"/>
      <c r="K238" s="9">
        <v>0</v>
      </c>
      <c r="L238" s="27">
        <v>0</v>
      </c>
      <c r="M238" s="27">
        <v>0</v>
      </c>
      <c r="N238" s="34"/>
    </row>
    <row r="239" spans="2:16" x14ac:dyDescent="0.35">
      <c r="B239" s="179"/>
      <c r="C239" s="181"/>
      <c r="D239" s="183"/>
      <c r="E239" s="185"/>
      <c r="F239" s="187"/>
      <c r="G239" s="189"/>
      <c r="H239" s="4"/>
      <c r="I239" s="1"/>
      <c r="J239" s="1"/>
      <c r="K239" s="9">
        <v>0</v>
      </c>
      <c r="L239" s="27">
        <v>0</v>
      </c>
      <c r="M239" s="27">
        <v>0</v>
      </c>
      <c r="N239" s="34"/>
    </row>
    <row r="240" spans="2:16" x14ac:dyDescent="0.35">
      <c r="B240" s="179"/>
      <c r="C240" s="181"/>
      <c r="D240" s="183"/>
      <c r="E240" s="185"/>
      <c r="F240" s="187"/>
      <c r="G240" s="189"/>
      <c r="H240" s="4"/>
      <c r="I240" s="1"/>
      <c r="J240" s="1"/>
      <c r="K240" s="9">
        <v>0</v>
      </c>
      <c r="L240" s="27">
        <v>0</v>
      </c>
      <c r="M240" s="27">
        <v>0</v>
      </c>
      <c r="N240" s="34"/>
    </row>
    <row r="241" spans="2:16" x14ac:dyDescent="0.35">
      <c r="B241" s="179"/>
      <c r="C241" s="181"/>
      <c r="D241" s="183"/>
      <c r="E241" s="185"/>
      <c r="F241" s="187"/>
      <c r="G241" s="189"/>
      <c r="H241" s="4"/>
      <c r="I241" s="1"/>
      <c r="J241" s="1"/>
      <c r="K241" s="9">
        <v>0</v>
      </c>
      <c r="L241" s="27">
        <v>0</v>
      </c>
      <c r="M241" s="27">
        <v>0</v>
      </c>
      <c r="N241" s="34"/>
    </row>
    <row r="242" spans="2:16" ht="15" thickBot="1" x14ac:dyDescent="0.4">
      <c r="B242" s="169"/>
      <c r="C242" s="192"/>
      <c r="D242" s="193"/>
      <c r="E242" s="194"/>
      <c r="F242" s="195"/>
      <c r="G242" s="196"/>
      <c r="H242" s="7" t="s">
        <v>26</v>
      </c>
      <c r="I242" s="115">
        <f>SUM(G233-K242)</f>
        <v>15429.8</v>
      </c>
      <c r="J242" s="116" t="s">
        <v>10</v>
      </c>
      <c r="K242" s="117">
        <f>SUM(K233:K241)</f>
        <v>9570.2000000000007</v>
      </c>
      <c r="L242" s="64">
        <f t="shared" si="10"/>
        <v>3828.08</v>
      </c>
      <c r="M242" s="64">
        <f t="shared" si="10"/>
        <v>17429.8</v>
      </c>
      <c r="N242" s="34"/>
      <c r="O242" s="162">
        <f>SUM(K242,M242)</f>
        <v>27000</v>
      </c>
      <c r="P242" s="157">
        <f>I242-M242</f>
        <v>-2000</v>
      </c>
    </row>
    <row r="243" spans="2:16" x14ac:dyDescent="0.35">
      <c r="B243" s="168" t="s">
        <v>2</v>
      </c>
      <c r="C243" s="170" t="s">
        <v>3</v>
      </c>
      <c r="D243" s="172" t="s">
        <v>4</v>
      </c>
      <c r="E243" s="173"/>
      <c r="F243" s="173"/>
      <c r="G243" s="174"/>
      <c r="H243" s="175" t="s">
        <v>5</v>
      </c>
      <c r="I243" s="176"/>
      <c r="J243" s="176"/>
      <c r="K243" s="177"/>
      <c r="L243" s="25" t="s">
        <v>6</v>
      </c>
      <c r="M243" s="31"/>
      <c r="N243" s="34"/>
    </row>
    <row r="244" spans="2:16" ht="15" thickBot="1" x14ac:dyDescent="0.4">
      <c r="B244" s="169"/>
      <c r="C244" s="171"/>
      <c r="D244" s="16" t="s">
        <v>7</v>
      </c>
      <c r="E244" s="12" t="s">
        <v>8</v>
      </c>
      <c r="F244" s="14" t="s">
        <v>9</v>
      </c>
      <c r="G244" s="17" t="s">
        <v>10</v>
      </c>
      <c r="H244" s="8" t="s">
        <v>11</v>
      </c>
      <c r="I244" s="7" t="s">
        <v>12</v>
      </c>
      <c r="J244" s="2" t="s">
        <v>13</v>
      </c>
      <c r="K244" s="3" t="s">
        <v>155</v>
      </c>
      <c r="L244" s="26" t="s">
        <v>142</v>
      </c>
      <c r="M244" s="32" t="s">
        <v>16</v>
      </c>
      <c r="N244" s="34"/>
    </row>
    <row r="245" spans="2:16" ht="47.15" customHeight="1" x14ac:dyDescent="0.35">
      <c r="B245" s="178" t="s">
        <v>161</v>
      </c>
      <c r="C245" s="180" t="s">
        <v>162</v>
      </c>
      <c r="D245" s="183"/>
      <c r="E245" s="185"/>
      <c r="F245" s="187">
        <v>70000</v>
      </c>
      <c r="G245" s="189">
        <f>SUM(D245:F245)</f>
        <v>70000</v>
      </c>
      <c r="H245" s="5">
        <v>1</v>
      </c>
      <c r="I245" s="24" t="s">
        <v>163</v>
      </c>
      <c r="J245" s="24" t="s">
        <v>124</v>
      </c>
      <c r="K245" s="9">
        <v>63658.06</v>
      </c>
      <c r="L245" s="27">
        <f>K245*0.3</f>
        <v>19097.417999999998</v>
      </c>
      <c r="M245" s="27">
        <f>70000-K245</f>
        <v>6341.9400000000023</v>
      </c>
      <c r="N245" s="34"/>
    </row>
    <row r="246" spans="2:16" x14ac:dyDescent="0.35">
      <c r="B246" s="179"/>
      <c r="C246" s="181"/>
      <c r="D246" s="183"/>
      <c r="E246" s="185"/>
      <c r="F246" s="187"/>
      <c r="G246" s="189"/>
      <c r="H246" s="4"/>
      <c r="I246" s="1"/>
      <c r="J246" s="1"/>
      <c r="K246" s="9">
        <v>0</v>
      </c>
      <c r="L246" s="27">
        <v>0</v>
      </c>
      <c r="M246" s="27">
        <v>0</v>
      </c>
      <c r="N246" s="34"/>
    </row>
    <row r="247" spans="2:16" x14ac:dyDescent="0.35">
      <c r="B247" s="179"/>
      <c r="C247" s="181"/>
      <c r="D247" s="183"/>
      <c r="E247" s="185"/>
      <c r="F247" s="187"/>
      <c r="G247" s="189"/>
      <c r="H247" s="4"/>
      <c r="I247" s="1"/>
      <c r="J247" s="1"/>
      <c r="K247" s="9">
        <v>0</v>
      </c>
      <c r="L247" s="27">
        <v>0</v>
      </c>
      <c r="M247" s="27">
        <v>0</v>
      </c>
      <c r="N247" s="34"/>
    </row>
    <row r="248" spans="2:16" x14ac:dyDescent="0.35">
      <c r="B248" s="179"/>
      <c r="C248" s="181"/>
      <c r="D248" s="183"/>
      <c r="E248" s="185"/>
      <c r="F248" s="187"/>
      <c r="G248" s="189"/>
      <c r="H248" s="4"/>
      <c r="I248" s="1"/>
      <c r="J248" s="1"/>
      <c r="K248" s="9">
        <v>0</v>
      </c>
      <c r="L248" s="27">
        <v>0</v>
      </c>
      <c r="M248" s="27">
        <v>0</v>
      </c>
      <c r="N248" s="34"/>
    </row>
    <row r="249" spans="2:16" x14ac:dyDescent="0.35">
      <c r="B249" s="179"/>
      <c r="C249" s="181"/>
      <c r="D249" s="183"/>
      <c r="E249" s="185"/>
      <c r="F249" s="187"/>
      <c r="G249" s="189"/>
      <c r="H249" s="4"/>
      <c r="I249" s="1"/>
      <c r="J249" s="1"/>
      <c r="K249" s="9">
        <v>0</v>
      </c>
      <c r="L249" s="27">
        <v>0</v>
      </c>
      <c r="M249" s="27">
        <v>0</v>
      </c>
      <c r="N249" s="34"/>
    </row>
    <row r="250" spans="2:16" x14ac:dyDescent="0.35">
      <c r="B250" s="179"/>
      <c r="C250" s="181"/>
      <c r="D250" s="183"/>
      <c r="E250" s="185"/>
      <c r="F250" s="187"/>
      <c r="G250" s="189"/>
      <c r="H250" s="4"/>
      <c r="I250" s="1"/>
      <c r="J250" s="1"/>
      <c r="K250" s="9">
        <v>0</v>
      </c>
      <c r="L250" s="27">
        <v>0</v>
      </c>
      <c r="M250" s="27">
        <v>0</v>
      </c>
      <c r="N250" s="34"/>
    </row>
    <row r="251" spans="2:16" x14ac:dyDescent="0.35">
      <c r="B251" s="179"/>
      <c r="C251" s="181"/>
      <c r="D251" s="183"/>
      <c r="E251" s="185"/>
      <c r="F251" s="187"/>
      <c r="G251" s="189"/>
      <c r="H251" s="4"/>
      <c r="I251" s="1"/>
      <c r="J251" s="1"/>
      <c r="K251" s="9">
        <v>0</v>
      </c>
      <c r="L251" s="27">
        <v>0</v>
      </c>
      <c r="M251" s="27">
        <v>0</v>
      </c>
      <c r="N251" s="34"/>
    </row>
    <row r="252" spans="2:16" x14ac:dyDescent="0.35">
      <c r="B252" s="179"/>
      <c r="C252" s="181"/>
      <c r="D252" s="183"/>
      <c r="E252" s="185"/>
      <c r="F252" s="187"/>
      <c r="G252" s="189"/>
      <c r="H252" s="4"/>
      <c r="I252" s="1"/>
      <c r="J252" s="1"/>
      <c r="K252" s="9">
        <v>0</v>
      </c>
      <c r="L252" s="27">
        <v>0</v>
      </c>
      <c r="M252" s="27">
        <v>0</v>
      </c>
      <c r="N252" s="34"/>
    </row>
    <row r="253" spans="2:16" x14ac:dyDescent="0.35">
      <c r="B253" s="179"/>
      <c r="C253" s="181"/>
      <c r="D253" s="183"/>
      <c r="E253" s="185"/>
      <c r="F253" s="187"/>
      <c r="G253" s="189"/>
      <c r="H253" s="4"/>
      <c r="I253" s="1"/>
      <c r="J253" s="1"/>
      <c r="K253" s="9">
        <v>0</v>
      </c>
      <c r="L253" s="27">
        <v>0</v>
      </c>
      <c r="M253" s="27">
        <v>0</v>
      </c>
      <c r="N253" s="34"/>
    </row>
    <row r="254" spans="2:16" ht="15" thickBot="1" x14ac:dyDescent="0.4">
      <c r="B254" s="169"/>
      <c r="C254" s="192"/>
      <c r="D254" s="193"/>
      <c r="E254" s="194"/>
      <c r="F254" s="195"/>
      <c r="G254" s="196"/>
      <c r="H254" s="7" t="s">
        <v>26</v>
      </c>
      <c r="I254" s="115">
        <f>SUM(G245-K254)</f>
        <v>6341.9400000000023</v>
      </c>
      <c r="J254" s="116" t="s">
        <v>10</v>
      </c>
      <c r="K254" s="117">
        <f>SUM(K245:K253)</f>
        <v>63658.06</v>
      </c>
      <c r="L254" s="64">
        <f t="shared" ref="L254:M316" si="14">SUM(L245:L253)</f>
        <v>19097.417999999998</v>
      </c>
      <c r="M254" s="64">
        <f t="shared" si="14"/>
        <v>6341.9400000000023</v>
      </c>
      <c r="N254" s="34"/>
      <c r="O254" s="162">
        <f>SUM(K254,M254)</f>
        <v>70000</v>
      </c>
      <c r="P254" s="157">
        <f>I254-M254</f>
        <v>0</v>
      </c>
    </row>
    <row r="255" spans="2:16" x14ac:dyDescent="0.35">
      <c r="B255" s="168" t="s">
        <v>2</v>
      </c>
      <c r="C255" s="170" t="s">
        <v>3</v>
      </c>
      <c r="D255" s="172" t="s">
        <v>4</v>
      </c>
      <c r="E255" s="173"/>
      <c r="F255" s="173"/>
      <c r="G255" s="174"/>
      <c r="H255" s="175" t="s">
        <v>5</v>
      </c>
      <c r="I255" s="176"/>
      <c r="J255" s="176"/>
      <c r="K255" s="177"/>
      <c r="L255" s="25" t="s">
        <v>6</v>
      </c>
      <c r="M255" s="31"/>
      <c r="N255" s="34"/>
    </row>
    <row r="256" spans="2:16" ht="15" thickBot="1" x14ac:dyDescent="0.4">
      <c r="B256" s="169"/>
      <c r="C256" s="171"/>
      <c r="D256" s="16" t="s">
        <v>7</v>
      </c>
      <c r="E256" s="12" t="s">
        <v>8</v>
      </c>
      <c r="F256" s="14" t="s">
        <v>9</v>
      </c>
      <c r="G256" s="17" t="s">
        <v>10</v>
      </c>
      <c r="H256" s="8" t="s">
        <v>11</v>
      </c>
      <c r="I256" s="7" t="s">
        <v>12</v>
      </c>
      <c r="J256" s="2" t="s">
        <v>13</v>
      </c>
      <c r="K256" s="3" t="s">
        <v>14</v>
      </c>
      <c r="L256" s="26" t="s">
        <v>164</v>
      </c>
      <c r="M256" s="32" t="s">
        <v>16</v>
      </c>
      <c r="N256" s="34"/>
    </row>
    <row r="257" spans="2:16" ht="43.5" x14ac:dyDescent="0.35">
      <c r="B257" s="178" t="s">
        <v>165</v>
      </c>
      <c r="C257" s="180" t="s">
        <v>166</v>
      </c>
      <c r="D257" s="183"/>
      <c r="E257" s="185"/>
      <c r="F257" s="187">
        <v>10000</v>
      </c>
      <c r="G257" s="189">
        <f>SUM(D257:F257)</f>
        <v>10000</v>
      </c>
      <c r="H257" s="5">
        <v>1</v>
      </c>
      <c r="I257" s="24" t="s">
        <v>167</v>
      </c>
      <c r="J257" s="24" t="s">
        <v>124</v>
      </c>
      <c r="K257" s="9">
        <v>8892.7800000000007</v>
      </c>
      <c r="L257" s="27">
        <f>K257*0.3</f>
        <v>2667.8340000000003</v>
      </c>
      <c r="M257" s="27">
        <f>10000-K257</f>
        <v>1107.2199999999993</v>
      </c>
      <c r="N257" s="34"/>
    </row>
    <row r="258" spans="2:16" x14ac:dyDescent="0.35">
      <c r="B258" s="179"/>
      <c r="C258" s="181"/>
      <c r="D258" s="183"/>
      <c r="E258" s="185"/>
      <c r="F258" s="187"/>
      <c r="G258" s="189"/>
      <c r="H258" s="4"/>
      <c r="I258" s="1"/>
      <c r="J258" s="1"/>
      <c r="K258" s="9">
        <v>0</v>
      </c>
      <c r="L258" s="27">
        <v>0</v>
      </c>
      <c r="M258" s="27">
        <v>0</v>
      </c>
      <c r="N258" s="34"/>
    </row>
    <row r="259" spans="2:16" x14ac:dyDescent="0.35">
      <c r="B259" s="179"/>
      <c r="C259" s="181"/>
      <c r="D259" s="183"/>
      <c r="E259" s="185"/>
      <c r="F259" s="187"/>
      <c r="G259" s="189"/>
      <c r="H259" s="4"/>
      <c r="I259" s="1"/>
      <c r="J259" s="1"/>
      <c r="K259" s="9">
        <v>0</v>
      </c>
      <c r="L259" s="27">
        <v>0</v>
      </c>
      <c r="M259" s="27">
        <v>0</v>
      </c>
      <c r="N259" s="34"/>
    </row>
    <row r="260" spans="2:16" x14ac:dyDescent="0.35">
      <c r="B260" s="179"/>
      <c r="C260" s="181"/>
      <c r="D260" s="183"/>
      <c r="E260" s="185"/>
      <c r="F260" s="187"/>
      <c r="G260" s="189"/>
      <c r="H260" s="4"/>
      <c r="I260" s="1"/>
      <c r="J260" s="1"/>
      <c r="K260" s="9">
        <v>0</v>
      </c>
      <c r="L260" s="27">
        <v>0</v>
      </c>
      <c r="M260" s="27">
        <v>0</v>
      </c>
      <c r="N260" s="34"/>
    </row>
    <row r="261" spans="2:16" x14ac:dyDescent="0.35">
      <c r="B261" s="179"/>
      <c r="C261" s="181"/>
      <c r="D261" s="183"/>
      <c r="E261" s="185"/>
      <c r="F261" s="187"/>
      <c r="G261" s="189"/>
      <c r="H261" s="4"/>
      <c r="I261" s="1"/>
      <c r="J261" s="1"/>
      <c r="K261" s="9">
        <v>0</v>
      </c>
      <c r="L261" s="27">
        <v>0</v>
      </c>
      <c r="M261" s="27">
        <v>0</v>
      </c>
      <c r="N261" s="34"/>
    </row>
    <row r="262" spans="2:16" x14ac:dyDescent="0.35">
      <c r="B262" s="179"/>
      <c r="C262" s="181"/>
      <c r="D262" s="183"/>
      <c r="E262" s="185"/>
      <c r="F262" s="187"/>
      <c r="G262" s="189"/>
      <c r="H262" s="4"/>
      <c r="I262" s="1"/>
      <c r="J262" s="1"/>
      <c r="K262" s="9">
        <v>0</v>
      </c>
      <c r="L262" s="27">
        <v>0</v>
      </c>
      <c r="M262" s="27">
        <v>0</v>
      </c>
      <c r="N262" s="34"/>
    </row>
    <row r="263" spans="2:16" x14ac:dyDescent="0.35">
      <c r="B263" s="179"/>
      <c r="C263" s="181"/>
      <c r="D263" s="183"/>
      <c r="E263" s="185"/>
      <c r="F263" s="187"/>
      <c r="G263" s="189"/>
      <c r="H263" s="4"/>
      <c r="I263" s="1"/>
      <c r="J263" s="1"/>
      <c r="K263" s="9">
        <v>0</v>
      </c>
      <c r="L263" s="27">
        <v>0</v>
      </c>
      <c r="M263" s="27">
        <v>0</v>
      </c>
      <c r="N263" s="34"/>
    </row>
    <row r="264" spans="2:16" x14ac:dyDescent="0.35">
      <c r="B264" s="179"/>
      <c r="C264" s="181"/>
      <c r="D264" s="183"/>
      <c r="E264" s="185"/>
      <c r="F264" s="187"/>
      <c r="G264" s="189"/>
      <c r="H264" s="4"/>
      <c r="I264" s="1"/>
      <c r="J264" s="1"/>
      <c r="K264" s="9">
        <v>0</v>
      </c>
      <c r="L264" s="27">
        <v>0</v>
      </c>
      <c r="M264" s="27"/>
      <c r="N264" s="34"/>
    </row>
    <row r="265" spans="2:16" x14ac:dyDescent="0.35">
      <c r="B265" s="179"/>
      <c r="C265" s="181"/>
      <c r="D265" s="183"/>
      <c r="E265" s="185"/>
      <c r="F265" s="187"/>
      <c r="G265" s="189"/>
      <c r="H265" s="4"/>
      <c r="I265" s="1"/>
      <c r="J265" s="1"/>
      <c r="K265" s="9">
        <v>0</v>
      </c>
      <c r="L265" s="27">
        <v>0</v>
      </c>
      <c r="M265" s="27">
        <v>0</v>
      </c>
      <c r="N265" s="34"/>
    </row>
    <row r="266" spans="2:16" ht="15" thickBot="1" x14ac:dyDescent="0.4">
      <c r="B266" s="169"/>
      <c r="C266" s="192"/>
      <c r="D266" s="193"/>
      <c r="E266" s="194"/>
      <c r="F266" s="195"/>
      <c r="G266" s="196"/>
      <c r="H266" s="7" t="s">
        <v>26</v>
      </c>
      <c r="I266" s="115">
        <f>SUM(G257-K266)</f>
        <v>1107.2199999999993</v>
      </c>
      <c r="J266" s="116" t="s">
        <v>10</v>
      </c>
      <c r="K266" s="117">
        <f>SUM(K257:K265)</f>
        <v>8892.7800000000007</v>
      </c>
      <c r="L266" s="64">
        <f t="shared" si="14"/>
        <v>2667.8340000000003</v>
      </c>
      <c r="M266" s="64">
        <f t="shared" si="14"/>
        <v>1107.2199999999993</v>
      </c>
      <c r="N266" s="34"/>
      <c r="O266" s="162">
        <f>SUM(K266,M266)</f>
        <v>10000</v>
      </c>
      <c r="P266" s="157">
        <f>I266-M266</f>
        <v>0</v>
      </c>
    </row>
    <row r="267" spans="2:16" x14ac:dyDescent="0.35">
      <c r="B267" s="168" t="s">
        <v>2</v>
      </c>
      <c r="C267" s="170" t="s">
        <v>3</v>
      </c>
      <c r="D267" s="172" t="s">
        <v>4</v>
      </c>
      <c r="E267" s="173"/>
      <c r="F267" s="173"/>
      <c r="G267" s="174"/>
      <c r="H267" s="175" t="s">
        <v>5</v>
      </c>
      <c r="I267" s="176"/>
      <c r="J267" s="176"/>
      <c r="K267" s="177"/>
      <c r="L267" s="25" t="s">
        <v>6</v>
      </c>
      <c r="M267" s="31"/>
      <c r="N267" s="34"/>
    </row>
    <row r="268" spans="2:16" ht="15" thickBot="1" x14ac:dyDescent="0.4">
      <c r="B268" s="169"/>
      <c r="C268" s="171"/>
      <c r="D268" s="16" t="s">
        <v>7</v>
      </c>
      <c r="E268" s="12" t="s">
        <v>8</v>
      </c>
      <c r="F268" s="14" t="s">
        <v>9</v>
      </c>
      <c r="G268" s="17" t="s">
        <v>10</v>
      </c>
      <c r="H268" s="8" t="s">
        <v>11</v>
      </c>
      <c r="I268" s="7" t="s">
        <v>12</v>
      </c>
      <c r="J268" s="2" t="s">
        <v>13</v>
      </c>
      <c r="K268" s="3" t="s">
        <v>14</v>
      </c>
      <c r="L268" s="26" t="s">
        <v>168</v>
      </c>
      <c r="M268" s="32" t="s">
        <v>16</v>
      </c>
      <c r="N268" s="34"/>
    </row>
    <row r="269" spans="2:16" ht="29" x14ac:dyDescent="0.35">
      <c r="B269" s="178" t="s">
        <v>169</v>
      </c>
      <c r="C269" s="180" t="s">
        <v>170</v>
      </c>
      <c r="D269" s="183">
        <v>26200</v>
      </c>
      <c r="E269" s="185">
        <v>50000</v>
      </c>
      <c r="F269" s="187"/>
      <c r="G269" s="189">
        <f>SUM(D269:F269)</f>
        <v>76200</v>
      </c>
      <c r="H269" s="5">
        <v>1</v>
      </c>
      <c r="I269" s="24" t="s">
        <v>171</v>
      </c>
      <c r="J269" s="24" t="s">
        <v>172</v>
      </c>
      <c r="K269" s="92">
        <f>46918.89+3095.66</f>
        <v>50014.55</v>
      </c>
      <c r="L269" s="27">
        <f>K269*0.75</f>
        <v>37510.912500000006</v>
      </c>
      <c r="M269" s="27">
        <v>0</v>
      </c>
      <c r="N269" s="34"/>
    </row>
    <row r="270" spans="2:16" x14ac:dyDescent="0.35">
      <c r="B270" s="179"/>
      <c r="C270" s="181"/>
      <c r="D270" s="183"/>
      <c r="E270" s="185"/>
      <c r="F270" s="187"/>
      <c r="G270" s="189"/>
      <c r="H270" s="4">
        <v>2</v>
      </c>
      <c r="I270" s="1" t="s">
        <v>173</v>
      </c>
      <c r="J270" s="57">
        <v>45264</v>
      </c>
      <c r="K270" s="9">
        <v>2752</v>
      </c>
      <c r="L270" s="27">
        <f t="shared" ref="L270:L279" si="15">K270*0.75</f>
        <v>2064</v>
      </c>
      <c r="M270" s="27">
        <v>0</v>
      </c>
      <c r="N270" s="34"/>
    </row>
    <row r="271" spans="2:16" x14ac:dyDescent="0.35">
      <c r="B271" s="179"/>
      <c r="C271" s="181"/>
      <c r="D271" s="183"/>
      <c r="E271" s="185"/>
      <c r="F271" s="187"/>
      <c r="G271" s="189"/>
      <c r="H271" s="4">
        <v>3</v>
      </c>
      <c r="I271" s="1" t="s">
        <v>174</v>
      </c>
      <c r="J271" s="1" t="s">
        <v>175</v>
      </c>
      <c r="K271" s="9">
        <v>8200</v>
      </c>
      <c r="L271" s="27">
        <f t="shared" si="15"/>
        <v>6150</v>
      </c>
      <c r="M271" s="27">
        <v>0</v>
      </c>
      <c r="N271" s="34"/>
    </row>
    <row r="272" spans="2:16" x14ac:dyDescent="0.35">
      <c r="B272" s="179"/>
      <c r="C272" s="181"/>
      <c r="D272" s="183"/>
      <c r="E272" s="185"/>
      <c r="F272" s="187"/>
      <c r="G272" s="189"/>
      <c r="H272" s="4">
        <v>4</v>
      </c>
      <c r="I272" s="1" t="s">
        <v>176</v>
      </c>
      <c r="J272" s="1" t="s">
        <v>177</v>
      </c>
      <c r="K272" s="9">
        <v>0</v>
      </c>
      <c r="L272" s="27">
        <f t="shared" si="15"/>
        <v>0</v>
      </c>
      <c r="M272" s="27">
        <v>8000</v>
      </c>
      <c r="N272" s="34"/>
    </row>
    <row r="273" spans="2:16" x14ac:dyDescent="0.35">
      <c r="B273" s="179"/>
      <c r="C273" s="181"/>
      <c r="D273" s="183"/>
      <c r="E273" s="185"/>
      <c r="F273" s="187"/>
      <c r="G273" s="189"/>
      <c r="H273" s="4">
        <v>5</v>
      </c>
      <c r="I273" s="1" t="s">
        <v>178</v>
      </c>
      <c r="J273" s="98">
        <v>45536</v>
      </c>
      <c r="K273" s="9">
        <v>0</v>
      </c>
      <c r="L273" s="27">
        <f t="shared" si="15"/>
        <v>0</v>
      </c>
      <c r="M273" s="27">
        <v>14000</v>
      </c>
      <c r="N273" s="34"/>
    </row>
    <row r="274" spans="2:16" x14ac:dyDescent="0.35">
      <c r="B274" s="179"/>
      <c r="C274" s="181"/>
      <c r="D274" s="183"/>
      <c r="E274" s="185"/>
      <c r="F274" s="187"/>
      <c r="G274" s="189"/>
      <c r="H274" s="4">
        <v>6</v>
      </c>
      <c r="I274" s="1"/>
      <c r="J274" s="1"/>
      <c r="K274" s="9">
        <v>0</v>
      </c>
      <c r="L274" s="27">
        <f t="shared" si="15"/>
        <v>0</v>
      </c>
      <c r="M274" s="27">
        <v>0</v>
      </c>
      <c r="N274" s="34"/>
    </row>
    <row r="275" spans="2:16" x14ac:dyDescent="0.35">
      <c r="B275" s="179"/>
      <c r="C275" s="181"/>
      <c r="D275" s="183"/>
      <c r="E275" s="185"/>
      <c r="F275" s="187"/>
      <c r="G275" s="189"/>
      <c r="H275" s="4"/>
      <c r="I275" s="1"/>
      <c r="J275" s="1"/>
      <c r="K275" s="9"/>
      <c r="L275" s="27"/>
      <c r="M275" s="27"/>
      <c r="N275" s="34"/>
    </row>
    <row r="276" spans="2:16" x14ac:dyDescent="0.35">
      <c r="B276" s="179"/>
      <c r="C276" s="181"/>
      <c r="D276" s="183"/>
      <c r="E276" s="185"/>
      <c r="F276" s="187"/>
      <c r="G276" s="189"/>
      <c r="H276" s="4"/>
      <c r="I276" s="1"/>
      <c r="J276" s="1"/>
      <c r="K276" s="9"/>
      <c r="L276" s="27"/>
      <c r="M276" s="27"/>
      <c r="N276" s="34"/>
    </row>
    <row r="277" spans="2:16" ht="13.5" customHeight="1" x14ac:dyDescent="0.35">
      <c r="B277" s="179"/>
      <c r="C277" s="181"/>
      <c r="D277" s="183"/>
      <c r="E277" s="185"/>
      <c r="F277" s="187"/>
      <c r="G277" s="189"/>
      <c r="H277" s="4"/>
      <c r="I277" s="1"/>
      <c r="J277" s="1"/>
      <c r="K277" s="9">
        <v>0</v>
      </c>
      <c r="L277" s="27">
        <f t="shared" si="15"/>
        <v>0</v>
      </c>
      <c r="M277" s="27">
        <v>0</v>
      </c>
      <c r="N277" s="34"/>
    </row>
    <row r="278" spans="2:16" x14ac:dyDescent="0.35">
      <c r="B278" s="179"/>
      <c r="C278" s="181"/>
      <c r="D278" s="183"/>
      <c r="E278" s="185"/>
      <c r="F278" s="187"/>
      <c r="G278" s="189"/>
      <c r="H278" s="4"/>
      <c r="I278" s="1"/>
      <c r="J278" s="1"/>
      <c r="K278" s="9">
        <v>0</v>
      </c>
      <c r="L278" s="27">
        <f t="shared" si="15"/>
        <v>0</v>
      </c>
      <c r="M278" s="27">
        <v>0</v>
      </c>
      <c r="N278" s="34"/>
    </row>
    <row r="279" spans="2:16" x14ac:dyDescent="0.35">
      <c r="B279" s="179"/>
      <c r="C279" s="181"/>
      <c r="D279" s="183"/>
      <c r="E279" s="185"/>
      <c r="F279" s="187"/>
      <c r="G279" s="189"/>
      <c r="H279" s="4"/>
      <c r="I279" s="1"/>
      <c r="J279" s="1"/>
      <c r="K279" s="9">
        <v>0</v>
      </c>
      <c r="L279" s="27">
        <f t="shared" si="15"/>
        <v>0</v>
      </c>
      <c r="M279" s="27">
        <v>0</v>
      </c>
      <c r="N279" s="34"/>
    </row>
    <row r="280" spans="2:16" ht="48.75" customHeight="1" thickBot="1" x14ac:dyDescent="0.4">
      <c r="B280" s="169"/>
      <c r="C280" s="192"/>
      <c r="D280" s="193"/>
      <c r="E280" s="194"/>
      <c r="F280" s="195"/>
      <c r="G280" s="196"/>
      <c r="H280" s="7" t="s">
        <v>26</v>
      </c>
      <c r="I280" s="115">
        <f>SUM(G269-K280)</f>
        <v>15233.449999999997</v>
      </c>
      <c r="J280" s="116" t="s">
        <v>10</v>
      </c>
      <c r="K280" s="117">
        <f>SUM(K269:K279)</f>
        <v>60966.55</v>
      </c>
      <c r="L280" s="64">
        <f>SUM(L269:L279)</f>
        <v>45724.912500000006</v>
      </c>
      <c r="M280" s="64">
        <f>SUM(M269:M279)</f>
        <v>22000</v>
      </c>
      <c r="N280" s="34"/>
      <c r="O280" s="162">
        <f>SUM(K280,M280)</f>
        <v>82966.55</v>
      </c>
      <c r="P280" s="157">
        <f>I280-M280</f>
        <v>-6766.5500000000029</v>
      </c>
    </row>
    <row r="281" spans="2:16" x14ac:dyDescent="0.35">
      <c r="B281" s="168" t="s">
        <v>2</v>
      </c>
      <c r="C281" s="170" t="s">
        <v>3</v>
      </c>
      <c r="D281" s="172" t="s">
        <v>4</v>
      </c>
      <c r="E281" s="173"/>
      <c r="F281" s="173"/>
      <c r="G281" s="174"/>
      <c r="H281" s="175" t="s">
        <v>5</v>
      </c>
      <c r="I281" s="176"/>
      <c r="J281" s="176"/>
      <c r="K281" s="177"/>
      <c r="L281" s="25" t="s">
        <v>6</v>
      </c>
      <c r="M281" s="31"/>
      <c r="N281" s="34"/>
    </row>
    <row r="282" spans="2:16" ht="15" thickBot="1" x14ac:dyDescent="0.4">
      <c r="B282" s="169"/>
      <c r="C282" s="171"/>
      <c r="D282" s="16" t="s">
        <v>7</v>
      </c>
      <c r="E282" s="12" t="s">
        <v>8</v>
      </c>
      <c r="F282" s="14" t="s">
        <v>9</v>
      </c>
      <c r="G282" s="17" t="s">
        <v>10</v>
      </c>
      <c r="H282" s="8" t="s">
        <v>11</v>
      </c>
      <c r="I282" s="7" t="s">
        <v>12</v>
      </c>
      <c r="J282" s="2" t="s">
        <v>13</v>
      </c>
      <c r="K282" s="3" t="s">
        <v>14</v>
      </c>
      <c r="L282" s="26" t="s">
        <v>79</v>
      </c>
      <c r="M282" s="32" t="s">
        <v>16</v>
      </c>
      <c r="N282" s="34"/>
    </row>
    <row r="283" spans="2:16" ht="29" x14ac:dyDescent="0.35">
      <c r="B283" s="178" t="s">
        <v>179</v>
      </c>
      <c r="C283" s="180" t="s">
        <v>180</v>
      </c>
      <c r="D283" s="183">
        <v>10900</v>
      </c>
      <c r="E283" s="185">
        <v>28000</v>
      </c>
      <c r="F283" s="187"/>
      <c r="G283" s="189">
        <f>SUM(D283:F283)</f>
        <v>38900</v>
      </c>
      <c r="H283" s="5">
        <v>1</v>
      </c>
      <c r="I283" s="24" t="s">
        <v>171</v>
      </c>
      <c r="J283" s="24" t="s">
        <v>172</v>
      </c>
      <c r="K283" s="9">
        <v>0</v>
      </c>
      <c r="L283" s="27">
        <v>0</v>
      </c>
      <c r="M283" s="27">
        <v>28000</v>
      </c>
      <c r="N283" s="34"/>
    </row>
    <row r="284" spans="2:16" x14ac:dyDescent="0.35">
      <c r="B284" s="179"/>
      <c r="C284" s="181"/>
      <c r="D284" s="183"/>
      <c r="E284" s="185"/>
      <c r="F284" s="187"/>
      <c r="G284" s="189"/>
      <c r="H284" s="4">
        <v>2</v>
      </c>
      <c r="I284" s="1" t="s">
        <v>181</v>
      </c>
      <c r="J284" s="98">
        <v>45428</v>
      </c>
      <c r="K284" s="9">
        <v>2930</v>
      </c>
      <c r="L284" s="27">
        <v>0</v>
      </c>
      <c r="M284" s="27">
        <v>0</v>
      </c>
      <c r="N284" s="34"/>
    </row>
    <row r="285" spans="2:16" x14ac:dyDescent="0.35">
      <c r="B285" s="179"/>
      <c r="C285" s="181"/>
      <c r="D285" s="183"/>
      <c r="E285" s="185"/>
      <c r="F285" s="187"/>
      <c r="G285" s="189"/>
      <c r="H285" s="4">
        <v>3</v>
      </c>
      <c r="I285" s="1" t="s">
        <v>182</v>
      </c>
      <c r="J285" s="1" t="s">
        <v>183</v>
      </c>
      <c r="K285" s="9">
        <v>0</v>
      </c>
      <c r="L285" s="27">
        <v>0</v>
      </c>
      <c r="M285" s="27">
        <v>4500</v>
      </c>
      <c r="N285" s="34"/>
    </row>
    <row r="286" spans="2:16" x14ac:dyDescent="0.35">
      <c r="B286" s="179"/>
      <c r="C286" s="181"/>
      <c r="D286" s="183"/>
      <c r="E286" s="185"/>
      <c r="F286" s="187"/>
      <c r="G286" s="189"/>
      <c r="H286" s="4"/>
      <c r="I286" s="1"/>
      <c r="K286" s="9">
        <v>0</v>
      </c>
      <c r="L286" s="27">
        <v>0</v>
      </c>
      <c r="M286" s="27">
        <v>0</v>
      </c>
      <c r="N286" s="34"/>
    </row>
    <row r="287" spans="2:16" x14ac:dyDescent="0.35">
      <c r="B287" s="179"/>
      <c r="C287" s="181"/>
      <c r="D287" s="183"/>
      <c r="E287" s="185"/>
      <c r="F287" s="187"/>
      <c r="G287" s="189"/>
      <c r="H287" s="4"/>
      <c r="I287" s="1"/>
      <c r="J287" s="1"/>
      <c r="K287" s="9">
        <v>0</v>
      </c>
      <c r="L287" s="27">
        <v>0</v>
      </c>
      <c r="M287" s="27">
        <v>0</v>
      </c>
      <c r="N287" s="34"/>
    </row>
    <row r="288" spans="2:16" x14ac:dyDescent="0.35">
      <c r="B288" s="179"/>
      <c r="C288" s="181"/>
      <c r="D288" s="183"/>
      <c r="E288" s="185"/>
      <c r="F288" s="187"/>
      <c r="G288" s="189"/>
      <c r="H288" s="4"/>
      <c r="I288" s="1"/>
      <c r="J288" s="1"/>
      <c r="K288" s="9">
        <v>0</v>
      </c>
      <c r="L288" s="27">
        <v>0</v>
      </c>
      <c r="M288" s="27">
        <v>0</v>
      </c>
      <c r="N288" s="34"/>
    </row>
    <row r="289" spans="2:16" x14ac:dyDescent="0.35">
      <c r="B289" s="179"/>
      <c r="C289" s="181"/>
      <c r="D289" s="183"/>
      <c r="E289" s="185"/>
      <c r="F289" s="187"/>
      <c r="G289" s="189"/>
      <c r="H289" s="4"/>
      <c r="I289" s="1"/>
      <c r="J289" s="1"/>
      <c r="K289" s="9">
        <v>0</v>
      </c>
      <c r="L289" s="27">
        <v>0</v>
      </c>
      <c r="M289" s="27">
        <v>0</v>
      </c>
      <c r="N289" s="34"/>
    </row>
    <row r="290" spans="2:16" x14ac:dyDescent="0.35">
      <c r="B290" s="179"/>
      <c r="C290" s="181"/>
      <c r="D290" s="183"/>
      <c r="E290" s="185"/>
      <c r="F290" s="187"/>
      <c r="G290" s="189"/>
      <c r="H290" s="4"/>
      <c r="I290" s="1"/>
      <c r="J290" s="1"/>
      <c r="K290" s="9">
        <v>0</v>
      </c>
      <c r="L290" s="27">
        <v>0</v>
      </c>
      <c r="M290" s="27">
        <v>0</v>
      </c>
      <c r="N290" s="34"/>
    </row>
    <row r="291" spans="2:16" x14ac:dyDescent="0.35">
      <c r="B291" s="179"/>
      <c r="C291" s="181"/>
      <c r="D291" s="183"/>
      <c r="E291" s="185"/>
      <c r="F291" s="187"/>
      <c r="G291" s="189"/>
      <c r="H291" s="4"/>
      <c r="I291" s="1"/>
      <c r="J291" s="1"/>
      <c r="K291" s="9">
        <v>0</v>
      </c>
      <c r="L291" s="27">
        <v>0</v>
      </c>
      <c r="M291" s="27">
        <v>0</v>
      </c>
      <c r="N291" s="34"/>
    </row>
    <row r="292" spans="2:16" ht="15" thickBot="1" x14ac:dyDescent="0.4">
      <c r="B292" s="169"/>
      <c r="C292" s="192"/>
      <c r="D292" s="193"/>
      <c r="E292" s="194"/>
      <c r="F292" s="195"/>
      <c r="G292" s="196"/>
      <c r="H292" s="7" t="s">
        <v>26</v>
      </c>
      <c r="I292" s="115">
        <f>SUM(G283-K292)</f>
        <v>35970</v>
      </c>
      <c r="J292" s="116" t="s">
        <v>10</v>
      </c>
      <c r="K292" s="117">
        <f>SUM(K283:K291)</f>
        <v>2930</v>
      </c>
      <c r="L292" s="64">
        <f t="shared" si="14"/>
        <v>0</v>
      </c>
      <c r="M292" s="64">
        <f t="shared" ref="M292" si="16">SUM(M283:M291)</f>
        <v>32500</v>
      </c>
      <c r="N292" s="34"/>
      <c r="O292" s="162">
        <f>SUM(K292,M292)</f>
        <v>35430</v>
      </c>
      <c r="P292" s="157">
        <f>I292-M292</f>
        <v>3470</v>
      </c>
    </row>
    <row r="293" spans="2:16" x14ac:dyDescent="0.35">
      <c r="B293" s="168" t="s">
        <v>2</v>
      </c>
      <c r="C293" s="170" t="s">
        <v>3</v>
      </c>
      <c r="D293" s="172" t="s">
        <v>4</v>
      </c>
      <c r="E293" s="173"/>
      <c r="F293" s="173"/>
      <c r="G293" s="174"/>
      <c r="H293" s="175" t="s">
        <v>5</v>
      </c>
      <c r="I293" s="176"/>
      <c r="J293" s="176"/>
      <c r="K293" s="177"/>
      <c r="L293" s="25" t="s">
        <v>6</v>
      </c>
      <c r="M293" s="31"/>
      <c r="N293" s="34"/>
    </row>
    <row r="294" spans="2:16" ht="15" thickBot="1" x14ac:dyDescent="0.4">
      <c r="B294" s="169"/>
      <c r="C294" s="171"/>
      <c r="D294" s="16" t="s">
        <v>7</v>
      </c>
      <c r="E294" s="12" t="s">
        <v>8</v>
      </c>
      <c r="F294" s="14" t="s">
        <v>9</v>
      </c>
      <c r="G294" s="17" t="s">
        <v>10</v>
      </c>
      <c r="H294" s="8" t="s">
        <v>11</v>
      </c>
      <c r="I294" s="7" t="s">
        <v>12</v>
      </c>
      <c r="J294" s="2" t="s">
        <v>13</v>
      </c>
      <c r="K294" s="3" t="s">
        <v>14</v>
      </c>
      <c r="L294" s="26" t="s">
        <v>14</v>
      </c>
      <c r="M294" s="32" t="s">
        <v>16</v>
      </c>
      <c r="N294" s="34"/>
    </row>
    <row r="295" spans="2:16" ht="58" x14ac:dyDescent="0.35">
      <c r="B295" s="178" t="s">
        <v>184</v>
      </c>
      <c r="C295" s="180" t="s">
        <v>185</v>
      </c>
      <c r="D295" s="183"/>
      <c r="E295" s="185"/>
      <c r="F295" s="187">
        <v>120000</v>
      </c>
      <c r="G295" s="189">
        <f>SUM(D295:F295)</f>
        <v>120000</v>
      </c>
      <c r="H295" s="5">
        <v>1</v>
      </c>
      <c r="I295" s="24" t="s">
        <v>186</v>
      </c>
      <c r="J295" s="242" t="s">
        <v>124</v>
      </c>
      <c r="K295" s="225">
        <v>0</v>
      </c>
      <c r="L295" s="226">
        <v>0</v>
      </c>
      <c r="M295" s="226">
        <v>117200</v>
      </c>
      <c r="N295" s="34"/>
    </row>
    <row r="296" spans="2:16" ht="29" x14ac:dyDescent="0.35">
      <c r="B296" s="179"/>
      <c r="C296" s="181"/>
      <c r="D296" s="183"/>
      <c r="E296" s="185"/>
      <c r="F296" s="187"/>
      <c r="G296" s="189"/>
      <c r="H296" s="4">
        <v>2</v>
      </c>
      <c r="I296" s="1" t="s">
        <v>187</v>
      </c>
      <c r="J296" s="28" t="s">
        <v>188</v>
      </c>
      <c r="K296" s="9">
        <v>0</v>
      </c>
      <c r="L296" s="27">
        <v>0</v>
      </c>
      <c r="M296" s="27">
        <v>2800</v>
      </c>
      <c r="N296" s="34"/>
    </row>
    <row r="297" spans="2:16" x14ac:dyDescent="0.35">
      <c r="B297" s="179"/>
      <c r="C297" s="181"/>
      <c r="D297" s="183"/>
      <c r="E297" s="185"/>
      <c r="F297" s="187"/>
      <c r="G297" s="189"/>
      <c r="H297" s="4"/>
      <c r="I297" s="1"/>
      <c r="J297" s="1"/>
      <c r="K297" s="9">
        <v>0</v>
      </c>
      <c r="L297" s="27">
        <v>0</v>
      </c>
      <c r="M297" s="27">
        <v>0</v>
      </c>
      <c r="N297" s="34"/>
    </row>
    <row r="298" spans="2:16" x14ac:dyDescent="0.35">
      <c r="B298" s="179"/>
      <c r="C298" s="181"/>
      <c r="D298" s="183"/>
      <c r="E298" s="185"/>
      <c r="F298" s="187"/>
      <c r="G298" s="189"/>
      <c r="H298" s="4"/>
      <c r="I298" s="1"/>
      <c r="J298" s="1"/>
      <c r="K298" s="9">
        <v>0</v>
      </c>
      <c r="L298" s="27">
        <v>0</v>
      </c>
      <c r="M298" s="27">
        <v>0</v>
      </c>
      <c r="N298" s="34"/>
    </row>
    <row r="299" spans="2:16" x14ac:dyDescent="0.35">
      <c r="B299" s="179"/>
      <c r="C299" s="181"/>
      <c r="D299" s="183"/>
      <c r="E299" s="185"/>
      <c r="F299" s="187"/>
      <c r="G299" s="189"/>
      <c r="H299" s="4"/>
      <c r="I299" s="1"/>
      <c r="J299" s="1"/>
      <c r="K299" s="9">
        <v>0</v>
      </c>
      <c r="L299" s="27">
        <v>0</v>
      </c>
      <c r="M299" s="27">
        <v>0</v>
      </c>
      <c r="N299" s="34"/>
    </row>
    <row r="300" spans="2:16" x14ac:dyDescent="0.35">
      <c r="B300" s="179"/>
      <c r="C300" s="181"/>
      <c r="D300" s="183"/>
      <c r="E300" s="185"/>
      <c r="F300" s="187"/>
      <c r="G300" s="189"/>
      <c r="H300" s="4"/>
      <c r="I300" s="1"/>
      <c r="J300" s="1"/>
      <c r="K300" s="9">
        <v>0</v>
      </c>
      <c r="L300" s="27">
        <v>0</v>
      </c>
      <c r="M300" s="27">
        <v>0</v>
      </c>
      <c r="N300" s="34"/>
    </row>
    <row r="301" spans="2:16" x14ac:dyDescent="0.35">
      <c r="B301" s="179"/>
      <c r="C301" s="181"/>
      <c r="D301" s="183"/>
      <c r="E301" s="185"/>
      <c r="F301" s="187"/>
      <c r="G301" s="189"/>
      <c r="H301" s="4"/>
      <c r="I301" s="1"/>
      <c r="J301" s="1"/>
      <c r="K301" s="9">
        <v>0</v>
      </c>
      <c r="L301" s="27">
        <v>0</v>
      </c>
      <c r="M301" s="27">
        <v>0</v>
      </c>
      <c r="N301" s="34"/>
    </row>
    <row r="302" spans="2:16" x14ac:dyDescent="0.35">
      <c r="B302" s="179"/>
      <c r="C302" s="181"/>
      <c r="D302" s="183"/>
      <c r="E302" s="185"/>
      <c r="F302" s="187"/>
      <c r="G302" s="189"/>
      <c r="H302" s="4"/>
      <c r="I302" s="1"/>
      <c r="J302" s="1"/>
      <c r="K302" s="9">
        <v>0</v>
      </c>
      <c r="L302" s="27">
        <v>0</v>
      </c>
      <c r="M302" s="27">
        <v>0</v>
      </c>
      <c r="N302" s="34"/>
    </row>
    <row r="303" spans="2:16" x14ac:dyDescent="0.35">
      <c r="B303" s="179"/>
      <c r="C303" s="181"/>
      <c r="D303" s="183"/>
      <c r="E303" s="185"/>
      <c r="F303" s="187"/>
      <c r="G303" s="189"/>
      <c r="H303" s="4"/>
      <c r="I303" s="1"/>
      <c r="J303" s="1"/>
      <c r="K303" s="9">
        <v>0</v>
      </c>
      <c r="L303" s="27">
        <v>0</v>
      </c>
      <c r="M303" s="27">
        <v>0</v>
      </c>
      <c r="N303" s="34"/>
    </row>
    <row r="304" spans="2:16" ht="15" thickBot="1" x14ac:dyDescent="0.4">
      <c r="B304" s="169"/>
      <c r="C304" s="192"/>
      <c r="D304" s="193"/>
      <c r="E304" s="194"/>
      <c r="F304" s="195"/>
      <c r="G304" s="196"/>
      <c r="H304" s="7" t="s">
        <v>26</v>
      </c>
      <c r="I304" s="115">
        <f>SUM(G295-K304)</f>
        <v>120000</v>
      </c>
      <c r="J304" s="116" t="s">
        <v>10</v>
      </c>
      <c r="K304" s="117">
        <f>SUM(K295:K303)</f>
        <v>0</v>
      </c>
      <c r="L304" s="64">
        <f t="shared" si="14"/>
        <v>0</v>
      </c>
      <c r="M304" s="64">
        <f t="shared" ref="M304" si="17">SUM(M295:M303)</f>
        <v>120000</v>
      </c>
      <c r="N304" s="34"/>
      <c r="O304" s="162">
        <f>SUM(K304,M304)</f>
        <v>120000</v>
      </c>
      <c r="P304" s="157">
        <f>I304-M304</f>
        <v>0</v>
      </c>
    </row>
    <row r="305" spans="2:16" x14ac:dyDescent="0.35">
      <c r="B305" s="168" t="s">
        <v>2</v>
      </c>
      <c r="C305" s="170" t="s">
        <v>3</v>
      </c>
      <c r="D305" s="172" t="s">
        <v>4</v>
      </c>
      <c r="E305" s="173"/>
      <c r="F305" s="173"/>
      <c r="G305" s="174"/>
      <c r="H305" s="175" t="s">
        <v>5</v>
      </c>
      <c r="I305" s="176"/>
      <c r="J305" s="176"/>
      <c r="K305" s="177"/>
      <c r="L305" s="25" t="s">
        <v>6</v>
      </c>
      <c r="M305" s="31"/>
      <c r="N305" s="34"/>
    </row>
    <row r="306" spans="2:16" ht="15" thickBot="1" x14ac:dyDescent="0.4">
      <c r="B306" s="169"/>
      <c r="C306" s="171"/>
      <c r="D306" s="16" t="s">
        <v>7</v>
      </c>
      <c r="E306" s="12" t="s">
        <v>8</v>
      </c>
      <c r="F306" s="14" t="s">
        <v>9</v>
      </c>
      <c r="G306" s="17" t="s">
        <v>10</v>
      </c>
      <c r="H306" s="8" t="s">
        <v>11</v>
      </c>
      <c r="I306" s="7" t="s">
        <v>12</v>
      </c>
      <c r="J306" s="2" t="s">
        <v>13</v>
      </c>
      <c r="K306" s="3" t="s">
        <v>14</v>
      </c>
      <c r="L306" s="26" t="s">
        <v>189</v>
      </c>
      <c r="M306" s="32" t="s">
        <v>16</v>
      </c>
      <c r="N306" s="34"/>
    </row>
    <row r="307" spans="2:16" x14ac:dyDescent="0.35">
      <c r="B307" s="178" t="s">
        <v>190</v>
      </c>
      <c r="C307" s="180" t="s">
        <v>191</v>
      </c>
      <c r="D307" s="183">
        <v>8100</v>
      </c>
      <c r="E307" s="185"/>
      <c r="F307" s="187"/>
      <c r="G307" s="189">
        <f>SUM(D307:F307)</f>
        <v>8100</v>
      </c>
      <c r="H307" s="5">
        <v>1</v>
      </c>
      <c r="I307" s="6" t="s">
        <v>192</v>
      </c>
      <c r="J307" s="6"/>
      <c r="K307" s="9">
        <v>0</v>
      </c>
      <c r="L307" s="27">
        <v>0</v>
      </c>
      <c r="M307" s="27">
        <v>8100</v>
      </c>
      <c r="N307" s="34"/>
    </row>
    <row r="308" spans="2:16" x14ac:dyDescent="0.35">
      <c r="B308" s="179"/>
      <c r="C308" s="181"/>
      <c r="D308" s="183"/>
      <c r="E308" s="185"/>
      <c r="F308" s="187"/>
      <c r="G308" s="189"/>
      <c r="H308" s="4"/>
      <c r="I308" s="1"/>
      <c r="J308" s="1"/>
      <c r="K308" s="9">
        <v>0</v>
      </c>
      <c r="L308" s="27">
        <v>0</v>
      </c>
      <c r="M308" s="27">
        <v>0</v>
      </c>
      <c r="N308" s="34"/>
    </row>
    <row r="309" spans="2:16" x14ac:dyDescent="0.35">
      <c r="B309" s="179"/>
      <c r="C309" s="181"/>
      <c r="D309" s="183"/>
      <c r="E309" s="185"/>
      <c r="F309" s="187"/>
      <c r="G309" s="189"/>
      <c r="H309" s="4"/>
      <c r="I309" s="1"/>
      <c r="J309" s="1"/>
      <c r="K309" s="9">
        <v>0</v>
      </c>
      <c r="L309" s="27">
        <v>0</v>
      </c>
      <c r="M309" s="27">
        <v>0</v>
      </c>
      <c r="N309" s="34"/>
    </row>
    <row r="310" spans="2:16" x14ac:dyDescent="0.35">
      <c r="B310" s="179"/>
      <c r="C310" s="181"/>
      <c r="D310" s="183"/>
      <c r="E310" s="185"/>
      <c r="F310" s="187"/>
      <c r="G310" s="189"/>
      <c r="H310" s="4"/>
      <c r="I310" s="1"/>
      <c r="J310" s="1"/>
      <c r="K310" s="9">
        <v>0</v>
      </c>
      <c r="L310" s="27">
        <v>0</v>
      </c>
      <c r="M310" s="27">
        <v>0</v>
      </c>
      <c r="N310" s="34"/>
    </row>
    <row r="311" spans="2:16" x14ac:dyDescent="0.35">
      <c r="B311" s="179"/>
      <c r="C311" s="181"/>
      <c r="D311" s="183"/>
      <c r="E311" s="185"/>
      <c r="F311" s="187"/>
      <c r="G311" s="189"/>
      <c r="H311" s="4"/>
      <c r="I311" s="1"/>
      <c r="J311" s="1"/>
      <c r="K311" s="9">
        <v>0</v>
      </c>
      <c r="L311" s="27">
        <v>0</v>
      </c>
      <c r="M311" s="27">
        <v>0</v>
      </c>
      <c r="N311" s="34"/>
    </row>
    <row r="312" spans="2:16" x14ac:dyDescent="0.35">
      <c r="B312" s="179"/>
      <c r="C312" s="181"/>
      <c r="D312" s="183"/>
      <c r="E312" s="185"/>
      <c r="F312" s="187"/>
      <c r="G312" s="189"/>
      <c r="H312" s="4"/>
      <c r="I312" s="1"/>
      <c r="J312" s="1"/>
      <c r="K312" s="9">
        <v>0</v>
      </c>
      <c r="L312" s="27">
        <v>0</v>
      </c>
      <c r="M312" s="27">
        <v>0</v>
      </c>
      <c r="N312" s="34"/>
    </row>
    <row r="313" spans="2:16" x14ac:dyDescent="0.35">
      <c r="B313" s="179"/>
      <c r="C313" s="181"/>
      <c r="D313" s="183"/>
      <c r="E313" s="185"/>
      <c r="F313" s="187"/>
      <c r="G313" s="189"/>
      <c r="H313" s="4"/>
      <c r="I313" s="1"/>
      <c r="J313" s="1"/>
      <c r="K313" s="9">
        <v>0</v>
      </c>
      <c r="L313" s="27">
        <v>0</v>
      </c>
      <c r="M313" s="27">
        <v>0</v>
      </c>
      <c r="N313" s="34"/>
    </row>
    <row r="314" spans="2:16" x14ac:dyDescent="0.35">
      <c r="B314" s="179"/>
      <c r="C314" s="181"/>
      <c r="D314" s="183"/>
      <c r="E314" s="185"/>
      <c r="F314" s="187"/>
      <c r="G314" s="189"/>
      <c r="H314" s="4"/>
      <c r="I314" s="1"/>
      <c r="J314" s="1"/>
      <c r="K314" s="9">
        <v>0</v>
      </c>
      <c r="L314" s="27">
        <v>0</v>
      </c>
      <c r="M314" s="27">
        <v>0</v>
      </c>
      <c r="N314" s="34"/>
    </row>
    <row r="315" spans="2:16" x14ac:dyDescent="0.35">
      <c r="B315" s="179"/>
      <c r="C315" s="181"/>
      <c r="D315" s="183"/>
      <c r="E315" s="185"/>
      <c r="F315" s="187"/>
      <c r="G315" s="189"/>
      <c r="H315" s="4"/>
      <c r="I315" s="1"/>
      <c r="J315" s="1"/>
      <c r="K315" s="9">
        <v>0</v>
      </c>
      <c r="L315" s="27">
        <v>0</v>
      </c>
      <c r="M315" s="27">
        <v>0</v>
      </c>
      <c r="N315" s="34"/>
    </row>
    <row r="316" spans="2:16" ht="15" thickBot="1" x14ac:dyDescent="0.4">
      <c r="B316" s="169"/>
      <c r="C316" s="192"/>
      <c r="D316" s="193"/>
      <c r="E316" s="194"/>
      <c r="F316" s="195"/>
      <c r="G316" s="196"/>
      <c r="H316" s="7" t="s">
        <v>26</v>
      </c>
      <c r="I316" s="115">
        <f>SUM(G307-K316)</f>
        <v>8100</v>
      </c>
      <c r="J316" s="116" t="s">
        <v>10</v>
      </c>
      <c r="K316" s="117">
        <f>SUM(K307:K315)</f>
        <v>0</v>
      </c>
      <c r="L316" s="64">
        <f t="shared" si="14"/>
        <v>0</v>
      </c>
      <c r="M316" s="64">
        <f t="shared" ref="M316" si="18">SUM(M307:M315)</f>
        <v>8100</v>
      </c>
      <c r="N316" s="34"/>
      <c r="O316" s="162">
        <f>SUM(K316,M316)</f>
        <v>8100</v>
      </c>
      <c r="P316" s="157">
        <f>I316-M316</f>
        <v>0</v>
      </c>
    </row>
    <row r="317" spans="2:16" x14ac:dyDescent="0.35">
      <c r="B317" s="168" t="s">
        <v>2</v>
      </c>
      <c r="C317" s="170" t="s">
        <v>3</v>
      </c>
      <c r="D317" s="172" t="s">
        <v>4</v>
      </c>
      <c r="E317" s="173"/>
      <c r="F317" s="173"/>
      <c r="G317" s="174"/>
      <c r="H317" s="175" t="s">
        <v>5</v>
      </c>
      <c r="I317" s="176"/>
      <c r="J317" s="176"/>
      <c r="K317" s="177"/>
      <c r="L317" s="25" t="s">
        <v>6</v>
      </c>
      <c r="M317" s="31"/>
      <c r="N317" s="34"/>
    </row>
    <row r="318" spans="2:16" ht="15" thickBot="1" x14ac:dyDescent="0.4">
      <c r="B318" s="169"/>
      <c r="C318" s="171"/>
      <c r="D318" s="16" t="s">
        <v>7</v>
      </c>
      <c r="E318" s="12" t="s">
        <v>8</v>
      </c>
      <c r="F318" s="14" t="s">
        <v>9</v>
      </c>
      <c r="G318" s="17" t="s">
        <v>10</v>
      </c>
      <c r="H318" s="8" t="s">
        <v>11</v>
      </c>
      <c r="I318" s="7" t="s">
        <v>12</v>
      </c>
      <c r="J318" s="2" t="s">
        <v>13</v>
      </c>
      <c r="K318" s="3" t="s">
        <v>14</v>
      </c>
      <c r="L318" s="26" t="s">
        <v>189</v>
      </c>
      <c r="M318" s="32" t="s">
        <v>16</v>
      </c>
      <c r="N318" s="34"/>
    </row>
    <row r="319" spans="2:16" x14ac:dyDescent="0.35">
      <c r="B319" s="178" t="s">
        <v>193</v>
      </c>
      <c r="C319" s="180" t="s">
        <v>194</v>
      </c>
      <c r="D319" s="183">
        <v>54290</v>
      </c>
      <c r="E319" s="185"/>
      <c r="F319" s="187"/>
      <c r="G319" s="189">
        <f>SUM(D319:F319)</f>
        <v>54290</v>
      </c>
      <c r="H319" s="5">
        <v>1</v>
      </c>
      <c r="I319" s="6" t="s">
        <v>195</v>
      </c>
      <c r="J319" s="6" t="s">
        <v>196</v>
      </c>
      <c r="K319" s="9">
        <v>11842</v>
      </c>
      <c r="L319" s="27">
        <f>K319*0.15</f>
        <v>1776.3</v>
      </c>
      <c r="M319" s="27">
        <v>0</v>
      </c>
      <c r="N319" s="34"/>
    </row>
    <row r="320" spans="2:16" x14ac:dyDescent="0.35">
      <c r="B320" s="179"/>
      <c r="C320" s="181"/>
      <c r="D320" s="183"/>
      <c r="E320" s="185"/>
      <c r="F320" s="187"/>
      <c r="G320" s="189"/>
      <c r="H320" s="4">
        <v>2</v>
      </c>
      <c r="I320" s="1" t="s">
        <v>197</v>
      </c>
      <c r="J320" s="1" t="s">
        <v>198</v>
      </c>
      <c r="K320" s="9">
        <v>6600</v>
      </c>
      <c r="L320" s="27">
        <f t="shared" ref="L320:L327" si="19">K320*0.15</f>
        <v>990</v>
      </c>
      <c r="M320" s="27">
        <v>13590</v>
      </c>
      <c r="N320" s="34"/>
    </row>
    <row r="321" spans="2:16" x14ac:dyDescent="0.35">
      <c r="B321" s="179"/>
      <c r="C321" s="181"/>
      <c r="D321" s="183"/>
      <c r="E321" s="185"/>
      <c r="F321" s="187"/>
      <c r="G321" s="189"/>
      <c r="H321" s="4">
        <v>3</v>
      </c>
      <c r="I321" s="1" t="s">
        <v>199</v>
      </c>
      <c r="J321" s="98">
        <v>45352</v>
      </c>
      <c r="K321" s="9">
        <v>8720</v>
      </c>
      <c r="L321" s="27">
        <f t="shared" si="19"/>
        <v>1308</v>
      </c>
      <c r="M321" s="27">
        <v>0</v>
      </c>
      <c r="N321" s="34"/>
    </row>
    <row r="322" spans="2:16" x14ac:dyDescent="0.35">
      <c r="B322" s="179"/>
      <c r="C322" s="181"/>
      <c r="D322" s="183"/>
      <c r="E322" s="185"/>
      <c r="F322" s="187"/>
      <c r="G322" s="189"/>
      <c r="H322" s="4">
        <v>4</v>
      </c>
      <c r="I322" s="1" t="s">
        <v>200</v>
      </c>
      <c r="J322" s="1" t="s">
        <v>198</v>
      </c>
      <c r="K322" s="9">
        <v>9000</v>
      </c>
      <c r="L322" s="27">
        <f t="shared" si="19"/>
        <v>1350</v>
      </c>
      <c r="M322" s="27">
        <v>0</v>
      </c>
      <c r="N322" s="34"/>
    </row>
    <row r="323" spans="2:16" x14ac:dyDescent="0.35">
      <c r="B323" s="179"/>
      <c r="C323" s="181"/>
      <c r="D323" s="183"/>
      <c r="E323" s="185"/>
      <c r="F323" s="187"/>
      <c r="G323" s="189"/>
      <c r="H323" s="4"/>
      <c r="I323" s="1"/>
      <c r="J323" s="1"/>
      <c r="K323" s="9">
        <v>0</v>
      </c>
      <c r="L323" s="27">
        <f t="shared" si="19"/>
        <v>0</v>
      </c>
      <c r="M323" s="27">
        <v>0</v>
      </c>
      <c r="N323" s="34"/>
    </row>
    <row r="324" spans="2:16" x14ac:dyDescent="0.35">
      <c r="B324" s="179"/>
      <c r="C324" s="181"/>
      <c r="D324" s="183"/>
      <c r="E324" s="185"/>
      <c r="F324" s="187"/>
      <c r="G324" s="189"/>
      <c r="H324" s="4"/>
      <c r="I324" s="1"/>
      <c r="J324" s="1"/>
      <c r="K324" s="9">
        <v>0</v>
      </c>
      <c r="L324" s="27">
        <f t="shared" si="19"/>
        <v>0</v>
      </c>
      <c r="M324" s="27">
        <v>0</v>
      </c>
      <c r="N324" s="34"/>
    </row>
    <row r="325" spans="2:16" x14ac:dyDescent="0.35">
      <c r="B325" s="179"/>
      <c r="C325" s="181"/>
      <c r="D325" s="183"/>
      <c r="E325" s="185"/>
      <c r="F325" s="187"/>
      <c r="G325" s="189"/>
      <c r="H325" s="4"/>
      <c r="I325" s="1"/>
      <c r="J325" s="1"/>
      <c r="K325" s="9">
        <v>0</v>
      </c>
      <c r="L325" s="27">
        <f t="shared" si="19"/>
        <v>0</v>
      </c>
      <c r="M325" s="27">
        <v>0</v>
      </c>
      <c r="N325" s="34"/>
    </row>
    <row r="326" spans="2:16" x14ac:dyDescent="0.35">
      <c r="B326" s="179"/>
      <c r="C326" s="181"/>
      <c r="D326" s="183"/>
      <c r="E326" s="185"/>
      <c r="F326" s="187"/>
      <c r="G326" s="189"/>
      <c r="H326" s="4"/>
      <c r="I326" s="1"/>
      <c r="J326" s="1"/>
      <c r="K326" s="9">
        <v>0</v>
      </c>
      <c r="L326" s="27">
        <f t="shared" si="19"/>
        <v>0</v>
      </c>
      <c r="M326" s="27">
        <v>0</v>
      </c>
      <c r="N326" s="34"/>
    </row>
    <row r="327" spans="2:16" x14ac:dyDescent="0.35">
      <c r="B327" s="179"/>
      <c r="C327" s="181"/>
      <c r="D327" s="183"/>
      <c r="E327" s="185"/>
      <c r="F327" s="187"/>
      <c r="G327" s="189"/>
      <c r="H327" s="4"/>
      <c r="I327" s="1" t="s">
        <v>201</v>
      </c>
      <c r="J327" s="1"/>
      <c r="K327" s="9">
        <v>0</v>
      </c>
      <c r="L327" s="27">
        <f t="shared" si="19"/>
        <v>0</v>
      </c>
      <c r="M327" s="27">
        <v>3000</v>
      </c>
      <c r="N327" s="34"/>
    </row>
    <row r="328" spans="2:16" ht="15" thickBot="1" x14ac:dyDescent="0.4">
      <c r="B328" s="169"/>
      <c r="C328" s="182"/>
      <c r="D328" s="184"/>
      <c r="E328" s="186"/>
      <c r="F328" s="188"/>
      <c r="G328" s="190"/>
      <c r="H328" s="7" t="s">
        <v>26</v>
      </c>
      <c r="I328" s="115">
        <f>SUM(G319-K328)</f>
        <v>18128</v>
      </c>
      <c r="J328" s="116" t="s">
        <v>10</v>
      </c>
      <c r="K328" s="117">
        <f>SUM(K319:K327)</f>
        <v>36162</v>
      </c>
      <c r="L328" s="64">
        <f t="shared" ref="L328:M328" si="20">SUM(L319:L327)</f>
        <v>5424.3</v>
      </c>
      <c r="M328" s="64">
        <f t="shared" si="20"/>
        <v>16590</v>
      </c>
      <c r="N328" s="36"/>
      <c r="O328" s="162">
        <f>SUM(K328,M328)</f>
        <v>52752</v>
      </c>
      <c r="P328" s="157">
        <f>I328-M328</f>
        <v>1538</v>
      </c>
    </row>
    <row r="329" spans="2:16" ht="36.75" customHeight="1" x14ac:dyDescent="0.35">
      <c r="C329" s="100" t="s">
        <v>202</v>
      </c>
      <c r="D329" s="75">
        <f>SUM(D319,D307,D295,D283,D269,D257,D245,D233,D221,D209,D197,D185,D173,D161,D149,D137,D115,D103,D87,D72,D54,D42,D30,D18,D6)</f>
        <v>349218</v>
      </c>
      <c r="E329" s="76">
        <f>SUM(E319,E307,E295,E283,E269,E257,E245,E233,E221,E209,E197,E185,E173,E161,E149,E137,E115,E103,E87,E72,E54,E42,E30,E18,E6)</f>
        <v>542000</v>
      </c>
      <c r="F329" s="77">
        <f>SUM(F319,F307,F295,F283,F269,F257,F245,F233,F221,F209,F197,F185,F173,F161,F149,F137,F115,F103,F87,F72,F54,F42,F30,F18,F6)</f>
        <v>595000</v>
      </c>
      <c r="G329" s="75">
        <f>SUM(G319,G307,G295,G283,G269,G257,G245,G233,G221,G209,G197,G185,G173,G161,G149,G137,G115,G103,G87,G72,G54,G42,G30,G18,G6)</f>
        <v>1471218</v>
      </c>
      <c r="I329" s="63">
        <f>SUM(I328,I316,I304,I292,I280,I266,I254,I242,I230,I218,I206,I194,I182,I170,I158,I146,I134,I112,I100,I84,I69,I51,I39,I27,I15)</f>
        <v>711620.8600000001</v>
      </c>
      <c r="K329" s="78">
        <f>SUM(K328,K316,K304,K292,K280,K266,K254,K242,K230,K218,K206,K194,K182,K170,K158,K146,K134,K112,K100,K84,K69,K51,K39,K27,K15)</f>
        <v>759597.14</v>
      </c>
      <c r="L329" s="148">
        <f>SUM(L328,L316,L304,L292,L280,L266,L254,L242,L230,L218,L206,L194,L182,L170,L158,L146,L134,L112,L84,L69,L51,L39,L27,L15)</f>
        <v>348835.90400000004</v>
      </c>
      <c r="M329" s="147">
        <f>SUM(M328,M316,M304,M292,M280,M266,M254,M242,M230,M218,M206,M194,M182,M170,M158,M146,M134,M112,M100,M84,M69,M51,M39,M27,M15)</f>
        <v>442817.35999999993</v>
      </c>
      <c r="O329" s="162">
        <f>SUM(O328,O316,O304,O292,O280,O266,O254,O242,O230,O218,O206,O194,O182,O170,O158,O146,O134,O112,O100,O84,O69,O51,O39,O27,O15)</f>
        <v>1202414.5000000002</v>
      </c>
      <c r="P329" s="157">
        <f>SUM(P328,P316,P304,P292,P280,P266,P254,P242,P230,P218,P206,P194,P182,P170,P158,P146,P134,P112,P100,P84,P69,P51,P39,P27,P15)</f>
        <v>268803.5</v>
      </c>
    </row>
    <row r="330" spans="2:16" x14ac:dyDescent="0.35">
      <c r="K330" s="65" t="s">
        <v>203</v>
      </c>
      <c r="L330" s="65" t="s">
        <v>6</v>
      </c>
      <c r="M330" s="65" t="s">
        <v>204</v>
      </c>
    </row>
    <row r="331" spans="2:16" x14ac:dyDescent="0.35">
      <c r="I331" t="s">
        <v>205</v>
      </c>
      <c r="L331" s="102">
        <f>(L329/K329)</f>
        <v>0.45923804294471149</v>
      </c>
    </row>
    <row r="332" spans="2:16" ht="30" customHeight="1" x14ac:dyDescent="0.45">
      <c r="I332" s="79">
        <f>I329-M329</f>
        <v>268803.50000000017</v>
      </c>
    </row>
    <row r="335" spans="2:16" x14ac:dyDescent="0.35">
      <c r="I335" s="67">
        <f>I329-M329</f>
        <v>268803.50000000017</v>
      </c>
    </row>
    <row r="336" spans="2:16" x14ac:dyDescent="0.35">
      <c r="K336" s="101" t="s">
        <v>244</v>
      </c>
      <c r="L336" s="101"/>
      <c r="M336" s="101" t="s">
        <v>243</v>
      </c>
      <c r="N336" s="101"/>
      <c r="O336" s="163" t="s">
        <v>206</v>
      </c>
      <c r="P336" s="160" t="s">
        <v>10</v>
      </c>
    </row>
    <row r="337" spans="9:17" ht="21" x14ac:dyDescent="0.5">
      <c r="I337">
        <v>850000</v>
      </c>
      <c r="J337" s="227" t="s">
        <v>207</v>
      </c>
      <c r="K337" s="228">
        <f>SUM(K328,K316,K284:K285,K270:K272,K230,K218,K206,K120:K127,K100,K69,K14)</f>
        <v>171597.44</v>
      </c>
      <c r="L337" s="227"/>
      <c r="M337" s="228">
        <f>SUM(M328,M316,M284:M285,M270:M272,M230,M218,M206,M120:M127,M100,M69,M14)</f>
        <v>96615</v>
      </c>
      <c r="N337" s="227"/>
      <c r="O337" s="229">
        <v>426000</v>
      </c>
      <c r="P337" s="230">
        <f>SUM(K337,M337,O337)</f>
        <v>694212.44</v>
      </c>
    </row>
    <row r="338" spans="9:17" ht="21" x14ac:dyDescent="0.5">
      <c r="J338" s="231"/>
      <c r="K338" s="231"/>
      <c r="L338" s="231"/>
      <c r="M338" s="231"/>
      <c r="N338" s="231"/>
      <c r="O338" s="232"/>
      <c r="P338" s="233"/>
    </row>
    <row r="339" spans="9:17" ht="21" x14ac:dyDescent="0.5">
      <c r="I339">
        <v>800000</v>
      </c>
      <c r="J339" s="234" t="s">
        <v>208</v>
      </c>
      <c r="K339" s="235">
        <f>SUM(K283,K269,K158,K146,K134,K112,K84,K39,K27,K15)</f>
        <v>374307.78</v>
      </c>
      <c r="L339" s="234"/>
      <c r="M339" s="235">
        <f>SUM(M283,M269,M158,M146,M134,M112,M84,M39,M27,M15)</f>
        <v>184061.07</v>
      </c>
      <c r="N339" s="234"/>
      <c r="O339" s="236">
        <v>159640</v>
      </c>
      <c r="P339" s="230">
        <f>SUM(K339,M339,O339)</f>
        <v>718008.85000000009</v>
      </c>
    </row>
    <row r="340" spans="9:17" ht="21" x14ac:dyDescent="0.5">
      <c r="J340" s="231"/>
      <c r="K340" s="231"/>
      <c r="L340" s="231"/>
      <c r="M340" s="231"/>
      <c r="N340" s="231"/>
      <c r="O340" s="232"/>
      <c r="P340" s="233"/>
    </row>
    <row r="341" spans="9:17" ht="21" x14ac:dyDescent="0.5">
      <c r="I341">
        <v>802500</v>
      </c>
      <c r="J341" s="237" t="s">
        <v>9</v>
      </c>
      <c r="K341" s="238">
        <f>SUM(K328,K304,K266,K254,K242,K194,K182,K170,K51)</f>
        <v>265700.70999999996</v>
      </c>
      <c r="L341" s="237"/>
      <c r="M341" s="238">
        <f>SUM(M328,M304,M266,M254,M242,M194,M182,M170,M51)</f>
        <v>178831.29</v>
      </c>
      <c r="N341" s="237"/>
      <c r="O341" s="239">
        <f>'Non-Activity costs'!E22</f>
        <v>103659.17</v>
      </c>
      <c r="P341" s="230">
        <f>SUM(K341,M341,O341)</f>
        <v>548191.17000000004</v>
      </c>
    </row>
    <row r="342" spans="9:17" ht="21" x14ac:dyDescent="0.5">
      <c r="J342" s="231"/>
      <c r="K342" s="231"/>
      <c r="L342" s="231"/>
      <c r="M342" s="231"/>
      <c r="N342" s="231"/>
      <c r="O342" s="240"/>
      <c r="P342" s="233"/>
    </row>
    <row r="343" spans="9:17" ht="21" x14ac:dyDescent="0.5">
      <c r="I343">
        <f>SUM(I337,I339,I341)</f>
        <v>2452500</v>
      </c>
      <c r="J343" s="231"/>
      <c r="K343" s="247">
        <f>SUM(K337,K339,K341)</f>
        <v>811605.92999999993</v>
      </c>
      <c r="L343" s="231"/>
      <c r="M343" s="247">
        <f>SUM(M337,M339,M341)</f>
        <v>459507.36</v>
      </c>
      <c r="N343" s="231"/>
      <c r="O343" s="247">
        <f>SUM(O337,O339,O341)</f>
        <v>689299.17</v>
      </c>
      <c r="P343" s="241">
        <f>SUM(P337,P339,P341)</f>
        <v>1960412.46</v>
      </c>
      <c r="Q343" s="102">
        <f>P343/I343</f>
        <v>0.79935268501529055</v>
      </c>
    </row>
    <row r="344" spans="9:17" x14ac:dyDescent="0.35">
      <c r="O344" s="161" t="s">
        <v>209</v>
      </c>
    </row>
  </sheetData>
  <mergeCells count="249">
    <mergeCell ref="C2:I2"/>
    <mergeCell ref="B305:B306"/>
    <mergeCell ref="C305:C306"/>
    <mergeCell ref="D305:G305"/>
    <mergeCell ref="H305:K305"/>
    <mergeCell ref="B307:B316"/>
    <mergeCell ref="C307:C316"/>
    <mergeCell ref="D307:D316"/>
    <mergeCell ref="E307:E316"/>
    <mergeCell ref="F307:F316"/>
    <mergeCell ref="G307:G316"/>
    <mergeCell ref="B293:B294"/>
    <mergeCell ref="C293:C294"/>
    <mergeCell ref="D293:G293"/>
    <mergeCell ref="H293:K293"/>
    <mergeCell ref="B295:B304"/>
    <mergeCell ref="C295:C304"/>
    <mergeCell ref="D295:D304"/>
    <mergeCell ref="E295:E304"/>
    <mergeCell ref="F295:F304"/>
    <mergeCell ref="G295:G304"/>
    <mergeCell ref="B281:B282"/>
    <mergeCell ref="C281:C282"/>
    <mergeCell ref="D281:G281"/>
    <mergeCell ref="B257:B266"/>
    <mergeCell ref="C257:C266"/>
    <mergeCell ref="D257:D266"/>
    <mergeCell ref="E257:E266"/>
    <mergeCell ref="F257:F266"/>
    <mergeCell ref="G257:G266"/>
    <mergeCell ref="H281:K281"/>
    <mergeCell ref="B283:B292"/>
    <mergeCell ref="C283:C292"/>
    <mergeCell ref="D283:D292"/>
    <mergeCell ref="E283:E292"/>
    <mergeCell ref="F283:F292"/>
    <mergeCell ref="G283:G292"/>
    <mergeCell ref="B267:B268"/>
    <mergeCell ref="C267:C268"/>
    <mergeCell ref="D267:G267"/>
    <mergeCell ref="H267:K267"/>
    <mergeCell ref="B269:B280"/>
    <mergeCell ref="C269:C280"/>
    <mergeCell ref="D269:D280"/>
    <mergeCell ref="E269:E280"/>
    <mergeCell ref="F269:F280"/>
    <mergeCell ref="G269:G280"/>
    <mergeCell ref="H243:K243"/>
    <mergeCell ref="B245:B254"/>
    <mergeCell ref="C245:C254"/>
    <mergeCell ref="D245:D254"/>
    <mergeCell ref="E245:E254"/>
    <mergeCell ref="F245:F254"/>
    <mergeCell ref="G245:G254"/>
    <mergeCell ref="B255:B256"/>
    <mergeCell ref="C255:C256"/>
    <mergeCell ref="D255:G255"/>
    <mergeCell ref="H255:K255"/>
    <mergeCell ref="B233:B242"/>
    <mergeCell ref="C233:C242"/>
    <mergeCell ref="D233:D242"/>
    <mergeCell ref="E233:E242"/>
    <mergeCell ref="F233:F242"/>
    <mergeCell ref="G233:G242"/>
    <mergeCell ref="B243:B244"/>
    <mergeCell ref="C243:C244"/>
    <mergeCell ref="D243:G243"/>
    <mergeCell ref="H219:K219"/>
    <mergeCell ref="B221:B230"/>
    <mergeCell ref="C221:C230"/>
    <mergeCell ref="D221:D230"/>
    <mergeCell ref="E221:E230"/>
    <mergeCell ref="F221:F230"/>
    <mergeCell ref="G221:G230"/>
    <mergeCell ref="B231:B232"/>
    <mergeCell ref="C231:C232"/>
    <mergeCell ref="D231:G231"/>
    <mergeCell ref="H231:K231"/>
    <mergeCell ref="B209:B218"/>
    <mergeCell ref="C209:C218"/>
    <mergeCell ref="D209:D218"/>
    <mergeCell ref="E209:E218"/>
    <mergeCell ref="F209:F218"/>
    <mergeCell ref="G209:G218"/>
    <mergeCell ref="B219:B220"/>
    <mergeCell ref="C219:C220"/>
    <mergeCell ref="D219:G219"/>
    <mergeCell ref="H195:K195"/>
    <mergeCell ref="B197:B206"/>
    <mergeCell ref="C197:C206"/>
    <mergeCell ref="D197:D206"/>
    <mergeCell ref="E197:E206"/>
    <mergeCell ref="F197:F206"/>
    <mergeCell ref="G197:G206"/>
    <mergeCell ref="B207:B208"/>
    <mergeCell ref="C207:C208"/>
    <mergeCell ref="D207:G207"/>
    <mergeCell ref="H207:K207"/>
    <mergeCell ref="B185:B194"/>
    <mergeCell ref="C185:C194"/>
    <mergeCell ref="D185:D194"/>
    <mergeCell ref="E185:E194"/>
    <mergeCell ref="F185:F194"/>
    <mergeCell ref="G185:G194"/>
    <mergeCell ref="B195:B196"/>
    <mergeCell ref="C195:C196"/>
    <mergeCell ref="D195:G195"/>
    <mergeCell ref="H171:K171"/>
    <mergeCell ref="B173:B182"/>
    <mergeCell ref="C173:C182"/>
    <mergeCell ref="D173:D182"/>
    <mergeCell ref="E173:E182"/>
    <mergeCell ref="F173:F182"/>
    <mergeCell ref="G173:G182"/>
    <mergeCell ref="B183:B184"/>
    <mergeCell ref="C183:C184"/>
    <mergeCell ref="D183:G183"/>
    <mergeCell ref="H183:K183"/>
    <mergeCell ref="B161:B170"/>
    <mergeCell ref="C161:C170"/>
    <mergeCell ref="D161:D170"/>
    <mergeCell ref="E161:E170"/>
    <mergeCell ref="F161:F170"/>
    <mergeCell ref="G161:G170"/>
    <mergeCell ref="B171:B172"/>
    <mergeCell ref="C171:C172"/>
    <mergeCell ref="D171:G171"/>
    <mergeCell ref="H147:K147"/>
    <mergeCell ref="B149:B158"/>
    <mergeCell ref="C149:C158"/>
    <mergeCell ref="D149:D158"/>
    <mergeCell ref="E149:E158"/>
    <mergeCell ref="F149:F158"/>
    <mergeCell ref="G149:G158"/>
    <mergeCell ref="B159:B160"/>
    <mergeCell ref="C159:C160"/>
    <mergeCell ref="D159:G159"/>
    <mergeCell ref="H159:K159"/>
    <mergeCell ref="B137:B146"/>
    <mergeCell ref="C137:C146"/>
    <mergeCell ref="D137:D146"/>
    <mergeCell ref="E137:E146"/>
    <mergeCell ref="F137:F146"/>
    <mergeCell ref="G137:G146"/>
    <mergeCell ref="B147:B148"/>
    <mergeCell ref="C147:C148"/>
    <mergeCell ref="D147:G147"/>
    <mergeCell ref="B113:B114"/>
    <mergeCell ref="C113:C114"/>
    <mergeCell ref="D113:G113"/>
    <mergeCell ref="H113:K113"/>
    <mergeCell ref="D115:D134"/>
    <mergeCell ref="E115:E134"/>
    <mergeCell ref="F115:F134"/>
    <mergeCell ref="G115:G134"/>
    <mergeCell ref="B115:B135"/>
    <mergeCell ref="C115:C135"/>
    <mergeCell ref="D135:G135"/>
    <mergeCell ref="H135:K135"/>
    <mergeCell ref="B101:B102"/>
    <mergeCell ref="C101:C102"/>
    <mergeCell ref="D101:G101"/>
    <mergeCell ref="H101:K101"/>
    <mergeCell ref="B103:B112"/>
    <mergeCell ref="C103:C112"/>
    <mergeCell ref="D103:D112"/>
    <mergeCell ref="E103:E112"/>
    <mergeCell ref="F103:F112"/>
    <mergeCell ref="G103:G112"/>
    <mergeCell ref="B85:B86"/>
    <mergeCell ref="C85:C86"/>
    <mergeCell ref="D85:G85"/>
    <mergeCell ref="H85:K85"/>
    <mergeCell ref="B87:B100"/>
    <mergeCell ref="C87:C100"/>
    <mergeCell ref="D87:D100"/>
    <mergeCell ref="E87:E100"/>
    <mergeCell ref="F87:F100"/>
    <mergeCell ref="G87:G100"/>
    <mergeCell ref="B70:B71"/>
    <mergeCell ref="C70:C71"/>
    <mergeCell ref="D70:G70"/>
    <mergeCell ref="H70:K70"/>
    <mergeCell ref="B72:B84"/>
    <mergeCell ref="C72:C84"/>
    <mergeCell ref="D72:D84"/>
    <mergeCell ref="E72:E84"/>
    <mergeCell ref="F72:F84"/>
    <mergeCell ref="G72:G84"/>
    <mergeCell ref="B52:B53"/>
    <mergeCell ref="C52:C53"/>
    <mergeCell ref="D52:G52"/>
    <mergeCell ref="H52:K52"/>
    <mergeCell ref="B54:B69"/>
    <mergeCell ref="C54:C69"/>
    <mergeCell ref="D54:D69"/>
    <mergeCell ref="E54:E69"/>
    <mergeCell ref="F54:F69"/>
    <mergeCell ref="G54:G69"/>
    <mergeCell ref="B40:B41"/>
    <mergeCell ref="C40:C41"/>
    <mergeCell ref="D40:G40"/>
    <mergeCell ref="H40:K40"/>
    <mergeCell ref="B42:B51"/>
    <mergeCell ref="C42:C51"/>
    <mergeCell ref="D42:D51"/>
    <mergeCell ref="E42:E51"/>
    <mergeCell ref="F42:F51"/>
    <mergeCell ref="G42:G51"/>
    <mergeCell ref="B28:B29"/>
    <mergeCell ref="C28:C29"/>
    <mergeCell ref="D28:G28"/>
    <mergeCell ref="H28:K28"/>
    <mergeCell ref="B30:B39"/>
    <mergeCell ref="C30:C39"/>
    <mergeCell ref="D30:D39"/>
    <mergeCell ref="E30:E39"/>
    <mergeCell ref="F30:F39"/>
    <mergeCell ref="G30:G39"/>
    <mergeCell ref="B18:B27"/>
    <mergeCell ref="C18:C27"/>
    <mergeCell ref="D18:D27"/>
    <mergeCell ref="E18:E27"/>
    <mergeCell ref="F18:F27"/>
    <mergeCell ref="G18:G27"/>
    <mergeCell ref="H4:K4"/>
    <mergeCell ref="B4:B5"/>
    <mergeCell ref="C4:C5"/>
    <mergeCell ref="B16:B17"/>
    <mergeCell ref="C16:C17"/>
    <mergeCell ref="D16:G16"/>
    <mergeCell ref="H16:K16"/>
    <mergeCell ref="D4:G4"/>
    <mergeCell ref="B6:B15"/>
    <mergeCell ref="C6:C15"/>
    <mergeCell ref="D6:D15"/>
    <mergeCell ref="E6:E15"/>
    <mergeCell ref="F6:F15"/>
    <mergeCell ref="G6:G15"/>
    <mergeCell ref="B317:B318"/>
    <mergeCell ref="C317:C318"/>
    <mergeCell ref="D317:G317"/>
    <mergeCell ref="H317:K317"/>
    <mergeCell ref="B319:B328"/>
    <mergeCell ref="C319:C328"/>
    <mergeCell ref="D319:D328"/>
    <mergeCell ref="E319:E328"/>
    <mergeCell ref="F319:F328"/>
    <mergeCell ref="G319:G328"/>
  </mergeCells>
  <phoneticPr fontId="4" type="noConversion"/>
  <pageMargins left="0.7" right="0.7" top="0.75" bottom="0.75" header="0.3" footer="0.3"/>
  <pageSetup orientation="portrait" r:id="rId1"/>
  <ignoredErrors>
    <ignoredError sqref="L329"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6FB2-48F2-4245-9388-1195ACD51ED3}">
  <dimension ref="A1:F37"/>
  <sheetViews>
    <sheetView zoomScale="60" zoomScaleNormal="60" workbookViewId="0">
      <selection activeCell="M21" sqref="M21"/>
    </sheetView>
  </sheetViews>
  <sheetFormatPr defaultRowHeight="14.5" x14ac:dyDescent="0.35"/>
  <cols>
    <col min="1" max="1" width="3.81640625" customWidth="1"/>
    <col min="2" max="2" width="38.54296875" customWidth="1"/>
    <col min="3" max="3" width="26.81640625" customWidth="1"/>
    <col min="4" max="4" width="27.7265625" customWidth="1"/>
    <col min="5" max="5" width="25.453125" customWidth="1"/>
    <col min="6" max="6" width="26.453125" customWidth="1"/>
    <col min="7" max="7" width="22.7265625" customWidth="1"/>
  </cols>
  <sheetData>
    <row r="1" spans="1:6" ht="18.5" x14ac:dyDescent="0.45">
      <c r="A1" s="18"/>
      <c r="B1" s="218" t="s">
        <v>242</v>
      </c>
      <c r="C1" s="218"/>
      <c r="D1" s="218"/>
      <c r="E1" s="19"/>
      <c r="F1" s="18"/>
    </row>
    <row r="2" spans="1:6" ht="21" customHeight="1" x14ac:dyDescent="0.45">
      <c r="A2" s="18"/>
      <c r="B2" s="37"/>
      <c r="C2" s="37"/>
      <c r="D2" s="37"/>
      <c r="E2" s="19"/>
      <c r="F2" s="18"/>
    </row>
    <row r="3" spans="1:6" ht="15" thickBot="1" x14ac:dyDescent="0.4"/>
    <row r="4" spans="1:6" ht="15.5" x14ac:dyDescent="0.35">
      <c r="B4" s="219" t="s">
        <v>210</v>
      </c>
      <c r="C4" s="220"/>
      <c r="D4" s="220"/>
      <c r="E4" s="220"/>
      <c r="F4" s="221"/>
    </row>
    <row r="5" spans="1:6" ht="15.5" x14ac:dyDescent="0.35">
      <c r="B5" s="46" t="s">
        <v>211</v>
      </c>
      <c r="C5" s="38" t="s">
        <v>7</v>
      </c>
      <c r="D5" s="40" t="s">
        <v>8</v>
      </c>
      <c r="E5" s="42" t="s">
        <v>9</v>
      </c>
      <c r="F5" s="52" t="s">
        <v>212</v>
      </c>
    </row>
    <row r="6" spans="1:6" ht="15.5" x14ac:dyDescent="0.35">
      <c r="B6" s="47" t="s">
        <v>213</v>
      </c>
      <c r="C6" s="39">
        <v>8579</v>
      </c>
      <c r="D6" s="41">
        <f>4453.05+676.56+3225.57</f>
        <v>8355.18</v>
      </c>
      <c r="E6" s="58">
        <f>3003.42+2097.43</f>
        <v>5100.8500000000004</v>
      </c>
      <c r="F6" s="53">
        <f t="shared" ref="F6:F18" si="0">SUM(C6:E6)</f>
        <v>22035.03</v>
      </c>
    </row>
    <row r="7" spans="1:6" ht="15.5" x14ac:dyDescent="0.35">
      <c r="B7" s="48" t="s">
        <v>214</v>
      </c>
      <c r="C7" s="39">
        <v>1720</v>
      </c>
      <c r="D7" s="41">
        <f>1879.15+303.24</f>
        <v>2182.3900000000003</v>
      </c>
      <c r="E7" s="60">
        <f>201.57+674.52+273.66+12.49+40.93+209.61</f>
        <v>1412.7800000000002</v>
      </c>
      <c r="F7" s="54">
        <f t="shared" si="0"/>
        <v>5315.17</v>
      </c>
    </row>
    <row r="8" spans="1:6" ht="15.5" x14ac:dyDescent="0.35">
      <c r="B8" s="48" t="s">
        <v>215</v>
      </c>
      <c r="C8" s="39">
        <v>11212</v>
      </c>
      <c r="D8" s="41">
        <v>1531.07</v>
      </c>
      <c r="E8" s="59">
        <v>893.27</v>
      </c>
      <c r="F8" s="54">
        <f t="shared" si="0"/>
        <v>13636.34</v>
      </c>
    </row>
    <row r="9" spans="1:6" ht="15.5" x14ac:dyDescent="0.35">
      <c r="B9" s="49" t="s">
        <v>216</v>
      </c>
      <c r="C9" s="39">
        <v>2382</v>
      </c>
      <c r="D9" s="41"/>
      <c r="E9" s="59">
        <f>4175.19+2456.72</f>
        <v>6631.91</v>
      </c>
      <c r="F9" s="54">
        <f t="shared" si="0"/>
        <v>9013.91</v>
      </c>
    </row>
    <row r="10" spans="1:6" ht="31" x14ac:dyDescent="0.35">
      <c r="B10" s="48" t="s">
        <v>217</v>
      </c>
      <c r="C10" s="39">
        <v>699</v>
      </c>
      <c r="D10" s="41"/>
      <c r="E10" s="59">
        <v>206.81</v>
      </c>
      <c r="F10" s="54">
        <f t="shared" si="0"/>
        <v>905.81</v>
      </c>
    </row>
    <row r="11" spans="1:6" ht="15.5" x14ac:dyDescent="0.35">
      <c r="B11" s="48" t="s">
        <v>218</v>
      </c>
      <c r="C11" s="39">
        <v>692.28</v>
      </c>
      <c r="D11" s="41"/>
      <c r="E11" s="59" t="s">
        <v>219</v>
      </c>
      <c r="F11" s="54">
        <f t="shared" si="0"/>
        <v>692.28</v>
      </c>
    </row>
    <row r="12" spans="1:6" ht="15.5" x14ac:dyDescent="0.35">
      <c r="B12" s="48" t="s">
        <v>220</v>
      </c>
      <c r="C12" s="39">
        <v>563</v>
      </c>
      <c r="D12" s="41">
        <v>205.26</v>
      </c>
      <c r="E12" s="60">
        <f>348.89+147.6</f>
        <v>496.49</v>
      </c>
      <c r="F12" s="54">
        <f t="shared" si="0"/>
        <v>1264.75</v>
      </c>
    </row>
    <row r="13" spans="1:6" ht="15.5" x14ac:dyDescent="0.35">
      <c r="B13" s="48" t="s">
        <v>221</v>
      </c>
      <c r="C13" s="39">
        <v>4800</v>
      </c>
      <c r="D13" s="41">
        <v>3111.4</v>
      </c>
      <c r="E13" s="60">
        <f>3974.91+31.17</f>
        <v>4006.08</v>
      </c>
      <c r="F13" s="54">
        <f t="shared" si="0"/>
        <v>11917.48</v>
      </c>
    </row>
    <row r="14" spans="1:6" ht="15.5" x14ac:dyDescent="0.35">
      <c r="B14" s="48" t="s">
        <v>222</v>
      </c>
      <c r="C14" s="39">
        <v>200</v>
      </c>
      <c r="D14" s="41">
        <v>200.44</v>
      </c>
      <c r="E14" s="59" t="s">
        <v>219</v>
      </c>
      <c r="F14" s="54">
        <f t="shared" si="0"/>
        <v>400.44</v>
      </c>
    </row>
    <row r="15" spans="1:6" ht="15.5" x14ac:dyDescent="0.35">
      <c r="B15" s="48" t="s">
        <v>223</v>
      </c>
      <c r="C15" s="246">
        <v>55607</v>
      </c>
      <c r="D15" s="41">
        <v>36635.51</v>
      </c>
      <c r="E15" s="60">
        <f>3086.54+15389.05+2933.87</f>
        <v>21409.46</v>
      </c>
      <c r="F15" s="54">
        <f t="shared" si="0"/>
        <v>113651.97</v>
      </c>
    </row>
    <row r="16" spans="1:6" ht="15.5" x14ac:dyDescent="0.35">
      <c r="B16" s="48" t="s">
        <v>224</v>
      </c>
      <c r="C16" s="39">
        <v>5100</v>
      </c>
      <c r="D16" s="41">
        <f>113.14+942.08+297.58</f>
        <v>1352.8</v>
      </c>
      <c r="E16" s="60">
        <f>619.24+981.99</f>
        <v>1601.23</v>
      </c>
      <c r="F16" s="54">
        <f t="shared" si="0"/>
        <v>8054.0300000000007</v>
      </c>
    </row>
    <row r="17" spans="2:6" ht="39" customHeight="1" x14ac:dyDescent="0.35">
      <c r="B17" s="48" t="s">
        <v>225</v>
      </c>
      <c r="C17" s="39">
        <v>337</v>
      </c>
      <c r="D17" s="41">
        <f>2131.67+160.59+79+95+834.99</f>
        <v>3301.25</v>
      </c>
      <c r="E17" s="59" t="s">
        <v>219</v>
      </c>
      <c r="F17" s="54">
        <f t="shared" si="0"/>
        <v>3638.25</v>
      </c>
    </row>
    <row r="18" spans="2:6" ht="15.5" x14ac:dyDescent="0.35">
      <c r="B18" s="48" t="s">
        <v>226</v>
      </c>
      <c r="C18" s="39">
        <v>315000</v>
      </c>
      <c r="D18" s="41">
        <f>16884.39+55530.43+14550.25</f>
        <v>86965.07</v>
      </c>
      <c r="E18" s="60">
        <f>27659.19+18441.1</f>
        <v>46100.289999999994</v>
      </c>
      <c r="F18" s="54">
        <f t="shared" si="0"/>
        <v>448065.36</v>
      </c>
    </row>
    <row r="19" spans="2:6" ht="15.5" x14ac:dyDescent="0.35">
      <c r="B19" s="69" t="s">
        <v>227</v>
      </c>
      <c r="C19" s="70">
        <v>0</v>
      </c>
      <c r="D19" s="41"/>
      <c r="E19" s="58"/>
      <c r="F19" s="71">
        <f>SUM(C19:E19)</f>
        <v>0</v>
      </c>
    </row>
    <row r="20" spans="2:6" ht="15.5" x14ac:dyDescent="0.35">
      <c r="B20" s="69" t="s">
        <v>228</v>
      </c>
      <c r="C20" s="70">
        <v>4000</v>
      </c>
      <c r="D20" s="41"/>
      <c r="E20" s="58"/>
      <c r="F20" s="71">
        <f>SUM(C20:E20)</f>
        <v>4000</v>
      </c>
    </row>
    <row r="21" spans="2:6" ht="15.5" x14ac:dyDescent="0.35">
      <c r="B21" s="69" t="s">
        <v>229</v>
      </c>
      <c r="C21" s="70">
        <v>15802</v>
      </c>
      <c r="D21" s="41">
        <v>15800</v>
      </c>
      <c r="E21" s="58">
        <v>15800</v>
      </c>
      <c r="F21" s="71">
        <f>SUM(C21+D21+E21)</f>
        <v>47402</v>
      </c>
    </row>
    <row r="22" spans="2:6" ht="18.5" x14ac:dyDescent="0.45">
      <c r="B22" s="50" t="s">
        <v>230</v>
      </c>
      <c r="C22" s="51">
        <f>SUM(C6:C21)</f>
        <v>426693.28</v>
      </c>
      <c r="D22" s="74">
        <f>SUM(D6:D21)</f>
        <v>159640.37</v>
      </c>
      <c r="E22" s="61">
        <f>SUM(E6:E21)</f>
        <v>103659.17</v>
      </c>
      <c r="F22" s="66">
        <f>SUM(C22:E22)</f>
        <v>689992.82000000007</v>
      </c>
    </row>
    <row r="23" spans="2:6" ht="15.5" x14ac:dyDescent="0.35">
      <c r="B23" s="43"/>
      <c r="C23" s="44"/>
      <c r="D23" s="44"/>
      <c r="E23" s="44"/>
      <c r="F23" s="45"/>
    </row>
    <row r="24" spans="2:6" ht="15.5" x14ac:dyDescent="0.35">
      <c r="B24" s="123"/>
      <c r="C24" s="124"/>
      <c r="D24" s="124"/>
      <c r="E24" s="124"/>
      <c r="F24" s="125"/>
    </row>
    <row r="26" spans="2:6" ht="15" thickBot="1" x14ac:dyDescent="0.4">
      <c r="B26" t="s">
        <v>231</v>
      </c>
      <c r="D26" s="68"/>
    </row>
    <row r="27" spans="2:6" ht="28" customHeight="1" x14ac:dyDescent="0.35">
      <c r="B27" s="129" t="s">
        <v>232</v>
      </c>
      <c r="C27" s="145">
        <v>315000</v>
      </c>
      <c r="D27" s="144">
        <f>SUM(D18)</f>
        <v>86965.07</v>
      </c>
      <c r="E27" s="155">
        <f>SUM(E18)</f>
        <v>46100.289999999994</v>
      </c>
      <c r="F27" s="151">
        <f t="shared" ref="F27:F33" si="1">SUM(C27:E27)</f>
        <v>448065.36</v>
      </c>
    </row>
    <row r="28" spans="2:6" ht="28" customHeight="1" x14ac:dyDescent="0.35">
      <c r="B28" s="20" t="s">
        <v>233</v>
      </c>
      <c r="C28" s="146">
        <f>SUM(C12)</f>
        <v>563</v>
      </c>
      <c r="D28" s="142">
        <f>SUM(D12)</f>
        <v>205.26</v>
      </c>
      <c r="E28" s="167">
        <f>E12</f>
        <v>496.49</v>
      </c>
      <c r="F28" s="152">
        <f t="shared" si="1"/>
        <v>1264.75</v>
      </c>
    </row>
    <row r="29" spans="2:6" ht="40" customHeight="1" x14ac:dyDescent="0.35">
      <c r="B29" s="20" t="s">
        <v>234</v>
      </c>
      <c r="C29" s="146">
        <f>SUM(C8)</f>
        <v>11212</v>
      </c>
      <c r="D29" s="142">
        <f>SUM(D8,D13)</f>
        <v>4642.47</v>
      </c>
      <c r="E29" s="167"/>
      <c r="F29" s="152">
        <f t="shared" si="1"/>
        <v>15854.470000000001</v>
      </c>
    </row>
    <row r="30" spans="2:6" ht="28" customHeight="1" x14ac:dyDescent="0.35">
      <c r="B30" s="21" t="s">
        <v>235</v>
      </c>
      <c r="C30" s="146"/>
      <c r="D30" s="127"/>
      <c r="E30" s="128"/>
      <c r="F30" s="152">
        <f t="shared" si="1"/>
        <v>0</v>
      </c>
    </row>
    <row r="31" spans="2:6" ht="28" customHeight="1" x14ac:dyDescent="0.35">
      <c r="B31" s="20" t="s">
        <v>236</v>
      </c>
      <c r="C31" s="146">
        <v>14000</v>
      </c>
      <c r="D31" s="127"/>
      <c r="E31" s="128"/>
      <c r="F31" s="152">
        <f t="shared" si="1"/>
        <v>14000</v>
      </c>
    </row>
    <row r="32" spans="2:6" ht="39" customHeight="1" x14ac:dyDescent="0.35">
      <c r="B32" s="20" t="s">
        <v>237</v>
      </c>
      <c r="C32" s="126">
        <v>0</v>
      </c>
      <c r="D32" s="127"/>
      <c r="E32" s="128"/>
      <c r="F32" s="152">
        <f t="shared" si="1"/>
        <v>0</v>
      </c>
    </row>
    <row r="33" spans="2:6" ht="51" customHeight="1" thickBot="1" x14ac:dyDescent="0.4">
      <c r="B33" s="130" t="s">
        <v>238</v>
      </c>
      <c r="C33" s="146">
        <v>26000</v>
      </c>
      <c r="D33" s="143">
        <f>SUM(D6:D7,D17)</f>
        <v>13838.82</v>
      </c>
      <c r="E33" s="153">
        <f>SUM(E6:E7)</f>
        <v>6513.630000000001</v>
      </c>
      <c r="F33" s="154">
        <f t="shared" si="1"/>
        <v>46352.45</v>
      </c>
    </row>
    <row r="35" spans="2:6" ht="15" thickBot="1" x14ac:dyDescent="0.4"/>
    <row r="36" spans="2:6" ht="28" customHeight="1" x14ac:dyDescent="0.35">
      <c r="B36" s="131" t="s">
        <v>239</v>
      </c>
      <c r="C36" s="132">
        <v>15802</v>
      </c>
      <c r="D36" s="133">
        <v>15800</v>
      </c>
      <c r="E36" s="134">
        <v>15800</v>
      </c>
      <c r="F36" s="135">
        <f>SUM(C36+D36+E36)</f>
        <v>47402</v>
      </c>
    </row>
    <row r="37" spans="2:6" ht="39.75" customHeight="1" thickBot="1" x14ac:dyDescent="0.4">
      <c r="B37" s="136" t="s">
        <v>240</v>
      </c>
      <c r="C37" s="137">
        <v>0</v>
      </c>
      <c r="D37" s="138">
        <v>0</v>
      </c>
      <c r="E37" s="139">
        <v>0</v>
      </c>
      <c r="F37" s="140">
        <f>SUM(C37+D37+E37)</f>
        <v>0</v>
      </c>
    </row>
  </sheetData>
  <mergeCells count="2">
    <mergeCell ref="B1:D1"/>
    <mergeCell ref="B4:F4"/>
  </mergeCells>
  <conditionalFormatting sqref="F22">
    <cfRule type="cellIs" dxfId="0" priority="7" operator="notEqual">
      <formula>#REF!</formula>
    </cfRule>
  </conditionalFormatting>
  <dataValidations xWindow="224" yWindow="525" count="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1 B32" xr:uid="{2875A348-5266-4C66-8D9A-90D65F58CA87}"/>
    <dataValidation allowBlank="1" showInputMessage="1" showErrorMessage="1" prompt="Services contracted by an organization which follow the normal procurement processes." sqref="B9 B30" xr:uid="{D92FBD8C-B5C7-4A46-BA8A-2573962E956D}"/>
    <dataValidation allowBlank="1" showInputMessage="1" showErrorMessage="1" prompt="Includes staff and non-staff travel paid for by the organization directly related to a project." sqref="B10 B31" xr:uid="{D4DE9E25-979E-4B1A-B643-DB07EF720D89}"/>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8 B29" xr:uid="{99BFC105-77AC-4C08-B39F-50759A050B5C}"/>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7 B28" xr:uid="{F2D3359F-8D62-4AEE-8446-1955D97060AC}"/>
    <dataValidation allowBlank="1" showInputMessage="1" showErrorMessage="1" prompt="Includes all related staff and temporary staff costs including base salary, post adjustment and all staff entitlements." sqref="B6 B27" xr:uid="{6A1097A3-7813-4E0F-A7C1-AD17BB9BE9DE}"/>
    <dataValidation allowBlank="1" showInputMessage="1" showErrorMessage="1" prompt="Output totals must match the original total from Table 1, and will show as red if not. " sqref="F22" xr:uid="{1F017099-2D83-46BB-A791-E128F64C9994}"/>
    <dataValidation allowBlank="1" showInputMessage="1" showErrorMessage="1" prompt=" Includes all general operating costs for running an office. Examples include telecommunication, rents, finance charges and other costs which cannot be mapped to other expense categories." sqref="B12:B21 B33" xr:uid="{968C186C-F131-423D-A4F4-E72F69F09EB1}"/>
  </dataValidations>
  <pageMargins left="0.7" right="0.7" top="0.75" bottom="0.75" header="0.3" footer="0.3"/>
  <pageSetup orientation="portrait" r:id="rId1"/>
  <ignoredErrors>
    <ignoredError sqref="F2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MPTF_00006_00928</ProjectId>
    <FundCode xmlns="f9695bc1-6109-4dcd-a27a-f8a0370b00e2">MPTF_00006</FundCode>
    <Comments xmlns="f9695bc1-6109-4dcd-a27a-f8a0370b00e2">Budget expenses estimates June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FEB7E5-A9F7-483B-8754-1AE2B87D83B0}">
  <ds:schemaRefs>
    <ds:schemaRef ds:uri="http://schemas.microsoft.com/sharepoint/v3/contenttype/forms"/>
  </ds:schemaRefs>
</ds:datastoreItem>
</file>

<file path=customXml/itemProps2.xml><?xml version="1.0" encoding="utf-8"?>
<ds:datastoreItem xmlns:ds="http://schemas.openxmlformats.org/officeDocument/2006/customXml" ds:itemID="{2DA2162F-16A3-4A5D-B878-10A93E05ADEB}">
  <ds:schemaRefs>
    <ds:schemaRef ds:uri="http://schemas.microsoft.com/office/2006/metadata/properties"/>
    <ds:schemaRef ds:uri="http://schemas.microsoft.com/office/infopath/2007/PartnerControls"/>
    <ds:schemaRef ds:uri="d31298a1-8362-46a3-9918-45abf9e83fdb"/>
    <ds:schemaRef ds:uri="985ec44e-1bab-4c0b-9df0-6ba128686fc9"/>
  </ds:schemaRefs>
</ds:datastoreItem>
</file>

<file path=customXml/itemProps3.xml><?xml version="1.0" encoding="utf-8"?>
<ds:datastoreItem xmlns:ds="http://schemas.openxmlformats.org/officeDocument/2006/customXml" ds:itemID="{6C4A746B-3E30-4FE8-BF50-D036C2495F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Activity Costs</vt:lpstr>
      <vt:lpstr>Non-Activity 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 PBF expenses June 2024.xlsx</dc:title>
  <dc:subject/>
  <dc:creator>Nikola Petrovski</dc:creator>
  <cp:keywords/>
  <dc:description/>
  <cp:lastModifiedBy>Nikola Petrovski</cp:lastModifiedBy>
  <cp:revision/>
  <dcterms:created xsi:type="dcterms:W3CDTF">2023-04-30T12:23:15Z</dcterms:created>
  <dcterms:modified xsi:type="dcterms:W3CDTF">2024-06-15T04:32:38Z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