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fadiga_unfpa\Desktop\FAD 2024\PBF BF\Projet PBF 2024\Rapport semestriel 2024\Clean\"/>
    </mc:Choice>
  </mc:AlternateContent>
  <xr:revisionPtr revIDLastSave="0" documentId="8_{6EF7355A-2C89-4275-8B26-F1B35CE42622}" xr6:coauthVersionLast="47" xr6:coauthVersionMax="47" xr10:uidLastSave="{00000000-0000-0000-0000-000000000000}"/>
  <bookViews>
    <workbookView xWindow="-110" yWindow="-110" windowWidth="19420" windowHeight="10300" firstSheet="1" activeTab="1" xr2:uid="{00000000-000D-0000-FFFF-FFFF00000000}"/>
  </bookViews>
  <sheets>
    <sheet name="Instructions" sheetId="9" r:id="rId1"/>
    <sheet name="1) Tableau budgétaire 1 " sheetId="10"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definedNames>
    <definedName name="_xlnm._FilterDatabase" localSheetId="1" hidden="1">'1) Tableau budgétaire 1 '!$B$5:$N$25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8" i="10" l="1"/>
  <c r="K30" i="10"/>
  <c r="K63" i="10"/>
  <c r="K54" i="10"/>
  <c r="K55" i="10"/>
  <c r="K93" i="10"/>
  <c r="J104" i="10"/>
  <c r="I104" i="10"/>
  <c r="I33" i="10"/>
  <c r="J11" i="10"/>
  <c r="J10" i="10"/>
  <c r="J9" i="10"/>
  <c r="J8" i="10"/>
  <c r="J82" i="10"/>
  <c r="J12" i="10" l="1"/>
  <c r="I80" i="10"/>
  <c r="K59" i="10"/>
  <c r="K76" i="10"/>
  <c r="I37" i="10"/>
  <c r="I35" i="10"/>
  <c r="E72" i="10" l="1"/>
  <c r="J72" i="10"/>
  <c r="I72" i="10"/>
  <c r="J67" i="10"/>
  <c r="I82" i="10" l="1"/>
  <c r="I91" i="10"/>
  <c r="K80" i="10" l="1"/>
  <c r="K81" i="10"/>
  <c r="K79" i="10"/>
  <c r="K77" i="10"/>
  <c r="K78" i="10"/>
  <c r="K91" i="10"/>
  <c r="J91" i="10"/>
  <c r="K8" i="10"/>
  <c r="K71" i="10"/>
  <c r="K70" i="10"/>
  <c r="K69" i="10"/>
  <c r="K66" i="10"/>
  <c r="K65" i="10"/>
  <c r="K64" i="10"/>
  <c r="K62" i="10"/>
  <c r="K58" i="10"/>
  <c r="K57" i="10"/>
  <c r="K56" i="10"/>
  <c r="K53" i="10"/>
  <c r="K48" i="10"/>
  <c r="K47" i="10"/>
  <c r="K46" i="10"/>
  <c r="K45" i="10"/>
  <c r="K42" i="10"/>
  <c r="K41" i="10"/>
  <c r="K40" i="10"/>
  <c r="K39" i="10"/>
  <c r="K38" i="10"/>
  <c r="K37" i="10"/>
  <c r="K36" i="10"/>
  <c r="K35" i="10"/>
  <c r="K34" i="10"/>
  <c r="K33" i="10"/>
  <c r="K32" i="10"/>
  <c r="K31" i="10"/>
  <c r="K29" i="10"/>
  <c r="K24" i="10"/>
  <c r="K23" i="10"/>
  <c r="K22" i="10"/>
  <c r="K21" i="10"/>
  <c r="K18" i="10"/>
  <c r="K17" i="10"/>
  <c r="K16" i="10"/>
  <c r="K15" i="10"/>
  <c r="K14" i="10"/>
  <c r="K11" i="10"/>
  <c r="K10" i="10"/>
  <c r="K9" i="10"/>
  <c r="J60" i="10"/>
  <c r="J49" i="10"/>
  <c r="J43" i="10"/>
  <c r="J25" i="10"/>
  <c r="J19" i="10"/>
  <c r="E92" i="10" l="1"/>
  <c r="J92" i="10"/>
  <c r="J93" i="10" s="1"/>
  <c r="K72" i="10"/>
  <c r="K49" i="10"/>
  <c r="K67" i="10"/>
  <c r="K60" i="10"/>
  <c r="K25" i="10"/>
  <c r="K43" i="10"/>
  <c r="K19" i="10"/>
  <c r="K82" i="10"/>
  <c r="K12" i="10"/>
  <c r="R13" i="10" s="1"/>
  <c r="Q28" i="10" l="1"/>
  <c r="K104" i="10"/>
  <c r="J94" i="10"/>
  <c r="F113" i="5"/>
  <c r="F114" i="5"/>
  <c r="F115" i="5"/>
  <c r="F116" i="5"/>
  <c r="F117" i="5"/>
  <c r="F118" i="5"/>
  <c r="E113" i="5"/>
  <c r="F112" i="5"/>
  <c r="E94" i="5" l="1"/>
  <c r="E92" i="5"/>
  <c r="E84" i="5"/>
  <c r="E118" i="5" s="1"/>
  <c r="E83" i="5"/>
  <c r="E81" i="5"/>
  <c r="E78" i="5"/>
  <c r="E72" i="5"/>
  <c r="E70" i="5"/>
  <c r="E11" i="5"/>
  <c r="E115" i="5" l="1"/>
  <c r="E117" i="5"/>
  <c r="G34" i="10"/>
  <c r="E103" i="5" l="1"/>
  <c r="E114" i="5" s="1"/>
  <c r="E105" i="5"/>
  <c r="E116" i="5" s="1"/>
  <c r="E101" i="5"/>
  <c r="E112" i="5" s="1"/>
  <c r="D107" i="10" l="1"/>
  <c r="E82" i="10" l="1"/>
  <c r="D82" i="10" l="1"/>
  <c r="G35" i="10"/>
  <c r="D102" i="5"/>
  <c r="D103" i="5"/>
  <c r="D104" i="5"/>
  <c r="D105" i="5"/>
  <c r="D106" i="5"/>
  <c r="D107" i="5"/>
  <c r="D101" i="5"/>
  <c r="D55" i="5"/>
  <c r="D56" i="5"/>
  <c r="D57" i="5"/>
  <c r="D58" i="5"/>
  <c r="D59" i="5"/>
  <c r="D60" i="5"/>
  <c r="D54" i="5"/>
  <c r="D44" i="5"/>
  <c r="D45" i="5"/>
  <c r="D46" i="5"/>
  <c r="D47" i="5"/>
  <c r="D48" i="5"/>
  <c r="D49" i="5"/>
  <c r="D43" i="5"/>
  <c r="D31" i="5"/>
  <c r="D32" i="5"/>
  <c r="D33" i="5"/>
  <c r="D34" i="5"/>
  <c r="D35" i="5"/>
  <c r="D36" i="5"/>
  <c r="D30" i="5"/>
  <c r="D20" i="5"/>
  <c r="D21" i="5"/>
  <c r="D22" i="5"/>
  <c r="D23" i="5"/>
  <c r="D24" i="5"/>
  <c r="D25" i="5"/>
  <c r="D19" i="5"/>
  <c r="D113" i="5" l="1"/>
  <c r="D112" i="5"/>
  <c r="D118" i="5"/>
  <c r="D117" i="5"/>
  <c r="D116" i="5"/>
  <c r="D115" i="5"/>
  <c r="D114" i="5"/>
  <c r="D26" i="5"/>
  <c r="D43" i="10"/>
  <c r="D19" i="10" l="1"/>
  <c r="D25" i="10"/>
  <c r="G79" i="10"/>
  <c r="G77" i="10"/>
  <c r="D49" i="10"/>
  <c r="G33" i="10"/>
  <c r="G16" i="10" l="1"/>
  <c r="G15" i="10"/>
  <c r="G66" i="10" l="1"/>
  <c r="G64" i="10"/>
  <c r="G63" i="10"/>
  <c r="G70" i="10"/>
  <c r="G54" i="10"/>
  <c r="G55" i="10"/>
  <c r="G58" i="10"/>
  <c r="G10" i="10"/>
  <c r="G9" i="10"/>
  <c r="E111" i="5"/>
  <c r="F111" i="5"/>
  <c r="D111" i="5"/>
  <c r="E4" i="5" l="1"/>
  <c r="F4" i="5"/>
  <c r="D4" i="5"/>
  <c r="G30" i="10"/>
  <c r="G31" i="10"/>
  <c r="G32" i="10"/>
  <c r="G36" i="10"/>
  <c r="G37" i="10"/>
  <c r="G38" i="10"/>
  <c r="H102" i="10"/>
  <c r="F98" i="10"/>
  <c r="E98" i="10"/>
  <c r="D98" i="10"/>
  <c r="F91" i="10"/>
  <c r="E91" i="10"/>
  <c r="D91" i="10"/>
  <c r="F82" i="10"/>
  <c r="F100" i="5" s="1"/>
  <c r="E100" i="5"/>
  <c r="D100" i="5"/>
  <c r="G81" i="10"/>
  <c r="G80" i="10"/>
  <c r="G78" i="10"/>
  <c r="G76" i="10"/>
  <c r="F72" i="10"/>
  <c r="F88" i="5" s="1"/>
  <c r="E88" i="5"/>
  <c r="D72" i="10"/>
  <c r="D88" i="5" s="1"/>
  <c r="G71" i="10"/>
  <c r="G69" i="10"/>
  <c r="I67" i="10"/>
  <c r="F67" i="10"/>
  <c r="F77" i="5" s="1"/>
  <c r="E67" i="10"/>
  <c r="E77" i="5" s="1"/>
  <c r="D67" i="10"/>
  <c r="D77" i="5" s="1"/>
  <c r="G65" i="10"/>
  <c r="G62" i="10"/>
  <c r="I60" i="10"/>
  <c r="F60" i="10"/>
  <c r="F66" i="5" s="1"/>
  <c r="E60" i="10"/>
  <c r="E66" i="5" s="1"/>
  <c r="D60" i="10"/>
  <c r="D66" i="5" s="1"/>
  <c r="G59" i="10"/>
  <c r="G57" i="10"/>
  <c r="G56" i="10"/>
  <c r="I49" i="10"/>
  <c r="F49" i="10"/>
  <c r="F53" i="5" s="1"/>
  <c r="E49" i="10"/>
  <c r="E53" i="5" s="1"/>
  <c r="D53" i="5"/>
  <c r="G48" i="10"/>
  <c r="G47" i="10"/>
  <c r="G46" i="10"/>
  <c r="G45" i="10"/>
  <c r="I43" i="10"/>
  <c r="F43" i="10"/>
  <c r="F42" i="5" s="1"/>
  <c r="E43" i="10"/>
  <c r="E42" i="5" s="1"/>
  <c r="D42" i="5"/>
  <c r="G42" i="10"/>
  <c r="G41" i="10"/>
  <c r="G40" i="10"/>
  <c r="G39" i="10"/>
  <c r="G29" i="10"/>
  <c r="I25" i="10"/>
  <c r="F25" i="10"/>
  <c r="F29" i="5" s="1"/>
  <c r="E25" i="10"/>
  <c r="E29" i="5" s="1"/>
  <c r="D29" i="5"/>
  <c r="G24" i="10"/>
  <c r="G23" i="10"/>
  <c r="G22" i="10"/>
  <c r="G21" i="10"/>
  <c r="I19" i="10"/>
  <c r="F19" i="10"/>
  <c r="F18" i="5" s="1"/>
  <c r="E19" i="10"/>
  <c r="E18" i="5" s="1"/>
  <c r="G18" i="10"/>
  <c r="G17" i="10"/>
  <c r="G14" i="10"/>
  <c r="I12" i="10"/>
  <c r="F12" i="10"/>
  <c r="D12" i="10"/>
  <c r="G11" i="10"/>
  <c r="G8" i="10"/>
  <c r="E12" i="10"/>
  <c r="I92" i="10" l="1"/>
  <c r="K92" i="10" s="1"/>
  <c r="K94" i="10" s="1"/>
  <c r="D92" i="10"/>
  <c r="F92" i="10"/>
  <c r="H67" i="10"/>
  <c r="H72" i="10"/>
  <c r="H60" i="10"/>
  <c r="H49" i="10"/>
  <c r="H43" i="10"/>
  <c r="H12" i="10"/>
  <c r="H25" i="10"/>
  <c r="H19" i="10"/>
  <c r="H82" i="10"/>
  <c r="D7" i="5"/>
  <c r="D93" i="10"/>
  <c r="D94" i="10" s="1"/>
  <c r="G60" i="10"/>
  <c r="F93" i="10"/>
  <c r="F94" i="10" s="1"/>
  <c r="F7" i="5"/>
  <c r="G19" i="10"/>
  <c r="E7" i="5"/>
  <c r="D18" i="5"/>
  <c r="G18" i="5" s="1"/>
  <c r="G49" i="10"/>
  <c r="G43" i="10"/>
  <c r="G82" i="10"/>
  <c r="G12" i="10"/>
  <c r="G25" i="10"/>
  <c r="G72" i="10"/>
  <c r="G67" i="10"/>
  <c r="D19" i="4"/>
  <c r="E19" i="4"/>
  <c r="C19" i="4"/>
  <c r="D6" i="4"/>
  <c r="E6" i="4"/>
  <c r="C6" i="4"/>
  <c r="G22" i="4"/>
  <c r="G21" i="4"/>
  <c r="G20" i="4"/>
  <c r="E12" i="4"/>
  <c r="E13" i="4"/>
  <c r="D12" i="4"/>
  <c r="D11" i="4"/>
  <c r="E11" i="4"/>
  <c r="E10" i="4"/>
  <c r="D9" i="4"/>
  <c r="E9" i="4"/>
  <c r="D8" i="4"/>
  <c r="E8" i="4"/>
  <c r="C9" i="4"/>
  <c r="C10" i="4"/>
  <c r="C11" i="4"/>
  <c r="C12" i="4"/>
  <c r="C13" i="4"/>
  <c r="C8" i="4"/>
  <c r="D7" i="4"/>
  <c r="E7" i="4"/>
  <c r="F108" i="5"/>
  <c r="E108" i="5"/>
  <c r="D108" i="5"/>
  <c r="G107" i="5"/>
  <c r="G106" i="5"/>
  <c r="G105" i="5"/>
  <c r="G104" i="5"/>
  <c r="G103" i="5"/>
  <c r="G102" i="5"/>
  <c r="G101" i="5"/>
  <c r="G100" i="5"/>
  <c r="D13" i="4"/>
  <c r="G78" i="5"/>
  <c r="G79" i="5"/>
  <c r="G80" i="5"/>
  <c r="G81" i="5"/>
  <c r="G82" i="5"/>
  <c r="G83" i="5"/>
  <c r="G84" i="5"/>
  <c r="D85" i="5"/>
  <c r="E85" i="5"/>
  <c r="F85" i="5"/>
  <c r="G89" i="5"/>
  <c r="G90" i="5"/>
  <c r="G91" i="5"/>
  <c r="G92" i="5"/>
  <c r="G93" i="5"/>
  <c r="G94" i="5"/>
  <c r="G95" i="5"/>
  <c r="D96" i="5"/>
  <c r="E96" i="5"/>
  <c r="F96" i="5"/>
  <c r="F74" i="5"/>
  <c r="E74" i="5"/>
  <c r="D74" i="5"/>
  <c r="G73" i="5"/>
  <c r="G72" i="5"/>
  <c r="G71" i="5"/>
  <c r="G70" i="5"/>
  <c r="G69" i="5"/>
  <c r="G68" i="5"/>
  <c r="G67" i="5"/>
  <c r="G54" i="5"/>
  <c r="G55" i="5"/>
  <c r="G56" i="5"/>
  <c r="G57" i="5"/>
  <c r="G58" i="5"/>
  <c r="G59" i="5"/>
  <c r="G60" i="5"/>
  <c r="D61" i="5"/>
  <c r="E61" i="5"/>
  <c r="F61" i="5"/>
  <c r="G43" i="5"/>
  <c r="G44" i="5"/>
  <c r="G45" i="5"/>
  <c r="G46" i="5"/>
  <c r="G47" i="5"/>
  <c r="G48" i="5"/>
  <c r="G49" i="5"/>
  <c r="D50" i="5"/>
  <c r="E50" i="5"/>
  <c r="F50" i="5"/>
  <c r="G20" i="5"/>
  <c r="G21" i="5"/>
  <c r="G22" i="5"/>
  <c r="G23" i="5"/>
  <c r="G24" i="5"/>
  <c r="G25" i="5"/>
  <c r="E26" i="5"/>
  <c r="F26" i="5"/>
  <c r="G30" i="5"/>
  <c r="G31" i="5"/>
  <c r="G32" i="5"/>
  <c r="G33" i="5"/>
  <c r="G34" i="5"/>
  <c r="G35" i="5"/>
  <c r="G36" i="5"/>
  <c r="D37" i="5"/>
  <c r="E37" i="5"/>
  <c r="F37" i="5"/>
  <c r="E15" i="5"/>
  <c r="F15" i="5"/>
  <c r="G8" i="5"/>
  <c r="G9" i="5"/>
  <c r="G10" i="5"/>
  <c r="G11" i="5"/>
  <c r="G12" i="5"/>
  <c r="G13" i="5"/>
  <c r="G14" i="5"/>
  <c r="D15" i="5"/>
  <c r="G88" i="5"/>
  <c r="G77" i="5"/>
  <c r="G53" i="5"/>
  <c r="G66" i="5"/>
  <c r="C29" i="6"/>
  <c r="D33" i="6" s="1"/>
  <c r="C40" i="6"/>
  <c r="D44" i="6" s="1"/>
  <c r="G42" i="5"/>
  <c r="C18" i="6"/>
  <c r="D21" i="6" s="1"/>
  <c r="C19" i="6" s="1"/>
  <c r="G29" i="5"/>
  <c r="C7" i="6"/>
  <c r="D12" i="6" s="1"/>
  <c r="D22" i="4"/>
  <c r="D21" i="4"/>
  <c r="E22" i="4"/>
  <c r="E23" i="4"/>
  <c r="E21" i="4"/>
  <c r="D23" i="4"/>
  <c r="E20" i="4"/>
  <c r="D20" i="4"/>
  <c r="C22" i="4"/>
  <c r="C20" i="4"/>
  <c r="F22" i="4"/>
  <c r="C23" i="4"/>
  <c r="F21" i="4"/>
  <c r="C21" i="4"/>
  <c r="F20" i="4"/>
  <c r="F23" i="4"/>
  <c r="E93" i="10" l="1"/>
  <c r="E94" i="10" s="1"/>
  <c r="G92" i="10"/>
  <c r="D22" i="6"/>
  <c r="F119" i="5"/>
  <c r="D104" i="10"/>
  <c r="E119" i="5"/>
  <c r="E120" i="5" s="1"/>
  <c r="E121" i="5" s="1"/>
  <c r="I94" i="10"/>
  <c r="D119" i="5"/>
  <c r="D120" i="5" s="1"/>
  <c r="G50" i="5"/>
  <c r="E14" i="4"/>
  <c r="E15" i="4" s="1"/>
  <c r="E16" i="4" s="1"/>
  <c r="G15" i="5"/>
  <c r="G108" i="5"/>
  <c r="G118" i="5"/>
  <c r="G61" i="5"/>
  <c r="G37" i="5"/>
  <c r="G115" i="5"/>
  <c r="G113" i="5"/>
  <c r="F8" i="4"/>
  <c r="G96" i="5"/>
  <c r="G85" i="5"/>
  <c r="F9" i="4"/>
  <c r="G74" i="5"/>
  <c r="D10" i="4"/>
  <c r="F10" i="4" s="1"/>
  <c r="F12" i="4"/>
  <c r="G117" i="5"/>
  <c r="G7" i="5"/>
  <c r="F13" i="4"/>
  <c r="F11" i="4"/>
  <c r="D35" i="6"/>
  <c r="D43" i="6"/>
  <c r="C41" i="6" s="1"/>
  <c r="D14" i="6"/>
  <c r="G114" i="5"/>
  <c r="G116" i="5"/>
  <c r="D25" i="6"/>
  <c r="D47" i="6"/>
  <c r="D45" i="6"/>
  <c r="D23" i="6"/>
  <c r="D11" i="6"/>
  <c r="D34" i="6"/>
  <c r="D13" i="6"/>
  <c r="D24" i="6"/>
  <c r="D46" i="6"/>
  <c r="D10" i="6"/>
  <c r="C8" i="6" s="1"/>
  <c r="D32" i="6"/>
  <c r="C30" i="6" s="1"/>
  <c r="D36" i="6"/>
  <c r="F100" i="10"/>
  <c r="F101" i="10"/>
  <c r="F99" i="10"/>
  <c r="D100" i="10"/>
  <c r="D101" i="10"/>
  <c r="D99" i="10"/>
  <c r="I95" i="10" l="1"/>
  <c r="E100" i="10"/>
  <c r="G100" i="10" s="1"/>
  <c r="J95" i="10"/>
  <c r="F120" i="5"/>
  <c r="F121" i="5" s="1"/>
  <c r="D14" i="4"/>
  <c r="D15" i="4" s="1"/>
  <c r="D16" i="4" s="1"/>
  <c r="G93" i="10"/>
  <c r="G94" i="10" s="1"/>
  <c r="K95" i="10" s="1"/>
  <c r="E99" i="10"/>
  <c r="G99" i="10" s="1"/>
  <c r="E101" i="10"/>
  <c r="G101" i="10" s="1"/>
  <c r="D102" i="10"/>
  <c r="I105" i="10" s="1"/>
  <c r="F102" i="10"/>
  <c r="D108" i="10" l="1"/>
  <c r="E102" i="10"/>
  <c r="J105" i="10" s="1"/>
  <c r="D105" i="10"/>
  <c r="G102" i="10"/>
  <c r="K105" i="10" s="1"/>
  <c r="G19" i="5"/>
  <c r="G26" i="5"/>
  <c r="C7" i="4" l="1"/>
  <c r="C14" i="4" s="1"/>
  <c r="G112" i="5"/>
  <c r="F7" i="4" l="1"/>
  <c r="G119" i="5"/>
  <c r="D121" i="5"/>
  <c r="F14" i="4"/>
  <c r="C15" i="4"/>
  <c r="C16" i="4" s="1"/>
  <c r="F15" i="4" l="1"/>
  <c r="F16" i="4" s="1"/>
  <c r="G120" i="5"/>
  <c r="G121" i="5" s="1"/>
</calcChain>
</file>

<file path=xl/sharedStrings.xml><?xml version="1.0" encoding="utf-8"?>
<sst xmlns="http://schemas.openxmlformats.org/spreadsheetml/2006/main" count="703" uniqueCount="568">
  <si>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</si>
  <si>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</si>
  <si>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</si>
  <si>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</si>
  <si>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</si>
  <si>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</si>
  <si>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</si>
  <si>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</si>
  <si>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</si>
  <si>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</si>
  <si>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</si>
  <si>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</si>
  <si>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</si>
  <si>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</si>
  <si>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</si>
  <si>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</si>
  <si>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</si>
  <si>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</si>
  <si>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</si>
  <si>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</si>
  <si>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</si>
  <si>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</si>
  <si>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</si>
  <si>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</si>
  <si>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</si>
  <si>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</si>
  <si>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</si>
  <si>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</si>
  <si>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</si>
  <si>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</si>
  <si>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</si>
  <si>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</si>
  <si>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</si>
  <si>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</si>
  <si>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</si>
  <si>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</si>
  <si>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</si>
  <si>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</si>
  <si>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</si>
  <si>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</si>
  <si>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</si>
  <si>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</si>
  <si>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</si>
  <si>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</si>
  <si>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</si>
  <si>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</si>
  <si>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</si>
  <si>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</si>
  <si>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</si>
  <si>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</si>
  <si>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</si>
  <si>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</si>
  <si>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</si>
  <si>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</si>
  <si>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</si>
  <si>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</si>
  <si>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</si>
  <si>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</si>
  <si>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</si>
  <si>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</si>
  <si>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</si>
  <si>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</si>
  <si>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</si>
  <si>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</si>
  <si>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</si>
  <si>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</si>
  <si>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</si>
  <si>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</si>
  <si>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</si>
  <si>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</si>
  <si>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</si>
  <si>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</si>
  <si>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</si>
  <si>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</si>
  <si>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</si>
  <si>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</si>
  <si>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</si>
  <si>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</si>
  <si>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</si>
  <si>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</si>
  <si>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</si>
  <si>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</si>
  <si>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</si>
  <si>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</si>
  <si>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</si>
  <si>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</si>
  <si>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</si>
  <si>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</si>
  <si>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</si>
  <si>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</si>
  <si>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</si>
  <si>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</si>
  <si>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</si>
  <si>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</si>
  <si>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</si>
  <si>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</si>
  <si>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</si>
  <si>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</si>
  <si>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</si>
  <si>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</si>
  <si>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</si>
  <si>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</si>
  <si>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</si>
  <si>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</si>
  <si>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</si>
  <si>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</si>
  <si>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</si>
  <si>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</si>
  <si>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</si>
  <si>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</si>
  <si>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</si>
  <si>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</si>
  <si>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</si>
  <si>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</si>
  <si>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</si>
  <si>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</si>
  <si>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</si>
  <si>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</si>
  <si>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</si>
  <si>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</si>
  <si>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</si>
  <si>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</si>
  <si>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</si>
  <si>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</si>
  <si>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</si>
  <si>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</si>
  <si>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</si>
  <si>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</si>
  <si>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</si>
  <si>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</si>
  <si>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</si>
  <si>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</si>
  <si>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</si>
  <si>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</si>
  <si>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</si>
  <si>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</si>
  <si>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</si>
  <si>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</si>
  <si>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</si>
  <si>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</si>
  <si>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</si>
  <si>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</si>
  <si>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</si>
  <si>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</si>
  <si>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</si>
  <si>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</si>
  <si>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</si>
  <si>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</si>
  <si>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</si>
  <si>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</si>
  <si>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</si>
  <si>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</si>
  <si>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</si>
  <si>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</si>
  <si>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</si>
  <si>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</si>
  <si>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</si>
  <si>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</si>
  <si>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</si>
  <si>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</si>
  <si>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</si>
  <si>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</si>
  <si>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</si>
  <si>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</si>
  <si>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</si>
  <si>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</si>
  <si>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</si>
  <si>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</si>
  <si>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</si>
  <si>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</si>
  <si>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</si>
  <si>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</si>
  <si>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</si>
  <si>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</si>
  <si>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</si>
  <si>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</si>
  <si>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</si>
  <si>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</si>
  <si>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</si>
  <si>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</si>
  <si>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</si>
  <si>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</si>
  <si>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</si>
  <si>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</si>
  <si>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</si>
  <si>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</si>
  <si>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</si>
  <si>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</si>
  <si>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</si>
  <si>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</si>
  <si>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</si>
  <si>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</si>
  <si>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</si>
  <si>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</si>
  <si>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</si>
  <si>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</si>
  <si>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</si>
  <si>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</si>
  <si>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</si>
  <si>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</si>
  <si>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</si>
  <si>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</si>
  <si>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</si>
  <si>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</si>
  <si>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</si>
  <si>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</si>
  <si>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</si>
  <si>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</si>
  <si>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</si>
  <si>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</si>
  <si>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</si>
  <si>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</si>
  <si>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</si>
  <si>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</si>
  <si>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</si>
  <si>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</si>
  <si>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</si>
  <si>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</si>
  <si>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</si>
  <si>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</si>
  <si>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</si>
  <si>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</si>
  <si>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</si>
  <si>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</si>
  <si>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</si>
  <si>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</si>
  <si>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</si>
  <si>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</si>
  <si>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</si>
  <si>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</si>
  <si>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</si>
  <si>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</si>
  <si>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</si>
  <si>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</si>
  <si>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</si>
  <si>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</si>
  <si>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</si>
  <si>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</si>
  <si>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</si>
  <si>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</si>
  <si>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</si>
  <si>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</si>
  <si>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</si>
  <si>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</si>
  <si>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</si>
  <si>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</si>
  <si>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</si>
  <si>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</si>
  <si>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</si>
  <si>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</si>
  <si>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</si>
  <si>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</si>
  <si>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</si>
  <si>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</si>
  <si>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</si>
  <si>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</si>
  <si>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</si>
  <si>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</si>
  <si>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</si>
  <si>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</si>
  <si>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</si>
  <si>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</si>
  <si>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</si>
  <si>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</si>
  <si>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</si>
  <si>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</si>
  <si>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</si>
  <si>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</si>
  <si>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</si>
  <si>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</si>
  <si>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</si>
  <si>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</si>
  <si>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</si>
  <si>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</si>
  <si>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</si>
  <si>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</si>
  <si>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</si>
  <si>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</si>
  <si>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</si>
  <si>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</si>
  <si>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</si>
  <si>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</si>
  <si>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</si>
  <si>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</si>
  <si>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</si>
  <si>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</si>
  <si>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</si>
  <si>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</si>
  <si>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</si>
  <si>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</si>
  <si>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</si>
  <si>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</si>
  <si>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</si>
  <si>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</si>
  <si>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</si>
  <si>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</si>
  <si>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</si>
  <si>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</si>
  <si>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</si>
  <si>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</si>
  <si>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</si>
  <si>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</si>
  <si>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</si>
  <si>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</si>
  <si>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</si>
  <si>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</si>
  <si>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</si>
  <si>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</si>
  <si>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</si>
  <si>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</si>
  <si>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</si>
  <si>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</si>
  <si>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</si>
  <si>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</si>
  <si>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</si>
  <si>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</si>
  <si>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</si>
  <si>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</si>
  <si>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</si>
  <si>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</si>
  <si>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</si>
  <si>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</si>
  <si>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</si>
  <si>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</si>
  <si>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</si>
  <si>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</si>
  <si>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</si>
  <si>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</si>
  <si>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</si>
  <si>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</si>
  <si>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</si>
  <si>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</si>
  <si>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</si>
  <si>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</si>
  <si>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</si>
  <si>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</si>
  <si>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</si>
  <si>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</si>
  <si>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</si>
  <si>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</si>
  <si>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</si>
  <si>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</si>
  <si>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</si>
  <si>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</si>
  <si>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</si>
  <si>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</si>
  <si>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</si>
  <si>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</si>
  <si>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</si>
  <si>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</si>
  <si>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</si>
  <si>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</si>
  <si>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</si>
  <si>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</si>
  <si>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</si>
  <si>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</si>
  <si>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</si>
  <si>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</si>
  <si>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</si>
  <si>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</si>
  <si>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</si>
  <si>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</si>
  <si>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</si>
  <si>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</si>
  <si>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</si>
  <si>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</si>
  <si>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</si>
  <si>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</si>
  <si>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</si>
  <si>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</si>
  <si>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Produit 1.2:</t>
  </si>
  <si>
    <t>Produit 1.3:</t>
  </si>
  <si>
    <t xml:space="preserve">RESULTAT 2: </t>
  </si>
  <si>
    <t>Produit 2.1</t>
  </si>
  <si>
    <t>Produit 2.2</t>
  </si>
  <si>
    <t xml:space="preserve">RESULTAT 3: </t>
  </si>
  <si>
    <t>Produit 3.1</t>
  </si>
  <si>
    <t>Produit 3.2:</t>
  </si>
  <si>
    <t>Produit 3.3</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</si>
  <si>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</si>
  <si>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</si>
  <si>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</si>
  <si>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</si>
  <si>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</si>
  <si>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</si>
  <si>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</si>
  <si>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</si>
  <si>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</si>
  <si>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</si>
  <si>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</si>
  <si>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</si>
  <si>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</si>
  <si>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</si>
  <si>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</si>
  <si>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</si>
  <si>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</si>
  <si>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</si>
  <si>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</si>
  <si>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</si>
  <si>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</si>
  <si>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</si>
  <si>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</si>
  <si>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</si>
  <si>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</si>
  <si>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</si>
  <si>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</si>
  <si>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</si>
  <si>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</si>
  <si>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</si>
  <si>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</si>
  <si>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</si>
  <si>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</si>
  <si>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RESULTAT 2</t>
  </si>
  <si>
    <t>Total pour produit 2.1 (du tableau 1)</t>
  </si>
  <si>
    <t>Total pour produit 2.2 (du tableau 1)</t>
  </si>
  <si>
    <t>RESULTAT 3</t>
  </si>
  <si>
    <t>Total pour produit 3.1 (du tableau 1)</t>
  </si>
  <si>
    <t>Produit 3.2</t>
  </si>
  <si>
    <t>Total pour produit 3.2 (du tableau 1)</t>
  </si>
  <si>
    <t>Total pour produit 3.3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</si>
  <si>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</si>
  <si>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</si>
  <si>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</si>
  <si>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</si>
  <si>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</si>
  <si>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</si>
  <si>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</si>
  <si>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</si>
  <si>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</si>
  <si>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</si>
  <si>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</si>
  <si>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</si>
  <si>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</si>
  <si>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</si>
  <si>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</si>
  <si>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</si>
  <si>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</si>
  <si>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</si>
  <si>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</si>
  <si>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</si>
  <si>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</si>
  <si>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</si>
  <si>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</si>
  <si>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</si>
  <si>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r>
      <t>Organisation recipiendiaire 1 (budget en USD)</t>
    </r>
    <r>
      <rPr>
        <b/>
        <sz val="12"/>
        <color rgb="FF00B0F0"/>
        <rFont val="Calibri"/>
        <family val="2"/>
        <scheme val="minor"/>
      </rPr>
      <t xml:space="preserve">                                       FAO</t>
    </r>
  </si>
  <si>
    <r>
      <t xml:space="preserve">Organisation recipiendiaire 2 (budget en USD)                                        </t>
    </r>
    <r>
      <rPr>
        <b/>
        <sz val="12"/>
        <color rgb="FF00B0F0"/>
        <rFont val="Calibri"/>
        <family val="2"/>
        <scheme val="minor"/>
      </rPr>
      <t>ONU HABITAT</t>
    </r>
  </si>
  <si>
    <t>Les structures et mécanismes incluant des jeunes sont renforcés et participent à la prévention et gestion des conflits fonciers</t>
  </si>
  <si>
    <t>Former des membres des structures de gestion des conflits fonciers des communes bénéficiaires sur les textes relatifs au foncier</t>
  </si>
  <si>
    <t>Soutenir  le processus d'élaboration des  chartes foncières et de delivrance des attestations de possession foncière villageoises dans les communes bénéficiaires</t>
  </si>
  <si>
    <t>Activite 1.3.1: Appuyer l’organisation et la tenue des sessions des structures et mécanismes (sessions de démarrage) ;</t>
  </si>
  <si>
    <t xml:space="preserve">Activite 1.3.2: Organiser des consultations sur les questions foncières et de paix entre les acteurs ; </t>
  </si>
  <si>
    <t>Activite 1.3.3: Organiser des causeries débats et des séances de sensibilisation sur le droit foncier, la gestion foncière et la gestion pacifique des conflits fonciers à travers les radios locales avec l’implication des jeunes formés ;</t>
  </si>
  <si>
    <t>Emission radiophonique</t>
  </si>
  <si>
    <t>Boîtes à image et autres</t>
  </si>
  <si>
    <t>Mettre en place  et former les animateurs des Clubs Dimitra dans 10 villages bénéficiaires du projet</t>
  </si>
  <si>
    <t>Mettre en place des  CEAP dans les villages bénéficiaires du projet</t>
  </si>
  <si>
    <t>Former des femmes et des jeunes sur les techniques de restauration des terres dégradées (CES/DRS)</t>
  </si>
  <si>
    <t xml:space="preserve">Appuyer les jeunes et les femmes à valoriser les 200ha de terres dégradées pour la production fourragère   </t>
  </si>
  <si>
    <t xml:space="preserve">Former des jeunes et les femmes  pour la production et conservation des produits halieutiques (poissons, crevettes) </t>
  </si>
  <si>
    <t>Appuyer les jeunes et les femmes  en équipement pour la conservation des produits halieutiques (poissons, crevettes)</t>
  </si>
  <si>
    <t>Organiser  des ateliers d'information et de concertation avec les écoles et centre de formation technique et professionnelle des régions des Hauts-Bassins et la Boucle du Mouhoun</t>
  </si>
  <si>
    <t>Activite' 2.2.2: Former les jeunes au leadership en matière protection de l’environnement, et les impacts du changement climatiques et de prévention et de gestion des conflits fonciers;</t>
  </si>
  <si>
    <t>Atelier de formation</t>
  </si>
  <si>
    <t>Achat des intrants</t>
  </si>
  <si>
    <t>Appui tecnhnique par les partenaires</t>
  </si>
  <si>
    <t xml:space="preserve">Activite 3.1.4: Développer un guide et des recommandations pour les processus inclusives et participatives basé sur les leçons apprises du projet; </t>
  </si>
  <si>
    <t>Evaluation externe</t>
  </si>
  <si>
    <t xml:space="preserve">Atelier de formation </t>
  </si>
  <si>
    <t xml:space="preserve">Ateliers de formation </t>
  </si>
  <si>
    <t xml:space="preserve">Mettre en place et équiper les organes et mechanism </t>
  </si>
  <si>
    <t>Mapping des parties prenantes et consultations au niveau local</t>
  </si>
  <si>
    <t>Alteliers d'echanges</t>
  </si>
  <si>
    <t>Dans les formations, la composante genre et les perspectives et besoins des femmes pour la planification des zones en urbanisation seront inclus et particulièrement soulignées ; lors de la sélection des participants, les femmes seront spécifiquement encouragées à se joindre (quota)</t>
  </si>
  <si>
    <t>Lors de la création des comités qui feront progresser le développement et la planification du territoire, il y aura des considérations spécifiques sur la manière d'inclure les femmes de manière significative (qui ne sont souvent pas habituées à exprimer leurs pensées et leurs points de vue sur les questions techniques). Il y aura des sessions d'introduction pour expliquer spécifiquement aux femmes, quel peut être leur rôle et à quel point leur participation à ces comités est importante.</t>
  </si>
  <si>
    <t>La diffusion au niveau local inspirera d'autres communautés de la région et bénéficiera également aux femmes d'autres régions. Leurs exemples et les leçons tirées du processus de leur inclusion inspireront d'autres femmes à contribuer activement aux processus de prise de décision.</t>
  </si>
  <si>
    <t xml:space="preserve"> Activité 1.2.1 : Informer/former les jeunes sur les différents cadres de prévention et de gestion des conflits communautaires dont les conflits fonciers;</t>
  </si>
  <si>
    <t xml:space="preserve">Activite 1.2.3: Appuyer la mise en place /redynamisation des structures locales de gestion foncière et de conflits en renforçant la participation des jeunes et des femmes; </t>
  </si>
  <si>
    <t>Reunion/atelier de plaidoyer</t>
  </si>
  <si>
    <t>Atelier de formation/information</t>
  </si>
  <si>
    <t>Visite de terrain</t>
  </si>
  <si>
    <t>Suivi technique (CCR/CTS)</t>
  </si>
  <si>
    <t>Dotation des jeunes en intrants et équipement pour la production fourragère</t>
  </si>
  <si>
    <t>Appuyer les jeunes et les femmes  en équipement pour la  transformation des produits PFNL</t>
  </si>
  <si>
    <t>Atelier de Capitalisation des acquis des CEAP/AVEC dans le processus de consolidation de la paix</t>
  </si>
  <si>
    <t>Atelier de concertation</t>
  </si>
  <si>
    <t>Equripement pour le personnel</t>
  </si>
  <si>
    <t>SUMIF('1) Tableau budgétaire 1'!$L$20:$L$24;LEFT($D19;1);'1)Tableau budgétaire 1'!$D$20:$D$24)</t>
  </si>
  <si>
    <t>Recrutement d'IMF pour le paiement des cashs aux bénéficiaires</t>
  </si>
  <si>
    <t>CATEGORIES UNDG</t>
  </si>
  <si>
    <t xml:space="preserve">Former des jeunes et les femmes  en esprit d'entreprenariat </t>
  </si>
  <si>
    <t>Location de salle, Restauration, prise en charge des participants</t>
  </si>
  <si>
    <t>Frais de consultance</t>
  </si>
  <si>
    <t>Frais de diffusion, Prise en charge des animateurs</t>
  </si>
  <si>
    <t>Prise en charge du consultant, Location de salle, Restauration, Prise en charge dans participants,Prise en charge des animateurs</t>
  </si>
  <si>
    <t>Prise en charge du consultant, Location de salle, Restauration, Prise en charge dans participants</t>
  </si>
  <si>
    <t>Cash for work, Travaux manuels de récupération</t>
  </si>
  <si>
    <t>Achat d'intrants et équipements</t>
  </si>
  <si>
    <t>Frais de prestation de l'IMF</t>
  </si>
  <si>
    <t>Prise du consultant, Location de salle, Restauration, Prise en charge des participants</t>
  </si>
  <si>
    <t xml:space="preserve"> Location de salle, Restauration, Prise en charge des participants</t>
  </si>
  <si>
    <t xml:space="preserve"> Prise en charge du consultant, Location de salle, Restauration, Prise en charge des participants</t>
  </si>
  <si>
    <t>Prise en charge des partenaires techniques et opérationels</t>
  </si>
  <si>
    <t xml:space="preserve">Ordinateurs portables, portables, GIS equipment; </t>
  </si>
  <si>
    <t>Au cours des formations et du partage des leçons apprises, la perspective des femmes sera une priorité. Les femmes ne seront pas seulement 30 % des participants, mais aussi au moins 50 % de celles qui partagent leurs expériences et leurs messages clés. Cela soulignera leur rôle important dans la réduction des conflits, le maintien de la paix et la consolidation de la paix.</t>
  </si>
  <si>
    <t xml:space="preserve">Locations de salles, Restauration, prises en charges des participants, </t>
  </si>
  <si>
    <t>Prise en charge des consultants, bases des donnees spatiale locations de salles, restauration, pris en charge des participants</t>
  </si>
  <si>
    <t xml:space="preserve"> Les jeunes sont inclus dans les mécanismes locaux et participent à la prévention et à la gestion des conflits fonciers </t>
  </si>
  <si>
    <t>Des analyses inclusives et participatives des défis et des opportunités autour de la gestion foncière et du développement économique local sont disponibles</t>
  </si>
  <si>
    <t>Activite 1.1.1: Faire une étude de base des conflits fonciers impliquant les jeunes d’une manière participative, y inclus une cartographie des parties prenantes, des structures et mécanismes de gestion foncière et une analyse des défis socio-économique au niveau rural et péri-urbain (y inclus une cartographie spatiale);</t>
  </si>
  <si>
    <t xml:space="preserve">Analyse des conflicts, spaitale et socio-economique et parties prenantes; </t>
  </si>
  <si>
    <t xml:space="preserve">Ateliers pour un processuss particiaptive pour l'etude de base ( l'anylse des conflicts foncieres, spatiale et socio-economicque) avec des parties prenantes (processus participative); </t>
  </si>
  <si>
    <t>Activite 1.1.2: Diffuser les résultats des analyses auprès des acteurs clés, y inclus les associations de jeunes pour susciter des réponses participatives, inclusives et adaptées aux besoins locaux de cohésion sociale;</t>
  </si>
  <si>
    <t xml:space="preserve">Redaction des resultats d'analyse et etablir base line data </t>
  </si>
  <si>
    <t xml:space="preserve">Ateliers et actions pour la diffusion  </t>
  </si>
  <si>
    <t>Atelier de mise en places des structures</t>
  </si>
  <si>
    <t>Activité 1.2.2 : Mener des plaidoyers en collaboration avec les associations de jeunesse pour l’implication des jeunes dans les structures et mécanismes locaux de gestion prévention et de des conflits;</t>
  </si>
  <si>
    <t xml:space="preserve">Activite 1.2.4: Former les différents acteurs des structures /mécanismes (dont les jeunes) sur la complémentarité de leur rôle et responsabilité, la gestion pacifique des conflits et sur les textes régissant le fonciers et les ressources naturelles ; </t>
  </si>
  <si>
    <t>Activite 1.3.4: Compilation et diffusion de textes relatifs aux fonciers aux structures et acteurs locaux</t>
  </si>
  <si>
    <t xml:space="preserve">Les investissements de stabilité socio-économique et de paix sont réalisés pour les jeunes, dans le respect de la gestion durable du foncier et des planifications territoriales </t>
  </si>
  <si>
    <t>Les capacités des jeunes sont renforcées pour une gestion durable des ressources agro-sylvo-pastorales et une amélioration de leurs moyens d’existence</t>
  </si>
  <si>
    <t xml:space="preserve">Activite 2.1.1: Sensibiliser/former les jeunes sur leur rôle en tant que vecteurs du changement, les méthodes d’atténuation et adaptation aux effets du changement climatique à travers les CEAP /AVEC, avec porte d’entrée les clubs DIMITRA; </t>
  </si>
  <si>
    <t>Activite 2.1.2: Former et accompagner les jeunes pour la récupération/valorisation des terres dégradées, la restauration/préservation des sols à travers des méthodes innovantes;</t>
  </si>
  <si>
    <t xml:space="preserve">Appuyer les jeunes et les femmes à récupérer manuellement 200ha de terres dégradées  sous forme de cash for work </t>
  </si>
  <si>
    <t>Activite 2.1.3: Renforcer les capacités techniques et matérielles des jeunes pour des activités agro-sylvo-pastorales de production, conservation, transformation et commercialisation en utilisant des techniques et technologies adaptées aux zones péri-urbaines et urbaines ;</t>
  </si>
  <si>
    <t xml:space="preserve">Activite 2.1.4: Renforcer les capacités en entrepreneuriat des jeunes par la création d’entreprises durables et porteuses d’innovation; </t>
  </si>
  <si>
    <t xml:space="preserve">Activite 2.1.5: Appuyer l’intégration de l’approche CEAP dans les modules de formation professionnelle des instituts agropastoraux ; </t>
  </si>
  <si>
    <t xml:space="preserve">Des projets pilotes conjoints regroupant des jeunes de diversité socioculturelles sont développés </t>
  </si>
  <si>
    <t xml:space="preserve">Activite 2.2.1: Organiser des concertations avec les jeunes pour définir des projets pilotes transformatifs autour de leur accès au foncier ou leur développement économique dans les zones péri-urbaines; </t>
  </si>
  <si>
    <t xml:space="preserve">Activite 2.2.3: Appuyer la mise en œuvre les projets (initiatives) définis par les jeunes identifiés ;  </t>
  </si>
  <si>
    <t xml:space="preserve">Les capacités des acteurs locaux sont renforcées pour les processus inclusifs de gestion foncière et la planification territoriale </t>
  </si>
  <si>
    <t xml:space="preserve">Les acteurs clés locales, y inclus les jeunes, sont formées et intègrent les défis locaux identifiés et l’approche inclusif dans les politiques de prévention, de gestion des conflits foncier et la planification territoriale; </t>
  </si>
  <si>
    <t xml:space="preserve">Activite 3.1.1: Former les acteurs locaux, les détenteurs de droits fonciers et les notabilités sur les textes régissant le foncier et la gestion des ressources naturelles; </t>
  </si>
  <si>
    <t xml:space="preserve">Developpment des formations;  reporting; </t>
  </si>
  <si>
    <t>Documentation et preparation</t>
  </si>
  <si>
    <t xml:space="preserve">Couts pour le developpment des formations; locations de salles, Restauration, prises en charges des participants, </t>
  </si>
  <si>
    <t xml:space="preserve">Activite 3.1.2: Former les acteurs locaux, y inclus les jeunes, sur les processus participatifs pour la planification spatiale et d’occupation de sols (zonage) et augmenter le dialogue entre les acteurs dans les sessions d’échanges; </t>
  </si>
  <si>
    <t xml:space="preserve">Activite 3.1.3: Appuyer la mise en place et le fonctionnement des mécanismes et structures communaux et régionaux d’aménagement et planification territoriale pour un développement durable du territoire ; </t>
  </si>
  <si>
    <t xml:space="preserve">Developpment des formations; locations de salles, restauration, prises en charges des participants, </t>
  </si>
  <si>
    <t xml:space="preserve">Drafting du guide ; consultation avec des parties prenantes concernees (y inclus niveau local, regional et national); </t>
  </si>
  <si>
    <t xml:space="preserve">Frais d'élaboration du Guide et prise en charge du consultant;  couts pour des actions pour la disseminations; </t>
  </si>
  <si>
    <t>Un cadre de planification spatiale dans les zones péri-urbaines ou rurales ciblées est développé d’une manière intégrée et durable, incluant les jeunes dans les processus</t>
  </si>
  <si>
    <t>Activite 3.2.1: Renforcer les capacités des collectivités pour la planification territoriale intégrant les aspects de l’adaptation au changement climatique</t>
  </si>
  <si>
    <t xml:space="preserve">Activite 3.2.2: Développer des cadres spatiaux avec une approche intégrée et inclusive en impliquant les jeunes dans les processus;  </t>
  </si>
  <si>
    <t xml:space="preserve">Alteliers de consultations, d'echange et formation; </t>
  </si>
  <si>
    <t xml:space="preserve">Preparation des plans de base (GIS);  </t>
  </si>
  <si>
    <t xml:space="preserve">Developpment des cadres spatiaux et introduction au niveau local; </t>
  </si>
  <si>
    <t>Frais d'élaboration du Guide; Prise en charge du consultant</t>
  </si>
  <si>
    <t xml:space="preserve">Locations des salles;  restauration, prises en charges des participants; preparation des rapports; </t>
  </si>
  <si>
    <t xml:space="preserve">D’autres régions ayant des défis similaires s’inspirent des expériences et les capacités institutionnelles acquises dans la planification territoriale pour la gestion foncière et la consolidation de la paix </t>
  </si>
  <si>
    <t xml:space="preserve">Activite 3.3.1: Organiser deux ateliers d’échange sur les « acquis et leçons apprises » du projet et sur le guide incluant les acteurs clés d’autres régions prioritaires du PUS-PBF; </t>
  </si>
  <si>
    <t>Preparations et development des rapports</t>
  </si>
  <si>
    <t>Activite 3.3.2: Organiser la dissémination des « leçons apprises », de l’approche intégrée et participative pour le renforcement et la consolidation de la paix dans un forum régional ou global ;</t>
  </si>
  <si>
    <r>
      <t>La phase analyse sera faites d'une manière consultative et participative, avec un focus sur les pérspectives et visions des femmes (</t>
    </r>
    <r>
      <rPr>
        <b/>
        <sz val="12"/>
        <rFont val="Calibri"/>
        <family val="2"/>
        <scheme val="minor"/>
      </rPr>
      <t>et des jeunes)</t>
    </r>
    <r>
      <rPr>
        <sz val="12"/>
        <rFont val="Calibri"/>
        <family val="2"/>
        <scheme val="minor"/>
      </rPr>
      <t>; toutes les bases de données seront agrégées par sexe (</t>
    </r>
    <r>
      <rPr>
        <b/>
        <sz val="12"/>
        <rFont val="Calibri"/>
        <family val="2"/>
        <scheme val="minor"/>
      </rPr>
      <t>et age)</t>
    </r>
    <r>
      <rPr>
        <sz val="12"/>
        <rFont val="Calibri"/>
        <family val="2"/>
        <scheme val="minor"/>
      </rPr>
      <t xml:space="preserve">; </t>
    </r>
  </si>
  <si>
    <t>Pour la dissemination, y inclus des atéliers, la maniere de distribution et sensibliations, la participation des femmes sera une priorité</t>
  </si>
  <si>
    <t xml:space="preserve">Prise en charge du consultant, locations de salles, restauration, pris en charge des participants, impression et diffusion des résultats; medias; </t>
  </si>
  <si>
    <r>
      <rPr>
        <b/>
        <sz val="12"/>
        <rFont val="Calibri"/>
        <family val="2"/>
        <scheme val="minor"/>
      </rPr>
      <t>Les structures et mécanismes de prévention et de gestion des conflits sont fonctionnels et opérationnels</t>
    </r>
    <r>
      <rPr>
        <sz val="12"/>
        <rFont val="Calibri"/>
        <family val="2"/>
        <scheme val="minor"/>
      </rPr>
      <t xml:space="preserve"> </t>
    </r>
  </si>
  <si>
    <t>Dans les formations, la composante genre et l'égalité des genres, pour autant qu'elles existent, seront particulièrement soulignées ; lors de la sélection des participants, les femmes seront spécifiquement encouragées à se joindre (quota) et encouragées à s'engager</t>
  </si>
  <si>
    <t xml:space="preserve">Couts pour le consultant; Locations de salles, restauration, prises en charges des participants; preparation des rapports; </t>
  </si>
  <si>
    <t>Dans les consultations pour le guide, des questiosn specifique au tour des besoins des femmes et les defis specifiques seront posees. Dans le guide, les défis et les besoins spécifiques des femmes seront mis en évidence et les enseignements tirés du processus (y compris sur l'inclusion significative des femmes dans les mécanismes et les comités) seront inclus.</t>
  </si>
  <si>
    <t>La planification doit être effectuée de manière à prendre en compte les besoins de tous les groupes de population, y compris les groupes vulnérables tels que les femmes. Ils bénéficieront d'une accessibilité accrue, par ex. des marchés ou des zones de collecte de bois, un zonage clair et une meilleure protection contre les impacts du changement climatique (réduction des risques; augmentation des capacites locales et sensibilisation).</t>
  </si>
  <si>
    <t xml:space="preserve">Dans les réunions et consultations pour le cadre spatial, les femmes seront explicitement incluses (50% de participants) et leurs voix entendues, si nécessaire dans des groupes de discussion spécifiquement pour les femmes et les filles. pour s'assurer que leurs perspectives contribuent à designer le cadre spatial (e.g. espaces publiques; connectivite; ...) </t>
  </si>
  <si>
    <t xml:space="preserve">Locations de salles, Restauration, prises en charges des participants ou couts de voyage;  Communication sur les leçons apprises; frais des medias; </t>
  </si>
  <si>
    <t xml:space="preserve"> Production de la Fumure Organique pour culture fourragère</t>
  </si>
  <si>
    <t>Achat d'intrants</t>
  </si>
  <si>
    <r>
      <t xml:space="preserve">Niveau de depense/ engagement actuel 
(a remplir au moment des rapports de projet)  </t>
    </r>
    <r>
      <rPr>
        <b/>
        <sz val="12"/>
        <color rgb="FF00B0F0"/>
        <rFont val="Calibri"/>
        <family val="2"/>
        <scheme val="minor"/>
      </rPr>
      <t>FAO</t>
    </r>
  </si>
  <si>
    <r>
      <t xml:space="preserve">Niveau de depense/ engagement actuel 
(a remplir au moment des rapports de projet) </t>
    </r>
    <r>
      <rPr>
        <b/>
        <sz val="12"/>
        <color rgb="FF00B0F0"/>
        <rFont val="Calibri"/>
        <family val="2"/>
        <scheme val="minor"/>
      </rPr>
      <t>ONU HABITAT</t>
    </r>
  </si>
  <si>
    <t>Totaux ( Rapport financier)</t>
  </si>
  <si>
    <r>
      <t xml:space="preserve">Total
Expenditure &amp; Commitments
</t>
    </r>
    <r>
      <rPr>
        <b/>
        <sz val="12"/>
        <color rgb="FFFF0000"/>
        <rFont val="Calibri"/>
        <family val="2"/>
        <scheme val="minor"/>
      </rPr>
      <t>31.05.2024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</si>
</sst>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_-;\-* #,##0.00\ _€_-;_-* &quot;-&quot;??\ _€_-;_-@_-"/>
    <numFmt numFmtId="165" formatCode="_(&quot;$&quot;* #,##0.00_);_(&quot;$&quot;* \(#,##0.00\);_(&quot;$&quot;* &quot;-&quot;??_);_(@_)"/>
    <numFmt numFmtId="166" formatCode="_-* #,##0_-;\-* #,##0_-;_-* &quot;-&quot;??_-;_-@_-"/>
    <numFmt numFmtId="167" formatCode="_(&quot;$&quot;* #,##0_);_(&quot;$&quot;* \(#,##0\);_(&quot;$&quot;* &quot;-&quot;??_);_(@_)"/>
    <numFmt numFmtId="168" formatCode="_(&quot;$&quot;* #,##0.0_);_(&quot;$&quot;* \(#,##0.0\);_(&quot;$&quot;* &quot;-&quot;??_);_(@_)"/>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12"/>
      <color rgb="FF00B0F0"/>
      <name val="Calibri"/>
      <family val="2"/>
      <scheme val="minor"/>
    </font>
    <font>
      <sz val="12"/>
      <name val="Calibri"/>
      <family val="2"/>
      <scheme val="minor"/>
    </font>
    <font>
      <b/>
      <sz val="12"/>
      <name val="Calibri"/>
      <family val="2"/>
      <scheme val="minor"/>
    </font>
    <font>
      <sz val="12"/>
      <name val="Arial"/>
      <family val="2"/>
    </font>
    <font>
      <sz val="10"/>
      <color rgb="FF000000"/>
      <name val="Arial"/>
      <family val="2"/>
    </font>
    <font>
      <b/>
      <sz val="12"/>
      <color rgb="FF0070C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5">
    <xf numFmtId="0" fontId="0" fillId="0" borderId="0"/>
    <xf numFmtId="165"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cellStyleXfs>
  <cellXfs count="345">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5" fontId="2" fillId="0" borderId="0" xfId="0" applyNumberFormat="1" applyFont="1" applyAlignment="1">
      <alignment vertical="center" wrapText="1"/>
    </xf>
    <xf numFmtId="0" fontId="2" fillId="2" borderId="12" xfId="0" applyFont="1" applyFill="1" applyBorder="1" applyAlignment="1">
      <alignment vertical="center" wrapText="1"/>
    </xf>
    <xf numFmtId="0" fontId="5"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165" fontId="5" fillId="3" borderId="3" xfId="1" applyFont="1" applyFill="1" applyBorder="1" applyAlignment="1" applyProtection="1">
      <alignment horizontal="center" vertical="center" wrapText="1"/>
      <protection locked="0"/>
    </xf>
    <xf numFmtId="0" fontId="7" fillId="2" borderId="8" xfId="0" applyFont="1" applyFill="1" applyBorder="1" applyAlignment="1">
      <alignment vertical="center" wrapText="1"/>
    </xf>
    <xf numFmtId="165" fontId="7" fillId="3" borderId="0" xfId="1" applyFont="1" applyFill="1" applyBorder="1" applyAlignment="1" applyProtection="1">
      <alignment vertical="center" wrapText="1"/>
    </xf>
    <xf numFmtId="165" fontId="5" fillId="3" borderId="0" xfId="1" applyFont="1" applyFill="1" applyBorder="1" applyAlignment="1" applyProtection="1">
      <alignment vertical="center" wrapText="1"/>
    </xf>
    <xf numFmtId="165" fontId="5" fillId="3" borderId="0" xfId="1" applyFont="1" applyFill="1" applyBorder="1" applyAlignment="1" applyProtection="1">
      <alignment vertical="center" wrapText="1"/>
      <protection locked="0"/>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165"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5" fontId="2" fillId="3" borderId="0" xfId="2" applyNumberFormat="1" applyFont="1" applyFill="1" applyBorder="1" applyAlignment="1">
      <alignment wrapText="1"/>
    </xf>
    <xf numFmtId="0" fontId="2" fillId="3" borderId="0" xfId="0" applyFont="1" applyFill="1" applyAlignment="1">
      <alignment horizontal="left"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5" fontId="2" fillId="4" borderId="3" xfId="1" applyFont="1" applyFill="1" applyBorder="1" applyAlignment="1" applyProtection="1">
      <alignment wrapText="1"/>
    </xf>
    <xf numFmtId="165" fontId="5" fillId="3" borderId="0" xfId="0" applyNumberFormat="1" applyFont="1" applyFill="1" applyAlignment="1">
      <alignment vertical="center" wrapText="1"/>
    </xf>
    <xf numFmtId="165" fontId="2" fillId="0" borderId="0" xfId="0" applyNumberFormat="1" applyFont="1" applyAlignment="1">
      <alignment wrapText="1"/>
    </xf>
    <xf numFmtId="165"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5" fontId="2" fillId="2" borderId="3" xfId="0" applyNumberFormat="1" applyFont="1" applyFill="1" applyBorder="1" applyAlignment="1">
      <alignment wrapText="1"/>
    </xf>
    <xf numFmtId="0" fontId="6" fillId="2" borderId="38" xfId="0" applyFont="1" applyFill="1" applyBorder="1" applyAlignment="1">
      <alignment vertical="center" wrapText="1"/>
    </xf>
    <xf numFmtId="165" fontId="2" fillId="2" borderId="38"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Font="1" applyFill="1" applyBorder="1" applyAlignment="1">
      <alignment wrapText="1"/>
    </xf>
    <xf numFmtId="165" fontId="2" fillId="3" borderId="4" xfId="1" applyFont="1" applyFill="1" applyBorder="1" applyAlignment="1" applyProtection="1">
      <alignment wrapText="1"/>
    </xf>
    <xf numFmtId="165" fontId="2" fillId="3" borderId="1" xfId="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165" fontId="2" fillId="2" borderId="37"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5" fontId="5" fillId="2" borderId="38"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5" fillId="0" borderId="38" xfId="0" applyNumberFormat="1" applyFont="1" applyBorder="1" applyAlignment="1" applyProtection="1">
      <alignment wrapText="1"/>
      <protection locked="0"/>
    </xf>
    <xf numFmtId="165" fontId="5" fillId="3" borderId="38" xfId="1" applyFont="1" applyFill="1" applyBorder="1" applyAlignment="1" applyProtection="1">
      <alignment horizontal="center" vertical="center" wrapText="1"/>
      <protection locked="0"/>
    </xf>
    <xf numFmtId="165" fontId="5" fillId="0" borderId="3" xfId="0" applyNumberFormat="1" applyFont="1" applyBorder="1" applyAlignment="1" applyProtection="1">
      <alignment wrapText="1"/>
      <protection locked="0"/>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165"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5"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5" fillId="2" borderId="8" xfId="0" applyFont="1" applyFill="1" applyBorder="1" applyAlignment="1">
      <alignment vertical="center" wrapText="1"/>
    </xf>
    <xf numFmtId="0" fontId="2" fillId="2" borderId="34" xfId="0" applyFont="1" applyFill="1" applyBorder="1" applyAlignment="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165" fontId="5" fillId="2" borderId="3" xfId="0" applyNumberFormat="1" applyFont="1" applyFill="1" applyBorder="1" applyAlignment="1">
      <alignment wrapText="1"/>
    </xf>
    <xf numFmtId="0" fontId="2" fillId="2" borderId="31"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5" fontId="2" fillId="4" borderId="5" xfId="1" applyFont="1" applyFill="1" applyBorder="1" applyAlignment="1" applyProtection="1">
      <alignment wrapText="1"/>
    </xf>
    <xf numFmtId="165" fontId="2" fillId="4" borderId="5" xfId="1" applyFont="1" applyFill="1" applyBorder="1" applyAlignment="1">
      <alignment wrapText="1"/>
    </xf>
    <xf numFmtId="165"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49" xfId="0" applyFont="1" applyFill="1" applyBorder="1" applyAlignment="1">
      <alignment vertical="center" wrapText="1"/>
    </xf>
    <xf numFmtId="0" fontId="7" fillId="2" borderId="49"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5" fontId="5" fillId="2" borderId="8" xfId="1" applyFont="1" applyFill="1" applyBorder="1" applyAlignment="1" applyProtection="1">
      <alignment wrapText="1"/>
    </xf>
    <xf numFmtId="165" fontId="2" fillId="2" borderId="3" xfId="1" applyFont="1" applyFill="1" applyBorder="1" applyAlignment="1">
      <alignment wrapText="1"/>
    </xf>
    <xf numFmtId="165" fontId="2" fillId="2" borderId="12" xfId="1" applyFont="1" applyFill="1" applyBorder="1" applyAlignment="1" applyProtection="1">
      <alignment wrapText="1"/>
    </xf>
    <xf numFmtId="165" fontId="2" fillId="2" borderId="13" xfId="1" applyFont="1" applyFill="1" applyBorder="1" applyAlignment="1">
      <alignment wrapText="1"/>
    </xf>
    <xf numFmtId="0" fontId="7" fillId="2" borderId="34" xfId="0" applyFont="1" applyFill="1" applyBorder="1" applyAlignment="1">
      <alignment vertical="center" wrapText="1"/>
    </xf>
    <xf numFmtId="165" fontId="5" fillId="2" borderId="5" xfId="0" applyNumberFormat="1" applyFont="1" applyFill="1" applyBorder="1" applyAlignment="1">
      <alignment wrapText="1"/>
    </xf>
    <xf numFmtId="165" fontId="2" fillId="2" borderId="30" xfId="0" applyNumberFormat="1" applyFont="1" applyFill="1" applyBorder="1" applyAlignment="1">
      <alignment wrapText="1"/>
    </xf>
    <xf numFmtId="165" fontId="2" fillId="2" borderId="9" xfId="1" applyFont="1" applyFill="1" applyBorder="1" applyAlignment="1">
      <alignment wrapText="1"/>
    </xf>
    <xf numFmtId="165" fontId="2" fillId="2" borderId="14" xfId="1" applyFont="1" applyFill="1" applyBorder="1" applyAlignment="1">
      <alignment wrapText="1"/>
    </xf>
    <xf numFmtId="165" fontId="5" fillId="2" borderId="27" xfId="1" applyFont="1" applyFill="1" applyBorder="1" applyAlignment="1" applyProtection="1">
      <alignment wrapText="1"/>
    </xf>
    <xf numFmtId="165" fontId="5" fillId="2" borderId="29" xfId="1" applyFont="1" applyFill="1" applyBorder="1" applyAlignment="1">
      <alignment wrapText="1"/>
    </xf>
    <xf numFmtId="165"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0" fontId="1" fillId="2" borderId="8" xfId="0" applyFont="1" applyFill="1" applyBorder="1" applyAlignment="1">
      <alignment vertical="center" wrapText="1"/>
    </xf>
    <xf numFmtId="165"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5" fontId="3" fillId="2" borderId="13" xfId="0" applyNumberFormat="1" applyFont="1" applyFill="1" applyBorder="1"/>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9" fontId="0" fillId="0" borderId="0" xfId="2" applyFont="1" applyFill="1" applyBorder="1" applyAlignment="1">
      <alignment wrapText="1"/>
    </xf>
    <xf numFmtId="165" fontId="2" fillId="2" borderId="3" xfId="1" applyFont="1" applyFill="1" applyBorder="1" applyAlignment="1" applyProtection="1">
      <alignment horizontal="center" vertical="center" wrapText="1"/>
      <protection locked="0"/>
    </xf>
    <xf numFmtId="0" fontId="7" fillId="2" borderId="50" xfId="0" applyFont="1" applyFill="1" applyBorder="1" applyAlignment="1">
      <alignment vertical="center" wrapText="1"/>
    </xf>
    <xf numFmtId="0" fontId="2" fillId="9" borderId="3" xfId="0" applyFont="1" applyFill="1" applyBorder="1" applyAlignment="1">
      <alignment horizontal="center" vertical="center" wrapText="1"/>
    </xf>
    <xf numFmtId="165" fontId="14" fillId="0" borderId="0" xfId="4" applyFont="1" applyBorder="1" applyAlignment="1">
      <alignment wrapText="1"/>
    </xf>
    <xf numFmtId="165" fontId="14" fillId="0" borderId="0" xfId="4" applyFont="1" applyFill="1" applyBorder="1" applyAlignment="1">
      <alignment wrapText="1"/>
    </xf>
    <xf numFmtId="165" fontId="12" fillId="3" borderId="0" xfId="4" applyFont="1" applyFill="1" applyBorder="1" applyAlignment="1">
      <alignment horizontal="left" wrapText="1"/>
    </xf>
    <xf numFmtId="165" fontId="12" fillId="0" borderId="0" xfId="4" applyFont="1" applyFill="1" applyBorder="1" applyAlignment="1">
      <alignment horizontal="left" wrapText="1"/>
    </xf>
    <xf numFmtId="165" fontId="0" fillId="0" borderId="0" xfId="4" applyFont="1" applyFill="1" applyBorder="1" applyAlignment="1">
      <alignment wrapText="1"/>
    </xf>
    <xf numFmtId="165" fontId="2" fillId="0" borderId="0" xfId="4" applyFont="1" applyFill="1" applyBorder="1" applyAlignment="1" applyProtection="1">
      <alignment vertical="center" wrapText="1"/>
    </xf>
    <xf numFmtId="165" fontId="2" fillId="0" borderId="0" xfId="4" applyFont="1" applyFill="1" applyBorder="1" applyAlignment="1" applyProtection="1">
      <alignment horizontal="center" vertical="center" wrapText="1"/>
    </xf>
    <xf numFmtId="0" fontId="1" fillId="3" borderId="0" xfId="0" applyFont="1" applyFill="1" applyAlignment="1" applyProtection="1">
      <alignment vertical="center" wrapText="1"/>
      <protection locked="0"/>
    </xf>
    <xf numFmtId="165" fontId="1" fillId="3" borderId="0" xfId="4" applyFont="1" applyFill="1" applyBorder="1" applyAlignment="1" applyProtection="1">
      <alignment vertical="center" wrapText="1"/>
      <protection locked="0"/>
    </xf>
    <xf numFmtId="165" fontId="1" fillId="0" borderId="0" xfId="4" applyFont="1" applyFill="1" applyBorder="1" applyAlignment="1" applyProtection="1">
      <alignment vertical="center" wrapText="1"/>
      <protection locked="0"/>
    </xf>
    <xf numFmtId="165" fontId="2" fillId="3" borderId="0" xfId="4" applyFont="1" applyFill="1" applyBorder="1" applyAlignment="1" applyProtection="1">
      <alignment vertical="center" wrapText="1"/>
      <protection locked="0"/>
    </xf>
    <xf numFmtId="165" fontId="2" fillId="0" borderId="0" xfId="4" applyFont="1" applyFill="1" applyBorder="1" applyAlignment="1" applyProtection="1">
      <alignment vertical="center" wrapText="1"/>
      <protection locked="0"/>
    </xf>
    <xf numFmtId="0" fontId="1" fillId="2" borderId="34" xfId="0" applyFont="1" applyFill="1" applyBorder="1" applyAlignment="1">
      <alignment horizontal="center" vertical="center" wrapText="1"/>
    </xf>
    <xf numFmtId="165" fontId="2" fillId="2" borderId="3" xfId="4" applyFont="1" applyFill="1" applyBorder="1" applyAlignment="1" applyProtection="1">
      <alignment horizontal="center" vertical="center" wrapText="1"/>
      <protection locked="0"/>
    </xf>
    <xf numFmtId="165" fontId="2" fillId="2" borderId="30" xfId="4" applyFont="1" applyFill="1" applyBorder="1" applyAlignment="1" applyProtection="1">
      <alignment horizontal="center" vertical="center" wrapText="1"/>
    </xf>
    <xf numFmtId="0" fontId="1" fillId="3" borderId="0" xfId="0" applyFont="1" applyFill="1" applyAlignment="1">
      <alignment vertical="center" wrapText="1"/>
    </xf>
    <xf numFmtId="165" fontId="1" fillId="2" borderId="3" xfId="0" applyNumberFormat="1"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lignment vertical="center" wrapText="1"/>
    </xf>
    <xf numFmtId="165" fontId="2" fillId="2" borderId="13" xfId="4" applyFont="1" applyFill="1" applyBorder="1" applyAlignment="1" applyProtection="1">
      <alignment vertical="center" wrapText="1"/>
    </xf>
    <xf numFmtId="165" fontId="0" fillId="0" borderId="0" xfId="4" applyFont="1" applyBorder="1" applyAlignment="1">
      <alignment wrapText="1"/>
    </xf>
    <xf numFmtId="165" fontId="2" fillId="3" borderId="0" xfId="4" applyFont="1" applyFill="1" applyBorder="1" applyAlignment="1">
      <alignment vertical="center" wrapText="1"/>
    </xf>
    <xf numFmtId="165" fontId="2" fillId="0" borderId="0" xfId="4" applyFont="1" applyFill="1" applyBorder="1" applyAlignment="1">
      <alignment vertical="center" wrapText="1"/>
    </xf>
    <xf numFmtId="165" fontId="2" fillId="3" borderId="0" xfId="4" applyFont="1" applyFill="1" applyBorder="1" applyAlignment="1" applyProtection="1">
      <alignment horizontal="center" vertical="center" wrapText="1"/>
    </xf>
    <xf numFmtId="165" fontId="2" fillId="2" borderId="3" xfId="4" applyFont="1" applyFill="1" applyBorder="1" applyAlignment="1" applyProtection="1">
      <alignment vertical="center" wrapText="1"/>
    </xf>
    <xf numFmtId="165" fontId="2" fillId="2" borderId="4" xfId="4" applyFont="1" applyFill="1" applyBorder="1" applyAlignment="1" applyProtection="1">
      <alignment vertical="center" wrapText="1"/>
    </xf>
    <xf numFmtId="165" fontId="2" fillId="2" borderId="39" xfId="4" applyFont="1" applyFill="1" applyBorder="1" applyAlignment="1" applyProtection="1">
      <alignment vertical="center" wrapText="1"/>
    </xf>
    <xf numFmtId="165" fontId="2" fillId="3" borderId="0" xfId="4" applyFont="1" applyFill="1" applyBorder="1" applyAlignment="1" applyProtection="1">
      <alignment horizontal="right" vertical="center" wrapText="1"/>
      <protection locked="0"/>
    </xf>
    <xf numFmtId="165" fontId="2" fillId="0" borderId="0" xfId="4" applyFont="1" applyFill="1" applyBorder="1" applyAlignment="1" applyProtection="1">
      <alignment horizontal="right" vertical="center" wrapText="1"/>
      <protection locked="0"/>
    </xf>
    <xf numFmtId="165" fontId="2" fillId="3" borderId="0" xfId="4" applyFont="1" applyFill="1" applyBorder="1" applyAlignment="1" applyProtection="1">
      <alignment vertical="center" wrapText="1"/>
    </xf>
    <xf numFmtId="165" fontId="0" fillId="0" borderId="0" xfId="4" applyFont="1" applyFill="1" applyBorder="1" applyAlignment="1">
      <alignment vertical="center" wrapText="1"/>
    </xf>
    <xf numFmtId="165" fontId="1" fillId="0" borderId="3" xfId="0" applyNumberFormat="1" applyFont="1" applyBorder="1" applyAlignment="1" applyProtection="1">
      <alignment wrapText="1"/>
      <protection locked="0"/>
    </xf>
    <xf numFmtId="1" fontId="0" fillId="0" borderId="0" xfId="0" applyNumberFormat="1" applyAlignment="1">
      <alignment wrapText="1"/>
    </xf>
    <xf numFmtId="1" fontId="0" fillId="3" borderId="0" xfId="0" applyNumberFormat="1" applyFill="1" applyAlignment="1">
      <alignment wrapText="1"/>
    </xf>
    <xf numFmtId="1" fontId="2" fillId="3" borderId="0" xfId="0" applyNumberFormat="1" applyFont="1" applyFill="1" applyAlignment="1" applyProtection="1">
      <alignment vertical="center" wrapText="1"/>
      <protection locked="0"/>
    </xf>
    <xf numFmtId="1" fontId="1" fillId="0" borderId="0" xfId="0" applyNumberFormat="1" applyFont="1" applyAlignment="1">
      <alignment vertical="center" wrapText="1"/>
    </xf>
    <xf numFmtId="1" fontId="1" fillId="3" borderId="0" xfId="0" applyNumberFormat="1" applyFont="1" applyFill="1" applyAlignment="1">
      <alignment vertical="center" wrapText="1"/>
    </xf>
    <xf numFmtId="164" fontId="8" fillId="0" borderId="0" xfId="0" applyNumberFormat="1" applyFont="1" applyAlignment="1">
      <alignment wrapText="1"/>
    </xf>
    <xf numFmtId="165" fontId="1" fillId="0" borderId="38" xfId="0" applyNumberFormat="1" applyFont="1" applyBorder="1" applyAlignment="1" applyProtection="1">
      <alignment wrapText="1"/>
      <protection locked="0"/>
    </xf>
    <xf numFmtId="0" fontId="2" fillId="2" borderId="4" xfId="0" applyFont="1" applyFill="1" applyBorder="1" applyAlignment="1">
      <alignment horizontal="center" vertical="center" wrapText="1"/>
    </xf>
    <xf numFmtId="1" fontId="9" fillId="0" borderId="3" xfId="0" applyNumberFormat="1" applyFont="1" applyBorder="1" applyAlignment="1">
      <alignment horizontal="center" vertical="center" wrapText="1"/>
    </xf>
    <xf numFmtId="1" fontId="10" fillId="0" borderId="3" xfId="4" applyNumberFormat="1" applyFont="1" applyFill="1" applyBorder="1" applyAlignment="1" applyProtection="1">
      <alignment vertical="center" wrapText="1"/>
    </xf>
    <xf numFmtId="1" fontId="2" fillId="0" borderId="3" xfId="4" applyNumberFormat="1" applyFont="1" applyFill="1" applyBorder="1" applyAlignment="1" applyProtection="1">
      <alignment vertical="center" wrapText="1"/>
    </xf>
    <xf numFmtId="1" fontId="1" fillId="0" borderId="3" xfId="4" applyNumberFormat="1" applyFont="1" applyFill="1" applyBorder="1" applyAlignment="1" applyProtection="1">
      <alignment horizontal="center" vertical="center" wrapText="1"/>
    </xf>
    <xf numFmtId="1" fontId="2" fillId="0" borderId="3" xfId="4" applyNumberFormat="1" applyFont="1" applyFill="1" applyBorder="1" applyAlignment="1" applyProtection="1">
      <alignment horizontal="center" vertical="center" wrapText="1"/>
    </xf>
    <xf numFmtId="1" fontId="2" fillId="0" borderId="3" xfId="0" applyNumberFormat="1" applyFont="1" applyBorder="1" applyAlignment="1" applyProtection="1">
      <alignment vertical="center" wrapText="1"/>
      <protection locked="0"/>
    </xf>
    <xf numFmtId="1" fontId="2" fillId="3" borderId="3" xfId="0" applyNumberFormat="1" applyFont="1" applyFill="1" applyBorder="1" applyAlignment="1" applyProtection="1">
      <alignment vertical="center" wrapText="1"/>
      <protection locked="0"/>
    </xf>
    <xf numFmtId="167" fontId="2" fillId="2" borderId="14" xfId="4" applyNumberFormat="1" applyFont="1" applyFill="1" applyBorder="1" applyAlignment="1" applyProtection="1">
      <alignment vertical="center" wrapText="1"/>
    </xf>
    <xf numFmtId="167" fontId="1" fillId="2" borderId="9" xfId="0" applyNumberFormat="1" applyFont="1" applyFill="1" applyBorder="1" applyAlignment="1">
      <alignment vertical="center" wrapText="1"/>
    </xf>
    <xf numFmtId="167" fontId="2" fillId="2" borderId="33" xfId="0" applyNumberFormat="1" applyFont="1" applyFill="1" applyBorder="1" applyAlignment="1">
      <alignment wrapText="1"/>
    </xf>
    <xf numFmtId="167" fontId="2" fillId="2" borderId="13" xfId="4" applyNumberFormat="1" applyFont="1" applyFill="1" applyBorder="1" applyAlignment="1" applyProtection="1">
      <alignment vertical="center" wrapText="1"/>
    </xf>
    <xf numFmtId="167" fontId="2" fillId="2" borderId="9" xfId="0" applyNumberFormat="1" applyFont="1" applyFill="1" applyBorder="1" applyAlignment="1">
      <alignment wrapText="1"/>
    </xf>
    <xf numFmtId="167" fontId="5" fillId="2" borderId="9" xfId="0" applyNumberFormat="1" applyFont="1" applyFill="1" applyBorder="1" applyAlignment="1">
      <alignment wrapText="1"/>
    </xf>
    <xf numFmtId="167" fontId="5" fillId="2" borderId="13" xfId="0" applyNumberFormat="1" applyFont="1" applyFill="1" applyBorder="1" applyAlignment="1">
      <alignment wrapText="1"/>
    </xf>
    <xf numFmtId="167" fontId="5" fillId="2" borderId="14" xfId="0" applyNumberFormat="1" applyFont="1" applyFill="1" applyBorder="1" applyAlignment="1">
      <alignment wrapText="1"/>
    </xf>
    <xf numFmtId="167" fontId="2" fillId="2" borderId="32" xfId="0" applyNumberFormat="1" applyFont="1" applyFill="1" applyBorder="1" applyAlignment="1">
      <alignment wrapText="1"/>
    </xf>
    <xf numFmtId="165" fontId="24" fillId="0" borderId="3" xfId="0" applyNumberFormat="1" applyFont="1" applyBorder="1" applyAlignment="1" applyProtection="1">
      <alignment wrapText="1"/>
      <protection locked="0"/>
    </xf>
    <xf numFmtId="0" fontId="25" fillId="6" borderId="3" xfId="0" applyFont="1" applyFill="1" applyBorder="1" applyAlignment="1">
      <alignment vertical="center" wrapText="1"/>
    </xf>
    <xf numFmtId="0" fontId="24" fillId="0" borderId="3" xfId="0" applyFont="1" applyBorder="1" applyAlignment="1" applyProtection="1">
      <alignment horizontal="left" vertical="top" wrapText="1"/>
      <protection locked="0"/>
    </xf>
    <xf numFmtId="165" fontId="24" fillId="0" borderId="3" xfId="4" applyFont="1" applyBorder="1" applyAlignment="1" applyProtection="1">
      <alignment horizontal="center" vertical="center" wrapText="1"/>
      <protection locked="0"/>
    </xf>
    <xf numFmtId="165" fontId="24" fillId="2" borderId="3" xfId="4" applyFont="1" applyFill="1" applyBorder="1" applyAlignment="1" applyProtection="1">
      <alignment horizontal="center" vertical="center" wrapText="1"/>
    </xf>
    <xf numFmtId="9" fontId="24" fillId="0" borderId="3" xfId="2" applyFont="1" applyBorder="1" applyAlignment="1" applyProtection="1">
      <alignment horizontal="center" vertical="center" wrapText="1"/>
      <protection locked="0"/>
    </xf>
    <xf numFmtId="0" fontId="24" fillId="6" borderId="3" xfId="0" applyFont="1" applyFill="1" applyBorder="1" applyAlignment="1">
      <alignment vertical="center" wrapText="1"/>
    </xf>
    <xf numFmtId="165" fontId="24" fillId="0" borderId="3" xfId="4" applyFont="1" applyFill="1" applyBorder="1" applyAlignment="1" applyProtection="1">
      <alignment horizontal="center" vertical="center" wrapText="1"/>
      <protection locked="0"/>
    </xf>
    <xf numFmtId="49" fontId="24" fillId="0" borderId="4" xfId="4" applyNumberFormat="1" applyFont="1" applyBorder="1" applyAlignment="1" applyProtection="1">
      <alignment horizontal="left" wrapText="1"/>
      <protection locked="0"/>
    </xf>
    <xf numFmtId="0" fontId="24" fillId="3" borderId="3" xfId="0" applyFont="1" applyFill="1" applyBorder="1" applyAlignment="1" applyProtection="1">
      <alignment horizontal="left" vertical="top" wrapText="1"/>
      <protection locked="0"/>
    </xf>
    <xf numFmtId="49" fontId="24" fillId="3" borderId="4" xfId="4" applyNumberFormat="1" applyFont="1" applyFill="1" applyBorder="1" applyAlignment="1" applyProtection="1">
      <alignment horizontal="left" wrapText="1"/>
      <protection locked="0"/>
    </xf>
    <xf numFmtId="0" fontId="16" fillId="0" borderId="0" xfId="0" applyFont="1" applyAlignment="1">
      <alignment wrapText="1"/>
    </xf>
    <xf numFmtId="0" fontId="25" fillId="2" borderId="3" xfId="0" applyFont="1" applyFill="1" applyBorder="1" applyAlignment="1">
      <alignment vertical="center" wrapText="1"/>
    </xf>
    <xf numFmtId="165" fontId="25" fillId="2" borderId="3" xfId="4" applyFont="1" applyFill="1" applyBorder="1" applyAlignment="1" applyProtection="1">
      <alignment horizontal="center" vertical="center" wrapText="1"/>
    </xf>
    <xf numFmtId="165" fontId="25" fillId="0" borderId="3" xfId="4" applyFont="1" applyFill="1" applyBorder="1" applyAlignment="1" applyProtection="1">
      <alignment horizontal="center" vertical="center" wrapText="1"/>
    </xf>
    <xf numFmtId="0" fontId="24" fillId="6" borderId="5" xfId="0" applyFont="1" applyFill="1" applyBorder="1" applyAlignment="1">
      <alignment vertical="center" wrapText="1"/>
    </xf>
    <xf numFmtId="166" fontId="26" fillId="0" borderId="3" xfId="3" applyNumberFormat="1" applyFont="1" applyBorder="1" applyAlignment="1">
      <alignment vertical="center"/>
    </xf>
    <xf numFmtId="166" fontId="26" fillId="0" borderId="3" xfId="3" applyNumberFormat="1" applyFont="1" applyBorder="1" applyAlignment="1">
      <alignment horizontal="center" vertical="center"/>
    </xf>
    <xf numFmtId="165" fontId="25" fillId="2" borderId="5" xfId="4" applyFont="1" applyFill="1" applyBorder="1" applyAlignment="1" applyProtection="1">
      <alignment horizontal="center" vertical="center" wrapText="1"/>
    </xf>
    <xf numFmtId="0" fontId="24" fillId="3" borderId="0" xfId="0" applyFont="1" applyFill="1" applyAlignment="1" applyProtection="1">
      <alignment vertical="center" wrapText="1"/>
      <protection locked="0"/>
    </xf>
    <xf numFmtId="0" fontId="24" fillId="3" borderId="0" xfId="0" applyFont="1" applyFill="1" applyAlignment="1" applyProtection="1">
      <alignment horizontal="left" vertical="top" wrapText="1"/>
      <protection locked="0"/>
    </xf>
    <xf numFmtId="165" fontId="24" fillId="3" borderId="0" xfId="4" applyFont="1" applyFill="1" applyBorder="1" applyAlignment="1" applyProtection="1">
      <alignment horizontal="center" vertical="center" wrapText="1"/>
      <protection locked="0"/>
    </xf>
    <xf numFmtId="165" fontId="24" fillId="0" borderId="0" xfId="4" applyFont="1" applyFill="1" applyBorder="1" applyAlignment="1" applyProtection="1">
      <alignment horizontal="center" vertical="center" wrapText="1"/>
      <protection locked="0"/>
    </xf>
    <xf numFmtId="0" fontId="25" fillId="3" borderId="0" xfId="0" applyFont="1" applyFill="1" applyAlignment="1">
      <alignment vertical="center" wrapText="1"/>
    </xf>
    <xf numFmtId="165" fontId="24" fillId="3" borderId="0" xfId="4" applyFont="1" applyFill="1" applyBorder="1" applyAlignment="1" applyProtection="1">
      <alignment vertical="center" wrapText="1"/>
      <protection locked="0"/>
    </xf>
    <xf numFmtId="165" fontId="24" fillId="0" borderId="0" xfId="4" applyFont="1" applyFill="1" applyBorder="1" applyAlignment="1" applyProtection="1">
      <alignment vertical="center" wrapText="1"/>
      <protection locked="0"/>
    </xf>
    <xf numFmtId="0" fontId="24" fillId="6" borderId="38" xfId="0" applyFont="1" applyFill="1" applyBorder="1" applyAlignment="1">
      <alignment horizontal="left" vertical="center" wrapText="1"/>
    </xf>
    <xf numFmtId="0" fontId="24" fillId="6" borderId="38" xfId="0" applyFont="1" applyFill="1" applyBorder="1" applyAlignment="1">
      <alignment vertical="center" wrapText="1"/>
    </xf>
    <xf numFmtId="49" fontId="24" fillId="0" borderId="43" xfId="4" applyNumberFormat="1" applyFont="1" applyBorder="1" applyAlignment="1" applyProtection="1">
      <alignment horizontal="left" wrapText="1"/>
      <protection locked="0"/>
    </xf>
    <xf numFmtId="0" fontId="25" fillId="8" borderId="3" xfId="0" applyFont="1" applyFill="1" applyBorder="1" applyAlignment="1">
      <alignment vertical="center" wrapText="1"/>
    </xf>
    <xf numFmtId="165" fontId="24" fillId="3" borderId="3" xfId="4" applyFont="1" applyFill="1" applyBorder="1" applyAlignment="1" applyProtection="1">
      <alignment horizontal="left" vertical="top" wrapText="1"/>
      <protection locked="0"/>
    </xf>
    <xf numFmtId="0" fontId="16" fillId="0" borderId="3" xfId="0" applyFont="1" applyBorder="1" applyAlignment="1">
      <alignment wrapText="1"/>
    </xf>
    <xf numFmtId="49" fontId="24" fillId="0" borderId="3" xfId="4" applyNumberFormat="1" applyFont="1" applyBorder="1" applyAlignment="1" applyProtection="1">
      <alignment horizontal="left" wrapText="1"/>
      <protection locked="0"/>
    </xf>
    <xf numFmtId="0" fontId="24" fillId="3" borderId="1" xfId="0" applyFont="1" applyFill="1" applyBorder="1" applyAlignment="1" applyProtection="1">
      <alignment vertical="center" wrapText="1"/>
      <protection locked="0"/>
    </xf>
    <xf numFmtId="0" fontId="24" fillId="3" borderId="3" xfId="0" applyFont="1" applyFill="1" applyBorder="1" applyAlignment="1" applyProtection="1">
      <alignment vertical="center" wrapText="1"/>
      <protection locked="0"/>
    </xf>
    <xf numFmtId="165" fontId="24" fillId="0" borderId="3" xfId="4" applyFont="1" applyBorder="1" applyAlignment="1" applyProtection="1">
      <alignment vertical="center" wrapText="1"/>
      <protection locked="0"/>
    </xf>
    <xf numFmtId="165" fontId="24" fillId="2" borderId="3" xfId="4" applyFont="1" applyFill="1" applyBorder="1" applyAlignment="1" applyProtection="1">
      <alignment vertical="center" wrapText="1"/>
    </xf>
    <xf numFmtId="9" fontId="24" fillId="0" borderId="3" xfId="2" applyFont="1" applyBorder="1" applyAlignment="1" applyProtection="1">
      <alignment vertical="center" wrapText="1"/>
      <protection locked="0"/>
    </xf>
    <xf numFmtId="165" fontId="24" fillId="0" borderId="3" xfId="4" applyFont="1" applyFill="1" applyBorder="1" applyAlignment="1" applyProtection="1">
      <alignment vertical="center" wrapText="1"/>
      <protection locked="0"/>
    </xf>
    <xf numFmtId="49" fontId="24" fillId="0" borderId="4" xfId="0" applyNumberFormat="1" applyFont="1" applyBorder="1" applyAlignment="1" applyProtection="1">
      <alignment horizontal="left" wrapText="1"/>
      <protection locked="0"/>
    </xf>
    <xf numFmtId="0" fontId="24" fillId="3" borderId="2" xfId="0" applyFont="1" applyFill="1" applyBorder="1" applyAlignment="1" applyProtection="1">
      <alignment vertical="center" wrapText="1"/>
      <protection locked="0"/>
    </xf>
    <xf numFmtId="0" fontId="25" fillId="2" borderId="38" xfId="0" applyFont="1" applyFill="1" applyBorder="1" applyAlignment="1">
      <alignment vertical="center" wrapText="1"/>
    </xf>
    <xf numFmtId="0" fontId="25" fillId="4" borderId="3" xfId="0" applyFont="1" applyFill="1" applyBorder="1" applyAlignment="1" applyProtection="1">
      <alignment vertical="center" wrapText="1"/>
      <protection locked="0"/>
    </xf>
    <xf numFmtId="165" fontId="25" fillId="4" borderId="3" xfId="4" applyFont="1" applyFill="1" applyBorder="1" applyAlignment="1" applyProtection="1">
      <alignment vertical="center" wrapText="1"/>
    </xf>
    <xf numFmtId="0" fontId="24" fillId="3" borderId="4" xfId="0" applyFont="1" applyFill="1" applyBorder="1" applyAlignment="1" applyProtection="1">
      <alignment vertical="center" wrapText="1"/>
      <protection locked="0"/>
    </xf>
    <xf numFmtId="0" fontId="27" fillId="3" borderId="3" xfId="0" applyFont="1" applyFill="1" applyBorder="1" applyAlignment="1">
      <alignment vertical="center" wrapText="1"/>
    </xf>
    <xf numFmtId="49" fontId="24" fillId="0" borderId="39" xfId="4" applyNumberFormat="1" applyFont="1" applyBorder="1" applyAlignment="1" applyProtection="1">
      <alignment horizontal="left" wrapText="1"/>
      <protection locked="0"/>
    </xf>
    <xf numFmtId="165" fontId="1" fillId="3" borderId="38" xfId="4" applyFont="1" applyFill="1" applyBorder="1" applyAlignment="1" applyProtection="1">
      <alignment horizontal="center" vertical="center" wrapText="1"/>
      <protection locked="0"/>
    </xf>
    <xf numFmtId="165" fontId="1" fillId="3" borderId="3" xfId="4" applyFont="1" applyFill="1" applyBorder="1" applyAlignment="1" applyProtection="1">
      <alignment horizontal="center" vertical="center" wrapText="1"/>
      <protection locked="0"/>
    </xf>
    <xf numFmtId="165" fontId="24" fillId="0" borderId="5" xfId="4" applyFont="1" applyBorder="1" applyAlignment="1" applyProtection="1">
      <alignment horizontal="center" vertical="center" wrapText="1"/>
      <protection locked="0"/>
    </xf>
    <xf numFmtId="165" fontId="24" fillId="0" borderId="38" xfId="4" applyFont="1" applyBorder="1" applyAlignment="1" applyProtection="1">
      <alignment horizontal="center" vertical="center" wrapText="1"/>
      <protection locked="0"/>
    </xf>
    <xf numFmtId="165" fontId="24" fillId="0" borderId="4" xfId="4" applyFont="1" applyBorder="1" applyAlignment="1" applyProtection="1">
      <alignment horizontal="center" vertical="center" wrapText="1"/>
      <protection locked="0"/>
    </xf>
    <xf numFmtId="165" fontId="24" fillId="0" borderId="51" xfId="4" applyFont="1" applyBorder="1" applyAlignment="1" applyProtection="1">
      <alignment horizontal="center" vertical="center" wrapText="1"/>
      <protection locked="0"/>
    </xf>
    <xf numFmtId="165" fontId="2" fillId="2" borderId="3" xfId="0" applyNumberFormat="1" applyFont="1" applyFill="1" applyBorder="1" applyAlignment="1">
      <alignment vertical="center" wrapText="1"/>
    </xf>
    <xf numFmtId="0" fontId="0" fillId="2" borderId="3" xfId="0" applyFill="1" applyBorder="1" applyAlignment="1">
      <alignment wrapText="1"/>
    </xf>
    <xf numFmtId="9" fontId="0" fillId="2" borderId="3" xfId="2" applyFont="1" applyFill="1" applyBorder="1" applyAlignment="1">
      <alignment wrapText="1"/>
    </xf>
    <xf numFmtId="9" fontId="0" fillId="0" borderId="0" xfId="2" applyFont="1" applyBorder="1" applyAlignment="1">
      <alignment wrapText="1"/>
    </xf>
    <xf numFmtId="165" fontId="25" fillId="3" borderId="3" xfId="4" applyFont="1" applyFill="1" applyBorder="1" applyAlignment="1" applyProtection="1">
      <alignment horizontal="left" vertical="top" wrapText="1"/>
      <protection locked="0"/>
    </xf>
    <xf numFmtId="165" fontId="13" fillId="0" borderId="0" xfId="4" applyFont="1" applyBorder="1" applyAlignment="1">
      <alignment wrapText="1"/>
    </xf>
    <xf numFmtId="165" fontId="3" fillId="0" borderId="0" xfId="4" applyFont="1" applyFill="1" applyBorder="1" applyAlignment="1">
      <alignment wrapText="1"/>
    </xf>
    <xf numFmtId="165" fontId="25" fillId="0" borderId="3" xfId="4" applyFont="1" applyBorder="1" applyAlignment="1" applyProtection="1">
      <alignment horizontal="center" vertical="center" wrapText="1"/>
      <protection locked="0"/>
    </xf>
    <xf numFmtId="165" fontId="28" fillId="0" borderId="3" xfId="4" applyFont="1" applyBorder="1" applyAlignment="1" applyProtection="1">
      <alignment horizontal="center" vertical="center" wrapText="1"/>
      <protection locked="0"/>
    </xf>
    <xf numFmtId="165" fontId="25" fillId="3" borderId="0" xfId="4" applyFont="1" applyFill="1" applyBorder="1" applyAlignment="1" applyProtection="1">
      <alignment horizontal="center" vertical="center" wrapText="1"/>
      <protection locked="0"/>
    </xf>
    <xf numFmtId="165" fontId="25" fillId="3" borderId="0" xfId="4" applyFont="1" applyFill="1" applyBorder="1" applyAlignment="1" applyProtection="1">
      <alignment vertical="center" wrapText="1"/>
      <protection locked="0"/>
    </xf>
    <xf numFmtId="165" fontId="25" fillId="0" borderId="3" xfId="4" applyFont="1" applyBorder="1" applyAlignment="1" applyProtection="1">
      <alignment vertical="center" wrapText="1"/>
      <protection locked="0"/>
    </xf>
    <xf numFmtId="9" fontId="3" fillId="0" borderId="0" xfId="2" applyFont="1" applyBorder="1" applyAlignment="1">
      <alignment wrapText="1"/>
    </xf>
    <xf numFmtId="165" fontId="3" fillId="2" borderId="3" xfId="4" applyFont="1" applyFill="1" applyBorder="1" applyAlignment="1">
      <alignment vertical="center" wrapText="1"/>
    </xf>
    <xf numFmtId="9" fontId="3" fillId="2" borderId="3" xfId="2" applyFont="1" applyFill="1" applyBorder="1" applyAlignment="1">
      <alignment wrapText="1"/>
    </xf>
    <xf numFmtId="165" fontId="3" fillId="0" borderId="0" xfId="4" applyFont="1" applyBorder="1" applyAlignment="1">
      <alignment wrapText="1"/>
    </xf>
    <xf numFmtId="165" fontId="9" fillId="2" borderId="3" xfId="0" applyNumberFormat="1" applyFont="1" applyFill="1" applyBorder="1" applyAlignment="1">
      <alignment vertical="center" wrapText="1"/>
    </xf>
    <xf numFmtId="168" fontId="24" fillId="0" borderId="3" xfId="4" applyNumberFormat="1" applyFont="1" applyBorder="1" applyAlignment="1" applyProtection="1">
      <alignment vertical="center" wrapText="1"/>
      <protection locked="0"/>
    </xf>
    <xf numFmtId="165" fontId="28" fillId="0" borderId="3" xfId="4" applyFont="1" applyFill="1" applyBorder="1" applyAlignment="1" applyProtection="1">
      <alignment horizontal="center" vertical="center" wrapText="1"/>
      <protection locked="0"/>
    </xf>
    <xf numFmtId="165" fontId="28" fillId="0" borderId="3" xfId="4" applyFont="1" applyFill="1" applyBorder="1" applyAlignment="1" applyProtection="1">
      <alignment vertical="center" wrapText="1"/>
      <protection locked="0"/>
    </xf>
    <xf numFmtId="164" fontId="0" fillId="0" borderId="0" xfId="0" applyNumberFormat="1" applyAlignment="1">
      <alignment wrapText="1"/>
    </xf>
    <xf numFmtId="167" fontId="25" fillId="2" borderId="3" xfId="4" applyNumberFormat="1" applyFont="1" applyFill="1" applyBorder="1" applyAlignment="1" applyProtection="1">
      <alignment horizontal="center" vertical="center" wrapText="1"/>
    </xf>
    <xf numFmtId="0" fontId="17" fillId="0" borderId="0" xfId="0" applyFont="1" applyAlignment="1">
      <alignment horizontal="left" vertical="top" wrapText="1"/>
    </xf>
    <xf numFmtId="0" fontId="23" fillId="4" borderId="40" xfId="0" applyFont="1" applyFill="1" applyBorder="1" applyAlignment="1">
      <alignment horizontal="center" vertical="center" wrapText="1"/>
    </xf>
    <xf numFmtId="0" fontId="23" fillId="4" borderId="41"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 fillId="0" borderId="0" xfId="0" applyFont="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24" fillId="6" borderId="5" xfId="0" applyFont="1" applyFill="1" applyBorder="1" applyAlignment="1">
      <alignment horizontal="left" vertical="center" wrapText="1"/>
    </xf>
    <xf numFmtId="0" fontId="24" fillId="6" borderId="38" xfId="0" applyFont="1" applyFill="1" applyBorder="1" applyAlignment="1">
      <alignment horizontal="left" vertical="center" wrapText="1"/>
    </xf>
    <xf numFmtId="49" fontId="24" fillId="0" borderId="39" xfId="4" applyNumberFormat="1" applyFont="1" applyBorder="1" applyAlignment="1" applyProtection="1">
      <alignment horizontal="left" wrapText="1"/>
      <protection locked="0"/>
    </xf>
    <xf numFmtId="49" fontId="24" fillId="0" borderId="43" xfId="4" applyNumberFormat="1" applyFont="1" applyBorder="1" applyAlignment="1" applyProtection="1">
      <alignment horizontal="left" wrapText="1"/>
      <protection locked="0"/>
    </xf>
    <xf numFmtId="0" fontId="25" fillId="3" borderId="3" xfId="0" applyFont="1" applyFill="1" applyBorder="1" applyAlignment="1" applyProtection="1">
      <alignment horizontal="left" vertical="top" wrapText="1"/>
      <protection locked="0"/>
    </xf>
    <xf numFmtId="165" fontId="25" fillId="3" borderId="3" xfId="4" applyFont="1" applyFill="1" applyBorder="1" applyAlignment="1" applyProtection="1">
      <alignment horizontal="left" vertical="top" wrapText="1"/>
      <protection locked="0"/>
    </xf>
    <xf numFmtId="0" fontId="25" fillId="3" borderId="4" xfId="0" applyFont="1" applyFill="1" applyBorder="1" applyAlignment="1" applyProtection="1">
      <alignment horizontal="left" vertical="top" wrapText="1"/>
      <protection locked="0"/>
    </xf>
    <xf numFmtId="0" fontId="24" fillId="6" borderId="51" xfId="0" applyFont="1" applyFill="1" applyBorder="1" applyAlignment="1">
      <alignment horizontal="left" vertical="center" wrapText="1"/>
    </xf>
    <xf numFmtId="49" fontId="24" fillId="0" borderId="5" xfId="4" applyNumberFormat="1" applyFont="1" applyBorder="1" applyAlignment="1" applyProtection="1">
      <alignment horizontal="left" wrapText="1"/>
      <protection locked="0"/>
    </xf>
    <xf numFmtId="49" fontId="24" fillId="0" borderId="38" xfId="4" applyNumberFormat="1" applyFont="1" applyBorder="1" applyAlignment="1" applyProtection="1">
      <alignment horizontal="left" wrapText="1"/>
      <protection locked="0"/>
    </xf>
    <xf numFmtId="49" fontId="24" fillId="0" borderId="5" xfId="4" applyNumberFormat="1" applyFont="1" applyBorder="1" applyAlignment="1" applyProtection="1">
      <alignment vertical="top" wrapText="1"/>
      <protection locked="0"/>
    </xf>
    <xf numFmtId="49" fontId="24" fillId="0" borderId="51" xfId="4" applyNumberFormat="1" applyFont="1" applyBorder="1" applyAlignment="1" applyProtection="1">
      <alignment vertical="top" wrapText="1"/>
      <protection locked="0"/>
    </xf>
    <xf numFmtId="49" fontId="24" fillId="0" borderId="38" xfId="4" applyNumberFormat="1" applyFont="1" applyBorder="1" applyAlignment="1" applyProtection="1">
      <alignment vertical="top" wrapText="1"/>
      <protection locked="0"/>
    </xf>
    <xf numFmtId="49" fontId="24" fillId="0" borderId="52" xfId="4" applyNumberFormat="1" applyFont="1" applyBorder="1" applyAlignment="1" applyProtection="1">
      <alignment horizontal="left" wrapText="1"/>
      <protection locked="0"/>
    </xf>
    <xf numFmtId="0" fontId="24" fillId="3" borderId="3" xfId="0" applyFont="1" applyFill="1" applyBorder="1" applyAlignment="1" applyProtection="1">
      <alignment horizontal="left" vertical="top" wrapText="1"/>
      <protection locked="0"/>
    </xf>
    <xf numFmtId="165" fontId="24" fillId="3" borderId="3" xfId="4"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165" fontId="24" fillId="0" borderId="5" xfId="4" applyFont="1" applyBorder="1" applyAlignment="1" applyProtection="1">
      <alignment horizontal="center" vertical="top" wrapText="1"/>
      <protection locked="0"/>
    </xf>
    <xf numFmtId="165" fontId="24" fillId="0" borderId="38" xfId="4" applyFont="1" applyBorder="1" applyAlignment="1" applyProtection="1">
      <alignment horizontal="center" vertical="top" wrapText="1"/>
      <protection locked="0"/>
    </xf>
    <xf numFmtId="165" fontId="24" fillId="0" borderId="5" xfId="4" applyFont="1" applyBorder="1" applyAlignment="1" applyProtection="1">
      <alignment horizontal="center" vertical="center" wrapText="1"/>
      <protection locked="0"/>
    </xf>
    <xf numFmtId="165" fontId="24" fillId="0" borderId="38" xfId="4" applyFont="1" applyBorder="1" applyAlignment="1" applyProtection="1">
      <alignment horizontal="center" vertical="center" wrapText="1"/>
      <protection locked="0"/>
    </xf>
    <xf numFmtId="0" fontId="22" fillId="0" borderId="0" xfId="0" applyFont="1" applyAlignment="1">
      <alignment horizontal="left" wrapText="1"/>
    </xf>
    <xf numFmtId="49" fontId="25" fillId="3" borderId="3" xfId="0" applyNumberFormat="1" applyFont="1" applyFill="1" applyBorder="1" applyAlignment="1" applyProtection="1">
      <alignment horizontal="left" vertical="top" wrapText="1"/>
      <protection locked="0"/>
    </xf>
    <xf numFmtId="49" fontId="25" fillId="3" borderId="4" xfId="0" applyNumberFormat="1" applyFont="1" applyFill="1" applyBorder="1" applyAlignment="1" applyProtection="1">
      <alignment horizontal="left" vertical="top" wrapText="1"/>
      <protection locked="0"/>
    </xf>
    <xf numFmtId="49" fontId="24" fillId="0" borderId="39" xfId="4" applyNumberFormat="1" applyFont="1" applyBorder="1" applyAlignment="1" applyProtection="1">
      <alignment horizontal="center" vertical="top" wrapText="1"/>
      <protection locked="0"/>
    </xf>
    <xf numFmtId="49" fontId="24" fillId="0" borderId="43" xfId="4" applyNumberFormat="1" applyFont="1" applyBorder="1" applyAlignment="1" applyProtection="1">
      <alignment horizontal="center" vertical="top" wrapText="1"/>
      <protection locked="0"/>
    </xf>
    <xf numFmtId="49" fontId="24" fillId="0" borderId="39" xfId="4" applyNumberFormat="1" applyFont="1" applyBorder="1" applyAlignment="1" applyProtection="1">
      <alignment horizontal="center" wrapText="1"/>
      <protection locked="0"/>
    </xf>
    <xf numFmtId="49" fontId="24" fillId="0" borderId="43" xfId="4" applyNumberFormat="1" applyFont="1" applyBorder="1" applyAlignment="1" applyProtection="1">
      <alignment horizontal="center" wrapText="1"/>
      <protection locked="0"/>
    </xf>
    <xf numFmtId="0" fontId="21" fillId="0" borderId="48" xfId="0" applyFont="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5" xfId="0" applyNumberFormat="1" applyFont="1" applyFill="1" applyBorder="1" applyAlignment="1">
      <alignment horizontal="center"/>
    </xf>
    <xf numFmtId="165" fontId="3" fillId="2" borderId="43" xfId="0" applyNumberFormat="1" applyFont="1" applyFill="1" applyBorder="1" applyAlignment="1">
      <alignment horizontal="center"/>
    </xf>
    <xf numFmtId="165"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5">
    <cellStyle name="Currency 2" xfId="4" xr:uid="{00000000-0005-0000-0000-000002000000}"/>
    <cellStyle name="Milliers" xfId="3" builtinId="3"/>
    <cellStyle name="Monétaire" xfId="1" builtinId="4"/>
    <cellStyle name="Normal" xfId="0" builtinId="0"/>
    <cellStyle name="Pourcentage" xfId="2"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CC"/>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election activeCell="E3" sqref="E3"/>
    </sheetView>
  </sheetViews>
  <sheetFormatPr baseColWidth="10" defaultColWidth="8.81640625" defaultRowHeight="14.5" x14ac:dyDescent="0.35"/>
  <cols>
    <col min="2" max="2" width="133.453125" customWidth="1"/>
  </cols>
  <sheetData>
    <row r="2" spans="2:5" ht="36.75" customHeight="1" thickBot="1" x14ac:dyDescent="0.4">
      <c r="B2" s="266" t="s">
        <v>440</v>
      </c>
      <c r="C2" s="266"/>
      <c r="D2" s="266"/>
      <c r="E2" s="266"/>
    </row>
    <row r="3" spans="2:5" ht="361.5" customHeight="1" thickBot="1" x14ac:dyDescent="0.4">
      <c r="B3" s="129" t="s">
        <v>441</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R174"/>
  <sheetViews>
    <sheetView showGridLines="0" showZeros="0" tabSelected="1" topLeftCell="B1" zoomScale="50" zoomScaleNormal="50" workbookViewId="0">
      <pane ySplit="5" topLeftCell="A101" activePane="bottomLeft" state="frozen"/>
      <selection pane="bottomLeft" activeCell="M106" sqref="M106"/>
    </sheetView>
  </sheetViews>
  <sheetFormatPr baseColWidth="10" defaultColWidth="9.1796875" defaultRowHeight="14.5" x14ac:dyDescent="0.35"/>
  <cols>
    <col min="1" max="1" width="4.1796875" style="24" customWidth="1"/>
    <col min="2" max="2" width="41.81640625" style="24" bestFit="1" customWidth="1"/>
    <col min="3" max="3" width="32.453125" style="24" customWidth="1"/>
    <col min="4" max="7" width="23.1796875" style="24" customWidth="1"/>
    <col min="8" max="8" width="22.453125" style="24" customWidth="1"/>
    <col min="9" max="9" width="22.453125" style="259" customWidth="1"/>
    <col min="10" max="11" width="22.453125" style="155" customWidth="1"/>
    <col min="12" max="12" width="40.453125" style="139" customWidth="1"/>
    <col min="13" max="13" width="30.1796875" style="24" customWidth="1"/>
    <col min="14" max="14" width="18.81640625" style="167" hidden="1" customWidth="1"/>
    <col min="15" max="15" width="0" style="24" hidden="1" customWidth="1"/>
    <col min="16" max="16" width="17.81640625" style="24" customWidth="1"/>
    <col min="17" max="17" width="26.453125" style="24" customWidth="1"/>
    <col min="18" max="18" width="22.453125" style="24" customWidth="1"/>
    <col min="19" max="19" width="29.81640625" style="24" customWidth="1"/>
    <col min="20" max="20" width="23.453125" style="24" customWidth="1"/>
    <col min="21" max="21" width="18.453125" style="24" customWidth="1"/>
    <col min="22" max="22" width="17.453125" style="24" customWidth="1"/>
    <col min="23" max="23" width="25.1796875" style="24" customWidth="1"/>
    <col min="24" max="16384" width="9.1796875" style="24"/>
  </cols>
  <sheetData>
    <row r="2" spans="1:18" ht="29.25" customHeight="1" x14ac:dyDescent="1">
      <c r="B2" s="266" t="s">
        <v>383</v>
      </c>
      <c r="C2" s="266"/>
      <c r="D2" s="266"/>
      <c r="E2" s="266"/>
      <c r="F2" s="22"/>
      <c r="G2" s="22"/>
      <c r="H2" s="23"/>
      <c r="I2" s="249"/>
      <c r="J2" s="135"/>
      <c r="K2" s="135"/>
      <c r="L2" s="136"/>
      <c r="M2" s="23"/>
    </row>
    <row r="3" spans="1:18" ht="24" customHeight="1" x14ac:dyDescent="0.6">
      <c r="B3" s="305" t="s">
        <v>366</v>
      </c>
      <c r="C3" s="305"/>
      <c r="D3" s="305"/>
      <c r="E3" s="305"/>
      <c r="F3" s="305"/>
      <c r="G3" s="305"/>
      <c r="H3" s="305"/>
      <c r="I3" s="137"/>
      <c r="J3" s="137"/>
      <c r="K3" s="137"/>
      <c r="L3" s="138"/>
    </row>
    <row r="4" spans="1:18" ht="6.75" customHeight="1" x14ac:dyDescent="0.35">
      <c r="D4" s="26"/>
      <c r="E4" s="26"/>
      <c r="F4" s="26"/>
      <c r="G4" s="26"/>
      <c r="I4" s="250"/>
      <c r="J4" s="139"/>
      <c r="K4" s="139"/>
      <c r="M4" s="25"/>
      <c r="N4" s="168"/>
    </row>
    <row r="5" spans="1:18" ht="148.5" customHeight="1" x14ac:dyDescent="0.35">
      <c r="B5" s="15" t="s">
        <v>367</v>
      </c>
      <c r="C5" s="15" t="s">
        <v>384</v>
      </c>
      <c r="D5" s="130" t="s">
        <v>444</v>
      </c>
      <c r="E5" s="130" t="s">
        <v>445</v>
      </c>
      <c r="F5" s="130" t="s">
        <v>385</v>
      </c>
      <c r="G5" s="15" t="s">
        <v>11</v>
      </c>
      <c r="H5" s="15" t="s">
        <v>386</v>
      </c>
      <c r="I5" s="15" t="s">
        <v>564</v>
      </c>
      <c r="J5" s="15" t="s">
        <v>565</v>
      </c>
      <c r="K5" s="15" t="s">
        <v>567</v>
      </c>
      <c r="L5" s="134" t="s">
        <v>442</v>
      </c>
      <c r="M5" s="174" t="s">
        <v>443</v>
      </c>
      <c r="N5" s="175" t="s">
        <v>488</v>
      </c>
    </row>
    <row r="6" spans="1:18" ht="51" customHeight="1" x14ac:dyDescent="0.35">
      <c r="B6" s="192" t="s">
        <v>368</v>
      </c>
      <c r="C6" s="306" t="s">
        <v>506</v>
      </c>
      <c r="D6" s="306"/>
      <c r="E6" s="306"/>
      <c r="F6" s="306"/>
      <c r="G6" s="306"/>
      <c r="H6" s="306"/>
      <c r="I6" s="289"/>
      <c r="J6" s="289"/>
      <c r="K6" s="289"/>
      <c r="L6" s="289"/>
      <c r="M6" s="307"/>
      <c r="N6" s="176"/>
    </row>
    <row r="7" spans="1:18" ht="51" customHeight="1" x14ac:dyDescent="0.35">
      <c r="B7" s="192" t="s">
        <v>369</v>
      </c>
      <c r="C7" s="306" t="s">
        <v>507</v>
      </c>
      <c r="D7" s="306"/>
      <c r="E7" s="306"/>
      <c r="F7" s="306"/>
      <c r="G7" s="306"/>
      <c r="H7" s="306"/>
      <c r="I7" s="289"/>
      <c r="J7" s="289"/>
      <c r="K7" s="289"/>
      <c r="L7" s="289"/>
      <c r="M7" s="307"/>
      <c r="N7" s="177"/>
    </row>
    <row r="8" spans="1:18" ht="97" customHeight="1" x14ac:dyDescent="0.35">
      <c r="B8" s="284" t="s">
        <v>508</v>
      </c>
      <c r="C8" s="193" t="s">
        <v>510</v>
      </c>
      <c r="D8" s="194"/>
      <c r="E8" s="194">
        <v>30000</v>
      </c>
      <c r="F8" s="194"/>
      <c r="G8" s="195">
        <f>SUM(D8:F8)</f>
        <v>30000</v>
      </c>
      <c r="H8" s="196">
        <v>0.3</v>
      </c>
      <c r="I8" s="251"/>
      <c r="J8" s="195">
        <f>30000</f>
        <v>30000</v>
      </c>
      <c r="K8" s="194">
        <f>+I8+J8</f>
        <v>30000</v>
      </c>
      <c r="L8" s="301" t="s">
        <v>552</v>
      </c>
      <c r="M8" s="308" t="s">
        <v>505</v>
      </c>
      <c r="N8" s="178"/>
    </row>
    <row r="9" spans="1:18" ht="59.5" customHeight="1" x14ac:dyDescent="0.35">
      <c r="B9" s="285"/>
      <c r="C9" s="193" t="s">
        <v>509</v>
      </c>
      <c r="D9" s="194"/>
      <c r="E9" s="194">
        <v>40000</v>
      </c>
      <c r="F9" s="194"/>
      <c r="G9" s="195">
        <f>SUM(D9:F9)</f>
        <v>40000</v>
      </c>
      <c r="H9" s="196">
        <v>0.3</v>
      </c>
      <c r="I9" s="251"/>
      <c r="J9" s="195">
        <f>40000</f>
        <v>40000</v>
      </c>
      <c r="K9" s="241">
        <f t="shared" ref="K9:K11" si="0">+I9+J9</f>
        <v>40000</v>
      </c>
      <c r="L9" s="302"/>
      <c r="M9" s="309"/>
      <c r="N9" s="178"/>
    </row>
    <row r="10" spans="1:18" ht="37.5" customHeight="1" x14ac:dyDescent="0.35">
      <c r="B10" s="284" t="s">
        <v>511</v>
      </c>
      <c r="C10" s="193" t="s">
        <v>512</v>
      </c>
      <c r="D10" s="194"/>
      <c r="E10" s="194">
        <v>15000</v>
      </c>
      <c r="F10" s="194"/>
      <c r="G10" s="195">
        <f>SUM(D10:F10)</f>
        <v>15000</v>
      </c>
      <c r="H10" s="196">
        <v>0.3</v>
      </c>
      <c r="I10" s="251"/>
      <c r="J10" s="195">
        <f>15000</f>
        <v>15000</v>
      </c>
      <c r="K10" s="240">
        <f t="shared" si="0"/>
        <v>15000</v>
      </c>
      <c r="L10" s="303" t="s">
        <v>553</v>
      </c>
      <c r="M10" s="310" t="s">
        <v>554</v>
      </c>
      <c r="N10" s="178"/>
    </row>
    <row r="11" spans="1:18" ht="53.5" customHeight="1" x14ac:dyDescent="0.35">
      <c r="B11" s="285"/>
      <c r="C11" s="193" t="s">
        <v>513</v>
      </c>
      <c r="D11" s="194"/>
      <c r="E11" s="194">
        <v>30000</v>
      </c>
      <c r="F11" s="194"/>
      <c r="G11" s="195">
        <f t="shared" ref="G11" si="1">SUM(D11:F11)</f>
        <v>30000</v>
      </c>
      <c r="H11" s="196">
        <v>0.3</v>
      </c>
      <c r="I11" s="251"/>
      <c r="J11" s="195">
        <f>30000</f>
        <v>30000</v>
      </c>
      <c r="K11" s="194">
        <f t="shared" si="0"/>
        <v>30000</v>
      </c>
      <c r="L11" s="304"/>
      <c r="M11" s="311"/>
      <c r="N11" s="178"/>
    </row>
    <row r="12" spans="1:18" ht="15.5" x14ac:dyDescent="0.35">
      <c r="A12" s="25"/>
      <c r="B12" s="202"/>
      <c r="C12" s="203" t="s">
        <v>387</v>
      </c>
      <c r="D12" s="204">
        <f>SUM(D8:D11)</f>
        <v>0</v>
      </c>
      <c r="E12" s="204">
        <f>SUM(E8:E11)</f>
        <v>115000</v>
      </c>
      <c r="F12" s="204">
        <f>SUM(F8:F11)</f>
        <v>0</v>
      </c>
      <c r="G12" s="204">
        <f>SUM(G8:G11)</f>
        <v>115000</v>
      </c>
      <c r="H12" s="204">
        <f>(H8*G8)+(H9*G9)+(H10*G10)+(H11*G11)</f>
        <v>34500</v>
      </c>
      <c r="I12" s="204">
        <f>SUM(I8:I11)</f>
        <v>0</v>
      </c>
      <c r="J12" s="204">
        <f>SUM(J8:J11)</f>
        <v>115000</v>
      </c>
      <c r="K12" s="265">
        <f t="shared" ref="K12" si="2">SUM(K8:K11)</f>
        <v>115000</v>
      </c>
      <c r="L12" s="205"/>
      <c r="M12" s="201"/>
      <c r="N12" s="179"/>
    </row>
    <row r="13" spans="1:18" ht="51" customHeight="1" x14ac:dyDescent="0.35">
      <c r="A13" s="25"/>
      <c r="B13" s="192" t="s">
        <v>370</v>
      </c>
      <c r="C13" s="288" t="s">
        <v>446</v>
      </c>
      <c r="D13" s="288"/>
      <c r="E13" s="288"/>
      <c r="F13" s="288"/>
      <c r="G13" s="288"/>
      <c r="H13" s="288"/>
      <c r="I13" s="289"/>
      <c r="J13" s="289"/>
      <c r="K13" s="289"/>
      <c r="L13" s="289"/>
      <c r="M13" s="290"/>
      <c r="N13" s="177"/>
      <c r="R13" s="264">
        <f>K12+K541000</f>
        <v>115000</v>
      </c>
    </row>
    <row r="14" spans="1:18" ht="62.15" customHeight="1" x14ac:dyDescent="0.35">
      <c r="A14" s="25"/>
      <c r="B14" s="206" t="s">
        <v>475</v>
      </c>
      <c r="C14" s="200" t="s">
        <v>478</v>
      </c>
      <c r="D14" s="207">
        <v>17500</v>
      </c>
      <c r="E14" s="194"/>
      <c r="F14" s="194"/>
      <c r="G14" s="195">
        <f>SUM(D14:F14)</f>
        <v>17500</v>
      </c>
      <c r="H14" s="196">
        <v>0.3</v>
      </c>
      <c r="I14" s="252">
        <v>16905</v>
      </c>
      <c r="J14" s="194"/>
      <c r="K14" s="194">
        <f t="shared" ref="K14:K18" si="3">+I14+J14</f>
        <v>16905</v>
      </c>
      <c r="L14" s="198"/>
      <c r="M14" s="199" t="s">
        <v>490</v>
      </c>
      <c r="N14" s="178">
        <v>6</v>
      </c>
    </row>
    <row r="15" spans="1:18" ht="76.5" customHeight="1" x14ac:dyDescent="0.35">
      <c r="A15" s="25"/>
      <c r="B15" s="206" t="s">
        <v>515</v>
      </c>
      <c r="C15" s="200" t="s">
        <v>477</v>
      </c>
      <c r="D15" s="207">
        <v>17500</v>
      </c>
      <c r="E15" s="194"/>
      <c r="F15" s="194"/>
      <c r="G15" s="195">
        <f>SUM(D15:F15)</f>
        <v>17500</v>
      </c>
      <c r="H15" s="196">
        <v>0.3</v>
      </c>
      <c r="I15" s="252">
        <v>16341</v>
      </c>
      <c r="J15" s="194"/>
      <c r="K15" s="194">
        <f t="shared" si="3"/>
        <v>16341</v>
      </c>
      <c r="L15" s="198"/>
      <c r="M15" s="199" t="s">
        <v>490</v>
      </c>
      <c r="N15" s="178">
        <v>6</v>
      </c>
    </row>
    <row r="16" spans="1:18" ht="78.650000000000006" customHeight="1" x14ac:dyDescent="0.35">
      <c r="A16" s="25"/>
      <c r="B16" s="206" t="s">
        <v>476</v>
      </c>
      <c r="C16" s="200" t="s">
        <v>514</v>
      </c>
      <c r="D16" s="207">
        <v>21000</v>
      </c>
      <c r="E16" s="194"/>
      <c r="F16" s="194"/>
      <c r="G16" s="195">
        <f>SUM(D16:F16)</f>
        <v>21000</v>
      </c>
      <c r="H16" s="196">
        <v>0.3</v>
      </c>
      <c r="I16" s="252">
        <v>19575</v>
      </c>
      <c r="J16" s="194"/>
      <c r="K16" s="194">
        <f t="shared" si="3"/>
        <v>19575</v>
      </c>
      <c r="L16" s="198"/>
      <c r="M16" s="199" t="s">
        <v>490</v>
      </c>
      <c r="N16" s="178">
        <v>6</v>
      </c>
    </row>
    <row r="17" spans="1:17" ht="77.5" x14ac:dyDescent="0.35">
      <c r="A17" s="25"/>
      <c r="B17" s="284" t="s">
        <v>516</v>
      </c>
      <c r="C17" s="200" t="s">
        <v>447</v>
      </c>
      <c r="D17" s="207">
        <v>15000</v>
      </c>
      <c r="E17" s="194"/>
      <c r="F17" s="194"/>
      <c r="G17" s="195">
        <f t="shared" ref="G17:G18" si="4">SUM(D17:F17)</f>
        <v>15000</v>
      </c>
      <c r="H17" s="196">
        <v>0.3</v>
      </c>
      <c r="I17" s="252">
        <v>16282</v>
      </c>
      <c r="J17" s="194"/>
      <c r="K17" s="194">
        <f t="shared" si="3"/>
        <v>16282</v>
      </c>
      <c r="L17" s="198"/>
      <c r="M17" s="199" t="s">
        <v>490</v>
      </c>
      <c r="N17" s="178">
        <v>6</v>
      </c>
    </row>
    <row r="18" spans="1:17" ht="93" x14ac:dyDescent="0.35">
      <c r="A18" s="25"/>
      <c r="B18" s="285"/>
      <c r="C18" s="200" t="s">
        <v>448</v>
      </c>
      <c r="D18" s="208">
        <v>25500</v>
      </c>
      <c r="E18" s="194"/>
      <c r="F18" s="194"/>
      <c r="G18" s="195">
        <f t="shared" si="4"/>
        <v>25500</v>
      </c>
      <c r="H18" s="196">
        <v>0.3</v>
      </c>
      <c r="I18" s="252">
        <v>25000</v>
      </c>
      <c r="J18" s="194"/>
      <c r="K18" s="194">
        <f t="shared" si="3"/>
        <v>25000</v>
      </c>
      <c r="L18" s="198"/>
      <c r="M18" s="199" t="s">
        <v>491</v>
      </c>
      <c r="N18" s="178">
        <v>6</v>
      </c>
    </row>
    <row r="19" spans="1:17" ht="15.5" x14ac:dyDescent="0.35">
      <c r="A19" s="25"/>
      <c r="B19" s="202"/>
      <c r="C19" s="203" t="s">
        <v>387</v>
      </c>
      <c r="D19" s="209">
        <f>SUM(D14:D18)</f>
        <v>96500</v>
      </c>
      <c r="E19" s="209">
        <f>SUM(E14:E18)</f>
        <v>0</v>
      </c>
      <c r="F19" s="209">
        <f>SUM(F14:F18)</f>
        <v>0</v>
      </c>
      <c r="G19" s="209">
        <f>SUM(G14:G18)</f>
        <v>96500</v>
      </c>
      <c r="H19" s="204">
        <f>(H14*G14)+(H15*G15)+(H16*G16)+(H17*G17)+(H18*G18)</f>
        <v>28950</v>
      </c>
      <c r="I19" s="204">
        <f>SUM(I14:I18)</f>
        <v>94103</v>
      </c>
      <c r="J19" s="204">
        <f t="shared" ref="J19:K19" si="5">SUM(J14:J18)</f>
        <v>0</v>
      </c>
      <c r="K19" s="204">
        <f t="shared" si="5"/>
        <v>94103</v>
      </c>
      <c r="L19" s="205"/>
      <c r="M19" s="201"/>
      <c r="N19" s="179"/>
    </row>
    <row r="20" spans="1:17" ht="51" customHeight="1" x14ac:dyDescent="0.35">
      <c r="A20" s="25"/>
      <c r="B20" s="192" t="s">
        <v>371</v>
      </c>
      <c r="C20" s="298" t="s">
        <v>555</v>
      </c>
      <c r="D20" s="298"/>
      <c r="E20" s="298"/>
      <c r="F20" s="298"/>
      <c r="G20" s="298"/>
      <c r="H20" s="298"/>
      <c r="I20" s="299"/>
      <c r="J20" s="299"/>
      <c r="K20" s="299"/>
      <c r="L20" s="299"/>
      <c r="M20" s="300"/>
      <c r="N20" s="177"/>
    </row>
    <row r="21" spans="1:17" ht="46.5" x14ac:dyDescent="0.35">
      <c r="A21" s="25"/>
      <c r="B21" s="197" t="s">
        <v>449</v>
      </c>
      <c r="C21" s="193" t="s">
        <v>514</v>
      </c>
      <c r="D21" s="194">
        <v>15000</v>
      </c>
      <c r="E21" s="194"/>
      <c r="F21" s="194"/>
      <c r="G21" s="195">
        <f>SUM(D21:F21)</f>
        <v>15000</v>
      </c>
      <c r="H21" s="196">
        <v>0.3</v>
      </c>
      <c r="I21" s="252">
        <v>10603</v>
      </c>
      <c r="J21" s="194"/>
      <c r="K21" s="194">
        <f t="shared" ref="K21:K24" si="6">+I21+J21</f>
        <v>10603</v>
      </c>
      <c r="L21" s="198"/>
      <c r="M21" s="199" t="s">
        <v>490</v>
      </c>
      <c r="N21" s="178">
        <v>6</v>
      </c>
    </row>
    <row r="22" spans="1:17" ht="46.5" x14ac:dyDescent="0.35">
      <c r="A22" s="25"/>
      <c r="B22" s="197" t="s">
        <v>450</v>
      </c>
      <c r="C22" s="193" t="s">
        <v>514</v>
      </c>
      <c r="D22" s="194">
        <v>10000</v>
      </c>
      <c r="E22" s="194"/>
      <c r="F22" s="194"/>
      <c r="G22" s="195">
        <f t="shared" ref="G22:G24" si="7">SUM(D22:F22)</f>
        <v>10000</v>
      </c>
      <c r="H22" s="196">
        <v>0.3</v>
      </c>
      <c r="I22" s="252">
        <v>8303.58</v>
      </c>
      <c r="J22" s="194"/>
      <c r="K22" s="194">
        <f t="shared" si="6"/>
        <v>8303.58</v>
      </c>
      <c r="L22" s="198"/>
      <c r="M22" s="199" t="s">
        <v>490</v>
      </c>
      <c r="N22" s="178">
        <v>6</v>
      </c>
    </row>
    <row r="23" spans="1:17" ht="93" x14ac:dyDescent="0.35">
      <c r="A23" s="25"/>
      <c r="B23" s="197" t="s">
        <v>451</v>
      </c>
      <c r="C23" s="193" t="s">
        <v>452</v>
      </c>
      <c r="D23" s="194">
        <v>5556</v>
      </c>
      <c r="E23" s="194"/>
      <c r="F23" s="194"/>
      <c r="G23" s="195">
        <f t="shared" si="7"/>
        <v>5556</v>
      </c>
      <c r="H23" s="196">
        <v>0.3</v>
      </c>
      <c r="I23" s="252">
        <v>11812</v>
      </c>
      <c r="J23" s="194"/>
      <c r="K23" s="194">
        <f t="shared" si="6"/>
        <v>11812</v>
      </c>
      <c r="L23" s="198"/>
      <c r="M23" s="199" t="s">
        <v>492</v>
      </c>
      <c r="N23" s="178">
        <v>6</v>
      </c>
    </row>
    <row r="24" spans="1:17" ht="46.5" x14ac:dyDescent="0.35">
      <c r="A24" s="25"/>
      <c r="B24" s="197" t="s">
        <v>517</v>
      </c>
      <c r="C24" s="193" t="s">
        <v>453</v>
      </c>
      <c r="D24" s="194">
        <v>5000</v>
      </c>
      <c r="E24" s="194"/>
      <c r="F24" s="194"/>
      <c r="G24" s="195">
        <f t="shared" si="7"/>
        <v>5000</v>
      </c>
      <c r="H24" s="196">
        <v>0.3</v>
      </c>
      <c r="I24" s="252">
        <v>5000</v>
      </c>
      <c r="J24" s="194"/>
      <c r="K24" s="194">
        <f t="shared" si="6"/>
        <v>5000</v>
      </c>
      <c r="L24" s="198"/>
      <c r="M24" s="199" t="s">
        <v>491</v>
      </c>
      <c r="N24" s="178">
        <v>6</v>
      </c>
    </row>
    <row r="25" spans="1:17" ht="15.5" x14ac:dyDescent="0.35">
      <c r="B25" s="202"/>
      <c r="C25" s="203" t="s">
        <v>387</v>
      </c>
      <c r="D25" s="209">
        <f>SUM(D21:D24)</f>
        <v>35556</v>
      </c>
      <c r="E25" s="209">
        <f>SUM(E21:E24)</f>
        <v>0</v>
      </c>
      <c r="F25" s="209">
        <f>SUM(F21:F24)</f>
        <v>0</v>
      </c>
      <c r="G25" s="209">
        <f>SUM(G21:G24)</f>
        <v>35556</v>
      </c>
      <c r="H25" s="204">
        <f>(H21*G21)+(H22*G22)+(H23*G23)+(H24*G24)</f>
        <v>10666.8</v>
      </c>
      <c r="I25" s="204">
        <f>SUM(I21:I24)</f>
        <v>35718.58</v>
      </c>
      <c r="J25" s="204">
        <f t="shared" ref="J25:K25" si="8">SUM(J21:J24)</f>
        <v>0</v>
      </c>
      <c r="K25" s="204">
        <f t="shared" si="8"/>
        <v>35718.58</v>
      </c>
      <c r="L25" s="205"/>
      <c r="M25" s="201"/>
      <c r="N25" s="179"/>
    </row>
    <row r="26" spans="1:17" ht="15.5" x14ac:dyDescent="0.35">
      <c r="B26" s="210"/>
      <c r="C26" s="211"/>
      <c r="D26" s="212"/>
      <c r="E26" s="212"/>
      <c r="F26" s="212"/>
      <c r="G26" s="212"/>
      <c r="H26" s="212"/>
      <c r="I26" s="253"/>
      <c r="J26" s="212"/>
      <c r="K26" s="212"/>
      <c r="L26" s="213"/>
      <c r="M26" s="212"/>
      <c r="N26" s="178"/>
    </row>
    <row r="27" spans="1:17" ht="51" customHeight="1" x14ac:dyDescent="0.35">
      <c r="B27" s="203" t="s">
        <v>372</v>
      </c>
      <c r="C27" s="288" t="s">
        <v>518</v>
      </c>
      <c r="D27" s="288"/>
      <c r="E27" s="288"/>
      <c r="F27" s="288"/>
      <c r="G27" s="288"/>
      <c r="H27" s="288"/>
      <c r="I27" s="289"/>
      <c r="J27" s="289"/>
      <c r="K27" s="289"/>
      <c r="L27" s="289"/>
      <c r="M27" s="290"/>
      <c r="N27" s="176"/>
    </row>
    <row r="28" spans="1:17" ht="51" customHeight="1" x14ac:dyDescent="0.35">
      <c r="B28" s="192" t="s">
        <v>373</v>
      </c>
      <c r="C28" s="288" t="s">
        <v>519</v>
      </c>
      <c r="D28" s="288"/>
      <c r="E28" s="288"/>
      <c r="F28" s="288"/>
      <c r="G28" s="288"/>
      <c r="H28" s="288"/>
      <c r="I28" s="289"/>
      <c r="J28" s="289"/>
      <c r="K28" s="289"/>
      <c r="L28" s="289"/>
      <c r="M28" s="290"/>
      <c r="N28" s="177"/>
      <c r="Q28" s="264">
        <f>K19+K60+K67+K72</f>
        <v>350803</v>
      </c>
    </row>
    <row r="29" spans="1:17" ht="93" customHeight="1" x14ac:dyDescent="0.35">
      <c r="B29" s="284" t="s">
        <v>520</v>
      </c>
      <c r="C29" s="193" t="s">
        <v>454</v>
      </c>
      <c r="D29" s="194">
        <v>38000</v>
      </c>
      <c r="E29" s="194"/>
      <c r="F29" s="194"/>
      <c r="G29" s="195">
        <f>SUM(D29:F29)</f>
        <v>38000</v>
      </c>
      <c r="H29" s="196">
        <v>0.3</v>
      </c>
      <c r="I29" s="262">
        <v>44075</v>
      </c>
      <c r="J29" s="194"/>
      <c r="K29" s="194">
        <f t="shared" ref="K29:K42" si="9">+I29+J29</f>
        <v>44075</v>
      </c>
      <c r="L29" s="198"/>
      <c r="M29" s="199" t="s">
        <v>493</v>
      </c>
      <c r="N29" s="178">
        <v>6</v>
      </c>
    </row>
    <row r="30" spans="1:17" ht="38.15" customHeight="1" x14ac:dyDescent="0.35">
      <c r="B30" s="285"/>
      <c r="C30" s="193" t="s">
        <v>455</v>
      </c>
      <c r="D30" s="194">
        <v>45000</v>
      </c>
      <c r="E30" s="194"/>
      <c r="F30" s="194"/>
      <c r="G30" s="195">
        <f t="shared" ref="G30:G38" si="10">SUM(D30:F30)</f>
        <v>45000</v>
      </c>
      <c r="H30" s="196">
        <v>0.3</v>
      </c>
      <c r="I30" s="262">
        <v>45210</v>
      </c>
      <c r="J30" s="194"/>
      <c r="K30" s="194">
        <f t="shared" si="9"/>
        <v>45210</v>
      </c>
      <c r="L30" s="198"/>
      <c r="M30" s="199" t="s">
        <v>493</v>
      </c>
      <c r="N30" s="178">
        <v>6</v>
      </c>
    </row>
    <row r="31" spans="1:17" ht="38.15" customHeight="1" x14ac:dyDescent="0.35">
      <c r="B31" s="284" t="s">
        <v>521</v>
      </c>
      <c r="C31" s="193" t="s">
        <v>456</v>
      </c>
      <c r="D31" s="194">
        <v>15000</v>
      </c>
      <c r="E31" s="194"/>
      <c r="F31" s="194"/>
      <c r="G31" s="195">
        <f t="shared" si="10"/>
        <v>15000</v>
      </c>
      <c r="H31" s="196">
        <v>0.5</v>
      </c>
      <c r="I31" s="262">
        <v>15000</v>
      </c>
      <c r="J31" s="194"/>
      <c r="K31" s="194">
        <f t="shared" si="9"/>
        <v>15000</v>
      </c>
      <c r="L31" s="198"/>
      <c r="M31" s="199" t="s">
        <v>494</v>
      </c>
      <c r="N31" s="178">
        <v>6</v>
      </c>
    </row>
    <row r="32" spans="1:17" ht="38.15" customHeight="1" x14ac:dyDescent="0.35">
      <c r="B32" s="291"/>
      <c r="C32" s="193" t="s">
        <v>522</v>
      </c>
      <c r="D32" s="194">
        <v>26600</v>
      </c>
      <c r="E32" s="194"/>
      <c r="F32" s="194"/>
      <c r="G32" s="195">
        <f t="shared" si="10"/>
        <v>26600</v>
      </c>
      <c r="H32" s="196">
        <v>0.3</v>
      </c>
      <c r="I32" s="262">
        <v>27175.42</v>
      </c>
      <c r="J32" s="194"/>
      <c r="K32" s="194">
        <f t="shared" si="9"/>
        <v>27175.42</v>
      </c>
      <c r="L32" s="198"/>
      <c r="M32" s="199" t="s">
        <v>495</v>
      </c>
      <c r="N32" s="178">
        <v>2</v>
      </c>
    </row>
    <row r="33" spans="1:14" ht="38.15" customHeight="1" x14ac:dyDescent="0.35">
      <c r="B33" s="291"/>
      <c r="C33" s="193" t="s">
        <v>457</v>
      </c>
      <c r="D33" s="194">
        <v>54000</v>
      </c>
      <c r="E33" s="194"/>
      <c r="F33" s="194"/>
      <c r="G33" s="195">
        <f t="shared" ref="G33:G35" si="11">SUM(D33:F33)</f>
        <v>54000</v>
      </c>
      <c r="H33" s="196">
        <v>0.3</v>
      </c>
      <c r="I33" s="262">
        <f>23175+10134</f>
        <v>33309</v>
      </c>
      <c r="J33" s="194"/>
      <c r="K33" s="194">
        <f t="shared" si="9"/>
        <v>33309</v>
      </c>
      <c r="L33" s="198"/>
      <c r="M33" s="199" t="s">
        <v>496</v>
      </c>
      <c r="N33" s="178">
        <v>2</v>
      </c>
    </row>
    <row r="34" spans="1:14" ht="38.15" customHeight="1" x14ac:dyDescent="0.35">
      <c r="B34" s="291"/>
      <c r="C34" s="236" t="s">
        <v>562</v>
      </c>
      <c r="D34" s="194">
        <v>20000</v>
      </c>
      <c r="E34" s="194"/>
      <c r="F34" s="194"/>
      <c r="G34" s="195">
        <f t="shared" si="11"/>
        <v>20000</v>
      </c>
      <c r="H34" s="196">
        <v>0.3</v>
      </c>
      <c r="I34" s="262">
        <v>20000</v>
      </c>
      <c r="J34" s="194"/>
      <c r="K34" s="194">
        <f t="shared" si="9"/>
        <v>20000</v>
      </c>
      <c r="L34" s="198"/>
      <c r="M34" s="199" t="s">
        <v>563</v>
      </c>
      <c r="N34" s="178">
        <v>6</v>
      </c>
    </row>
    <row r="35" spans="1:14" ht="38.15" customHeight="1" x14ac:dyDescent="0.35">
      <c r="B35" s="291"/>
      <c r="C35" s="193" t="s">
        <v>481</v>
      </c>
      <c r="D35" s="194">
        <v>19220</v>
      </c>
      <c r="E35" s="194"/>
      <c r="F35" s="194"/>
      <c r="G35" s="195">
        <f t="shared" si="11"/>
        <v>19220</v>
      </c>
      <c r="H35" s="196">
        <v>0.3</v>
      </c>
      <c r="I35" s="262">
        <f>12149+6491</f>
        <v>18640</v>
      </c>
      <c r="J35" s="194"/>
      <c r="K35" s="194">
        <f t="shared" si="9"/>
        <v>18640</v>
      </c>
      <c r="L35" s="198"/>
      <c r="M35" s="199" t="s">
        <v>496</v>
      </c>
      <c r="N35" s="178">
        <v>2</v>
      </c>
    </row>
    <row r="36" spans="1:14" ht="46.5" x14ac:dyDescent="0.35">
      <c r="B36" s="285"/>
      <c r="C36" s="193" t="s">
        <v>487</v>
      </c>
      <c r="D36" s="194">
        <v>2725</v>
      </c>
      <c r="E36" s="194"/>
      <c r="F36" s="194"/>
      <c r="G36" s="195">
        <f t="shared" si="10"/>
        <v>2725</v>
      </c>
      <c r="H36" s="196">
        <v>0.3</v>
      </c>
      <c r="I36" s="262">
        <v>5344</v>
      </c>
      <c r="J36" s="194"/>
      <c r="K36" s="194">
        <f t="shared" si="9"/>
        <v>5344</v>
      </c>
      <c r="L36" s="198"/>
      <c r="M36" s="199" t="s">
        <v>497</v>
      </c>
      <c r="N36" s="178">
        <v>4</v>
      </c>
    </row>
    <row r="37" spans="1:14" ht="93" customHeight="1" x14ac:dyDescent="0.35">
      <c r="B37" s="284" t="s">
        <v>523</v>
      </c>
      <c r="C37" s="193" t="s">
        <v>482</v>
      </c>
      <c r="D37" s="194">
        <v>40000</v>
      </c>
      <c r="E37" s="194"/>
      <c r="F37" s="194"/>
      <c r="G37" s="195">
        <f t="shared" si="10"/>
        <v>40000</v>
      </c>
      <c r="H37" s="196">
        <v>1</v>
      </c>
      <c r="I37" s="262">
        <f>12182+25963</f>
        <v>38145</v>
      </c>
      <c r="J37" s="194"/>
      <c r="K37" s="194">
        <f t="shared" si="9"/>
        <v>38145</v>
      </c>
      <c r="L37" s="198"/>
      <c r="M37" s="199" t="s">
        <v>496</v>
      </c>
      <c r="N37" s="178">
        <v>2</v>
      </c>
    </row>
    <row r="38" spans="1:14" ht="62" x14ac:dyDescent="0.35">
      <c r="B38" s="291"/>
      <c r="C38" s="193" t="s">
        <v>458</v>
      </c>
      <c r="D38" s="194">
        <v>15000</v>
      </c>
      <c r="E38" s="194"/>
      <c r="F38" s="194"/>
      <c r="G38" s="195">
        <f t="shared" si="10"/>
        <v>15000</v>
      </c>
      <c r="H38" s="196">
        <v>0.3</v>
      </c>
      <c r="I38" s="262">
        <v>14500</v>
      </c>
      <c r="J38" s="194"/>
      <c r="K38" s="194">
        <f t="shared" si="9"/>
        <v>14500</v>
      </c>
      <c r="L38" s="198"/>
      <c r="M38" s="199" t="s">
        <v>498</v>
      </c>
      <c r="N38" s="178">
        <v>6</v>
      </c>
    </row>
    <row r="39" spans="1:14" ht="62" x14ac:dyDescent="0.35">
      <c r="B39" s="285"/>
      <c r="C39" s="193" t="s">
        <v>459</v>
      </c>
      <c r="D39" s="194">
        <v>40000</v>
      </c>
      <c r="E39" s="194"/>
      <c r="F39" s="194"/>
      <c r="G39" s="195">
        <f t="shared" ref="G39:G42" si="12">SUM(D39:F39)</f>
        <v>40000</v>
      </c>
      <c r="H39" s="196">
        <v>0.3</v>
      </c>
      <c r="I39" s="262">
        <v>38944</v>
      </c>
      <c r="J39" s="194"/>
      <c r="K39" s="194">
        <f t="shared" si="9"/>
        <v>38944</v>
      </c>
      <c r="L39" s="198"/>
      <c r="M39" s="199" t="s">
        <v>496</v>
      </c>
      <c r="N39" s="178">
        <v>2</v>
      </c>
    </row>
    <row r="40" spans="1:14" ht="72.650000000000006" customHeight="1" x14ac:dyDescent="0.35">
      <c r="B40" s="206" t="s">
        <v>524</v>
      </c>
      <c r="C40" s="193" t="s">
        <v>489</v>
      </c>
      <c r="D40" s="194">
        <v>15000</v>
      </c>
      <c r="E40" s="194"/>
      <c r="F40" s="194"/>
      <c r="G40" s="195">
        <f t="shared" si="12"/>
        <v>15000</v>
      </c>
      <c r="H40" s="196">
        <v>0.3</v>
      </c>
      <c r="I40" s="262">
        <v>15000</v>
      </c>
      <c r="J40" s="194"/>
      <c r="K40" s="194">
        <f t="shared" si="9"/>
        <v>15000</v>
      </c>
      <c r="L40" s="198"/>
      <c r="M40" s="199" t="s">
        <v>498</v>
      </c>
      <c r="N40" s="178">
        <v>6</v>
      </c>
    </row>
    <row r="41" spans="1:14" ht="62.15" customHeight="1" x14ac:dyDescent="0.35">
      <c r="B41" s="284" t="s">
        <v>525</v>
      </c>
      <c r="C41" s="193" t="s">
        <v>460</v>
      </c>
      <c r="D41" s="194">
        <v>7000</v>
      </c>
      <c r="E41" s="194"/>
      <c r="F41" s="194"/>
      <c r="G41" s="195">
        <f t="shared" si="12"/>
        <v>7000</v>
      </c>
      <c r="H41" s="196">
        <v>0.3</v>
      </c>
      <c r="I41" s="262">
        <v>18923</v>
      </c>
      <c r="J41" s="194"/>
      <c r="K41" s="194">
        <f t="shared" si="9"/>
        <v>18923</v>
      </c>
      <c r="L41" s="198"/>
      <c r="M41" s="199" t="s">
        <v>499</v>
      </c>
      <c r="N41" s="178">
        <v>6</v>
      </c>
    </row>
    <row r="42" spans="1:14" ht="62" x14ac:dyDescent="0.35">
      <c r="B42" s="285"/>
      <c r="C42" s="193" t="s">
        <v>483</v>
      </c>
      <c r="D42" s="194">
        <v>10000</v>
      </c>
      <c r="E42" s="194"/>
      <c r="F42" s="194"/>
      <c r="G42" s="195">
        <f t="shared" si="12"/>
        <v>10000</v>
      </c>
      <c r="H42" s="196">
        <v>0.3</v>
      </c>
      <c r="I42" s="262">
        <v>11000</v>
      </c>
      <c r="J42" s="194"/>
      <c r="K42" s="194">
        <f t="shared" si="9"/>
        <v>11000</v>
      </c>
      <c r="L42" s="198"/>
      <c r="M42" s="199" t="s">
        <v>499</v>
      </c>
      <c r="N42" s="178">
        <v>6</v>
      </c>
    </row>
    <row r="43" spans="1:14" s="25" customFormat="1" ht="15.5" x14ac:dyDescent="0.35">
      <c r="A43" s="24"/>
      <c r="B43" s="202"/>
      <c r="C43" s="203" t="s">
        <v>387</v>
      </c>
      <c r="D43" s="204">
        <f>SUM(D29:D42)</f>
        <v>347545</v>
      </c>
      <c r="E43" s="204">
        <f>SUM(E29:E42)</f>
        <v>0</v>
      </c>
      <c r="F43" s="204">
        <f>SUM(F29:F42)</f>
        <v>0</v>
      </c>
      <c r="G43" s="209">
        <f>SUM(G29:G42)</f>
        <v>347545</v>
      </c>
      <c r="H43" s="204">
        <f>(H29*G29)+(H30*G30)+(H31*G31)+(H32*G32)+(H33*G33)+(H35*G35)+(H36*G36)+(H37*G37)+(H38*G38)+(H39*G39)+(H40*G40)+(H41*G41)+(H42*G42)</f>
        <v>129263.5</v>
      </c>
      <c r="I43" s="204">
        <f>SUM(I29:I42)</f>
        <v>345265.42</v>
      </c>
      <c r="J43" s="204">
        <f t="shared" ref="J43:K43" si="13">SUM(J29:J42)</f>
        <v>0</v>
      </c>
      <c r="K43" s="204">
        <f t="shared" si="13"/>
        <v>345265.42</v>
      </c>
      <c r="L43" s="205"/>
      <c r="M43" s="201"/>
      <c r="N43" s="179"/>
    </row>
    <row r="44" spans="1:14" ht="51" customHeight="1" x14ac:dyDescent="0.35">
      <c r="B44" s="192" t="s">
        <v>374</v>
      </c>
      <c r="C44" s="288" t="s">
        <v>526</v>
      </c>
      <c r="D44" s="298"/>
      <c r="E44" s="298"/>
      <c r="F44" s="298"/>
      <c r="G44" s="298"/>
      <c r="H44" s="298"/>
      <c r="I44" s="299"/>
      <c r="J44" s="299"/>
      <c r="K44" s="299"/>
      <c r="L44" s="299"/>
      <c r="M44" s="300"/>
      <c r="N44" s="177"/>
    </row>
    <row r="45" spans="1:14" ht="83.15" customHeight="1" x14ac:dyDescent="0.35">
      <c r="B45" s="197" t="s">
        <v>527</v>
      </c>
      <c r="C45" s="193" t="s">
        <v>484</v>
      </c>
      <c r="D45" s="198">
        <v>5000</v>
      </c>
      <c r="E45" s="194"/>
      <c r="F45" s="194"/>
      <c r="G45" s="195">
        <f>SUM(D45:F45)</f>
        <v>5000</v>
      </c>
      <c r="H45" s="196">
        <v>0.5</v>
      </c>
      <c r="I45" s="262">
        <v>5000</v>
      </c>
      <c r="J45" s="194"/>
      <c r="K45" s="194">
        <f t="shared" ref="K45:K48" si="14">+I45+J45</f>
        <v>5000</v>
      </c>
      <c r="L45" s="198"/>
      <c r="M45" s="199" t="s">
        <v>499</v>
      </c>
      <c r="N45" s="178">
        <v>6</v>
      </c>
    </row>
    <row r="46" spans="1:14" ht="77.5" x14ac:dyDescent="0.35">
      <c r="B46" s="197" t="s">
        <v>461</v>
      </c>
      <c r="C46" s="193" t="s">
        <v>462</v>
      </c>
      <c r="D46" s="198">
        <v>5000</v>
      </c>
      <c r="E46" s="194"/>
      <c r="F46" s="194"/>
      <c r="G46" s="195">
        <f t="shared" ref="G46:G48" si="15">SUM(D46:F46)</f>
        <v>5000</v>
      </c>
      <c r="H46" s="196">
        <v>0.5</v>
      </c>
      <c r="I46" s="262">
        <v>5000</v>
      </c>
      <c r="J46" s="194"/>
      <c r="K46" s="194">
        <f t="shared" si="14"/>
        <v>5000</v>
      </c>
      <c r="L46" s="198"/>
      <c r="M46" s="199" t="s">
        <v>500</v>
      </c>
      <c r="N46" s="178">
        <v>6</v>
      </c>
    </row>
    <row r="47" spans="1:14" ht="15.5" x14ac:dyDescent="0.35">
      <c r="B47" s="284" t="s">
        <v>528</v>
      </c>
      <c r="C47" s="193" t="s">
        <v>463</v>
      </c>
      <c r="D47" s="194">
        <v>15000</v>
      </c>
      <c r="E47" s="194"/>
      <c r="F47" s="194"/>
      <c r="G47" s="195">
        <f t="shared" si="15"/>
        <v>15000</v>
      </c>
      <c r="H47" s="196">
        <v>0.5</v>
      </c>
      <c r="I47" s="262">
        <v>15000</v>
      </c>
      <c r="J47" s="194"/>
      <c r="K47" s="194">
        <f t="shared" si="14"/>
        <v>15000</v>
      </c>
      <c r="L47" s="198"/>
      <c r="M47" s="199" t="s">
        <v>496</v>
      </c>
      <c r="N47" s="178">
        <v>2</v>
      </c>
    </row>
    <row r="48" spans="1:14" ht="31" x14ac:dyDescent="0.35">
      <c r="B48" s="285"/>
      <c r="C48" s="193" t="s">
        <v>464</v>
      </c>
      <c r="D48" s="194">
        <v>52944</v>
      </c>
      <c r="E48" s="194"/>
      <c r="F48" s="194"/>
      <c r="G48" s="195">
        <f t="shared" si="15"/>
        <v>52944</v>
      </c>
      <c r="H48" s="196">
        <v>0.5</v>
      </c>
      <c r="I48" s="262">
        <v>33571</v>
      </c>
      <c r="J48" s="194"/>
      <c r="K48" s="194">
        <f t="shared" si="14"/>
        <v>33571</v>
      </c>
      <c r="L48" s="198"/>
      <c r="M48" s="199" t="s">
        <v>501</v>
      </c>
      <c r="N48" s="178">
        <v>6</v>
      </c>
    </row>
    <row r="49" spans="2:14" ht="15.5" x14ac:dyDescent="0.35">
      <c r="B49" s="202"/>
      <c r="C49" s="203" t="s">
        <v>387</v>
      </c>
      <c r="D49" s="209">
        <f>SUM(D45:D48)</f>
        <v>77944</v>
      </c>
      <c r="E49" s="209">
        <f>SUM(E45:E48)</f>
        <v>0</v>
      </c>
      <c r="F49" s="209">
        <f>SUM(F45:F48)</f>
        <v>0</v>
      </c>
      <c r="G49" s="209">
        <f>SUM(G45:G48)</f>
        <v>77944</v>
      </c>
      <c r="H49" s="204">
        <f>(H45*G45)+(H46*G46)+(H47*G47)+(H48*G48)</f>
        <v>38972</v>
      </c>
      <c r="I49" s="204">
        <f>SUM(I45:I48)</f>
        <v>58571</v>
      </c>
      <c r="J49" s="204">
        <f t="shared" ref="J49:K49" si="16">SUM(J45:J48)</f>
        <v>0</v>
      </c>
      <c r="K49" s="204">
        <f t="shared" si="16"/>
        <v>58571</v>
      </c>
      <c r="L49" s="205"/>
      <c r="M49" s="201"/>
      <c r="N49" s="179"/>
    </row>
    <row r="50" spans="2:14" ht="15.75" customHeight="1" x14ac:dyDescent="0.35">
      <c r="B50" s="214"/>
      <c r="C50" s="210"/>
      <c r="D50" s="215"/>
      <c r="E50" s="215"/>
      <c r="F50" s="215"/>
      <c r="G50" s="215"/>
      <c r="H50" s="215"/>
      <c r="I50" s="254"/>
      <c r="J50" s="215"/>
      <c r="K50" s="215"/>
      <c r="L50" s="216"/>
      <c r="M50" s="210"/>
      <c r="N50" s="180"/>
    </row>
    <row r="51" spans="2:14" ht="51" customHeight="1" x14ac:dyDescent="0.35">
      <c r="B51" s="203" t="s">
        <v>375</v>
      </c>
      <c r="C51" s="288" t="s">
        <v>529</v>
      </c>
      <c r="D51" s="288"/>
      <c r="E51" s="288"/>
      <c r="F51" s="288"/>
      <c r="G51" s="288"/>
      <c r="H51" s="288"/>
      <c r="I51" s="289"/>
      <c r="J51" s="289"/>
      <c r="K51" s="289"/>
      <c r="L51" s="289"/>
      <c r="M51" s="290"/>
      <c r="N51" s="176"/>
    </row>
    <row r="52" spans="2:14" ht="51" customHeight="1" x14ac:dyDescent="0.35">
      <c r="B52" s="192" t="s">
        <v>376</v>
      </c>
      <c r="C52" s="298" t="s">
        <v>530</v>
      </c>
      <c r="D52" s="298"/>
      <c r="E52" s="298"/>
      <c r="F52" s="298"/>
      <c r="G52" s="298"/>
      <c r="H52" s="298"/>
      <c r="I52" s="299"/>
      <c r="J52" s="299"/>
      <c r="K52" s="299"/>
      <c r="L52" s="299"/>
      <c r="M52" s="300"/>
      <c r="N52" s="177"/>
    </row>
    <row r="53" spans="2:14" ht="58" customHeight="1" x14ac:dyDescent="0.35">
      <c r="B53" s="284" t="s">
        <v>531</v>
      </c>
      <c r="C53" s="193" t="s">
        <v>468</v>
      </c>
      <c r="D53" s="194"/>
      <c r="E53" s="194">
        <v>25000</v>
      </c>
      <c r="F53" s="194"/>
      <c r="G53" s="195">
        <v>30000</v>
      </c>
      <c r="H53" s="196">
        <v>0.3</v>
      </c>
      <c r="I53" s="251"/>
      <c r="J53" s="194">
        <v>30000</v>
      </c>
      <c r="K53" s="194">
        <f t="shared" ref="K53:K58" si="17">+I53+J53</f>
        <v>30000</v>
      </c>
      <c r="L53" s="286" t="s">
        <v>556</v>
      </c>
      <c r="M53" s="286" t="s">
        <v>534</v>
      </c>
      <c r="N53" s="178"/>
    </row>
    <row r="54" spans="2:14" ht="109" customHeight="1" x14ac:dyDescent="0.35">
      <c r="B54" s="285"/>
      <c r="C54" s="193" t="s">
        <v>532</v>
      </c>
      <c r="D54" s="194"/>
      <c r="E54" s="194">
        <v>10000</v>
      </c>
      <c r="F54" s="194"/>
      <c r="G54" s="195">
        <f t="shared" ref="G54:G55" si="18">SUM(D54:F54)</f>
        <v>10000</v>
      </c>
      <c r="H54" s="196">
        <v>0.3</v>
      </c>
      <c r="I54" s="251"/>
      <c r="J54" s="194">
        <v>10000</v>
      </c>
      <c r="K54" s="241">
        <f t="shared" si="17"/>
        <v>10000</v>
      </c>
      <c r="L54" s="287"/>
      <c r="M54" s="287"/>
      <c r="N54" s="178"/>
    </row>
    <row r="55" spans="2:14" ht="31.5" customHeight="1" x14ac:dyDescent="0.35">
      <c r="B55" s="284" t="s">
        <v>535</v>
      </c>
      <c r="C55" s="193" t="s">
        <v>533</v>
      </c>
      <c r="D55" s="194"/>
      <c r="E55" s="194">
        <v>10000</v>
      </c>
      <c r="F55" s="194"/>
      <c r="G55" s="195">
        <f t="shared" si="18"/>
        <v>10000</v>
      </c>
      <c r="H55" s="196">
        <v>0.3</v>
      </c>
      <c r="I55" s="251"/>
      <c r="J55" s="194">
        <v>10000</v>
      </c>
      <c r="K55" s="241">
        <f t="shared" si="17"/>
        <v>10000</v>
      </c>
      <c r="L55" s="292" t="s">
        <v>472</v>
      </c>
      <c r="M55" s="286" t="s">
        <v>537</v>
      </c>
      <c r="N55" s="178"/>
    </row>
    <row r="56" spans="2:14" ht="94.5" customHeight="1" x14ac:dyDescent="0.35">
      <c r="B56" s="285"/>
      <c r="C56" s="193" t="s">
        <v>468</v>
      </c>
      <c r="D56" s="194"/>
      <c r="E56" s="194">
        <v>10000</v>
      </c>
      <c r="F56" s="194"/>
      <c r="G56" s="195">
        <f t="shared" ref="G56:G59" si="19">SUM(D56:F56)</f>
        <v>10000</v>
      </c>
      <c r="H56" s="196">
        <v>0.3</v>
      </c>
      <c r="I56" s="251"/>
      <c r="J56" s="194">
        <v>10000</v>
      </c>
      <c r="K56" s="241">
        <f t="shared" si="17"/>
        <v>10000</v>
      </c>
      <c r="L56" s="293"/>
      <c r="M56" s="287"/>
      <c r="N56" s="178"/>
    </row>
    <row r="57" spans="2:14" ht="62.15" customHeight="1" x14ac:dyDescent="0.35">
      <c r="B57" s="284" t="s">
        <v>536</v>
      </c>
      <c r="C57" s="193" t="s">
        <v>470</v>
      </c>
      <c r="D57" s="194"/>
      <c r="E57" s="194">
        <v>10000</v>
      </c>
      <c r="F57" s="194"/>
      <c r="G57" s="195">
        <f t="shared" si="19"/>
        <v>10000</v>
      </c>
      <c r="H57" s="196">
        <v>0.3</v>
      </c>
      <c r="I57" s="251"/>
      <c r="J57" s="194">
        <v>10000</v>
      </c>
      <c r="K57" s="194">
        <f t="shared" si="17"/>
        <v>10000</v>
      </c>
      <c r="L57" s="292" t="s">
        <v>473</v>
      </c>
      <c r="M57" s="286" t="s">
        <v>557</v>
      </c>
      <c r="N57" s="178"/>
    </row>
    <row r="58" spans="2:14" ht="65.150000000000006" customHeight="1" x14ac:dyDescent="0.35">
      <c r="B58" s="285"/>
      <c r="C58" s="193" t="s">
        <v>469</v>
      </c>
      <c r="D58" s="194"/>
      <c r="E58" s="194">
        <v>20000</v>
      </c>
      <c r="F58" s="194"/>
      <c r="G58" s="195">
        <f t="shared" si="19"/>
        <v>20000</v>
      </c>
      <c r="H58" s="196">
        <v>0.3</v>
      </c>
      <c r="I58" s="251"/>
      <c r="J58" s="194">
        <v>20000</v>
      </c>
      <c r="K58" s="241">
        <f t="shared" si="17"/>
        <v>20000</v>
      </c>
      <c r="L58" s="293"/>
      <c r="M58" s="287"/>
      <c r="N58" s="178"/>
    </row>
    <row r="59" spans="2:14" ht="117" customHeight="1" x14ac:dyDescent="0.35">
      <c r="B59" s="217" t="s">
        <v>465</v>
      </c>
      <c r="C59" s="193" t="s">
        <v>538</v>
      </c>
      <c r="D59" s="194"/>
      <c r="E59" s="194">
        <v>10000</v>
      </c>
      <c r="F59" s="194"/>
      <c r="G59" s="195">
        <f t="shared" si="19"/>
        <v>10000</v>
      </c>
      <c r="H59" s="196">
        <v>0.3</v>
      </c>
      <c r="I59" s="251"/>
      <c r="J59" s="194">
        <v>10000</v>
      </c>
      <c r="K59" s="242">
        <f>+I59+J59</f>
        <v>10000</v>
      </c>
      <c r="L59" s="199" t="s">
        <v>558</v>
      </c>
      <c r="M59" s="199" t="s">
        <v>539</v>
      </c>
      <c r="N59" s="178"/>
    </row>
    <row r="60" spans="2:14" ht="15.5" x14ac:dyDescent="0.35">
      <c r="B60" s="202"/>
      <c r="C60" s="203" t="s">
        <v>387</v>
      </c>
      <c r="D60" s="204">
        <f>SUM(D53:D59)</f>
        <v>0</v>
      </c>
      <c r="E60" s="204">
        <f>SUM(E53:E59)</f>
        <v>95000</v>
      </c>
      <c r="F60" s="204">
        <f>SUM(F53:F59)</f>
        <v>0</v>
      </c>
      <c r="G60" s="209">
        <f>SUM(G53:G59)</f>
        <v>100000</v>
      </c>
      <c r="H60" s="204">
        <f>(H53*G53)+(H54*G54)+(H55*G55)+(H56*G56)+(H57*G57)+(H58*G58)+(H59*G59)</f>
        <v>30000</v>
      </c>
      <c r="I60" s="204">
        <f>SUM(I53:I59)</f>
        <v>0</v>
      </c>
      <c r="J60" s="204">
        <f t="shared" ref="J60:K60" si="20">SUM(J53:J59)</f>
        <v>100000</v>
      </c>
      <c r="K60" s="204">
        <f t="shared" si="20"/>
        <v>100000</v>
      </c>
      <c r="L60" s="205"/>
      <c r="M60" s="201"/>
      <c r="N60" s="179"/>
    </row>
    <row r="61" spans="2:14" ht="51" customHeight="1" x14ac:dyDescent="0.35">
      <c r="B61" s="192" t="s">
        <v>377</v>
      </c>
      <c r="C61" s="288" t="s">
        <v>540</v>
      </c>
      <c r="D61" s="298"/>
      <c r="E61" s="298"/>
      <c r="F61" s="298"/>
      <c r="G61" s="298"/>
      <c r="H61" s="298"/>
      <c r="I61" s="299"/>
      <c r="J61" s="299"/>
      <c r="K61" s="299"/>
      <c r="L61" s="299"/>
      <c r="M61" s="300"/>
      <c r="N61" s="177"/>
    </row>
    <row r="62" spans="2:14" ht="62.15" customHeight="1" x14ac:dyDescent="0.35">
      <c r="B62" s="284" t="s">
        <v>541</v>
      </c>
      <c r="C62" s="193" t="s">
        <v>468</v>
      </c>
      <c r="D62" s="194"/>
      <c r="E62" s="194">
        <v>18000</v>
      </c>
      <c r="F62" s="194"/>
      <c r="G62" s="195">
        <f>SUM(D62:F62)</f>
        <v>18000</v>
      </c>
      <c r="H62" s="196">
        <v>0.3</v>
      </c>
      <c r="I62" s="251"/>
      <c r="J62" s="194">
        <v>18000</v>
      </c>
      <c r="K62" s="240">
        <f t="shared" ref="K62:K66" si="21">+I62+J62</f>
        <v>18000</v>
      </c>
      <c r="L62" s="292" t="s">
        <v>559</v>
      </c>
      <c r="M62" s="286" t="s">
        <v>546</v>
      </c>
      <c r="N62" s="178"/>
    </row>
    <row r="63" spans="2:14" ht="51" customHeight="1" x14ac:dyDescent="0.35">
      <c r="B63" s="285"/>
      <c r="C63" s="193" t="s">
        <v>532</v>
      </c>
      <c r="D63" s="194"/>
      <c r="E63" s="194">
        <v>10000</v>
      </c>
      <c r="F63" s="194"/>
      <c r="G63" s="195">
        <f>SUM(D63:F63)</f>
        <v>10000</v>
      </c>
      <c r="H63" s="196">
        <v>0.3</v>
      </c>
      <c r="I63" s="251"/>
      <c r="J63" s="194">
        <v>10000</v>
      </c>
      <c r="K63" s="194">
        <f t="shared" si="21"/>
        <v>10000</v>
      </c>
      <c r="L63" s="293"/>
      <c r="M63" s="287"/>
      <c r="N63" s="178"/>
    </row>
    <row r="64" spans="2:14" ht="201.65" customHeight="1" x14ac:dyDescent="0.35">
      <c r="B64" s="284" t="s">
        <v>542</v>
      </c>
      <c r="C64" s="193" t="s">
        <v>544</v>
      </c>
      <c r="D64" s="194"/>
      <c r="E64" s="194">
        <v>16200</v>
      </c>
      <c r="F64" s="194"/>
      <c r="G64" s="195">
        <f>SUM(D64:F64)</f>
        <v>16200</v>
      </c>
      <c r="H64" s="196">
        <v>0.3</v>
      </c>
      <c r="I64" s="251"/>
      <c r="J64" s="194">
        <v>16200</v>
      </c>
      <c r="K64" s="194">
        <f t="shared" si="21"/>
        <v>16200</v>
      </c>
      <c r="L64" s="294" t="s">
        <v>560</v>
      </c>
      <c r="M64" s="286" t="s">
        <v>547</v>
      </c>
      <c r="N64" s="178"/>
    </row>
    <row r="65" spans="2:14" ht="46.5" customHeight="1" x14ac:dyDescent="0.35">
      <c r="B65" s="291"/>
      <c r="C65" s="193" t="s">
        <v>543</v>
      </c>
      <c r="D65" s="194"/>
      <c r="E65" s="194">
        <v>35000</v>
      </c>
      <c r="F65" s="194"/>
      <c r="G65" s="195">
        <f t="shared" ref="G65" si="22">SUM(D65:F65)</f>
        <v>35000</v>
      </c>
      <c r="H65" s="196">
        <v>0.3</v>
      </c>
      <c r="I65" s="251"/>
      <c r="J65" s="194">
        <v>35000</v>
      </c>
      <c r="K65" s="243">
        <f t="shared" si="21"/>
        <v>35000</v>
      </c>
      <c r="L65" s="295"/>
      <c r="M65" s="297"/>
      <c r="N65" s="178"/>
    </row>
    <row r="66" spans="2:14" ht="129.65" customHeight="1" x14ac:dyDescent="0.35">
      <c r="B66" s="218"/>
      <c r="C66" s="193" t="s">
        <v>545</v>
      </c>
      <c r="D66" s="202"/>
      <c r="E66" s="194">
        <v>40000</v>
      </c>
      <c r="F66" s="194"/>
      <c r="G66" s="195">
        <f t="shared" ref="G66" si="23">SUM(D66:F66)</f>
        <v>40000</v>
      </c>
      <c r="H66" s="196">
        <v>0.3</v>
      </c>
      <c r="I66" s="251"/>
      <c r="J66" s="194">
        <v>40000</v>
      </c>
      <c r="K66" s="194">
        <f t="shared" si="21"/>
        <v>40000</v>
      </c>
      <c r="L66" s="296"/>
      <c r="M66" s="219"/>
      <c r="N66" s="178"/>
    </row>
    <row r="67" spans="2:14" ht="15.5" x14ac:dyDescent="0.35">
      <c r="B67" s="202"/>
      <c r="C67" s="203" t="s">
        <v>387</v>
      </c>
      <c r="D67" s="209">
        <f>SUM(D62:D66)</f>
        <v>0</v>
      </c>
      <c r="E67" s="209">
        <f>SUM(E62:E66)</f>
        <v>119200</v>
      </c>
      <c r="F67" s="209">
        <f>SUM(F62:F66)</f>
        <v>0</v>
      </c>
      <c r="G67" s="209">
        <f>SUM(G62:G66)</f>
        <v>119200</v>
      </c>
      <c r="H67" s="204">
        <f>(H62*G62)+(H63*G63)+(H64*G64)+(H65*G65)+(H66*G66)</f>
        <v>35760</v>
      </c>
      <c r="I67" s="204">
        <f>SUM(I62:I66)</f>
        <v>0</v>
      </c>
      <c r="J67" s="204">
        <f t="shared" ref="J67:K67" si="24">SUM(J62:J66)</f>
        <v>119200</v>
      </c>
      <c r="K67" s="204">
        <f t="shared" si="24"/>
        <v>119200</v>
      </c>
      <c r="L67" s="205"/>
      <c r="M67" s="201"/>
      <c r="N67" s="179"/>
    </row>
    <row r="68" spans="2:14" ht="51" customHeight="1" x14ac:dyDescent="0.35">
      <c r="B68" s="220" t="s">
        <v>378</v>
      </c>
      <c r="C68" s="288" t="s">
        <v>548</v>
      </c>
      <c r="D68" s="288"/>
      <c r="E68" s="288"/>
      <c r="F68" s="288"/>
      <c r="G68" s="288"/>
      <c r="H68" s="288"/>
      <c r="I68" s="289"/>
      <c r="J68" s="289"/>
      <c r="K68" s="289"/>
      <c r="L68" s="289"/>
      <c r="M68" s="290"/>
      <c r="N68" s="177"/>
    </row>
    <row r="69" spans="2:14" ht="51" customHeight="1" x14ac:dyDescent="0.35">
      <c r="B69" s="284" t="s">
        <v>549</v>
      </c>
      <c r="C69" s="193" t="s">
        <v>471</v>
      </c>
      <c r="D69" s="194"/>
      <c r="E69" s="194">
        <v>25000</v>
      </c>
      <c r="F69" s="194"/>
      <c r="G69" s="195">
        <f>SUM(D69:F69)</f>
        <v>25000</v>
      </c>
      <c r="H69" s="196">
        <v>0.3</v>
      </c>
      <c r="I69" s="248"/>
      <c r="J69" s="194">
        <v>25000</v>
      </c>
      <c r="K69" s="221">
        <f t="shared" ref="K69:K71" si="25">+I69+J69</f>
        <v>25000</v>
      </c>
      <c r="L69" s="292" t="s">
        <v>503</v>
      </c>
      <c r="M69" s="286" t="s">
        <v>504</v>
      </c>
      <c r="N69" s="177"/>
    </row>
    <row r="70" spans="2:14" ht="30.65" customHeight="1" x14ac:dyDescent="0.35">
      <c r="B70" s="285"/>
      <c r="C70" s="193" t="s">
        <v>550</v>
      </c>
      <c r="D70" s="222"/>
      <c r="E70" s="194">
        <v>7500</v>
      </c>
      <c r="F70" s="222"/>
      <c r="G70" s="195">
        <f>SUM(D70:F70)</f>
        <v>7500</v>
      </c>
      <c r="H70" s="196">
        <v>0.3</v>
      </c>
      <c r="I70" s="251"/>
      <c r="J70" s="194">
        <v>7500</v>
      </c>
      <c r="K70" s="241">
        <f t="shared" si="25"/>
        <v>7500</v>
      </c>
      <c r="L70" s="293"/>
      <c r="M70" s="287"/>
      <c r="N70" s="178"/>
    </row>
    <row r="71" spans="2:14" ht="108.5" x14ac:dyDescent="0.35">
      <c r="B71" s="197" t="s">
        <v>551</v>
      </c>
      <c r="C71" s="222" t="s">
        <v>467</v>
      </c>
      <c r="D71" s="194"/>
      <c r="E71" s="194">
        <v>5000</v>
      </c>
      <c r="F71" s="194"/>
      <c r="G71" s="195">
        <f t="shared" ref="G71" si="26">SUM(D71:F71)</f>
        <v>5000</v>
      </c>
      <c r="H71" s="196">
        <v>0.3</v>
      </c>
      <c r="I71" s="251"/>
      <c r="J71" s="194">
        <v>5000</v>
      </c>
      <c r="K71" s="194">
        <f t="shared" si="25"/>
        <v>5000</v>
      </c>
      <c r="L71" s="223" t="s">
        <v>474</v>
      </c>
      <c r="M71" s="237" t="s">
        <v>561</v>
      </c>
      <c r="N71" s="178"/>
    </row>
    <row r="72" spans="2:14" ht="15.5" x14ac:dyDescent="0.35">
      <c r="B72" s="202"/>
      <c r="C72" s="203" t="s">
        <v>387</v>
      </c>
      <c r="D72" s="204">
        <f>SUM(D69:D71)</f>
        <v>0</v>
      </c>
      <c r="E72" s="204">
        <f>SUM(E69:E71)</f>
        <v>37500</v>
      </c>
      <c r="F72" s="204">
        <f>SUM(F69:F71)</f>
        <v>0</v>
      </c>
      <c r="G72" s="204">
        <f>SUM(G69:G71)</f>
        <v>37500</v>
      </c>
      <c r="H72" s="204">
        <f>(H69*G69)+(H70*G70)+(H71*G71)</f>
        <v>11250</v>
      </c>
      <c r="I72" s="204">
        <f>SUM(I69:I71)</f>
        <v>0</v>
      </c>
      <c r="J72" s="204">
        <f t="shared" ref="J72:K72" si="27">SUM(J69:J71)</f>
        <v>37500</v>
      </c>
      <c r="K72" s="204">
        <f t="shared" si="27"/>
        <v>37500</v>
      </c>
      <c r="L72" s="205"/>
      <c r="M72" s="201"/>
      <c r="N72" s="179"/>
    </row>
    <row r="73" spans="2:14" ht="15.75" customHeight="1" x14ac:dyDescent="0.35">
      <c r="B73" s="214"/>
      <c r="C73" s="210"/>
      <c r="D73" s="215"/>
      <c r="E73" s="215"/>
      <c r="F73" s="215"/>
      <c r="G73" s="215"/>
      <c r="H73" s="215"/>
      <c r="I73" s="254"/>
      <c r="J73" s="215"/>
      <c r="K73" s="215"/>
      <c r="L73" s="216"/>
      <c r="M73" s="224"/>
      <c r="N73" s="180"/>
    </row>
    <row r="74" spans="2:14" ht="15.75" customHeight="1" x14ac:dyDescent="0.35">
      <c r="B74" s="214"/>
      <c r="C74" s="210"/>
      <c r="D74" s="215"/>
      <c r="E74" s="215"/>
      <c r="F74" s="215"/>
      <c r="G74" s="215"/>
      <c r="H74" s="215"/>
      <c r="I74" s="254"/>
      <c r="J74" s="215"/>
      <c r="K74" s="215"/>
      <c r="L74" s="216"/>
      <c r="M74" s="210"/>
      <c r="N74" s="180"/>
    </row>
    <row r="75" spans="2:14" ht="15.75" customHeight="1" x14ac:dyDescent="0.35">
      <c r="B75" s="214"/>
      <c r="C75" s="210"/>
      <c r="D75" s="215"/>
      <c r="E75" s="215"/>
      <c r="F75" s="215"/>
      <c r="G75" s="215"/>
      <c r="H75" s="215"/>
      <c r="I75" s="254"/>
      <c r="J75" s="215"/>
      <c r="K75" s="215"/>
      <c r="L75" s="216"/>
      <c r="M75" s="210"/>
      <c r="N75" s="180"/>
    </row>
    <row r="76" spans="2:14" ht="63.75" customHeight="1" x14ac:dyDescent="0.35">
      <c r="B76" s="203" t="s">
        <v>379</v>
      </c>
      <c r="C76" s="225"/>
      <c r="D76" s="226">
        <v>129291</v>
      </c>
      <c r="E76" s="226">
        <v>107600</v>
      </c>
      <c r="F76" s="226"/>
      <c r="G76" s="227">
        <f t="shared" ref="G76:G81" si="28">SUM(D76:F76)</f>
        <v>236891</v>
      </c>
      <c r="H76" s="228">
        <v>0.3</v>
      </c>
      <c r="I76" s="263">
        <v>132287</v>
      </c>
      <c r="J76" s="226">
        <v>107600</v>
      </c>
      <c r="K76" s="226">
        <f>I76+J76</f>
        <v>239887</v>
      </c>
      <c r="L76" s="229"/>
      <c r="M76" s="230"/>
      <c r="N76" s="179">
        <v>1</v>
      </c>
    </row>
    <row r="77" spans="2:14" ht="63.75" customHeight="1" x14ac:dyDescent="0.35">
      <c r="B77" s="203" t="s">
        <v>485</v>
      </c>
      <c r="C77" s="231" t="s">
        <v>502</v>
      </c>
      <c r="D77" s="226">
        <v>5044</v>
      </c>
      <c r="E77" s="226">
        <v>6000</v>
      </c>
      <c r="F77" s="226"/>
      <c r="G77" s="227">
        <f t="shared" si="28"/>
        <v>11044</v>
      </c>
      <c r="H77" s="228"/>
      <c r="I77" s="263">
        <v>1561</v>
      </c>
      <c r="J77" s="226">
        <v>6000</v>
      </c>
      <c r="K77" s="226">
        <f t="shared" ref="K77:K78" si="29">I77+J77</f>
        <v>7561</v>
      </c>
      <c r="L77" s="229"/>
      <c r="M77" s="230"/>
      <c r="N77" s="179">
        <v>3</v>
      </c>
    </row>
    <row r="78" spans="2:14" ht="69.75" customHeight="1" x14ac:dyDescent="0.35">
      <c r="B78" s="203" t="s">
        <v>380</v>
      </c>
      <c r="C78" s="231"/>
      <c r="D78" s="226">
        <v>53239.5</v>
      </c>
      <c r="E78" s="226">
        <v>33447.67</v>
      </c>
      <c r="F78" s="226"/>
      <c r="G78" s="227">
        <f t="shared" si="28"/>
        <v>86687.17</v>
      </c>
      <c r="H78" s="228"/>
      <c r="I78" s="263">
        <v>52902</v>
      </c>
      <c r="J78" s="226">
        <v>33447.67</v>
      </c>
      <c r="K78" s="226">
        <f t="shared" si="29"/>
        <v>86349.67</v>
      </c>
      <c r="L78" s="229"/>
      <c r="M78" s="230"/>
      <c r="N78" s="179">
        <v>7</v>
      </c>
    </row>
    <row r="79" spans="2:14" ht="69.75" customHeight="1" x14ac:dyDescent="0.35">
      <c r="B79" s="282" t="s">
        <v>381</v>
      </c>
      <c r="C79" s="231" t="s">
        <v>479</v>
      </c>
      <c r="D79" s="226">
        <v>22000</v>
      </c>
      <c r="E79" s="226">
        <v>22000</v>
      </c>
      <c r="F79" s="226"/>
      <c r="G79" s="227">
        <f t="shared" si="28"/>
        <v>44000</v>
      </c>
      <c r="H79" s="228">
        <v>0.2</v>
      </c>
      <c r="I79" s="263">
        <v>22000</v>
      </c>
      <c r="J79" s="226">
        <v>22000</v>
      </c>
      <c r="K79" s="226">
        <f>I79+J79</f>
        <v>44000</v>
      </c>
      <c r="L79" s="229"/>
      <c r="M79" s="230"/>
      <c r="N79" s="179">
        <v>5</v>
      </c>
    </row>
    <row r="80" spans="2:14" ht="57" customHeight="1" x14ac:dyDescent="0.35">
      <c r="B80" s="283"/>
      <c r="C80" s="231" t="s">
        <v>480</v>
      </c>
      <c r="D80" s="226">
        <v>34002</v>
      </c>
      <c r="E80" s="226">
        <v>20000</v>
      </c>
      <c r="F80" s="226"/>
      <c r="G80" s="227">
        <f t="shared" si="28"/>
        <v>54002</v>
      </c>
      <c r="H80" s="228">
        <v>0.3</v>
      </c>
      <c r="I80" s="263">
        <f>39126</f>
        <v>39126</v>
      </c>
      <c r="J80" s="226">
        <v>20000</v>
      </c>
      <c r="K80" s="226">
        <f>I80+J80</f>
        <v>59126</v>
      </c>
      <c r="L80" s="229"/>
      <c r="M80" s="230"/>
      <c r="N80" s="179">
        <v>7</v>
      </c>
    </row>
    <row r="81" spans="2:14" ht="65.25" customHeight="1" x14ac:dyDescent="0.35">
      <c r="B81" s="232" t="s">
        <v>382</v>
      </c>
      <c r="C81" s="231" t="s">
        <v>466</v>
      </c>
      <c r="D81" s="226">
        <v>40000</v>
      </c>
      <c r="E81" s="226"/>
      <c r="F81" s="226"/>
      <c r="G81" s="227">
        <f t="shared" si="28"/>
        <v>40000</v>
      </c>
      <c r="H81" s="228"/>
      <c r="I81" s="255"/>
      <c r="J81" s="261"/>
      <c r="K81" s="226">
        <f t="shared" ref="K81" si="30">I81+J81</f>
        <v>0</v>
      </c>
      <c r="L81" s="229"/>
      <c r="M81" s="230"/>
      <c r="N81" s="179">
        <v>7</v>
      </c>
    </row>
    <row r="82" spans="2:14" ht="38.25" customHeight="1" x14ac:dyDescent="0.35">
      <c r="B82" s="214"/>
      <c r="C82" s="233" t="s">
        <v>388</v>
      </c>
      <c r="D82" s="234">
        <f>SUM(D76:D81)</f>
        <v>283576.5</v>
      </c>
      <c r="E82" s="234">
        <f>SUM(E76:E81)</f>
        <v>189047.66999999998</v>
      </c>
      <c r="F82" s="234">
        <f>SUM(F76:F81)</f>
        <v>0</v>
      </c>
      <c r="G82" s="234">
        <f>SUM(G76:G81)</f>
        <v>472624.17</v>
      </c>
      <c r="H82" s="204">
        <f>(H76*G76)+(H77*G77)+(H78*G78)+(H79*G79)+(H80*G80)+(H81*G81)</f>
        <v>96067.9</v>
      </c>
      <c r="I82" s="204">
        <f>SUM(I76:I81)</f>
        <v>247876</v>
      </c>
      <c r="J82" s="204">
        <f>SUM(J76:J81)</f>
        <v>189047.66999999998</v>
      </c>
      <c r="K82" s="204">
        <f t="shared" ref="K82" si="31">SUM(K76:K81)</f>
        <v>436923.67</v>
      </c>
      <c r="L82" s="205"/>
      <c r="M82" s="235"/>
      <c r="N82" s="181"/>
    </row>
    <row r="83" spans="2:14" ht="15.75" customHeight="1" x14ac:dyDescent="0.35">
      <c r="B83" s="214"/>
      <c r="C83" s="210"/>
      <c r="D83" s="215"/>
      <c r="E83" s="215"/>
      <c r="F83" s="215"/>
      <c r="G83" s="215"/>
      <c r="H83" s="215"/>
      <c r="I83" s="254"/>
      <c r="J83" s="215"/>
      <c r="K83" s="215"/>
      <c r="L83" s="216"/>
      <c r="M83" s="210"/>
      <c r="N83" s="169"/>
    </row>
    <row r="84" spans="2:14" ht="15.75" customHeight="1" x14ac:dyDescent="0.35">
      <c r="B84" s="4"/>
      <c r="C84" s="142"/>
      <c r="D84" s="143"/>
      <c r="E84" s="143"/>
      <c r="F84" s="143"/>
      <c r="G84" s="143"/>
      <c r="H84" s="143"/>
      <c r="I84" s="145"/>
      <c r="J84" s="143"/>
      <c r="K84" s="143"/>
      <c r="L84" s="144"/>
      <c r="M84" s="142"/>
      <c r="N84" s="169"/>
    </row>
    <row r="85" spans="2:14" ht="15.75" customHeight="1" x14ac:dyDescent="0.35">
      <c r="B85" s="4"/>
      <c r="C85" s="142"/>
      <c r="D85" s="143"/>
      <c r="E85" s="143"/>
      <c r="F85" s="143"/>
      <c r="G85" s="143"/>
      <c r="H85" s="143"/>
      <c r="I85" s="145"/>
      <c r="J85" s="143"/>
      <c r="K85" s="143"/>
      <c r="L85" s="144"/>
      <c r="M85" s="142"/>
      <c r="N85" s="169"/>
    </row>
    <row r="86" spans="2:14" ht="15.75" customHeight="1" x14ac:dyDescent="0.35">
      <c r="B86" s="4"/>
      <c r="C86" s="142"/>
      <c r="D86" s="143"/>
      <c r="E86" s="143"/>
      <c r="F86" s="143"/>
      <c r="G86" s="143"/>
      <c r="H86" s="143"/>
      <c r="I86" s="145"/>
      <c r="J86" s="143"/>
      <c r="K86" s="143"/>
      <c r="L86" s="144"/>
      <c r="M86" s="142"/>
      <c r="N86" s="169"/>
    </row>
    <row r="87" spans="2:14" ht="15.75" customHeight="1" x14ac:dyDescent="0.35">
      <c r="B87" s="4"/>
      <c r="C87" s="142"/>
      <c r="D87" s="143"/>
      <c r="E87" s="143"/>
      <c r="F87" s="143"/>
      <c r="G87" s="143"/>
      <c r="H87" s="143"/>
      <c r="I87" s="145"/>
      <c r="J87" s="143"/>
      <c r="K87" s="143"/>
      <c r="L87" s="144"/>
      <c r="M87" s="142"/>
      <c r="N87" s="169"/>
    </row>
    <row r="88" spans="2:14" ht="15.75" customHeight="1" x14ac:dyDescent="0.35">
      <c r="B88" s="4"/>
      <c r="C88" s="142"/>
      <c r="D88" s="143"/>
      <c r="E88" s="143"/>
      <c r="F88" s="143"/>
      <c r="G88" s="143"/>
      <c r="H88" s="143"/>
      <c r="I88" s="145"/>
      <c r="J88" s="143"/>
      <c r="K88" s="143"/>
      <c r="L88" s="144"/>
      <c r="M88" s="142"/>
      <c r="N88" s="169"/>
    </row>
    <row r="89" spans="2:14" ht="15.75" customHeight="1" thickBot="1" x14ac:dyDescent="0.4">
      <c r="B89" s="4"/>
      <c r="C89" s="142"/>
      <c r="D89" s="143"/>
      <c r="E89" s="143"/>
      <c r="F89" s="143"/>
      <c r="G89" s="143"/>
      <c r="H89" s="143"/>
      <c r="I89" s="145"/>
      <c r="J89" s="143"/>
      <c r="K89" s="143"/>
      <c r="L89" s="144"/>
      <c r="M89" s="142"/>
      <c r="N89" s="169"/>
    </row>
    <row r="90" spans="2:14" ht="15.5" x14ac:dyDescent="0.35">
      <c r="B90" s="4"/>
      <c r="C90" s="275" t="s">
        <v>397</v>
      </c>
      <c r="D90" s="276"/>
      <c r="E90" s="276"/>
      <c r="F90" s="276"/>
      <c r="G90" s="277"/>
      <c r="H90" s="267" t="s">
        <v>566</v>
      </c>
      <c r="I90" s="268"/>
      <c r="J90" s="268"/>
      <c r="K90" s="268"/>
      <c r="L90" s="269"/>
      <c r="M90" s="8"/>
    </row>
    <row r="91" spans="2:14" ht="82.5" customHeight="1" x14ac:dyDescent="0.35">
      <c r="B91" s="4"/>
      <c r="C91" s="147"/>
      <c r="D91" s="148" t="str">
        <f>D5</f>
        <v>Organisation recipiendiaire 1 (budget en USD)                                       FAO</v>
      </c>
      <c r="E91" s="148" t="str">
        <f t="shared" ref="E91:F91" si="32">E5</f>
        <v>Organisation recipiendiaire 2 (budget en USD)                                        ONU HABITAT</v>
      </c>
      <c r="F91" s="148" t="str">
        <f t="shared" si="32"/>
        <v>Organisation recipiendiaire 3 (budget en USD)</v>
      </c>
      <c r="G91" s="149" t="s">
        <v>11</v>
      </c>
      <c r="H91" s="147"/>
      <c r="I91" s="148" t="str">
        <f>I5</f>
        <v>Niveau de depense/ engagement actuel 
(a remplir au moment des rapports de projet)  FAO</v>
      </c>
      <c r="J91" s="148" t="str">
        <f t="shared" ref="J91:K91" si="33">J5</f>
        <v>Niveau de depense/ engagement actuel 
(a remplir au moment des rapports de projet) ONU HABITAT</v>
      </c>
      <c r="K91" s="148" t="str">
        <f t="shared" si="33"/>
        <v>Total
Expenditure &amp; Commitments
31.05.2024</v>
      </c>
      <c r="L91" s="149" t="s">
        <v>11</v>
      </c>
      <c r="M91" s="8"/>
    </row>
    <row r="92" spans="2:14" ht="41.25" customHeight="1" x14ac:dyDescent="0.35">
      <c r="B92" s="150"/>
      <c r="C92" s="120" t="s">
        <v>389</v>
      </c>
      <c r="D92" s="151">
        <f>SUM(D12,D19,D25,D43,D49,D60,D67,D72,D76,D77,D78,D79,D80,D81)</f>
        <v>841121.5</v>
      </c>
      <c r="E92" s="151">
        <f>J12+J60+J67+J72+J82</f>
        <v>560747.66999999993</v>
      </c>
      <c r="F92" s="151">
        <f t="shared" ref="F92" si="34">SUM(F12,F19,F25,F43,F49,F60,F67,F72,F76,F77,F78,F79,F80,F81)</f>
        <v>0</v>
      </c>
      <c r="G92" s="183">
        <f>SUM(D92:F92)</f>
        <v>1401869.17</v>
      </c>
      <c r="H92" s="120" t="s">
        <v>389</v>
      </c>
      <c r="I92" s="244">
        <f>SUM(I12,I19,I25,I43,I49,I60,I67,I72,I76,I77,I78,I79,I80,I81)</f>
        <v>781534</v>
      </c>
      <c r="J92" s="151">
        <f>SUM(J12,J19,J25,J43,J49,J60,J67,J72,J76,J77,J78,J79,J80,J81)</f>
        <v>560747.66999999993</v>
      </c>
      <c r="K92" s="151">
        <f>+I92+J92</f>
        <v>1342281.67</v>
      </c>
      <c r="L92" s="183"/>
      <c r="M92" s="150"/>
    </row>
    <row r="93" spans="2:14" ht="51.75" customHeight="1" x14ac:dyDescent="0.35">
      <c r="B93" s="152"/>
      <c r="C93" s="120" t="s">
        <v>390</v>
      </c>
      <c r="D93" s="151">
        <f>D92*0.07</f>
        <v>58878.505000000005</v>
      </c>
      <c r="E93" s="151">
        <f>E92*0.07</f>
        <v>39252.336900000002</v>
      </c>
      <c r="F93" s="151">
        <f>F92*0.07</f>
        <v>0</v>
      </c>
      <c r="G93" s="183">
        <f>G92*0.07</f>
        <v>98130.841899999999</v>
      </c>
      <c r="H93" s="120" t="s">
        <v>390</v>
      </c>
      <c r="I93" s="260">
        <v>46712</v>
      </c>
      <c r="J93" s="151">
        <f>J92*7%</f>
        <v>39252.336900000002</v>
      </c>
      <c r="K93" s="151">
        <f>I93+J93</f>
        <v>85964.336899999995</v>
      </c>
      <c r="L93" s="183"/>
      <c r="M93" s="153"/>
    </row>
    <row r="94" spans="2:14" ht="51.75" customHeight="1" thickBot="1" x14ac:dyDescent="0.4">
      <c r="B94" s="152"/>
      <c r="C94" s="6" t="s">
        <v>11</v>
      </c>
      <c r="D94" s="185">
        <f>SUM(D92:D93)</f>
        <v>900000.005</v>
      </c>
      <c r="E94" s="185">
        <f>SUM(E92:E93)</f>
        <v>600000.00689999992</v>
      </c>
      <c r="F94" s="154">
        <f>SUM(F92:F93)</f>
        <v>0</v>
      </c>
      <c r="G94" s="182">
        <f>SUM(G92:G93)</f>
        <v>1500000.0118999998</v>
      </c>
      <c r="H94" s="6" t="s">
        <v>11</v>
      </c>
      <c r="I94" s="185">
        <f>SUM(I92:I93)</f>
        <v>828246</v>
      </c>
      <c r="J94" s="185">
        <f>SUM(J92:J93)</f>
        <v>600000.00689999992</v>
      </c>
      <c r="K94" s="154">
        <f>SUM(K92:K93)</f>
        <v>1428246.0068999999</v>
      </c>
      <c r="L94" s="182"/>
      <c r="M94" s="153"/>
    </row>
    <row r="95" spans="2:14" ht="42" customHeight="1" x14ac:dyDescent="0.35">
      <c r="B95" s="152"/>
      <c r="D95" s="172"/>
      <c r="I95" s="256">
        <f>+I94/D94</f>
        <v>0.92027332822070373</v>
      </c>
      <c r="J95" s="247">
        <f t="shared" ref="J95" si="35">+J94/E94</f>
        <v>1</v>
      </c>
      <c r="K95" s="247">
        <f>+K94/G94</f>
        <v>0.95216399704616572</v>
      </c>
      <c r="M95" s="2"/>
      <c r="N95" s="170"/>
    </row>
    <row r="96" spans="2:14" s="25" customFormat="1" ht="29.25" customHeight="1" thickBot="1" x14ac:dyDescent="0.4">
      <c r="B96" s="142"/>
      <c r="C96" s="4"/>
      <c r="D96" s="20"/>
      <c r="E96" s="20"/>
      <c r="F96" s="20"/>
      <c r="G96" s="20"/>
      <c r="H96" s="20"/>
      <c r="I96" s="156"/>
      <c r="J96" s="156"/>
      <c r="K96" s="156"/>
      <c r="L96" s="157"/>
      <c r="M96" s="8"/>
      <c r="N96" s="171"/>
    </row>
    <row r="97" spans="2:14" ht="23.25" customHeight="1" x14ac:dyDescent="0.35">
      <c r="B97" s="153"/>
      <c r="C97" s="278" t="s">
        <v>391</v>
      </c>
      <c r="D97" s="279"/>
      <c r="E97" s="280"/>
      <c r="F97" s="280"/>
      <c r="G97" s="280"/>
      <c r="H97" s="281"/>
      <c r="I97" s="158"/>
      <c r="J97" s="158"/>
      <c r="K97" s="158"/>
      <c r="L97" s="141"/>
      <c r="M97" s="153"/>
    </row>
    <row r="98" spans="2:14" ht="51.75" customHeight="1" x14ac:dyDescent="0.35">
      <c r="B98" s="153"/>
      <c r="C98" s="17"/>
      <c r="D98" s="148" t="str">
        <f>D5</f>
        <v>Organisation recipiendiaire 1 (budget en USD)                                       FAO</v>
      </c>
      <c r="E98" s="148" t="str">
        <f t="shared" ref="E98:F98" si="36">E5</f>
        <v>Organisation recipiendiaire 2 (budget en USD)                                        ONU HABITAT</v>
      </c>
      <c r="F98" s="148" t="str">
        <f t="shared" si="36"/>
        <v>Organisation recipiendiaire 3 (budget en USD)</v>
      </c>
      <c r="G98" s="126" t="s">
        <v>11</v>
      </c>
      <c r="H98" s="127" t="s">
        <v>9</v>
      </c>
      <c r="I98" s="158"/>
      <c r="J98" s="158"/>
      <c r="K98" s="158"/>
      <c r="L98" s="141"/>
      <c r="M98" s="153"/>
    </row>
    <row r="99" spans="2:14" ht="55.5" customHeight="1" x14ac:dyDescent="0.35">
      <c r="B99" s="153"/>
      <c r="C99" s="16" t="s">
        <v>392</v>
      </c>
      <c r="D99" s="159">
        <f>$D$94*H99</f>
        <v>630000.00349999999</v>
      </c>
      <c r="E99" s="160">
        <f>$E$94*H99</f>
        <v>420000.00482999993</v>
      </c>
      <c r="F99" s="160">
        <f>$F$94*H99</f>
        <v>0</v>
      </c>
      <c r="G99" s="160">
        <f>SUM(D99:F99)</f>
        <v>1050000.0083299999</v>
      </c>
      <c r="H99" s="90">
        <v>0.7</v>
      </c>
      <c r="I99" s="145"/>
      <c r="J99" s="145"/>
      <c r="K99" s="145"/>
      <c r="L99" s="146"/>
      <c r="M99" s="153"/>
    </row>
    <row r="100" spans="2:14" ht="57.75" customHeight="1" x14ac:dyDescent="0.35">
      <c r="B100" s="270"/>
      <c r="C100" s="85" t="s">
        <v>393</v>
      </c>
      <c r="D100" s="159">
        <f>$D$94*H100</f>
        <v>270000.00150000001</v>
      </c>
      <c r="E100" s="160">
        <f>$E$94*H100</f>
        <v>180000.00206999996</v>
      </c>
      <c r="F100" s="160">
        <f>$F$94*H100</f>
        <v>0</v>
      </c>
      <c r="G100" s="161">
        <f>SUM(D100:F100)</f>
        <v>450000.00356999994</v>
      </c>
      <c r="H100" s="91">
        <v>0.3</v>
      </c>
      <c r="I100" s="145"/>
      <c r="J100" s="145"/>
      <c r="K100" s="145"/>
      <c r="L100" s="146"/>
    </row>
    <row r="101" spans="2:14" ht="57.75" customHeight="1" x14ac:dyDescent="0.35">
      <c r="B101" s="270"/>
      <c r="C101" s="85" t="s">
        <v>394</v>
      </c>
      <c r="D101" s="159">
        <f>$D$94*H101</f>
        <v>0</v>
      </c>
      <c r="E101" s="160">
        <f>$E$94*H101</f>
        <v>0</v>
      </c>
      <c r="F101" s="160">
        <f>$F$94*H101</f>
        <v>0</v>
      </c>
      <c r="G101" s="161">
        <f>SUM(D101:F101)</f>
        <v>0</v>
      </c>
      <c r="H101" s="92">
        <v>0</v>
      </c>
      <c r="I101" s="162"/>
      <c r="J101" s="162"/>
      <c r="K101" s="162"/>
      <c r="L101" s="163"/>
    </row>
    <row r="102" spans="2:14" ht="38.25" customHeight="1" thickBot="1" x14ac:dyDescent="0.4">
      <c r="B102" s="270"/>
      <c r="C102" s="6" t="s">
        <v>11</v>
      </c>
      <c r="D102" s="185">
        <f>SUM(D99:D101)</f>
        <v>900000.005</v>
      </c>
      <c r="E102" s="185">
        <f>SUM(E99:E101)</f>
        <v>600000.00689999992</v>
      </c>
      <c r="F102" s="185">
        <f>SUM(F99:F101)</f>
        <v>0</v>
      </c>
      <c r="G102" s="185">
        <f>SUM(G99:G101)</f>
        <v>1500000.0118999998</v>
      </c>
      <c r="H102" s="76">
        <f>SUM(H99:H101)</f>
        <v>1</v>
      </c>
      <c r="I102" s="164"/>
      <c r="J102" s="164"/>
      <c r="K102" s="164"/>
      <c r="L102" s="140"/>
    </row>
    <row r="103" spans="2:14" ht="21.75" customHeight="1" thickBot="1" x14ac:dyDescent="0.4">
      <c r="B103" s="270"/>
      <c r="C103" s="1"/>
      <c r="D103" s="5"/>
      <c r="E103" s="5"/>
      <c r="F103" s="5"/>
      <c r="G103" s="5"/>
      <c r="H103" s="5"/>
      <c r="I103" s="157"/>
      <c r="J103" s="157"/>
      <c r="K103" s="157"/>
      <c r="L103" s="157"/>
    </row>
    <row r="104" spans="2:14" ht="49.5" customHeight="1" x14ac:dyDescent="0.35">
      <c r="B104" s="270"/>
      <c r="C104" s="77" t="s">
        <v>435</v>
      </c>
      <c r="D104" s="78">
        <f>SUM(H12,H19,H25,H43,H49,H60,H67,H72,H82)*1.07</f>
        <v>444510.31399999995</v>
      </c>
      <c r="E104" s="20"/>
      <c r="F104" s="20"/>
      <c r="G104" s="20"/>
      <c r="H104" s="244" t="s">
        <v>437</v>
      </c>
      <c r="I104" s="257">
        <f>SUM(I93,I82,I72,I67,I60,I49,I43,I25,I19,I12)</f>
        <v>828245.99999999988</v>
      </c>
      <c r="J104" s="257">
        <f>SUM(J93,J82,J72,J67,J60,J49,J43,J25,J19,J12)</f>
        <v>600000.00689999992</v>
      </c>
      <c r="K104" s="257">
        <f>SUM(K93,K82,K72,K67,K60,K49,K43,K25,K19,K12)</f>
        <v>1428246.0068999999</v>
      </c>
      <c r="L104" s="165"/>
    </row>
    <row r="105" spans="2:14" ht="28.5" customHeight="1" x14ac:dyDescent="0.35">
      <c r="B105" s="270"/>
      <c r="C105" s="79" t="s">
        <v>395</v>
      </c>
      <c r="D105" s="119">
        <f>D104/G94</f>
        <v>0.29634020698236768</v>
      </c>
      <c r="E105" s="28"/>
      <c r="F105" s="28"/>
      <c r="G105" s="28"/>
      <c r="H105" s="245" t="s">
        <v>438</v>
      </c>
      <c r="I105" s="258">
        <f>I104/D102</f>
        <v>0.92027332822070362</v>
      </c>
      <c r="J105" s="246">
        <f>J104/E102</f>
        <v>1</v>
      </c>
      <c r="K105" s="246">
        <f>+K104/G102</f>
        <v>0.95216399704616572</v>
      </c>
      <c r="L105" s="131"/>
    </row>
    <row r="106" spans="2:14" ht="28.5" customHeight="1" x14ac:dyDescent="0.35">
      <c r="B106" s="270"/>
      <c r="C106" s="271"/>
      <c r="D106" s="272"/>
      <c r="E106" s="29"/>
      <c r="F106" s="29"/>
      <c r="G106" s="29"/>
    </row>
    <row r="107" spans="2:14" ht="28.5" customHeight="1" x14ac:dyDescent="0.35">
      <c r="B107" s="270"/>
      <c r="C107" s="79" t="s">
        <v>436</v>
      </c>
      <c r="D107" s="80">
        <f>SUM(D79:F81)*1.07</f>
        <v>147662.14000000001</v>
      </c>
      <c r="E107" s="30"/>
      <c r="F107" s="30"/>
      <c r="G107" s="30"/>
    </row>
    <row r="108" spans="2:14" ht="23.25" customHeight="1" x14ac:dyDescent="0.35">
      <c r="B108" s="270"/>
      <c r="C108" s="79" t="s">
        <v>396</v>
      </c>
      <c r="D108" s="119">
        <f>D107/G94</f>
        <v>9.8441425885698042E-2</v>
      </c>
      <c r="E108" s="30"/>
      <c r="F108" s="30"/>
      <c r="G108" s="30"/>
      <c r="K108" s="155">
        <f>+K104*D105</f>
        <v>423246.7173064861</v>
      </c>
    </row>
    <row r="109" spans="2:14" ht="66.75" customHeight="1" thickBot="1" x14ac:dyDescent="0.4">
      <c r="B109" s="270"/>
      <c r="C109" s="273" t="s">
        <v>427</v>
      </c>
      <c r="D109" s="274"/>
      <c r="E109" s="21"/>
      <c r="F109" s="21"/>
      <c r="G109" s="21"/>
      <c r="I109" s="250"/>
      <c r="J109" s="139"/>
      <c r="K109" s="139"/>
    </row>
    <row r="110" spans="2:14" ht="55.5" customHeight="1" x14ac:dyDescent="0.35">
      <c r="B110" s="270"/>
      <c r="N110" s="168"/>
    </row>
    <row r="111" spans="2:14" ht="42.75" customHeight="1" x14ac:dyDescent="0.35">
      <c r="B111" s="270"/>
    </row>
    <row r="112" spans="2:14" ht="21.75" customHeight="1" x14ac:dyDescent="0.35">
      <c r="B112" s="270"/>
    </row>
    <row r="113" spans="2:2" ht="21.75" customHeight="1" x14ac:dyDescent="0.35">
      <c r="B113" s="270"/>
    </row>
    <row r="114" spans="2:2" ht="23.25" customHeight="1" x14ac:dyDescent="0.35">
      <c r="B114" s="270"/>
    </row>
    <row r="115" spans="2:2" ht="23.25" customHeight="1" x14ac:dyDescent="0.35"/>
    <row r="116" spans="2:2" ht="21.75" customHeight="1" x14ac:dyDescent="0.35"/>
    <row r="117" spans="2:2" ht="16.5" customHeight="1" x14ac:dyDescent="0.35"/>
    <row r="118" spans="2:2" ht="29.25" customHeight="1" x14ac:dyDescent="0.35"/>
    <row r="119" spans="2:2" ht="24.75" customHeight="1" x14ac:dyDescent="0.35"/>
    <row r="120" spans="2:2" ht="33" customHeight="1" x14ac:dyDescent="0.35"/>
    <row r="122" spans="2:2" ht="15" customHeight="1" x14ac:dyDescent="0.35"/>
    <row r="123" spans="2:2" ht="25.5" customHeight="1" x14ac:dyDescent="0.35"/>
    <row r="174" spans="1:1" x14ac:dyDescent="0.35">
      <c r="A174" s="24" t="s">
        <v>434</v>
      </c>
    </row>
  </sheetData>
  <sheetProtection formatCells="0" formatColumns="0" formatRows="0"/>
  <mergeCells count="50">
    <mergeCell ref="B2:E2"/>
    <mergeCell ref="B3:H3"/>
    <mergeCell ref="C6:M6"/>
    <mergeCell ref="C7:M7"/>
    <mergeCell ref="C13:M13"/>
    <mergeCell ref="M8:M9"/>
    <mergeCell ref="M10:M11"/>
    <mergeCell ref="B17:B18"/>
    <mergeCell ref="B8:B9"/>
    <mergeCell ref="B10:B11"/>
    <mergeCell ref="L8:L9"/>
    <mergeCell ref="L10:L11"/>
    <mergeCell ref="C20:M20"/>
    <mergeCell ref="C27:M27"/>
    <mergeCell ref="C61:M61"/>
    <mergeCell ref="B29:B30"/>
    <mergeCell ref="B31:B36"/>
    <mergeCell ref="B37:B39"/>
    <mergeCell ref="C52:M52"/>
    <mergeCell ref="C28:M28"/>
    <mergeCell ref="L55:L56"/>
    <mergeCell ref="M55:M56"/>
    <mergeCell ref="L57:L58"/>
    <mergeCell ref="M57:M58"/>
    <mergeCell ref="M53:M54"/>
    <mergeCell ref="B41:B42"/>
    <mergeCell ref="C44:M44"/>
    <mergeCell ref="B47:B48"/>
    <mergeCell ref="B79:B80"/>
    <mergeCell ref="B69:B70"/>
    <mergeCell ref="L53:L54"/>
    <mergeCell ref="C68:M68"/>
    <mergeCell ref="C51:M51"/>
    <mergeCell ref="B53:B54"/>
    <mergeCell ref="B55:B56"/>
    <mergeCell ref="B57:B58"/>
    <mergeCell ref="B62:B63"/>
    <mergeCell ref="B64:B65"/>
    <mergeCell ref="L69:L70"/>
    <mergeCell ref="M69:M70"/>
    <mergeCell ref="L62:L63"/>
    <mergeCell ref="M62:M63"/>
    <mergeCell ref="L64:L66"/>
    <mergeCell ref="M64:M65"/>
    <mergeCell ref="H90:L90"/>
    <mergeCell ref="B100:B114"/>
    <mergeCell ref="C106:D106"/>
    <mergeCell ref="C109:D109"/>
    <mergeCell ref="C90:G90"/>
    <mergeCell ref="C97:H97"/>
  </mergeCells>
  <conditionalFormatting sqref="D105">
    <cfRule type="cellIs" dxfId="17" priority="3" operator="lessThan">
      <formula>0.15</formula>
    </cfRule>
  </conditionalFormatting>
  <conditionalFormatting sqref="D108">
    <cfRule type="cellIs" dxfId="16" priority="2" operator="lessThan">
      <formula>0.05</formula>
    </cfRule>
  </conditionalFormatting>
  <conditionalFormatting sqref="H102:L102">
    <cfRule type="cellIs" dxfId="15" priority="1" operator="greaterThan">
      <formula>1</formula>
    </cfRule>
  </conditionalFormatting>
  <dataValidations count="6">
    <dataValidation allowBlank="1" showInputMessage="1" showErrorMessage="1" prompt="% Towards Gender Equality and Women's Empowerment Must be Higher than 15%_x000a_" sqref="F105:G105" xr:uid="{00000000-0002-0000-0100-000000000000}"/>
    <dataValidation allowBlank="1" showInputMessage="1" showErrorMessage="1" prompt="M&amp;E Budget Cannot be Less than 5%_x000a_" sqref="E108:G108" xr:uid="{00000000-0002-0000-0100-000001000000}"/>
    <dataValidation allowBlank="1" showInputMessage="1" showErrorMessage="1" prompt="Insert *text* description of Outcome here" sqref="C6:M6 C27:M27 C51:M51" xr:uid="{00000000-0002-0000-0100-000002000000}"/>
    <dataValidation allowBlank="1" showInputMessage="1" showErrorMessage="1" prompt="Insert *text* description of Output here" sqref="C7 C13 C20 C28 C44 C52 C61 C68:C69" xr:uid="{00000000-0002-0000-0100-000003000000}"/>
    <dataValidation allowBlank="1" showInputMessage="1" showErrorMessage="1" prompt="Insert *text* description of Activity here" sqref="C8:C10 C21 C14:C18 C45 C53:C55 C62:C64 C69 C29:C32" xr:uid="{00000000-0002-0000-0100-000004000000}"/>
    <dataValidation allowBlank="1" showErrorMessage="1" prompt="% Towards Gender Equality and Women's Empowerment Must be Higher than 15%_x000a_" sqref="D107:G107 D105" xr:uid="{00000000-0002-0000-0100-000005000000}"/>
  </dataValidations>
  <pageMargins left="0.7" right="0.7" top="0.75" bottom="0.75" header="0.3" footer="0.3"/>
  <pageSetup scale="74" orientation="landscape" r:id="rId1"/>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158"/>
  <sheetViews>
    <sheetView showGridLines="0" showZeros="0" zoomScale="80" zoomScaleNormal="80" workbookViewId="0">
      <pane ySplit="4" topLeftCell="A109" activePane="bottomLeft" state="frozen"/>
      <selection pane="bottomLeft" activeCell="J117" sqref="J117"/>
    </sheetView>
  </sheetViews>
  <sheetFormatPr baseColWidth="10" defaultColWidth="9.1796875" defaultRowHeight="15.5" x14ac:dyDescent="0.35"/>
  <cols>
    <col min="1" max="1" width="4.453125" style="34" customWidth="1"/>
    <col min="2" max="2" width="3.1796875" style="34" customWidth="1"/>
    <col min="3" max="3" width="51.453125" style="34" customWidth="1"/>
    <col min="4" max="4" width="34.1796875" style="35" customWidth="1"/>
    <col min="5" max="5" width="35" style="35" customWidth="1"/>
    <col min="6" max="6" width="34" style="35" customWidth="1"/>
    <col min="7" max="7" width="25.81640625" style="34" customWidth="1"/>
    <col min="8" max="8" width="21.453125" style="34" customWidth="1"/>
    <col min="9" max="9" width="16.81640625" style="34" customWidth="1"/>
    <col min="10" max="10" width="19.453125" style="34" customWidth="1"/>
    <col min="11" max="11" width="19" style="34" customWidth="1"/>
    <col min="12" max="12" width="26" style="34" customWidth="1"/>
    <col min="13" max="13" width="21.1796875" style="34" customWidth="1"/>
    <col min="14" max="14" width="7" style="34" customWidth="1"/>
    <col min="15" max="15" width="24.1796875" style="34" customWidth="1"/>
    <col min="16" max="16" width="26.453125" style="34" customWidth="1"/>
    <col min="17" max="17" width="30.1796875" style="34" customWidth="1"/>
    <col min="18" max="18" width="33" style="34" customWidth="1"/>
    <col min="19" max="20" width="22.81640625" style="34" customWidth="1"/>
    <col min="21" max="21" width="23.453125" style="34" customWidth="1"/>
    <col min="22" max="22" width="32.1796875" style="34" customWidth="1"/>
    <col min="23" max="23" width="9.1796875" style="34"/>
    <col min="24" max="24" width="17.81640625" style="34" customWidth="1"/>
    <col min="25" max="25" width="26.453125" style="34" customWidth="1"/>
    <col min="26" max="26" width="22.453125" style="34" customWidth="1"/>
    <col min="27" max="27" width="29.81640625" style="34" customWidth="1"/>
    <col min="28" max="28" width="23.453125" style="34" customWidth="1"/>
    <col min="29" max="29" width="18.453125" style="34" customWidth="1"/>
    <col min="30" max="30" width="17.453125" style="34" customWidth="1"/>
    <col min="31" max="31" width="25.1796875" style="34" customWidth="1"/>
    <col min="32" max="16384" width="9.1796875" style="34"/>
  </cols>
  <sheetData>
    <row r="1" spans="2:13" ht="33.75" customHeight="1" x14ac:dyDescent="1">
      <c r="C1" s="266" t="s">
        <v>383</v>
      </c>
      <c r="D1" s="266"/>
      <c r="E1" s="266"/>
      <c r="F1" s="266"/>
      <c r="G1" s="22"/>
      <c r="H1" s="23"/>
      <c r="I1" s="23"/>
      <c r="L1" s="11"/>
      <c r="M1" s="3"/>
    </row>
    <row r="2" spans="2:13" ht="25.5" customHeight="1" x14ac:dyDescent="0.45">
      <c r="C2" s="312" t="s">
        <v>428</v>
      </c>
      <c r="D2" s="312"/>
      <c r="E2" s="312"/>
      <c r="F2" s="312"/>
      <c r="L2" s="11"/>
      <c r="M2" s="3"/>
    </row>
    <row r="3" spans="2:13" ht="9.75" customHeight="1" x14ac:dyDescent="0.35">
      <c r="C3" s="31"/>
      <c r="D3" s="31"/>
      <c r="E3" s="31"/>
      <c r="F3" s="31"/>
      <c r="G3" s="34" t="s">
        <v>486</v>
      </c>
      <c r="L3" s="11"/>
      <c r="M3" s="3"/>
    </row>
    <row r="4" spans="2:13" ht="49" customHeight="1" x14ac:dyDescent="0.35">
      <c r="C4" s="31"/>
      <c r="D4" s="132" t="str">
        <f>'1) Tableau budgétaire 1 '!D5</f>
        <v>Organisation recipiendiaire 1 (budget en USD)                                       FAO</v>
      </c>
      <c r="E4" s="132" t="str">
        <f>'1) Tableau budgétaire 1 '!E5</f>
        <v>Organisation recipiendiaire 2 (budget en USD)                                        ONU HABITAT</v>
      </c>
      <c r="F4" s="132" t="str">
        <f>'1) Tableau budgétaire 1 '!F5</f>
        <v>Organisation recipiendiaire 3 (budget en USD)</v>
      </c>
      <c r="G4" s="126" t="s">
        <v>11</v>
      </c>
      <c r="L4" s="11"/>
      <c r="M4" s="3"/>
    </row>
    <row r="5" spans="2:13" ht="24" customHeight="1" x14ac:dyDescent="0.35">
      <c r="B5" s="313" t="s">
        <v>398</v>
      </c>
      <c r="C5" s="314"/>
      <c r="D5" s="314"/>
      <c r="E5" s="314"/>
      <c r="F5" s="314"/>
      <c r="G5" s="315"/>
      <c r="L5" s="11"/>
      <c r="M5" s="3"/>
    </row>
    <row r="6" spans="2:13" ht="22.5" customHeight="1" x14ac:dyDescent="0.35">
      <c r="C6" s="313" t="s">
        <v>399</v>
      </c>
      <c r="D6" s="314"/>
      <c r="E6" s="314"/>
      <c r="F6" s="314"/>
      <c r="G6" s="315"/>
      <c r="L6" s="11"/>
      <c r="M6" s="3"/>
    </row>
    <row r="7" spans="2:13" ht="24.75" customHeight="1" thickBot="1" x14ac:dyDescent="0.4">
      <c r="C7" s="44" t="s">
        <v>400</v>
      </c>
      <c r="D7" s="45">
        <f>'1) Tableau budgétaire 1 '!D12</f>
        <v>0</v>
      </c>
      <c r="E7" s="45">
        <f>'1) Tableau budgétaire 1 '!E12</f>
        <v>115000</v>
      </c>
      <c r="F7" s="45">
        <f>'1) Tableau budgétaire 1 '!F12</f>
        <v>0</v>
      </c>
      <c r="G7" s="46">
        <f>SUM(D7:F7)</f>
        <v>115000</v>
      </c>
      <c r="L7" s="11"/>
      <c r="M7" s="3"/>
    </row>
    <row r="8" spans="2:13" ht="21.75" customHeight="1" x14ac:dyDescent="0.35">
      <c r="C8" s="42" t="s">
        <v>401</v>
      </c>
      <c r="D8" s="73"/>
      <c r="E8" s="238">
        <v>17500</v>
      </c>
      <c r="F8" s="74"/>
      <c r="G8" s="43">
        <f t="shared" ref="G8:G15" si="0">SUM(D8:F8)</f>
        <v>17500</v>
      </c>
    </row>
    <row r="9" spans="2:13" x14ac:dyDescent="0.35">
      <c r="C9" s="32" t="s">
        <v>402</v>
      </c>
      <c r="D9" s="75"/>
      <c r="E9" s="239">
        <v>3500</v>
      </c>
      <c r="F9" s="9"/>
      <c r="G9" s="41">
        <f t="shared" si="0"/>
        <v>3500</v>
      </c>
    </row>
    <row r="10" spans="2:13" ht="15.75" customHeight="1" x14ac:dyDescent="0.35">
      <c r="C10" s="32" t="s">
        <v>403</v>
      </c>
      <c r="D10" s="75"/>
      <c r="E10" s="166"/>
      <c r="F10" s="75"/>
      <c r="G10" s="41">
        <f t="shared" si="0"/>
        <v>0</v>
      </c>
    </row>
    <row r="11" spans="2:13" x14ac:dyDescent="0.35">
      <c r="C11" s="33" t="s">
        <v>404</v>
      </c>
      <c r="D11" s="75"/>
      <c r="E11" s="166">
        <f>10000</f>
        <v>10000</v>
      </c>
      <c r="F11" s="75"/>
      <c r="G11" s="41">
        <f t="shared" si="0"/>
        <v>10000</v>
      </c>
    </row>
    <row r="12" spans="2:13" x14ac:dyDescent="0.35">
      <c r="C12" s="32" t="s">
        <v>405</v>
      </c>
      <c r="D12" s="75"/>
      <c r="E12" s="166">
        <v>10500</v>
      </c>
      <c r="F12" s="75"/>
      <c r="G12" s="41">
        <f t="shared" si="0"/>
        <v>10500</v>
      </c>
    </row>
    <row r="13" spans="2:13" ht="21.75" customHeight="1" x14ac:dyDescent="0.35">
      <c r="C13" s="32" t="s">
        <v>406</v>
      </c>
      <c r="D13" s="75"/>
      <c r="E13" s="191">
        <v>65000</v>
      </c>
      <c r="F13" s="75"/>
      <c r="G13" s="41">
        <f t="shared" si="0"/>
        <v>65000</v>
      </c>
    </row>
    <row r="14" spans="2:13" ht="36.75" customHeight="1" x14ac:dyDescent="0.35">
      <c r="C14" s="32" t="s">
        <v>407</v>
      </c>
      <c r="D14" s="75"/>
      <c r="E14" s="166">
        <v>8500</v>
      </c>
      <c r="F14" s="75"/>
      <c r="G14" s="41">
        <f t="shared" si="0"/>
        <v>8500</v>
      </c>
    </row>
    <row r="15" spans="2:13" ht="15.75" customHeight="1" x14ac:dyDescent="0.35">
      <c r="C15" s="36" t="s">
        <v>14</v>
      </c>
      <c r="D15" s="47">
        <f>SUM(D8:D14)</f>
        <v>0</v>
      </c>
      <c r="E15" s="47">
        <f>SUM(E8:E14)</f>
        <v>115000</v>
      </c>
      <c r="F15" s="47">
        <f>SUM(F8:F14)</f>
        <v>0</v>
      </c>
      <c r="G15" s="86">
        <f t="shared" si="0"/>
        <v>115000</v>
      </c>
    </row>
    <row r="16" spans="2:13" s="35" customFormat="1" x14ac:dyDescent="0.35">
      <c r="C16" s="48"/>
      <c r="D16" s="49"/>
      <c r="E16" s="49"/>
      <c r="F16" s="49"/>
      <c r="G16" s="87"/>
    </row>
    <row r="17" spans="3:7" x14ac:dyDescent="0.35">
      <c r="C17" s="313" t="s">
        <v>408</v>
      </c>
      <c r="D17" s="314"/>
      <c r="E17" s="314"/>
      <c r="F17" s="314"/>
      <c r="G17" s="315"/>
    </row>
    <row r="18" spans="3:7" ht="27" customHeight="1" thickBot="1" x14ac:dyDescent="0.4">
      <c r="C18" s="44" t="s">
        <v>409</v>
      </c>
      <c r="D18" s="45">
        <f>'1) Tableau budgétaire 1 '!D19</f>
        <v>96500</v>
      </c>
      <c r="E18" s="45">
        <f>'1) Tableau budgétaire 1 '!E19</f>
        <v>0</v>
      </c>
      <c r="F18" s="45">
        <f>'1) Tableau budgétaire 1 '!F19</f>
        <v>0</v>
      </c>
      <c r="G18" s="46">
        <f t="shared" ref="G18:G26" si="1">SUM(D18:F18)</f>
        <v>96500</v>
      </c>
    </row>
    <row r="19" spans="3:7" x14ac:dyDescent="0.35">
      <c r="C19" s="42" t="s">
        <v>401</v>
      </c>
      <c r="D19" s="173">
        <f>+SUMIF('1) Tableau budgétaire 1 '!$N$14:$N$18, LEFT($C19), '1) Tableau budgétaire 1 '!$D$14:$D$18)</f>
        <v>0</v>
      </c>
      <c r="E19" s="74"/>
      <c r="F19" s="74"/>
      <c r="G19" s="43">
        <f t="shared" si="1"/>
        <v>0</v>
      </c>
    </row>
    <row r="20" spans="3:7" x14ac:dyDescent="0.35">
      <c r="C20" s="32" t="s">
        <v>402</v>
      </c>
      <c r="D20" s="173">
        <f>+SUMIF('1) Tableau budgétaire 1 '!$N$14:$N$18, LEFT($C20), '1) Tableau budgétaire 1 '!$D$14:$D$18)</f>
        <v>0</v>
      </c>
      <c r="E20" s="9"/>
      <c r="F20" s="9"/>
      <c r="G20" s="41">
        <f t="shared" si="1"/>
        <v>0</v>
      </c>
    </row>
    <row r="21" spans="3:7" ht="31" x14ac:dyDescent="0.35">
      <c r="C21" s="32" t="s">
        <v>403</v>
      </c>
      <c r="D21" s="173">
        <f>+SUMIF('1) Tableau budgétaire 1 '!$N$14:$N$18, LEFT($C21), '1) Tableau budgétaire 1 '!$D$14:$D$18)</f>
        <v>0</v>
      </c>
      <c r="E21" s="75"/>
      <c r="F21" s="75"/>
      <c r="G21" s="41">
        <f t="shared" si="1"/>
        <v>0</v>
      </c>
    </row>
    <row r="22" spans="3:7" x14ac:dyDescent="0.35">
      <c r="C22" s="33" t="s">
        <v>404</v>
      </c>
      <c r="D22" s="173">
        <f>+SUMIF('1) Tableau budgétaire 1 '!$N$14:$N$18, LEFT($C22), '1) Tableau budgétaire 1 '!$D$14:$D$18)</f>
        <v>0</v>
      </c>
      <c r="E22" s="75"/>
      <c r="F22" s="75"/>
      <c r="G22" s="41">
        <f t="shared" si="1"/>
        <v>0</v>
      </c>
    </row>
    <row r="23" spans="3:7" x14ac:dyDescent="0.35">
      <c r="C23" s="32" t="s">
        <v>405</v>
      </c>
      <c r="D23" s="173">
        <f>+SUMIF('1) Tableau budgétaire 1 '!$N$14:$N$18, LEFT($C23), '1) Tableau budgétaire 1 '!$D$14:$D$18)</f>
        <v>0</v>
      </c>
      <c r="E23" s="75"/>
      <c r="F23" s="75"/>
      <c r="G23" s="41">
        <f t="shared" si="1"/>
        <v>0</v>
      </c>
    </row>
    <row r="24" spans="3:7" x14ac:dyDescent="0.35">
      <c r="C24" s="32" t="s">
        <v>406</v>
      </c>
      <c r="D24" s="173">
        <f>+SUMIF('1) Tableau budgétaire 1 '!$N$14:$N$18, LEFT($C24), '1) Tableau budgétaire 1 '!$D$14:$D$18)</f>
        <v>96500</v>
      </c>
      <c r="E24" s="75"/>
      <c r="F24" s="75"/>
      <c r="G24" s="41">
        <f t="shared" si="1"/>
        <v>96500</v>
      </c>
    </row>
    <row r="25" spans="3:7" ht="31" x14ac:dyDescent="0.35">
      <c r="C25" s="32" t="s">
        <v>407</v>
      </c>
      <c r="D25" s="173">
        <f>+SUMIF('1) Tableau budgétaire 1 '!$N$14:$N$18, LEFT($C25), '1) Tableau budgétaire 1 '!$D$14:$D$18)</f>
        <v>0</v>
      </c>
      <c r="E25" s="75"/>
      <c r="F25" s="75"/>
      <c r="G25" s="41">
        <f t="shared" si="1"/>
        <v>0</v>
      </c>
    </row>
    <row r="26" spans="3:7" x14ac:dyDescent="0.35">
      <c r="C26" s="36" t="s">
        <v>14</v>
      </c>
      <c r="D26" s="47">
        <f>SUM(D19:D25)</f>
        <v>96500</v>
      </c>
      <c r="E26" s="47">
        <f>SUM(E19:E25)</f>
        <v>0</v>
      </c>
      <c r="F26" s="47">
        <f>SUM(F19:F25)</f>
        <v>0</v>
      </c>
      <c r="G26" s="41">
        <f t="shared" si="1"/>
        <v>96500</v>
      </c>
    </row>
    <row r="27" spans="3:7" s="35" customFormat="1" x14ac:dyDescent="0.35">
      <c r="C27" s="48"/>
      <c r="D27" s="49"/>
      <c r="E27" s="49"/>
      <c r="F27" s="49"/>
      <c r="G27" s="50"/>
    </row>
    <row r="28" spans="3:7" x14ac:dyDescent="0.35">
      <c r="C28" s="313" t="s">
        <v>410</v>
      </c>
      <c r="D28" s="314"/>
      <c r="E28" s="314"/>
      <c r="F28" s="314"/>
      <c r="G28" s="315"/>
    </row>
    <row r="29" spans="3:7" ht="21.75" customHeight="1" thickBot="1" x14ac:dyDescent="0.4">
      <c r="C29" s="44" t="s">
        <v>411</v>
      </c>
      <c r="D29" s="45">
        <f>'1) Tableau budgétaire 1 '!D25</f>
        <v>35556</v>
      </c>
      <c r="E29" s="45">
        <f>'1) Tableau budgétaire 1 '!E25</f>
        <v>0</v>
      </c>
      <c r="F29" s="45">
        <f>'1) Tableau budgétaire 1 '!F25</f>
        <v>0</v>
      </c>
      <c r="G29" s="46">
        <f t="shared" ref="G29:G37" si="2">SUM(D29:F29)</f>
        <v>35556</v>
      </c>
    </row>
    <row r="30" spans="3:7" x14ac:dyDescent="0.35">
      <c r="C30" s="42" t="s">
        <v>401</v>
      </c>
      <c r="D30" s="73">
        <f>+SUMIF('1) Tableau budgétaire 1 '!$N$21:$N$24, LEFT($C30), '1) Tableau budgétaire 1 '!$D$21:$D$24)</f>
        <v>0</v>
      </c>
      <c r="E30" s="74"/>
      <c r="F30" s="74"/>
      <c r="G30" s="43">
        <f t="shared" si="2"/>
        <v>0</v>
      </c>
    </row>
    <row r="31" spans="3:7" s="35" customFormat="1" ht="15.75" customHeight="1" x14ac:dyDescent="0.35">
      <c r="C31" s="32" t="s">
        <v>402</v>
      </c>
      <c r="D31" s="73">
        <f>+SUMIF('1) Tableau budgétaire 1 '!$N$21:$N$24, LEFT($C31), '1) Tableau budgétaire 1 '!$D$21:$D$24)</f>
        <v>0</v>
      </c>
      <c r="E31" s="9"/>
      <c r="F31" s="9"/>
      <c r="G31" s="41">
        <f t="shared" si="2"/>
        <v>0</v>
      </c>
    </row>
    <row r="32" spans="3:7" s="35" customFormat="1" ht="31" x14ac:dyDescent="0.35">
      <c r="C32" s="32" t="s">
        <v>403</v>
      </c>
      <c r="D32" s="73">
        <f>+SUMIF('1) Tableau budgétaire 1 '!$N$21:$N$24, LEFT($C32), '1) Tableau budgétaire 1 '!$D$21:$D$24)</f>
        <v>0</v>
      </c>
      <c r="E32" s="75"/>
      <c r="F32" s="75"/>
      <c r="G32" s="41">
        <f t="shared" si="2"/>
        <v>0</v>
      </c>
    </row>
    <row r="33" spans="2:7" s="35" customFormat="1" x14ac:dyDescent="0.35">
      <c r="C33" s="33" t="s">
        <v>404</v>
      </c>
      <c r="D33" s="73">
        <f>+SUMIF('1) Tableau budgétaire 1 '!$N$21:$N$24, LEFT($C33), '1) Tableau budgétaire 1 '!$D$21:$D$24)</f>
        <v>0</v>
      </c>
      <c r="E33" s="75"/>
      <c r="F33" s="75"/>
      <c r="G33" s="41">
        <f t="shared" si="2"/>
        <v>0</v>
      </c>
    </row>
    <row r="34" spans="2:7" x14ac:dyDescent="0.35">
      <c r="C34" s="32" t="s">
        <v>405</v>
      </c>
      <c r="D34" s="73">
        <f>+SUMIF('1) Tableau budgétaire 1 '!$N$21:$N$24, LEFT($C34), '1) Tableau budgétaire 1 '!$D$21:$D$24)</f>
        <v>0</v>
      </c>
      <c r="E34" s="75"/>
      <c r="F34" s="75"/>
      <c r="G34" s="41">
        <f t="shared" si="2"/>
        <v>0</v>
      </c>
    </row>
    <row r="35" spans="2:7" x14ac:dyDescent="0.35">
      <c r="C35" s="32" t="s">
        <v>406</v>
      </c>
      <c r="D35" s="73">
        <f>+SUMIF('1) Tableau budgétaire 1 '!$N$21:$N$24, LEFT($C35), '1) Tableau budgétaire 1 '!$D$21:$D$24)</f>
        <v>35556</v>
      </c>
      <c r="E35" s="75"/>
      <c r="F35" s="75"/>
      <c r="G35" s="41">
        <f t="shared" si="2"/>
        <v>35556</v>
      </c>
    </row>
    <row r="36" spans="2:7" ht="31" x14ac:dyDescent="0.35">
      <c r="C36" s="32" t="s">
        <v>407</v>
      </c>
      <c r="D36" s="73">
        <f>+SUMIF('1) Tableau budgétaire 1 '!$N$21:$N$24, LEFT($C36), '1) Tableau budgétaire 1 '!$D$21:$D$24)</f>
        <v>0</v>
      </c>
      <c r="E36" s="75"/>
      <c r="F36" s="75"/>
      <c r="G36" s="41">
        <f t="shared" si="2"/>
        <v>0</v>
      </c>
    </row>
    <row r="37" spans="2:7" x14ac:dyDescent="0.35">
      <c r="C37" s="94" t="s">
        <v>14</v>
      </c>
      <c r="D37" s="95">
        <f>SUM(D30:D36)</f>
        <v>35556</v>
      </c>
      <c r="E37" s="95">
        <f>SUM(E30:E36)</f>
        <v>0</v>
      </c>
      <c r="F37" s="95">
        <f>SUM(F30:F36)</f>
        <v>0</v>
      </c>
      <c r="G37" s="96">
        <f t="shared" si="2"/>
        <v>35556</v>
      </c>
    </row>
    <row r="38" spans="2:7" x14ac:dyDescent="0.35">
      <c r="C38" s="97"/>
      <c r="D38" s="98"/>
      <c r="E38" s="98"/>
      <c r="F38" s="98"/>
      <c r="G38" s="99"/>
    </row>
    <row r="39" spans="2:7" s="35" customFormat="1" ht="22.5" customHeight="1" x14ac:dyDescent="0.35">
      <c r="C39" s="51"/>
      <c r="D39" s="49"/>
      <c r="E39" s="49"/>
      <c r="F39" s="49"/>
      <c r="G39" s="50"/>
    </row>
    <row r="40" spans="2:7" x14ac:dyDescent="0.35">
      <c r="B40" s="313" t="s">
        <v>412</v>
      </c>
      <c r="C40" s="314"/>
      <c r="D40" s="314"/>
      <c r="E40" s="314"/>
      <c r="F40" s="314"/>
      <c r="G40" s="315"/>
    </row>
    <row r="41" spans="2:7" x14ac:dyDescent="0.35">
      <c r="C41" s="313" t="s">
        <v>373</v>
      </c>
      <c r="D41" s="314"/>
      <c r="E41" s="314"/>
      <c r="F41" s="314"/>
      <c r="G41" s="315"/>
    </row>
    <row r="42" spans="2:7" ht="24" customHeight="1" thickBot="1" x14ac:dyDescent="0.4">
      <c r="C42" s="44" t="s">
        <v>413</v>
      </c>
      <c r="D42" s="45">
        <f>'1) Tableau budgétaire 1 '!D43</f>
        <v>347545</v>
      </c>
      <c r="E42" s="45">
        <f>'1) Tableau budgétaire 1 '!E43</f>
        <v>0</v>
      </c>
      <c r="F42" s="45">
        <f>'1) Tableau budgétaire 1 '!F43</f>
        <v>0</v>
      </c>
      <c r="G42" s="46">
        <f>SUM(D42:F42)</f>
        <v>347545</v>
      </c>
    </row>
    <row r="43" spans="2:7" ht="15.75" customHeight="1" x14ac:dyDescent="0.35">
      <c r="C43" s="42" t="s">
        <v>401</v>
      </c>
      <c r="D43" s="73">
        <f>+SUMIF('1) Tableau budgétaire 1 '!$N$29:$N$42, LEFT($C43), '1) Tableau budgétaire 1 '!$D$29:$D$42)</f>
        <v>0</v>
      </c>
      <c r="E43" s="74"/>
      <c r="F43" s="74"/>
      <c r="G43" s="43">
        <f t="shared" ref="G43:G50" si="3">SUM(D43:F43)</f>
        <v>0</v>
      </c>
    </row>
    <row r="44" spans="2:7" ht="15.75" customHeight="1" x14ac:dyDescent="0.35">
      <c r="C44" s="32" t="s">
        <v>402</v>
      </c>
      <c r="D44" s="73">
        <f>+SUMIF('1) Tableau budgétaire 1 '!$N$29:$N$42, LEFT($C44), '1) Tableau budgétaire 1 '!$D$29:$D$42)</f>
        <v>179820</v>
      </c>
      <c r="E44" s="9"/>
      <c r="F44" s="9"/>
      <c r="G44" s="41">
        <f t="shared" si="3"/>
        <v>179820</v>
      </c>
    </row>
    <row r="45" spans="2:7" ht="15.75" customHeight="1" x14ac:dyDescent="0.35">
      <c r="C45" s="32" t="s">
        <v>403</v>
      </c>
      <c r="D45" s="73">
        <f>+SUMIF('1) Tableau budgétaire 1 '!$N$29:$N$42, LEFT($C45), '1) Tableau budgétaire 1 '!$D$29:$D$42)</f>
        <v>0</v>
      </c>
      <c r="E45" s="75"/>
      <c r="F45" s="75"/>
      <c r="G45" s="41">
        <f t="shared" si="3"/>
        <v>0</v>
      </c>
    </row>
    <row r="46" spans="2:7" ht="18.75" customHeight="1" x14ac:dyDescent="0.35">
      <c r="C46" s="33" t="s">
        <v>404</v>
      </c>
      <c r="D46" s="73">
        <f>+SUMIF('1) Tableau budgétaire 1 '!$N$29:$N$42, LEFT($C46), '1) Tableau budgétaire 1 '!$D$29:$D$42)</f>
        <v>2725</v>
      </c>
      <c r="E46" s="75"/>
      <c r="F46" s="75"/>
      <c r="G46" s="41">
        <f t="shared" si="3"/>
        <v>2725</v>
      </c>
    </row>
    <row r="47" spans="2:7" x14ac:dyDescent="0.35">
      <c r="C47" s="32" t="s">
        <v>405</v>
      </c>
      <c r="D47" s="73">
        <f>+SUMIF('1) Tableau budgétaire 1 '!$N$29:$N$42, LEFT($C47), '1) Tableau budgétaire 1 '!$D$29:$D$42)</f>
        <v>0</v>
      </c>
      <c r="E47" s="75"/>
      <c r="F47" s="75"/>
      <c r="G47" s="41">
        <f t="shared" si="3"/>
        <v>0</v>
      </c>
    </row>
    <row r="48" spans="2:7" s="35" customFormat="1" ht="21.75" customHeight="1" x14ac:dyDescent="0.35">
      <c r="B48" s="34"/>
      <c r="C48" s="32" t="s">
        <v>406</v>
      </c>
      <c r="D48" s="73">
        <f>+SUMIF('1) Tableau budgétaire 1 '!$N$29:$N$42, LEFT($C48), '1) Tableau budgétaire 1 '!$D$29:$D$42)</f>
        <v>165000</v>
      </c>
      <c r="E48" s="75"/>
      <c r="F48" s="75"/>
      <c r="G48" s="41">
        <f t="shared" si="3"/>
        <v>165000</v>
      </c>
    </row>
    <row r="49" spans="2:7" s="35" customFormat="1" ht="31" x14ac:dyDescent="0.35">
      <c r="B49" s="34"/>
      <c r="C49" s="32" t="s">
        <v>407</v>
      </c>
      <c r="D49" s="73">
        <f>+SUMIF('1) Tableau budgétaire 1 '!$N$29:$N$42, LEFT($C49), '1) Tableau budgétaire 1 '!$D$29:$D$42)</f>
        <v>0</v>
      </c>
      <c r="E49" s="75"/>
      <c r="F49" s="75"/>
      <c r="G49" s="41">
        <f t="shared" si="3"/>
        <v>0</v>
      </c>
    </row>
    <row r="50" spans="2:7" x14ac:dyDescent="0.35">
      <c r="C50" s="36" t="s">
        <v>14</v>
      </c>
      <c r="D50" s="47">
        <f>SUM(D43:D49)</f>
        <v>347545</v>
      </c>
      <c r="E50" s="47">
        <f>SUM(E43:E49)</f>
        <v>0</v>
      </c>
      <c r="F50" s="47">
        <f>SUM(F43:F49)</f>
        <v>0</v>
      </c>
      <c r="G50" s="41">
        <f t="shared" si="3"/>
        <v>347545</v>
      </c>
    </row>
    <row r="51" spans="2:7" s="35" customFormat="1" x14ac:dyDescent="0.35">
      <c r="C51" s="48"/>
      <c r="D51" s="49"/>
      <c r="E51" s="49"/>
      <c r="F51" s="49"/>
      <c r="G51" s="50"/>
    </row>
    <row r="52" spans="2:7" x14ac:dyDescent="0.35">
      <c r="B52" s="35"/>
      <c r="C52" s="313" t="s">
        <v>374</v>
      </c>
      <c r="D52" s="314"/>
      <c r="E52" s="314"/>
      <c r="F52" s="314"/>
      <c r="G52" s="315"/>
    </row>
    <row r="53" spans="2:7" ht="21.75" customHeight="1" thickBot="1" x14ac:dyDescent="0.4">
      <c r="C53" s="44" t="s">
        <v>414</v>
      </c>
      <c r="D53" s="45">
        <f>'1) Tableau budgétaire 1 '!D49</f>
        <v>77944</v>
      </c>
      <c r="E53" s="45">
        <f>'1) Tableau budgétaire 1 '!E49</f>
        <v>0</v>
      </c>
      <c r="F53" s="45">
        <f>'1) Tableau budgétaire 1 '!F49</f>
        <v>0</v>
      </c>
      <c r="G53" s="46">
        <f t="shared" ref="G53:G61" si="4">SUM(D53:F53)</f>
        <v>77944</v>
      </c>
    </row>
    <row r="54" spans="2:7" ht="15.75" customHeight="1" x14ac:dyDescent="0.35">
      <c r="C54" s="42" t="s">
        <v>401</v>
      </c>
      <c r="D54" s="73">
        <f>+SUMIF('1) Tableau budgétaire 1 '!$N$45:$N$48, LEFT($C54), '1) Tableau budgétaire 1 '!$D$45:$D$48)</f>
        <v>0</v>
      </c>
      <c r="E54" s="74"/>
      <c r="F54" s="74"/>
      <c r="G54" s="43">
        <f t="shared" si="4"/>
        <v>0</v>
      </c>
    </row>
    <row r="55" spans="2:7" ht="15.75" customHeight="1" x14ac:dyDescent="0.35">
      <c r="C55" s="32" t="s">
        <v>402</v>
      </c>
      <c r="D55" s="73">
        <f>+SUMIF('1) Tableau budgétaire 1 '!$N$45:$N$48, LEFT($C55), '1) Tableau budgétaire 1 '!$D$45:$D$48)</f>
        <v>15000</v>
      </c>
      <c r="E55" s="9"/>
      <c r="F55" s="9"/>
      <c r="G55" s="41">
        <f t="shared" si="4"/>
        <v>15000</v>
      </c>
    </row>
    <row r="56" spans="2:7" ht="15.75" customHeight="1" x14ac:dyDescent="0.35">
      <c r="C56" s="32" t="s">
        <v>403</v>
      </c>
      <c r="D56" s="73">
        <f>+SUMIF('1) Tableau budgétaire 1 '!$N$45:$N$48, LEFT($C56), '1) Tableau budgétaire 1 '!$D$45:$D$48)</f>
        <v>0</v>
      </c>
      <c r="E56" s="75"/>
      <c r="F56" s="75"/>
      <c r="G56" s="41">
        <f t="shared" si="4"/>
        <v>0</v>
      </c>
    </row>
    <row r="57" spans="2:7" x14ac:dyDescent="0.35">
      <c r="C57" s="33" t="s">
        <v>404</v>
      </c>
      <c r="D57" s="73">
        <f>+SUMIF('1) Tableau budgétaire 1 '!$N$45:$N$48, LEFT($C57), '1) Tableau budgétaire 1 '!$D$45:$D$48)</f>
        <v>0</v>
      </c>
      <c r="E57" s="75"/>
      <c r="F57" s="75"/>
      <c r="G57" s="41">
        <f t="shared" si="4"/>
        <v>0</v>
      </c>
    </row>
    <row r="58" spans="2:7" x14ac:dyDescent="0.35">
      <c r="C58" s="32" t="s">
        <v>405</v>
      </c>
      <c r="D58" s="73">
        <f>+SUMIF('1) Tableau budgétaire 1 '!$N$45:$N$48, LEFT($C58), '1) Tableau budgétaire 1 '!$D$45:$D$48)</f>
        <v>0</v>
      </c>
      <c r="E58" s="75"/>
      <c r="F58" s="75"/>
      <c r="G58" s="41">
        <f t="shared" si="4"/>
        <v>0</v>
      </c>
    </row>
    <row r="59" spans="2:7" x14ac:dyDescent="0.35">
      <c r="C59" s="32" t="s">
        <v>406</v>
      </c>
      <c r="D59" s="73">
        <f>+SUMIF('1) Tableau budgétaire 1 '!$N$45:$N$48, LEFT($C59), '1) Tableau budgétaire 1 '!$D$45:$D$48)</f>
        <v>62944</v>
      </c>
      <c r="E59" s="75"/>
      <c r="F59" s="75"/>
      <c r="G59" s="41">
        <f t="shared" si="4"/>
        <v>62944</v>
      </c>
    </row>
    <row r="60" spans="2:7" ht="31" x14ac:dyDescent="0.35">
      <c r="C60" s="32" t="s">
        <v>407</v>
      </c>
      <c r="D60" s="73">
        <f>+SUMIF('1) Tableau budgétaire 1 '!$N$45:$N$48, LEFT($C60), '1) Tableau budgétaire 1 '!$D$45:$D$48)</f>
        <v>0</v>
      </c>
      <c r="E60" s="75"/>
      <c r="F60" s="75"/>
      <c r="G60" s="41">
        <f t="shared" si="4"/>
        <v>0</v>
      </c>
    </row>
    <row r="61" spans="2:7" x14ac:dyDescent="0.35">
      <c r="C61" s="36" t="s">
        <v>14</v>
      </c>
      <c r="D61" s="47">
        <f>SUM(D54:D60)</f>
        <v>77944</v>
      </c>
      <c r="E61" s="47">
        <f>SUM(E54:E60)</f>
        <v>0</v>
      </c>
      <c r="F61" s="47">
        <f>SUM(F54:F60)</f>
        <v>0</v>
      </c>
      <c r="G61" s="41">
        <f t="shared" si="4"/>
        <v>77944</v>
      </c>
    </row>
    <row r="62" spans="2:7" s="35" customFormat="1" x14ac:dyDescent="0.35">
      <c r="C62" s="48"/>
      <c r="D62" s="49"/>
      <c r="E62" s="49"/>
      <c r="F62" s="49"/>
      <c r="G62" s="50"/>
    </row>
    <row r="63" spans="2:7" ht="25.5" customHeight="1" x14ac:dyDescent="0.35">
      <c r="D63" s="34"/>
      <c r="E63" s="34"/>
      <c r="F63" s="34"/>
    </row>
    <row r="64" spans="2:7" x14ac:dyDescent="0.35">
      <c r="B64" s="313" t="s">
        <v>415</v>
      </c>
      <c r="C64" s="314"/>
      <c r="D64" s="314"/>
      <c r="E64" s="314"/>
      <c r="F64" s="314"/>
      <c r="G64" s="315"/>
    </row>
    <row r="65" spans="3:7" x14ac:dyDescent="0.35">
      <c r="C65" s="313" t="s">
        <v>376</v>
      </c>
      <c r="D65" s="314"/>
      <c r="E65" s="314"/>
      <c r="F65" s="314"/>
      <c r="G65" s="315"/>
    </row>
    <row r="66" spans="3:7" ht="22.5" customHeight="1" thickBot="1" x14ac:dyDescent="0.4">
      <c r="C66" s="44" t="s">
        <v>416</v>
      </c>
      <c r="D66" s="45">
        <f>'1) Tableau budgétaire 1 '!D60</f>
        <v>0</v>
      </c>
      <c r="E66" s="45">
        <f>'1) Tableau budgétaire 1 '!E60</f>
        <v>95000</v>
      </c>
      <c r="F66" s="45">
        <f>'1) Tableau budgétaire 1 '!F60</f>
        <v>0</v>
      </c>
      <c r="G66" s="46">
        <f>SUM(D66:F66)</f>
        <v>95000</v>
      </c>
    </row>
    <row r="67" spans="3:7" x14ac:dyDescent="0.35">
      <c r="C67" s="42" t="s">
        <v>401</v>
      </c>
      <c r="D67" s="73"/>
      <c r="E67" s="238">
        <v>10000</v>
      </c>
      <c r="F67" s="74"/>
      <c r="G67" s="43">
        <f t="shared" ref="G67:G74" si="5">SUM(D67:F67)</f>
        <v>10000</v>
      </c>
    </row>
    <row r="68" spans="3:7" x14ac:dyDescent="0.35">
      <c r="C68" s="32" t="s">
        <v>402</v>
      </c>
      <c r="D68" s="75"/>
      <c r="E68" s="239"/>
      <c r="F68" s="9"/>
      <c r="G68" s="41">
        <f t="shared" si="5"/>
        <v>0</v>
      </c>
    </row>
    <row r="69" spans="3:7" ht="15.75" customHeight="1" x14ac:dyDescent="0.35">
      <c r="C69" s="32" t="s">
        <v>403</v>
      </c>
      <c r="D69" s="75"/>
      <c r="E69" s="166">
        <v>5000</v>
      </c>
      <c r="F69" s="75"/>
      <c r="G69" s="41">
        <f t="shared" si="5"/>
        <v>5000</v>
      </c>
    </row>
    <row r="70" spans="3:7" x14ac:dyDescent="0.35">
      <c r="C70" s="33" t="s">
        <v>404</v>
      </c>
      <c r="D70" s="75"/>
      <c r="E70" s="166">
        <f>10000</f>
        <v>10000</v>
      </c>
      <c r="F70" s="75"/>
      <c r="G70" s="41">
        <f t="shared" si="5"/>
        <v>10000</v>
      </c>
    </row>
    <row r="71" spans="3:7" x14ac:dyDescent="0.35">
      <c r="C71" s="32" t="s">
        <v>405</v>
      </c>
      <c r="D71" s="75"/>
      <c r="E71" s="166"/>
      <c r="F71" s="75"/>
      <c r="G71" s="41">
        <f t="shared" si="5"/>
        <v>0</v>
      </c>
    </row>
    <row r="72" spans="3:7" x14ac:dyDescent="0.35">
      <c r="C72" s="32" t="s">
        <v>406</v>
      </c>
      <c r="D72" s="75"/>
      <c r="E72" s="191">
        <f>10000+10000+17000+10000+10000+5000</f>
        <v>62000</v>
      </c>
      <c r="F72" s="75"/>
      <c r="G72" s="41">
        <f t="shared" si="5"/>
        <v>62000</v>
      </c>
    </row>
    <row r="73" spans="3:7" ht="31" x14ac:dyDescent="0.35">
      <c r="C73" s="32" t="s">
        <v>407</v>
      </c>
      <c r="D73" s="75"/>
      <c r="E73" s="166">
        <v>13000</v>
      </c>
      <c r="F73" s="75"/>
      <c r="G73" s="41">
        <f t="shared" si="5"/>
        <v>13000</v>
      </c>
    </row>
    <row r="74" spans="3:7" x14ac:dyDescent="0.35">
      <c r="C74" s="36" t="s">
        <v>14</v>
      </c>
      <c r="D74" s="47">
        <f>SUM(D67:D73)</f>
        <v>0</v>
      </c>
      <c r="E74" s="47">
        <f>SUM(E67:E73)</f>
        <v>100000</v>
      </c>
      <c r="F74" s="47">
        <f>SUM(F67:F73)</f>
        <v>0</v>
      </c>
      <c r="G74" s="41">
        <f t="shared" si="5"/>
        <v>100000</v>
      </c>
    </row>
    <row r="75" spans="3:7" s="35" customFormat="1" x14ac:dyDescent="0.35">
      <c r="C75" s="48"/>
      <c r="D75" s="49"/>
      <c r="E75" s="49"/>
      <c r="F75" s="49"/>
      <c r="G75" s="50"/>
    </row>
    <row r="76" spans="3:7" ht="15.75" customHeight="1" x14ac:dyDescent="0.35">
      <c r="C76" s="313" t="s">
        <v>417</v>
      </c>
      <c r="D76" s="314"/>
      <c r="E76" s="314"/>
      <c r="F76" s="314"/>
      <c r="G76" s="315"/>
    </row>
    <row r="77" spans="3:7" ht="21.75" customHeight="1" thickBot="1" x14ac:dyDescent="0.4">
      <c r="C77" s="44" t="s">
        <v>418</v>
      </c>
      <c r="D77" s="45">
        <f>'1) Tableau budgétaire 1 '!D67</f>
        <v>0</v>
      </c>
      <c r="E77" s="45">
        <f>'1) Tableau budgétaire 1 '!E67</f>
        <v>119200</v>
      </c>
      <c r="F77" s="45">
        <f>'1) Tableau budgétaire 1 '!F67</f>
        <v>0</v>
      </c>
      <c r="G77" s="46">
        <f t="shared" ref="G77:G85" si="6">SUM(D77:F77)</f>
        <v>119200</v>
      </c>
    </row>
    <row r="78" spans="3:7" x14ac:dyDescent="0.35">
      <c r="C78" s="42" t="s">
        <v>401</v>
      </c>
      <c r="D78" s="73"/>
      <c r="E78" s="238">
        <f>9200-3200-3000+4500</f>
        <v>7500</v>
      </c>
      <c r="F78" s="74"/>
      <c r="G78" s="43">
        <f t="shared" si="6"/>
        <v>7500</v>
      </c>
    </row>
    <row r="79" spans="3:7" x14ac:dyDescent="0.35">
      <c r="C79" s="32" t="s">
        <v>402</v>
      </c>
      <c r="D79" s="75"/>
      <c r="E79" s="239"/>
      <c r="F79" s="9"/>
      <c r="G79" s="41">
        <f t="shared" si="6"/>
        <v>0</v>
      </c>
    </row>
    <row r="80" spans="3:7" ht="31" x14ac:dyDescent="0.35">
      <c r="C80" s="32" t="s">
        <v>403</v>
      </c>
      <c r="D80" s="75"/>
      <c r="E80" s="166"/>
      <c r="F80" s="75"/>
      <c r="G80" s="41">
        <f t="shared" si="6"/>
        <v>0</v>
      </c>
    </row>
    <row r="81" spans="3:7" x14ac:dyDescent="0.35">
      <c r="C81" s="33" t="s">
        <v>404</v>
      </c>
      <c r="D81" s="75"/>
      <c r="E81" s="166">
        <f>12500-7000</f>
        <v>5500</v>
      </c>
      <c r="F81" s="75"/>
      <c r="G81" s="41">
        <f t="shared" si="6"/>
        <v>5500</v>
      </c>
    </row>
    <row r="82" spans="3:7" x14ac:dyDescent="0.35">
      <c r="C82" s="32" t="s">
        <v>405</v>
      </c>
      <c r="D82" s="75"/>
      <c r="E82" s="166">
        <v>4000</v>
      </c>
      <c r="F82" s="75"/>
      <c r="G82" s="41">
        <f t="shared" si="6"/>
        <v>4000</v>
      </c>
    </row>
    <row r="83" spans="3:7" x14ac:dyDescent="0.35">
      <c r="C83" s="32" t="s">
        <v>406</v>
      </c>
      <c r="D83" s="75"/>
      <c r="E83" s="191">
        <f>75000+3200+7000+6000+3000</f>
        <v>94200</v>
      </c>
      <c r="F83" s="75"/>
      <c r="G83" s="41">
        <f t="shared" si="6"/>
        <v>94200</v>
      </c>
    </row>
    <row r="84" spans="3:7" ht="31" x14ac:dyDescent="0.35">
      <c r="C84" s="32" t="s">
        <v>407</v>
      </c>
      <c r="D84" s="75"/>
      <c r="E84" s="166">
        <f>18500-6000-4500</f>
        <v>8000</v>
      </c>
      <c r="F84" s="75"/>
      <c r="G84" s="41">
        <f t="shared" si="6"/>
        <v>8000</v>
      </c>
    </row>
    <row r="85" spans="3:7" x14ac:dyDescent="0.35">
      <c r="C85" s="36" t="s">
        <v>14</v>
      </c>
      <c r="D85" s="47">
        <f>SUM(D78:D84)</f>
        <v>0</v>
      </c>
      <c r="E85" s="47">
        <f>SUM(E78:E84)</f>
        <v>119200</v>
      </c>
      <c r="F85" s="47">
        <f>SUM(F78:F84)</f>
        <v>0</v>
      </c>
      <c r="G85" s="41">
        <f t="shared" si="6"/>
        <v>119200</v>
      </c>
    </row>
    <row r="86" spans="3:7" s="35" customFormat="1" x14ac:dyDescent="0.35">
      <c r="C86" s="48"/>
      <c r="D86" s="49"/>
      <c r="E86" s="49"/>
      <c r="F86" s="49"/>
      <c r="G86" s="50"/>
    </row>
    <row r="87" spans="3:7" x14ac:dyDescent="0.35">
      <c r="C87" s="313" t="s">
        <v>378</v>
      </c>
      <c r="D87" s="314"/>
      <c r="E87" s="314"/>
      <c r="F87" s="314"/>
      <c r="G87" s="315"/>
    </row>
    <row r="88" spans="3:7" ht="21" customHeight="1" thickBot="1" x14ac:dyDescent="0.4">
      <c r="C88" s="44" t="s">
        <v>419</v>
      </c>
      <c r="D88" s="45">
        <f>'1) Tableau budgétaire 1 '!D72</f>
        <v>0</v>
      </c>
      <c r="E88" s="45">
        <f>'1) Tableau budgétaire 1 '!E72</f>
        <v>37500</v>
      </c>
      <c r="F88" s="45">
        <f>'1) Tableau budgétaire 1 '!F72</f>
        <v>0</v>
      </c>
      <c r="G88" s="46">
        <f t="shared" ref="G88:G96" si="7">SUM(D88:F88)</f>
        <v>37500</v>
      </c>
    </row>
    <row r="89" spans="3:7" x14ac:dyDescent="0.35">
      <c r="C89" s="42" t="s">
        <v>401</v>
      </c>
      <c r="D89" s="73"/>
      <c r="E89" s="238">
        <v>7500</v>
      </c>
      <c r="F89" s="74"/>
      <c r="G89" s="43">
        <f t="shared" si="7"/>
        <v>7500</v>
      </c>
    </row>
    <row r="90" spans="3:7" x14ac:dyDescent="0.35">
      <c r="C90" s="32" t="s">
        <v>402</v>
      </c>
      <c r="D90" s="75"/>
      <c r="E90" s="239"/>
      <c r="F90" s="9"/>
      <c r="G90" s="41">
        <f t="shared" si="7"/>
        <v>0</v>
      </c>
    </row>
    <row r="91" spans="3:7" ht="31" x14ac:dyDescent="0.35">
      <c r="C91" s="32" t="s">
        <v>403</v>
      </c>
      <c r="D91" s="75"/>
      <c r="E91" s="166"/>
      <c r="F91" s="75"/>
      <c r="G91" s="41">
        <f t="shared" si="7"/>
        <v>0</v>
      </c>
    </row>
    <row r="92" spans="3:7" x14ac:dyDescent="0.35">
      <c r="C92" s="33" t="s">
        <v>404</v>
      </c>
      <c r="D92" s="75"/>
      <c r="E92" s="166">
        <f>5000</f>
        <v>5000</v>
      </c>
      <c r="F92" s="75"/>
      <c r="G92" s="41">
        <f t="shared" si="7"/>
        <v>5000</v>
      </c>
    </row>
    <row r="93" spans="3:7" x14ac:dyDescent="0.35">
      <c r="C93" s="32" t="s">
        <v>405</v>
      </c>
      <c r="D93" s="75"/>
      <c r="E93" s="166">
        <v>5000</v>
      </c>
      <c r="F93" s="75"/>
      <c r="G93" s="41">
        <f t="shared" si="7"/>
        <v>5000</v>
      </c>
    </row>
    <row r="94" spans="3:7" x14ac:dyDescent="0.35">
      <c r="C94" s="32" t="s">
        <v>406</v>
      </c>
      <c r="D94" s="75"/>
      <c r="E94" s="166">
        <f>8000+5000+7000</f>
        <v>20000</v>
      </c>
      <c r="F94" s="75"/>
      <c r="G94" s="41">
        <f t="shared" si="7"/>
        <v>20000</v>
      </c>
    </row>
    <row r="95" spans="3:7" ht="31" x14ac:dyDescent="0.35">
      <c r="C95" s="32" t="s">
        <v>407</v>
      </c>
      <c r="D95" s="75"/>
      <c r="E95" s="166"/>
      <c r="F95" s="75"/>
      <c r="G95" s="41">
        <f t="shared" si="7"/>
        <v>0</v>
      </c>
    </row>
    <row r="96" spans="3:7" x14ac:dyDescent="0.35">
      <c r="C96" s="36" t="s">
        <v>14</v>
      </c>
      <c r="D96" s="47">
        <f>SUM(D89:D95)</f>
        <v>0</v>
      </c>
      <c r="E96" s="47">
        <f>SUM(E89:E95)</f>
        <v>37500</v>
      </c>
      <c r="F96" s="47">
        <f>SUM(F89:F95)</f>
        <v>0</v>
      </c>
      <c r="G96" s="41">
        <f t="shared" si="7"/>
        <v>37500</v>
      </c>
    </row>
    <row r="97" spans="3:7" s="35" customFormat="1" x14ac:dyDescent="0.35">
      <c r="C97" s="48"/>
      <c r="D97" s="49"/>
      <c r="E97" s="49"/>
      <c r="F97" s="49"/>
      <c r="G97" s="50"/>
    </row>
    <row r="98" spans="3:7" ht="15.75" customHeight="1" x14ac:dyDescent="0.35"/>
    <row r="99" spans="3:7" ht="15.75" customHeight="1" x14ac:dyDescent="0.35">
      <c r="C99" s="313" t="s">
        <v>420</v>
      </c>
      <c r="D99" s="314"/>
      <c r="E99" s="314"/>
      <c r="F99" s="314"/>
      <c r="G99" s="315"/>
    </row>
    <row r="100" spans="3:7" ht="36" customHeight="1" thickBot="1" x14ac:dyDescent="0.4">
      <c r="C100" s="44" t="s">
        <v>421</v>
      </c>
      <c r="D100" s="45">
        <f>'1) Tableau budgétaire 1 '!D82</f>
        <v>283576.5</v>
      </c>
      <c r="E100" s="45">
        <f>'1) Tableau budgétaire 1 '!E82</f>
        <v>189047.66999999998</v>
      </c>
      <c r="F100" s="45">
        <f>'1) Tableau budgétaire 1 '!F82</f>
        <v>0</v>
      </c>
      <c r="G100" s="46">
        <f t="shared" ref="G100:G108" si="8">SUM(D100:F100)</f>
        <v>472624.17</v>
      </c>
    </row>
    <row r="101" spans="3:7" ht="15.75" customHeight="1" x14ac:dyDescent="0.35">
      <c r="C101" s="42" t="s">
        <v>401</v>
      </c>
      <c r="D101" s="73">
        <f>+SUMIF('1) Tableau budgétaire 1 '!$N$76:$N$81, LEFT($C101), '1) Tableau budgétaire 1 '!$D$76:$D$81)</f>
        <v>129291</v>
      </c>
      <c r="E101" s="74">
        <f>'1) Tableau budgétaire 1 '!E76</f>
        <v>107600</v>
      </c>
      <c r="F101" s="74"/>
      <c r="G101" s="43">
        <f t="shared" si="8"/>
        <v>236891</v>
      </c>
    </row>
    <row r="102" spans="3:7" ht="15.75" customHeight="1" x14ac:dyDescent="0.35">
      <c r="C102" s="32" t="s">
        <v>402</v>
      </c>
      <c r="D102" s="73">
        <f>+SUMIF('1) Tableau budgétaire 1 '!$N$76:$N$81, LEFT($C102), '1) Tableau budgétaire 1 '!$D$76:$D$81)</f>
        <v>0</v>
      </c>
      <c r="E102" s="9">
        <v>11243</v>
      </c>
      <c r="F102" s="9"/>
      <c r="G102" s="41">
        <f t="shared" si="8"/>
        <v>11243</v>
      </c>
    </row>
    <row r="103" spans="3:7" ht="15.75" customHeight="1" x14ac:dyDescent="0.35">
      <c r="C103" s="32" t="s">
        <v>403</v>
      </c>
      <c r="D103" s="73">
        <f>+SUMIF('1) Tableau budgétaire 1 '!$N$76:$N$81, LEFT($C103), '1) Tableau budgétaire 1 '!$D$76:$D$81)</f>
        <v>5044</v>
      </c>
      <c r="E103" s="75">
        <f>'1) Tableau budgétaire 1 '!E77</f>
        <v>6000</v>
      </c>
      <c r="F103" s="75"/>
      <c r="G103" s="41">
        <f t="shared" si="8"/>
        <v>11044</v>
      </c>
    </row>
    <row r="104" spans="3:7" ht="15.75" customHeight="1" x14ac:dyDescent="0.35">
      <c r="C104" s="33" t="s">
        <v>404</v>
      </c>
      <c r="D104" s="73">
        <f>+SUMIF('1) Tableau budgétaire 1 '!$N$76:$N$81, LEFT($C104), '1) Tableau budgétaire 1 '!$D$76:$D$81)</f>
        <v>0</v>
      </c>
      <c r="E104" s="75"/>
      <c r="F104" s="75"/>
      <c r="G104" s="41">
        <f t="shared" si="8"/>
        <v>0</v>
      </c>
    </row>
    <row r="105" spans="3:7" ht="15.75" customHeight="1" x14ac:dyDescent="0.35">
      <c r="C105" s="32" t="s">
        <v>405</v>
      </c>
      <c r="D105" s="73">
        <f>+SUMIF('1) Tableau budgétaire 1 '!$N$76:$N$81, LEFT($C105), '1) Tableau budgétaire 1 '!$D$76:$D$81)</f>
        <v>22000</v>
      </c>
      <c r="E105" s="75">
        <f>'1) Tableau budgétaire 1 '!E79</f>
        <v>22000</v>
      </c>
      <c r="F105" s="75"/>
      <c r="G105" s="41">
        <f t="shared" si="8"/>
        <v>44000</v>
      </c>
    </row>
    <row r="106" spans="3:7" ht="15.75" customHeight="1" x14ac:dyDescent="0.35">
      <c r="C106" s="32" t="s">
        <v>406</v>
      </c>
      <c r="D106" s="73">
        <f>+SUMIF('1) Tableau budgétaire 1 '!$N$76:$N$81, LEFT($C106), '1) Tableau budgétaire 1 '!$D$76:$D$81)</f>
        <v>0</v>
      </c>
      <c r="E106" s="75"/>
      <c r="F106" s="75"/>
      <c r="G106" s="41">
        <f t="shared" si="8"/>
        <v>0</v>
      </c>
    </row>
    <row r="107" spans="3:7" ht="15.75" customHeight="1" x14ac:dyDescent="0.35">
      <c r="C107" s="32" t="s">
        <v>407</v>
      </c>
      <c r="D107" s="73">
        <f>+SUMIF('1) Tableau budgétaire 1 '!$N$76:$N$81, LEFT($C107), '1) Tableau budgétaire 1 '!$D$76:$D$81)</f>
        <v>127241.5</v>
      </c>
      <c r="E107" s="75">
        <v>42204.67</v>
      </c>
      <c r="F107" s="75"/>
      <c r="G107" s="41">
        <f t="shared" si="8"/>
        <v>169446.16999999998</v>
      </c>
    </row>
    <row r="108" spans="3:7" ht="15.75" customHeight="1" x14ac:dyDescent="0.35">
      <c r="C108" s="36" t="s">
        <v>14</v>
      </c>
      <c r="D108" s="47">
        <f>SUM(D101:D107)</f>
        <v>283576.5</v>
      </c>
      <c r="E108" s="47">
        <f>SUM(E101:E107)</f>
        <v>189047.66999999998</v>
      </c>
      <c r="F108" s="47">
        <f>SUM(F101:F107)</f>
        <v>0</v>
      </c>
      <c r="G108" s="41">
        <f t="shared" si="8"/>
        <v>472624.17</v>
      </c>
    </row>
    <row r="109" spans="3:7" ht="15.75" customHeight="1" thickBot="1" x14ac:dyDescent="0.4"/>
    <row r="110" spans="3:7" ht="19.5" customHeight="1" thickBot="1" x14ac:dyDescent="0.4">
      <c r="C110" s="316" t="s">
        <v>397</v>
      </c>
      <c r="D110" s="317"/>
      <c r="E110" s="317"/>
      <c r="F110" s="317"/>
      <c r="G110" s="318"/>
    </row>
    <row r="111" spans="3:7" ht="51.75" customHeight="1" x14ac:dyDescent="0.35">
      <c r="C111" s="54"/>
      <c r="D111" s="132" t="str">
        <f>'1) Tableau budgétaire 1 '!D5</f>
        <v>Organisation recipiendiaire 1 (budget en USD)                                       FAO</v>
      </c>
      <c r="E111" s="132" t="str">
        <f>'1) Tableau budgétaire 1 '!E5</f>
        <v>Organisation recipiendiaire 2 (budget en USD)                                        ONU HABITAT</v>
      </c>
      <c r="F111" s="132" t="str">
        <f>'1) Tableau budgétaire 1 '!F5</f>
        <v>Organisation recipiendiaire 3 (budget en USD)</v>
      </c>
      <c r="G111" s="128" t="s">
        <v>397</v>
      </c>
    </row>
    <row r="112" spans="3:7" ht="19.5" customHeight="1" x14ac:dyDescent="0.35">
      <c r="C112" s="133" t="s">
        <v>401</v>
      </c>
      <c r="D112" s="88">
        <f>SUM(D89,D78,D67,D54,D43,D30,D19,D8,D101)</f>
        <v>129291</v>
      </c>
      <c r="E112" s="88">
        <f>SUM(E89,E78,E67,E54,E43,E30,E19,E8,E101)</f>
        <v>150100</v>
      </c>
      <c r="F112" s="88">
        <f>SUM(F89,F78,F67,F54,F43,F30,F19,F8,F101)</f>
        <v>0</v>
      </c>
      <c r="G112" s="52">
        <f t="shared" ref="G112:G119" si="9">SUM(D112:F112)</f>
        <v>279391</v>
      </c>
    </row>
    <row r="113" spans="3:13" ht="34.5" customHeight="1" x14ac:dyDescent="0.35">
      <c r="C113" s="100" t="s">
        <v>402</v>
      </c>
      <c r="D113" s="88">
        <f t="shared" ref="D113:F119" si="10">SUM(D90,D79,D68,D55,D44,D31,D20,D9,D102)</f>
        <v>194820</v>
      </c>
      <c r="E113" s="88">
        <f t="shared" si="10"/>
        <v>14743</v>
      </c>
      <c r="F113" s="88">
        <f t="shared" si="10"/>
        <v>0</v>
      </c>
      <c r="G113" s="53">
        <f t="shared" si="9"/>
        <v>209563</v>
      </c>
    </row>
    <row r="114" spans="3:13" ht="48" customHeight="1" x14ac:dyDescent="0.35">
      <c r="C114" s="100" t="s">
        <v>403</v>
      </c>
      <c r="D114" s="88">
        <f t="shared" si="10"/>
        <v>5044</v>
      </c>
      <c r="E114" s="88">
        <f t="shared" si="10"/>
        <v>11000</v>
      </c>
      <c r="F114" s="88">
        <f t="shared" si="10"/>
        <v>0</v>
      </c>
      <c r="G114" s="186">
        <f t="shared" si="9"/>
        <v>16044</v>
      </c>
    </row>
    <row r="115" spans="3:13" ht="33" customHeight="1" x14ac:dyDescent="0.35">
      <c r="C115" s="101" t="s">
        <v>404</v>
      </c>
      <c r="D115" s="88">
        <f t="shared" si="10"/>
        <v>2725</v>
      </c>
      <c r="E115" s="88">
        <f t="shared" si="10"/>
        <v>30500</v>
      </c>
      <c r="F115" s="88">
        <f t="shared" si="10"/>
        <v>0</v>
      </c>
      <c r="G115" s="186">
        <f t="shared" si="9"/>
        <v>33225</v>
      </c>
    </row>
    <row r="116" spans="3:13" ht="21" customHeight="1" x14ac:dyDescent="0.35">
      <c r="C116" s="100" t="s">
        <v>405</v>
      </c>
      <c r="D116" s="88">
        <f t="shared" si="10"/>
        <v>22000</v>
      </c>
      <c r="E116" s="88">
        <f t="shared" si="10"/>
        <v>41500</v>
      </c>
      <c r="F116" s="88">
        <f t="shared" si="10"/>
        <v>0</v>
      </c>
      <c r="G116" s="186">
        <f t="shared" si="9"/>
        <v>63500</v>
      </c>
      <c r="H116" s="13"/>
      <c r="I116" s="13"/>
      <c r="J116" s="13"/>
      <c r="K116" s="13"/>
      <c r="L116" s="13"/>
      <c r="M116" s="12"/>
    </row>
    <row r="117" spans="3:13" ht="39.75" customHeight="1" x14ac:dyDescent="0.35">
      <c r="C117" s="100" t="s">
        <v>406</v>
      </c>
      <c r="D117" s="88">
        <f t="shared" si="10"/>
        <v>360000</v>
      </c>
      <c r="E117" s="88">
        <f t="shared" si="10"/>
        <v>241200</v>
      </c>
      <c r="F117" s="88">
        <f t="shared" si="10"/>
        <v>0</v>
      </c>
      <c r="G117" s="186">
        <f t="shared" si="9"/>
        <v>601200</v>
      </c>
      <c r="H117" s="13"/>
      <c r="I117" s="13"/>
      <c r="J117" s="13"/>
      <c r="K117" s="13"/>
      <c r="L117" s="13"/>
      <c r="M117" s="12"/>
    </row>
    <row r="118" spans="3:13" ht="39.75" customHeight="1" x14ac:dyDescent="0.35">
      <c r="C118" s="100" t="s">
        <v>407</v>
      </c>
      <c r="D118" s="88">
        <f t="shared" si="10"/>
        <v>127241.5</v>
      </c>
      <c r="E118" s="88">
        <f t="shared" si="10"/>
        <v>71704.67</v>
      </c>
      <c r="F118" s="88">
        <f t="shared" si="10"/>
        <v>0</v>
      </c>
      <c r="G118" s="186">
        <f t="shared" si="9"/>
        <v>198946.16999999998</v>
      </c>
      <c r="H118" s="13"/>
      <c r="I118" s="13"/>
      <c r="J118" s="13"/>
      <c r="K118" s="13"/>
      <c r="L118" s="13"/>
      <c r="M118" s="12"/>
    </row>
    <row r="119" spans="3:13" ht="22.5" customHeight="1" x14ac:dyDescent="0.35">
      <c r="C119" s="84" t="s">
        <v>389</v>
      </c>
      <c r="D119" s="88">
        <f t="shared" si="10"/>
        <v>841121.5</v>
      </c>
      <c r="E119" s="88">
        <f t="shared" si="10"/>
        <v>560747.66999999993</v>
      </c>
      <c r="F119" s="88">
        <f t="shared" si="10"/>
        <v>0</v>
      </c>
      <c r="G119" s="187">
        <f t="shared" si="9"/>
        <v>1401869.17</v>
      </c>
      <c r="H119" s="13"/>
      <c r="I119" s="13"/>
      <c r="J119" s="13"/>
      <c r="K119" s="13"/>
      <c r="L119" s="13"/>
      <c r="M119" s="12"/>
    </row>
    <row r="120" spans="3:13" ht="26.25" customHeight="1" thickBot="1" x14ac:dyDescent="0.4">
      <c r="C120" s="84" t="s">
        <v>390</v>
      </c>
      <c r="D120" s="188">
        <f>D119*0.07</f>
        <v>58878.505000000005</v>
      </c>
      <c r="E120" s="188">
        <f t="shared" ref="E120:G120" si="11">E119*0.07</f>
        <v>39252.336900000002</v>
      </c>
      <c r="F120" s="188">
        <f t="shared" si="11"/>
        <v>0</v>
      </c>
      <c r="G120" s="189">
        <f t="shared" si="11"/>
        <v>98130.841899999999</v>
      </c>
      <c r="H120" s="20"/>
      <c r="I120" s="20"/>
      <c r="J120" s="20"/>
      <c r="K120" s="20"/>
      <c r="L120" s="37"/>
      <c r="M120" s="35"/>
    </row>
    <row r="121" spans="3:13" ht="23.25" customHeight="1" thickBot="1" x14ac:dyDescent="0.4">
      <c r="C121" s="89" t="s">
        <v>364</v>
      </c>
      <c r="D121" s="190">
        <f>SUM(D119:D120)</f>
        <v>900000.005</v>
      </c>
      <c r="E121" s="190">
        <f t="shared" ref="E121:G121" si="12">SUM(E119:E120)</f>
        <v>600000.00689999992</v>
      </c>
      <c r="F121" s="190">
        <f t="shared" si="12"/>
        <v>0</v>
      </c>
      <c r="G121" s="184">
        <f t="shared" si="12"/>
        <v>1500000.0118999998</v>
      </c>
      <c r="H121" s="20"/>
      <c r="I121" s="20"/>
      <c r="J121" s="20"/>
      <c r="K121" s="20"/>
      <c r="L121" s="37"/>
      <c r="M121" s="35"/>
    </row>
    <row r="122" spans="3:13" ht="15.75" customHeight="1" x14ac:dyDescent="0.35">
      <c r="L122" s="38"/>
    </row>
    <row r="123" spans="3:13" ht="15.75" customHeight="1" x14ac:dyDescent="0.35">
      <c r="H123" s="27"/>
      <c r="I123" s="27"/>
      <c r="L123" s="38"/>
    </row>
    <row r="124" spans="3:13" ht="15.75" customHeight="1" x14ac:dyDescent="0.35">
      <c r="H124" s="27"/>
      <c r="I124" s="27"/>
    </row>
    <row r="125" spans="3:13" ht="40.5" customHeight="1" x14ac:dyDescent="0.35">
      <c r="H125" s="27"/>
      <c r="I125" s="27"/>
      <c r="L125" s="39"/>
    </row>
    <row r="126" spans="3:13" ht="24.75" customHeight="1" x14ac:dyDescent="0.35">
      <c r="H126" s="27"/>
      <c r="I126" s="27"/>
      <c r="L126" s="39"/>
    </row>
    <row r="127" spans="3:13" ht="41.25" customHeight="1" x14ac:dyDescent="0.35">
      <c r="H127" s="7"/>
      <c r="I127" s="27"/>
      <c r="L127" s="39"/>
    </row>
    <row r="128" spans="3:13" ht="51.75" customHeight="1" x14ac:dyDescent="0.35">
      <c r="H128" s="7"/>
      <c r="I128" s="27"/>
      <c r="L128" s="39"/>
    </row>
    <row r="129" spans="3:14" ht="42" customHeight="1" x14ac:dyDescent="0.35">
      <c r="H129" s="27"/>
      <c r="I129" s="27"/>
      <c r="L129" s="39"/>
    </row>
    <row r="130" spans="3:14" s="35" customFormat="1" ht="42" customHeight="1" x14ac:dyDescent="0.35">
      <c r="C130" s="34"/>
      <c r="G130" s="34"/>
      <c r="H130" s="34"/>
      <c r="I130" s="27"/>
      <c r="J130" s="34"/>
      <c r="K130" s="34"/>
      <c r="L130" s="39"/>
      <c r="M130" s="34"/>
    </row>
    <row r="131" spans="3:14" s="35" customFormat="1" ht="42" customHeight="1" x14ac:dyDescent="0.35">
      <c r="C131" s="34"/>
      <c r="G131" s="34"/>
      <c r="H131" s="34"/>
      <c r="I131" s="27"/>
      <c r="J131" s="34"/>
      <c r="K131" s="34"/>
      <c r="L131" s="34"/>
      <c r="M131" s="34"/>
    </row>
    <row r="132" spans="3:14" s="35" customFormat="1" ht="63.75" customHeight="1" x14ac:dyDescent="0.35">
      <c r="C132" s="34"/>
      <c r="G132" s="34"/>
      <c r="H132" s="34"/>
      <c r="I132" s="38"/>
      <c r="J132" s="34"/>
      <c r="K132" s="34"/>
      <c r="L132" s="34"/>
      <c r="M132" s="34"/>
    </row>
    <row r="133" spans="3:14" s="35" customFormat="1" ht="42" customHeight="1" x14ac:dyDescent="0.35">
      <c r="C133" s="34"/>
      <c r="G133" s="34"/>
      <c r="H133" s="34"/>
      <c r="I133" s="34"/>
      <c r="J133" s="34"/>
      <c r="K133" s="34"/>
      <c r="L133" s="34"/>
      <c r="M133" s="38"/>
    </row>
    <row r="134" spans="3:14" ht="23.25" customHeight="1" x14ac:dyDescent="0.35"/>
    <row r="135" spans="3:14" ht="27.75" customHeight="1" x14ac:dyDescent="0.35"/>
    <row r="136" spans="3:14" ht="55.5" customHeight="1" x14ac:dyDescent="0.35"/>
    <row r="137" spans="3:14" ht="57.75" customHeight="1" x14ac:dyDescent="0.35"/>
    <row r="138" spans="3:14" ht="21.75" customHeight="1" x14ac:dyDescent="0.35"/>
    <row r="139" spans="3:14" ht="49.5" customHeight="1" x14ac:dyDescent="0.35"/>
    <row r="140" spans="3:14" ht="28.5" customHeight="1" x14ac:dyDescent="0.35"/>
    <row r="141" spans="3:14" ht="28.5" customHeight="1" x14ac:dyDescent="0.35"/>
    <row r="142" spans="3:14" ht="28.5" customHeight="1" x14ac:dyDescent="0.35"/>
    <row r="143" spans="3:14" ht="23.25" customHeight="1" x14ac:dyDescent="0.35">
      <c r="N143" s="38"/>
    </row>
    <row r="144" spans="3:14" ht="43.5" customHeight="1" x14ac:dyDescent="0.35">
      <c r="N144" s="38"/>
    </row>
    <row r="145" spans="14:14" ht="55.5" customHeight="1" x14ac:dyDescent="0.35"/>
    <row r="146" spans="14:14" ht="42.75" customHeight="1" x14ac:dyDescent="0.35">
      <c r="N146" s="38"/>
    </row>
    <row r="147" spans="14:14" ht="21.75" customHeight="1" x14ac:dyDescent="0.35">
      <c r="N147" s="38"/>
    </row>
    <row r="148" spans="14:14" ht="21.75" customHeight="1" x14ac:dyDescent="0.35">
      <c r="N148" s="38"/>
    </row>
    <row r="149" spans="14:14" ht="23.25" customHeight="1" x14ac:dyDescent="0.35"/>
    <row r="150" spans="14:14" ht="23.25" customHeight="1" x14ac:dyDescent="0.35"/>
    <row r="151" spans="14:14" ht="21.75" customHeight="1" x14ac:dyDescent="0.35"/>
    <row r="152" spans="14:14" ht="16.5" customHeight="1" x14ac:dyDescent="0.35"/>
    <row r="153" spans="14:14" ht="29.25" customHeight="1" x14ac:dyDescent="0.35"/>
    <row r="154" spans="14:14" ht="24.75" customHeight="1" x14ac:dyDescent="0.35"/>
    <row r="155" spans="14:14" ht="33" customHeight="1" x14ac:dyDescent="0.35"/>
    <row r="157" spans="14:14" ht="15" customHeight="1" x14ac:dyDescent="0.35"/>
    <row r="158" spans="14:14" ht="25.5" customHeight="1" x14ac:dyDescent="0.35"/>
  </sheetData>
  <sheetProtection insertColumns="0" insertRows="0" deleteRows="0"/>
  <mergeCells count="15">
    <mergeCell ref="C110:G110"/>
    <mergeCell ref="C52:G52"/>
    <mergeCell ref="C99:G99"/>
    <mergeCell ref="C41:G41"/>
    <mergeCell ref="C65:G65"/>
    <mergeCell ref="C76:G76"/>
    <mergeCell ref="C87:G87"/>
    <mergeCell ref="B64:G64"/>
    <mergeCell ref="C1:F1"/>
    <mergeCell ref="C2:F2"/>
    <mergeCell ref="B5:G5"/>
    <mergeCell ref="C6:G6"/>
    <mergeCell ref="B40:G40"/>
    <mergeCell ref="C17:G17"/>
    <mergeCell ref="C28:G28"/>
  </mergeCells>
  <conditionalFormatting sqref="G15">
    <cfRule type="cellIs" dxfId="14" priority="18" operator="notEqual">
      <formula>$G$7</formula>
    </cfRule>
  </conditionalFormatting>
  <conditionalFormatting sqref="G26">
    <cfRule type="cellIs" dxfId="13" priority="17" operator="notEqual">
      <formula>$G$18</formula>
    </cfRule>
  </conditionalFormatting>
  <conditionalFormatting sqref="G37">
    <cfRule type="cellIs" dxfId="12" priority="16" operator="notEqual">
      <formula>$G$29</formula>
    </cfRule>
  </conditionalFormatting>
  <conditionalFormatting sqref="G50">
    <cfRule type="cellIs" dxfId="11" priority="14" operator="notEqual">
      <formula>$G$42</formula>
    </cfRule>
  </conditionalFormatting>
  <conditionalFormatting sqref="G61">
    <cfRule type="cellIs" dxfId="10" priority="13" operator="notEqual">
      <formula>$G$53</formula>
    </cfRule>
  </conditionalFormatting>
  <conditionalFormatting sqref="G74">
    <cfRule type="cellIs" dxfId="9" priority="10" operator="notEqual">
      <formula>$G$66</formula>
    </cfRule>
  </conditionalFormatting>
  <conditionalFormatting sqref="G85">
    <cfRule type="cellIs" dxfId="8" priority="9" operator="notEqual">
      <formula>$G$77</formula>
    </cfRule>
  </conditionalFormatting>
  <conditionalFormatting sqref="G96">
    <cfRule type="cellIs" dxfId="7" priority="8" operator="notEqual">
      <formula>$G$88</formula>
    </cfRule>
  </conditionalFormatting>
  <conditionalFormatting sqref="G108">
    <cfRule type="cellIs" dxfId="6" priority="2" operator="notEqual">
      <formula>$G$100</formula>
    </cfRule>
  </conditionalFormatting>
  <conditionalFormatting sqref="G121">
    <cfRule type="cellIs" dxfId="5" priority="1" operator="notEqual">
      <formula>#REF!</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9 C60 C73 C84 C95 C107 C118"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8 C59 C72 C83 C94 C106 C117" xr:uid="{00000000-0002-0000-0200-000001000000}"/>
    <dataValidation allowBlank="1" showInputMessage="1" showErrorMessage="1" prompt="Services contracted by an organization which follow the normal procurement processes." sqref="C11 C22 C33 C46 C57 C70 C81 C92 C104 C115" xr:uid="{00000000-0002-0000-0200-000002000000}"/>
    <dataValidation allowBlank="1" showInputMessage="1" showErrorMessage="1" prompt="Includes staff and non-staff travel paid for by the organization directly related to a project." sqref="C12 C23 C34 C47 C58 C71 C82 C93 C105 C116"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5 C56 C69 C80 C91 C103 C114"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4 C55 C68 C79 C90 C102 C113" xr:uid="{00000000-0002-0000-0200-000005000000}"/>
    <dataValidation allowBlank="1" showInputMessage="1" showErrorMessage="1" prompt="Includes all related staff and temporary staff costs including base salary, post adjustment and all staff entitlements." sqref="C8 C19 C30 C43 C54 C67 C78 C89 C101 C112"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4"/>
  <sheetViews>
    <sheetView showGridLines="0" topLeftCell="A7" workbookViewId="0">
      <selection activeCell="B8" sqref="B8"/>
    </sheetView>
  </sheetViews>
  <sheetFormatPr baseColWidth="10" defaultColWidth="8.81640625" defaultRowHeight="14.5" x14ac:dyDescent="0.35"/>
  <cols>
    <col min="2" max="2" width="73.1796875" customWidth="1"/>
  </cols>
  <sheetData>
    <row r="1" spans="2:2" ht="15" thickBot="1" x14ac:dyDescent="0.4"/>
    <row r="2" spans="2:2" ht="15" thickBot="1" x14ac:dyDescent="0.4">
      <c r="B2" s="105" t="s">
        <v>422</v>
      </c>
    </row>
    <row r="3" spans="2:2" ht="70.5" customHeight="1" x14ac:dyDescent="0.35">
      <c r="B3" s="106" t="s">
        <v>429</v>
      </c>
    </row>
    <row r="4" spans="2:2" ht="58" x14ac:dyDescent="0.35">
      <c r="B4" s="103" t="s">
        <v>423</v>
      </c>
    </row>
    <row r="5" spans="2:2" x14ac:dyDescent="0.35">
      <c r="B5" s="103"/>
    </row>
    <row r="6" spans="2:2" ht="58" x14ac:dyDescent="0.35">
      <c r="B6" s="102" t="s">
        <v>424</v>
      </c>
    </row>
    <row r="7" spans="2:2" x14ac:dyDescent="0.35">
      <c r="B7" s="103"/>
    </row>
    <row r="8" spans="2:2" ht="72.5" x14ac:dyDescent="0.35">
      <c r="B8" s="102" t="s">
        <v>430</v>
      </c>
    </row>
    <row r="9" spans="2:2" x14ac:dyDescent="0.35">
      <c r="B9" s="103"/>
    </row>
    <row r="10" spans="2:2" ht="29" x14ac:dyDescent="0.35">
      <c r="B10" s="103" t="s">
        <v>425</v>
      </c>
    </row>
    <row r="11" spans="2:2" x14ac:dyDescent="0.35">
      <c r="B11" s="103"/>
    </row>
    <row r="12" spans="2:2" ht="72.5" x14ac:dyDescent="0.35">
      <c r="B12" s="102" t="s">
        <v>431</v>
      </c>
    </row>
    <row r="13" spans="2:2" x14ac:dyDescent="0.35">
      <c r="B13" s="103"/>
    </row>
    <row r="14" spans="2:2" ht="58.5" thickBot="1" x14ac:dyDescent="0.4">
      <c r="B14" s="104" t="s">
        <v>426</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34"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332" t="s">
        <v>365</v>
      </c>
      <c r="C2" s="333"/>
      <c r="D2" s="334"/>
    </row>
    <row r="3" spans="2:4" ht="15" thickBot="1" x14ac:dyDescent="0.4">
      <c r="B3" s="335"/>
      <c r="C3" s="336"/>
      <c r="D3" s="337"/>
    </row>
    <row r="4" spans="2:4" ht="15" thickBot="1" x14ac:dyDescent="0.4"/>
    <row r="5" spans="2:4" x14ac:dyDescent="0.35">
      <c r="B5" s="323" t="s">
        <v>15</v>
      </c>
      <c r="C5" s="324"/>
      <c r="D5" s="325"/>
    </row>
    <row r="6" spans="2:4" ht="15" thickBot="1" x14ac:dyDescent="0.4">
      <c r="B6" s="326"/>
      <c r="C6" s="327"/>
      <c r="D6" s="328"/>
    </row>
    <row r="7" spans="2:4" x14ac:dyDescent="0.35">
      <c r="B7" s="62" t="s">
        <v>16</v>
      </c>
      <c r="C7" s="321" t="e">
        <f>SUM(#REF!,#REF!,#REF!,#REF!)</f>
        <v>#REF!</v>
      </c>
      <c r="D7" s="322"/>
    </row>
    <row r="8" spans="2:4" x14ac:dyDescent="0.35">
      <c r="B8" s="62" t="s">
        <v>363</v>
      </c>
      <c r="C8" s="319" t="e">
        <f>SUM(D10:D14)</f>
        <v>#REF!</v>
      </c>
      <c r="D8" s="320"/>
    </row>
    <row r="9" spans="2:4" x14ac:dyDescent="0.35">
      <c r="B9" s="63" t="s">
        <v>357</v>
      </c>
      <c r="C9" s="64" t="s">
        <v>358</v>
      </c>
      <c r="D9" s="65" t="s">
        <v>359</v>
      </c>
    </row>
    <row r="10" spans="2:4" ht="35.15" customHeight="1" x14ac:dyDescent="0.35">
      <c r="B10" s="81"/>
      <c r="C10" s="67"/>
      <c r="D10" s="68" t="e">
        <f>$C$7*C10</f>
        <v>#REF!</v>
      </c>
    </row>
    <row r="11" spans="2:4" ht="35.15" customHeight="1" x14ac:dyDescent="0.35">
      <c r="B11" s="81"/>
      <c r="C11" s="67"/>
      <c r="D11" s="68" t="e">
        <f>C7*C11</f>
        <v>#REF!</v>
      </c>
    </row>
    <row r="12" spans="2:4" ht="35.15" customHeight="1" x14ac:dyDescent="0.35">
      <c r="B12" s="82"/>
      <c r="C12" s="67"/>
      <c r="D12" s="68" t="e">
        <f>C7*C12</f>
        <v>#REF!</v>
      </c>
    </row>
    <row r="13" spans="2:4" ht="35.15" customHeight="1" x14ac:dyDescent="0.35">
      <c r="B13" s="82"/>
      <c r="C13" s="67"/>
      <c r="D13" s="68" t="e">
        <f>C7*C13</f>
        <v>#REF!</v>
      </c>
    </row>
    <row r="14" spans="2:4" ht="35.15" customHeight="1" thickBot="1" x14ac:dyDescent="0.4">
      <c r="B14" s="83"/>
      <c r="C14" s="67"/>
      <c r="D14" s="72" t="e">
        <f>C7*C14</f>
        <v>#REF!</v>
      </c>
    </row>
    <row r="15" spans="2:4" ht="15" thickBot="1" x14ac:dyDescent="0.4"/>
    <row r="16" spans="2:4" x14ac:dyDescent="0.35">
      <c r="B16" s="323" t="s">
        <v>360</v>
      </c>
      <c r="C16" s="324"/>
      <c r="D16" s="325"/>
    </row>
    <row r="17" spans="2:4" ht="15" thickBot="1" x14ac:dyDescent="0.4">
      <c r="B17" s="329"/>
      <c r="C17" s="330"/>
      <c r="D17" s="331"/>
    </row>
    <row r="18" spans="2:4" x14ac:dyDescent="0.35">
      <c r="B18" s="62" t="s">
        <v>16</v>
      </c>
      <c r="C18" s="321" t="e">
        <f>SUM(#REF!,#REF!,#REF!,#REF!)</f>
        <v>#REF!</v>
      </c>
      <c r="D18" s="322"/>
    </row>
    <row r="19" spans="2:4" x14ac:dyDescent="0.35">
      <c r="B19" s="62" t="s">
        <v>363</v>
      </c>
      <c r="C19" s="319" t="e">
        <f>SUM(D21:D25)</f>
        <v>#REF!</v>
      </c>
      <c r="D19" s="320"/>
    </row>
    <row r="20" spans="2:4" x14ac:dyDescent="0.35">
      <c r="B20" s="63" t="s">
        <v>357</v>
      </c>
      <c r="C20" s="64" t="s">
        <v>358</v>
      </c>
      <c r="D20" s="65" t="s">
        <v>359</v>
      </c>
    </row>
    <row r="21" spans="2:4" ht="35.15" customHeight="1" x14ac:dyDescent="0.35">
      <c r="B21" s="66"/>
      <c r="C21" s="67"/>
      <c r="D21" s="68" t="e">
        <f>$C$18*C21</f>
        <v>#REF!</v>
      </c>
    </row>
    <row r="22" spans="2:4" ht="35.15" customHeight="1" x14ac:dyDescent="0.35">
      <c r="B22" s="69"/>
      <c r="C22" s="67"/>
      <c r="D22" s="68" t="e">
        <f>$C$18*C22</f>
        <v>#REF!</v>
      </c>
    </row>
    <row r="23" spans="2:4" ht="35.15" customHeight="1" x14ac:dyDescent="0.35">
      <c r="B23" s="70"/>
      <c r="C23" s="67"/>
      <c r="D23" s="68" t="e">
        <f>$C$18*C23</f>
        <v>#REF!</v>
      </c>
    </row>
    <row r="24" spans="2:4" ht="35.15" customHeight="1" x14ac:dyDescent="0.35">
      <c r="B24" s="70"/>
      <c r="C24" s="67"/>
      <c r="D24" s="68" t="e">
        <f>$C$18*C24</f>
        <v>#REF!</v>
      </c>
    </row>
    <row r="25" spans="2:4" ht="35.15" customHeight="1" thickBot="1" x14ac:dyDescent="0.4">
      <c r="B25" s="71"/>
      <c r="C25" s="67"/>
      <c r="D25" s="68" t="e">
        <f>$C$18*C25</f>
        <v>#REF!</v>
      </c>
    </row>
    <row r="26" spans="2:4" ht="15" thickBot="1" x14ac:dyDescent="0.4"/>
    <row r="27" spans="2:4" x14ac:dyDescent="0.35">
      <c r="B27" s="323" t="s">
        <v>361</v>
      </c>
      <c r="C27" s="324"/>
      <c r="D27" s="325"/>
    </row>
    <row r="28" spans="2:4" ht="15" thickBot="1" x14ac:dyDescent="0.4">
      <c r="B28" s="326"/>
      <c r="C28" s="327"/>
      <c r="D28" s="328"/>
    </row>
    <row r="29" spans="2:4" x14ac:dyDescent="0.35">
      <c r="B29" s="62" t="s">
        <v>16</v>
      </c>
      <c r="C29" s="321" t="e">
        <f>SUM(#REF!,#REF!,#REF!,#REF!)</f>
        <v>#REF!</v>
      </c>
      <c r="D29" s="322"/>
    </row>
    <row r="30" spans="2:4" x14ac:dyDescent="0.35">
      <c r="B30" s="62" t="s">
        <v>363</v>
      </c>
      <c r="C30" s="319" t="e">
        <f>SUM(D32:D36)</f>
        <v>#REF!</v>
      </c>
      <c r="D30" s="320"/>
    </row>
    <row r="31" spans="2:4" x14ac:dyDescent="0.35">
      <c r="B31" s="63" t="s">
        <v>357</v>
      </c>
      <c r="C31" s="64" t="s">
        <v>358</v>
      </c>
      <c r="D31" s="65" t="s">
        <v>359</v>
      </c>
    </row>
    <row r="32" spans="2:4" ht="35.15" customHeight="1" x14ac:dyDescent="0.35">
      <c r="B32" s="66"/>
      <c r="C32" s="67"/>
      <c r="D32" s="68" t="e">
        <f>$C$29*C32</f>
        <v>#REF!</v>
      </c>
    </row>
    <row r="33" spans="2:4" ht="35.15" customHeight="1" x14ac:dyDescent="0.35">
      <c r="B33" s="69"/>
      <c r="C33" s="67"/>
      <c r="D33" s="68" t="e">
        <f>$C$29*C33</f>
        <v>#REF!</v>
      </c>
    </row>
    <row r="34" spans="2:4" ht="35.15" customHeight="1" x14ac:dyDescent="0.35">
      <c r="B34" s="70"/>
      <c r="C34" s="67"/>
      <c r="D34" s="68" t="e">
        <f>$C$29*C34</f>
        <v>#REF!</v>
      </c>
    </row>
    <row r="35" spans="2:4" ht="35.15" customHeight="1" x14ac:dyDescent="0.35">
      <c r="B35" s="70"/>
      <c r="C35" s="67"/>
      <c r="D35" s="68" t="e">
        <f>$C$29*C35</f>
        <v>#REF!</v>
      </c>
    </row>
    <row r="36" spans="2:4" ht="35.15" customHeight="1" thickBot="1" x14ac:dyDescent="0.4">
      <c r="B36" s="71"/>
      <c r="C36" s="67"/>
      <c r="D36" s="68" t="e">
        <f>$C$29*C36</f>
        <v>#REF!</v>
      </c>
    </row>
    <row r="37" spans="2:4" ht="15" thickBot="1" x14ac:dyDescent="0.4"/>
    <row r="38" spans="2:4" x14ac:dyDescent="0.35">
      <c r="B38" s="323" t="s">
        <v>362</v>
      </c>
      <c r="C38" s="324"/>
      <c r="D38" s="325"/>
    </row>
    <row r="39" spans="2:4" ht="15" thickBot="1" x14ac:dyDescent="0.4">
      <c r="B39" s="326"/>
      <c r="C39" s="327"/>
      <c r="D39" s="328"/>
    </row>
    <row r="40" spans="2:4" x14ac:dyDescent="0.35">
      <c r="B40" s="62" t="s">
        <v>16</v>
      </c>
      <c r="C40" s="321" t="e">
        <f>SUM(#REF!,#REF!,#REF!,#REF!)</f>
        <v>#REF!</v>
      </c>
      <c r="D40" s="322"/>
    </row>
    <row r="41" spans="2:4" x14ac:dyDescent="0.35">
      <c r="B41" s="62" t="s">
        <v>363</v>
      </c>
      <c r="C41" s="319" t="e">
        <f>SUM(D43:D47)</f>
        <v>#REF!</v>
      </c>
      <c r="D41" s="320"/>
    </row>
    <row r="42" spans="2:4" x14ac:dyDescent="0.35">
      <c r="B42" s="63" t="s">
        <v>357</v>
      </c>
      <c r="C42" s="64" t="s">
        <v>358</v>
      </c>
      <c r="D42" s="65" t="s">
        <v>359</v>
      </c>
    </row>
    <row r="43" spans="2:4" ht="35.15" customHeight="1" x14ac:dyDescent="0.35">
      <c r="B43" s="66"/>
      <c r="C43" s="67"/>
      <c r="D43" s="68" t="e">
        <f>$C$40*C43</f>
        <v>#REF!</v>
      </c>
    </row>
    <row r="44" spans="2:4" ht="35.15" customHeight="1" x14ac:dyDescent="0.35">
      <c r="B44" s="69"/>
      <c r="C44" s="67"/>
      <c r="D44" s="68" t="e">
        <f>$C$40*C44</f>
        <v>#REF!</v>
      </c>
    </row>
    <row r="45" spans="2:4" ht="35.15" customHeight="1" x14ac:dyDescent="0.35">
      <c r="B45" s="70"/>
      <c r="C45" s="67"/>
      <c r="D45" s="68" t="e">
        <f>$C$40*C45</f>
        <v>#REF!</v>
      </c>
    </row>
    <row r="46" spans="2:4" ht="35.15" customHeight="1" x14ac:dyDescent="0.35">
      <c r="B46" s="70"/>
      <c r="C46" s="67"/>
      <c r="D46" s="68" t="e">
        <f>$C$40*C46</f>
        <v>#REF!</v>
      </c>
    </row>
    <row r="47" spans="2:4" ht="35.15" customHeight="1" thickBot="1" x14ac:dyDescent="0.4">
      <c r="B47" s="71"/>
      <c r="C47" s="67"/>
      <c r="D47" s="72" t="e">
        <f>$C$40*C47</f>
        <v>#REF!</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zoomScale="80" zoomScaleNormal="80" workbookViewId="0">
      <selection activeCell="C19" sqref="C19"/>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81640625" customWidth="1"/>
    <col min="9" max="10" width="15.81640625" bestFit="1" customWidth="1"/>
    <col min="11" max="11" width="11.1796875" bestFit="1" customWidth="1"/>
  </cols>
  <sheetData>
    <row r="1" spans="2:6" ht="15" thickBot="1" x14ac:dyDescent="0.4"/>
    <row r="2" spans="2:6" s="56" customFormat="1" ht="15.5" x14ac:dyDescent="0.35">
      <c r="B2" s="339" t="s">
        <v>12</v>
      </c>
      <c r="C2" s="340"/>
      <c r="D2" s="340"/>
      <c r="E2" s="340"/>
      <c r="F2" s="341"/>
    </row>
    <row r="3" spans="2:6" s="56" customFormat="1" ht="16" thickBot="1" x14ac:dyDescent="0.4">
      <c r="B3" s="342"/>
      <c r="C3" s="343"/>
      <c r="D3" s="343"/>
      <c r="E3" s="343"/>
      <c r="F3" s="344"/>
    </row>
    <row r="4" spans="2:6" s="56" customFormat="1" ht="16" thickBot="1" x14ac:dyDescent="0.4"/>
    <row r="5" spans="2:6" s="56" customFormat="1" ht="16" thickBot="1" x14ac:dyDescent="0.4">
      <c r="B5" s="316" t="s">
        <v>6</v>
      </c>
      <c r="C5" s="317"/>
      <c r="D5" s="317"/>
      <c r="E5" s="317"/>
      <c r="F5" s="338"/>
    </row>
    <row r="6" spans="2:6" s="56" customFormat="1" ht="52.5" customHeight="1" x14ac:dyDescent="0.35">
      <c r="B6" s="54"/>
      <c r="C6" s="40" t="e">
        <f>#REF!</f>
        <v>#REF!</v>
      </c>
      <c r="D6" s="40" t="e">
        <f>#REF!</f>
        <v>#REF!</v>
      </c>
      <c r="E6" s="40" t="e">
        <f>#REF!</f>
        <v>#REF!</v>
      </c>
      <c r="F6" s="15" t="s">
        <v>6</v>
      </c>
    </row>
    <row r="7" spans="2:6" s="56" customFormat="1" ht="31" x14ac:dyDescent="0.35">
      <c r="B7" s="10" t="s">
        <v>0</v>
      </c>
      <c r="C7" s="55">
        <f>'2) Tableau budgétaire 2'!D112</f>
        <v>129291</v>
      </c>
      <c r="D7" s="55">
        <f>'2) Tableau budgétaire 2'!E112</f>
        <v>150100</v>
      </c>
      <c r="E7" s="55">
        <f>'2) Tableau budgétaire 2'!F112</f>
        <v>0</v>
      </c>
      <c r="F7" s="52">
        <f t="shared" ref="F7:F14" si="0">SUM(C7:E7)</f>
        <v>279391</v>
      </c>
    </row>
    <row r="8" spans="2:6" s="56" customFormat="1" ht="46.5" x14ac:dyDescent="0.35">
      <c r="B8" s="10" t="s">
        <v>1</v>
      </c>
      <c r="C8" s="55">
        <f>'2) Tableau budgétaire 2'!D113</f>
        <v>194820</v>
      </c>
      <c r="D8" s="55">
        <f>'2) Tableau budgétaire 2'!E113</f>
        <v>14743</v>
      </c>
      <c r="E8" s="55">
        <f>'2) Tableau budgétaire 2'!F113</f>
        <v>0</v>
      </c>
      <c r="F8" s="53">
        <f t="shared" si="0"/>
        <v>209563</v>
      </c>
    </row>
    <row r="9" spans="2:6" s="56" customFormat="1" ht="62" x14ac:dyDescent="0.35">
      <c r="B9" s="10" t="s">
        <v>2</v>
      </c>
      <c r="C9" s="55">
        <f>'2) Tableau budgétaire 2'!D114</f>
        <v>5044</v>
      </c>
      <c r="D9" s="55">
        <f>'2) Tableau budgétaire 2'!E114</f>
        <v>11000</v>
      </c>
      <c r="E9" s="55">
        <f>'2) Tableau budgétaire 2'!F114</f>
        <v>0</v>
      </c>
      <c r="F9" s="53">
        <f t="shared" si="0"/>
        <v>16044</v>
      </c>
    </row>
    <row r="10" spans="2:6" s="56" customFormat="1" ht="31" x14ac:dyDescent="0.35">
      <c r="B10" s="19" t="s">
        <v>3</v>
      </c>
      <c r="C10" s="55">
        <f>'2) Tableau budgétaire 2'!D115</f>
        <v>2725</v>
      </c>
      <c r="D10" s="55">
        <f>'2) Tableau budgétaire 2'!E115</f>
        <v>30500</v>
      </c>
      <c r="E10" s="55">
        <f>'2) Tableau budgétaire 2'!F115</f>
        <v>0</v>
      </c>
      <c r="F10" s="53">
        <f t="shared" si="0"/>
        <v>33225</v>
      </c>
    </row>
    <row r="11" spans="2:6" s="56" customFormat="1" ht="15.5" x14ac:dyDescent="0.35">
      <c r="B11" s="10" t="s">
        <v>5</v>
      </c>
      <c r="C11" s="55">
        <f>'2) Tableau budgétaire 2'!D116</f>
        <v>22000</v>
      </c>
      <c r="D11" s="55">
        <f>'2) Tableau budgétaire 2'!E116</f>
        <v>41500</v>
      </c>
      <c r="E11" s="55">
        <f>'2) Tableau budgétaire 2'!F116</f>
        <v>0</v>
      </c>
      <c r="F11" s="53">
        <f t="shared" si="0"/>
        <v>63500</v>
      </c>
    </row>
    <row r="12" spans="2:6" s="56" customFormat="1" ht="46.5" x14ac:dyDescent="0.35">
      <c r="B12" s="10" t="s">
        <v>4</v>
      </c>
      <c r="C12" s="55">
        <f>'2) Tableau budgétaire 2'!D117</f>
        <v>360000</v>
      </c>
      <c r="D12" s="55">
        <f>'2) Tableau budgétaire 2'!E117</f>
        <v>241200</v>
      </c>
      <c r="E12" s="55">
        <f>'2) Tableau budgétaire 2'!F117</f>
        <v>0</v>
      </c>
      <c r="F12" s="53">
        <f t="shared" si="0"/>
        <v>601200</v>
      </c>
    </row>
    <row r="13" spans="2:6" s="56" customFormat="1" ht="31.5" thickBot="1" x14ac:dyDescent="0.4">
      <c r="B13" s="111" t="s">
        <v>13</v>
      </c>
      <c r="C13" s="112">
        <f>'2) Tableau budgétaire 2'!D118</f>
        <v>127241.5</v>
      </c>
      <c r="D13" s="112">
        <f>'2) Tableau budgétaire 2'!E118</f>
        <v>71704.67</v>
      </c>
      <c r="E13" s="112">
        <f>'2) Tableau budgétaire 2'!F118</f>
        <v>0</v>
      </c>
      <c r="F13" s="113">
        <f t="shared" si="0"/>
        <v>198946.16999999998</v>
      </c>
    </row>
    <row r="14" spans="2:6" s="56" customFormat="1" ht="30" customHeight="1" x14ac:dyDescent="0.35">
      <c r="B14" s="116" t="s">
        <v>433</v>
      </c>
      <c r="C14" s="117">
        <f>SUM(C7:C13)</f>
        <v>841121.5</v>
      </c>
      <c r="D14" s="117">
        <f>SUM(D7:D13)</f>
        <v>560747.67000000004</v>
      </c>
      <c r="E14" s="117">
        <f>SUM(E7:E13)</f>
        <v>0</v>
      </c>
      <c r="F14" s="118">
        <f t="shared" si="0"/>
        <v>1401869.17</v>
      </c>
    </row>
    <row r="15" spans="2:6" s="56" customFormat="1" ht="22.5" customHeight="1" x14ac:dyDescent="0.35">
      <c r="B15" s="107" t="s">
        <v>432</v>
      </c>
      <c r="C15" s="108">
        <f>C14*0.07</f>
        <v>58878.505000000005</v>
      </c>
      <c r="D15" s="108">
        <f t="shared" ref="D15:F15" si="1">D14*0.07</f>
        <v>39252.336900000009</v>
      </c>
      <c r="E15" s="108">
        <f t="shared" si="1"/>
        <v>0</v>
      </c>
      <c r="F15" s="114">
        <f t="shared" si="1"/>
        <v>98130.841899999999</v>
      </c>
    </row>
    <row r="16" spans="2:6" s="56" customFormat="1" ht="30" customHeight="1" thickBot="1" x14ac:dyDescent="0.4">
      <c r="B16" s="109" t="s">
        <v>11</v>
      </c>
      <c r="C16" s="110">
        <f>C14+C15</f>
        <v>900000.005</v>
      </c>
      <c r="D16" s="110">
        <f t="shared" ref="D16:F16" si="2">D14+D15</f>
        <v>600000.00690000004</v>
      </c>
      <c r="E16" s="110">
        <f t="shared" si="2"/>
        <v>0</v>
      </c>
      <c r="F16" s="115">
        <f t="shared" si="2"/>
        <v>1500000.0118999998</v>
      </c>
    </row>
    <row r="17" spans="2:7" s="56" customFormat="1" ht="16" thickBot="1" x14ac:dyDescent="0.4"/>
    <row r="18" spans="2:7" s="56" customFormat="1" ht="15.5" x14ac:dyDescent="0.35">
      <c r="B18" s="278" t="s">
        <v>7</v>
      </c>
      <c r="C18" s="279"/>
      <c r="D18" s="279"/>
      <c r="E18" s="279"/>
      <c r="F18" s="281"/>
    </row>
    <row r="19" spans="2:7" ht="48" customHeight="1" x14ac:dyDescent="0.35">
      <c r="B19" s="17"/>
      <c r="C19" s="15" t="e">
        <f>#REF!</f>
        <v>#REF!</v>
      </c>
      <c r="D19" s="15" t="e">
        <f>#REF!</f>
        <v>#REF!</v>
      </c>
      <c r="E19" s="15" t="e">
        <f>#REF!</f>
        <v>#REF!</v>
      </c>
      <c r="F19" s="18" t="s">
        <v>364</v>
      </c>
      <c r="G19" s="122" t="s">
        <v>9</v>
      </c>
    </row>
    <row r="20" spans="2:7" ht="23.25" customHeight="1" x14ac:dyDescent="0.35">
      <c r="B20" s="16" t="s">
        <v>8</v>
      </c>
      <c r="C20" s="14" t="e">
        <f>#REF!</f>
        <v>#REF!</v>
      </c>
      <c r="D20" s="14" t="e">
        <f>#REF!</f>
        <v>#REF!</v>
      </c>
      <c r="E20" s="14" t="e">
        <f>#REF!</f>
        <v>#REF!</v>
      </c>
      <c r="F20" s="121" t="e">
        <f>#REF!</f>
        <v>#REF!</v>
      </c>
      <c r="G20" s="123" t="e">
        <f>#REF!</f>
        <v>#REF!</v>
      </c>
    </row>
    <row r="21" spans="2:7" ht="24.75" customHeight="1" x14ac:dyDescent="0.35">
      <c r="B21" s="16" t="s">
        <v>10</v>
      </c>
      <c r="C21" s="14" t="e">
        <f>#REF!</f>
        <v>#REF!</v>
      </c>
      <c r="D21" s="14" t="e">
        <f>#REF!</f>
        <v>#REF!</v>
      </c>
      <c r="E21" s="14" t="e">
        <f>#REF!</f>
        <v>#REF!</v>
      </c>
      <c r="F21" s="121" t="e">
        <f>#REF!</f>
        <v>#REF!</v>
      </c>
      <c r="G21" s="123" t="e">
        <f>#REF!</f>
        <v>#REF!</v>
      </c>
    </row>
    <row r="22" spans="2:7" ht="24.75" customHeight="1" thickBot="1" x14ac:dyDescent="0.4">
      <c r="B22" s="16" t="s">
        <v>439</v>
      </c>
      <c r="C22" s="14" t="e">
        <f>#REF!</f>
        <v>#REF!</v>
      </c>
      <c r="D22" s="14" t="e">
        <f>#REF!</f>
        <v>#REF!</v>
      </c>
      <c r="E22" s="14" t="e">
        <f>#REF!</f>
        <v>#REF!</v>
      </c>
      <c r="F22" s="121" t="e">
        <f>#REF!</f>
        <v>#REF!</v>
      </c>
      <c r="G22" s="124" t="e">
        <f>#REF!</f>
        <v>#REF!</v>
      </c>
    </row>
    <row r="23" spans="2:7" ht="16" thickBot="1" x14ac:dyDescent="0.4">
      <c r="B23" s="6" t="s">
        <v>364</v>
      </c>
      <c r="C23" s="125" t="e">
        <f>#REF!</f>
        <v>#REF!</v>
      </c>
      <c r="D23" s="125" t="e">
        <f>#REF!</f>
        <v>#REF!</v>
      </c>
      <c r="E23" s="125" t="e">
        <f>#REF!</f>
        <v>#REF!</v>
      </c>
      <c r="F23" s="125" t="e">
        <f>#REF!</f>
        <v>#REF!</v>
      </c>
    </row>
  </sheetData>
  <sheetProtection sheet="1" objects="1" scenarios="1" formatCells="0" formatColumns="0" formatRows="0"/>
  <mergeCells count="3">
    <mergeCell ref="B18:F18"/>
    <mergeCell ref="B5:F5"/>
    <mergeCell ref="B2:F3"/>
  </mergeCells>
  <conditionalFormatting sqref="F16">
    <cfRule type="cellIs" dxfId="0" priority="1" operator="notEqual">
      <formula>#REF!</formula>
    </cfRule>
  </conditionalFormatting>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93">
        <v>0</v>
      </c>
    </row>
    <row r="2" spans="1:1" x14ac:dyDescent="0.35">
      <c r="A2" s="93">
        <v>0.2</v>
      </c>
    </row>
    <row r="3" spans="1:1" x14ac:dyDescent="0.35">
      <c r="A3" s="93">
        <v>0.4</v>
      </c>
    </row>
    <row r="4" spans="1:1" x14ac:dyDescent="0.35">
      <c r="A4" s="93">
        <v>0.6</v>
      </c>
    </row>
    <row r="5" spans="1:1" x14ac:dyDescent="0.35">
      <c r="A5" s="93">
        <v>0.8</v>
      </c>
    </row>
    <row r="6" spans="1:1" x14ac:dyDescent="0.35">
      <c r="A6" s="93">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57" t="s">
        <v>17</v>
      </c>
      <c r="B1" s="58" t="s">
        <v>18</v>
      </c>
    </row>
    <row r="2" spans="1:2" x14ac:dyDescent="0.35">
      <c r="A2" s="59" t="s">
        <v>19</v>
      </c>
      <c r="B2" s="60" t="s">
        <v>20</v>
      </c>
    </row>
    <row r="3" spans="1:2" x14ac:dyDescent="0.35">
      <c r="A3" s="59" t="s">
        <v>21</v>
      </c>
      <c r="B3" s="60" t="s">
        <v>22</v>
      </c>
    </row>
    <row r="4" spans="1:2" x14ac:dyDescent="0.35">
      <c r="A4" s="59" t="s">
        <v>23</v>
      </c>
      <c r="B4" s="60" t="s">
        <v>24</v>
      </c>
    </row>
    <row r="5" spans="1:2" x14ac:dyDescent="0.35">
      <c r="A5" s="59" t="s">
        <v>25</v>
      </c>
      <c r="B5" s="60" t="s">
        <v>26</v>
      </c>
    </row>
    <row r="6" spans="1:2" x14ac:dyDescent="0.35">
      <c r="A6" s="59" t="s">
        <v>27</v>
      </c>
      <c r="B6" s="60" t="s">
        <v>28</v>
      </c>
    </row>
    <row r="7" spans="1:2" x14ac:dyDescent="0.35">
      <c r="A7" s="59" t="s">
        <v>29</v>
      </c>
      <c r="B7" s="60" t="s">
        <v>30</v>
      </c>
    </row>
    <row r="8" spans="1:2" x14ac:dyDescent="0.35">
      <c r="A8" s="59" t="s">
        <v>31</v>
      </c>
      <c r="B8" s="60" t="s">
        <v>32</v>
      </c>
    </row>
    <row r="9" spans="1:2" x14ac:dyDescent="0.35">
      <c r="A9" s="59" t="s">
        <v>33</v>
      </c>
      <c r="B9" s="60" t="s">
        <v>34</v>
      </c>
    </row>
    <row r="10" spans="1:2" x14ac:dyDescent="0.35">
      <c r="A10" s="59" t="s">
        <v>35</v>
      </c>
      <c r="B10" s="60" t="s">
        <v>36</v>
      </c>
    </row>
    <row r="11" spans="1:2" x14ac:dyDescent="0.35">
      <c r="A11" s="59" t="s">
        <v>37</v>
      </c>
      <c r="B11" s="60" t="s">
        <v>38</v>
      </c>
    </row>
    <row r="12" spans="1:2" x14ac:dyDescent="0.35">
      <c r="A12" s="59" t="s">
        <v>39</v>
      </c>
      <c r="B12" s="60" t="s">
        <v>40</v>
      </c>
    </row>
    <row r="13" spans="1:2" x14ac:dyDescent="0.35">
      <c r="A13" s="59" t="s">
        <v>41</v>
      </c>
      <c r="B13" s="60" t="s">
        <v>42</v>
      </c>
    </row>
    <row r="14" spans="1:2" x14ac:dyDescent="0.35">
      <c r="A14" s="59" t="s">
        <v>43</v>
      </c>
      <c r="B14" s="60" t="s">
        <v>44</v>
      </c>
    </row>
    <row r="15" spans="1:2" x14ac:dyDescent="0.35">
      <c r="A15" s="59" t="s">
        <v>45</v>
      </c>
      <c r="B15" s="60" t="s">
        <v>46</v>
      </c>
    </row>
    <row r="16" spans="1:2" x14ac:dyDescent="0.35">
      <c r="A16" s="59" t="s">
        <v>47</v>
      </c>
      <c r="B16" s="60" t="s">
        <v>48</v>
      </c>
    </row>
    <row r="17" spans="1:2" x14ac:dyDescent="0.35">
      <c r="A17" s="59" t="s">
        <v>49</v>
      </c>
      <c r="B17" s="60" t="s">
        <v>50</v>
      </c>
    </row>
    <row r="18" spans="1:2" x14ac:dyDescent="0.35">
      <c r="A18" s="59" t="s">
        <v>51</v>
      </c>
      <c r="B18" s="60" t="s">
        <v>52</v>
      </c>
    </row>
    <row r="19" spans="1:2" x14ac:dyDescent="0.35">
      <c r="A19" s="59" t="s">
        <v>53</v>
      </c>
      <c r="B19" s="60" t="s">
        <v>54</v>
      </c>
    </row>
    <row r="20" spans="1:2" x14ac:dyDescent="0.35">
      <c r="A20" s="59" t="s">
        <v>55</v>
      </c>
      <c r="B20" s="60" t="s">
        <v>56</v>
      </c>
    </row>
    <row r="21" spans="1:2" x14ac:dyDescent="0.35">
      <c r="A21" s="59" t="s">
        <v>57</v>
      </c>
      <c r="B21" s="60" t="s">
        <v>58</v>
      </c>
    </row>
    <row r="22" spans="1:2" x14ac:dyDescent="0.35">
      <c r="A22" s="59" t="s">
        <v>59</v>
      </c>
      <c r="B22" s="60" t="s">
        <v>60</v>
      </c>
    </row>
    <row r="23" spans="1:2" x14ac:dyDescent="0.35">
      <c r="A23" s="59" t="s">
        <v>61</v>
      </c>
      <c r="B23" s="60" t="s">
        <v>62</v>
      </c>
    </row>
    <row r="24" spans="1:2" x14ac:dyDescent="0.35">
      <c r="A24" s="59" t="s">
        <v>63</v>
      </c>
      <c r="B24" s="60" t="s">
        <v>64</v>
      </c>
    </row>
    <row r="25" spans="1:2" x14ac:dyDescent="0.35">
      <c r="A25" s="59" t="s">
        <v>65</v>
      </c>
      <c r="B25" s="60" t="s">
        <v>66</v>
      </c>
    </row>
    <row r="26" spans="1:2" x14ac:dyDescent="0.35">
      <c r="A26" s="59" t="s">
        <v>67</v>
      </c>
      <c r="B26" s="60" t="s">
        <v>68</v>
      </c>
    </row>
    <row r="27" spans="1:2" x14ac:dyDescent="0.35">
      <c r="A27" s="59" t="s">
        <v>69</v>
      </c>
      <c r="B27" s="60" t="s">
        <v>70</v>
      </c>
    </row>
    <row r="28" spans="1:2" x14ac:dyDescent="0.35">
      <c r="A28" s="59" t="s">
        <v>71</v>
      </c>
      <c r="B28" s="60" t="s">
        <v>72</v>
      </c>
    </row>
    <row r="29" spans="1:2" x14ac:dyDescent="0.35">
      <c r="A29" s="59" t="s">
        <v>73</v>
      </c>
      <c r="B29" s="60" t="s">
        <v>74</v>
      </c>
    </row>
    <row r="30" spans="1:2" x14ac:dyDescent="0.35">
      <c r="A30" s="59" t="s">
        <v>75</v>
      </c>
      <c r="B30" s="60" t="s">
        <v>76</v>
      </c>
    </row>
    <row r="31" spans="1:2" x14ac:dyDescent="0.35">
      <c r="A31" s="59" t="s">
        <v>77</v>
      </c>
      <c r="B31" s="60" t="s">
        <v>78</v>
      </c>
    </row>
    <row r="32" spans="1:2" x14ac:dyDescent="0.35">
      <c r="A32" s="59" t="s">
        <v>79</v>
      </c>
      <c r="B32" s="60" t="s">
        <v>80</v>
      </c>
    </row>
    <row r="33" spans="1:2" x14ac:dyDescent="0.35">
      <c r="A33" s="59" t="s">
        <v>81</v>
      </c>
      <c r="B33" s="60" t="s">
        <v>82</v>
      </c>
    </row>
    <row r="34" spans="1:2" x14ac:dyDescent="0.35">
      <c r="A34" s="59" t="s">
        <v>83</v>
      </c>
      <c r="B34" s="60" t="s">
        <v>84</v>
      </c>
    </row>
    <row r="35" spans="1:2" x14ac:dyDescent="0.35">
      <c r="A35" s="59" t="s">
        <v>85</v>
      </c>
      <c r="B35" s="60" t="s">
        <v>86</v>
      </c>
    </row>
    <row r="36" spans="1:2" x14ac:dyDescent="0.35">
      <c r="A36" s="59" t="s">
        <v>87</v>
      </c>
      <c r="B36" s="60" t="s">
        <v>88</v>
      </c>
    </row>
    <row r="37" spans="1:2" x14ac:dyDescent="0.35">
      <c r="A37" s="59" t="s">
        <v>89</v>
      </c>
      <c r="B37" s="60" t="s">
        <v>90</v>
      </c>
    </row>
    <row r="38" spans="1:2" x14ac:dyDescent="0.35">
      <c r="A38" s="59" t="s">
        <v>91</v>
      </c>
      <c r="B38" s="60" t="s">
        <v>92</v>
      </c>
    </row>
    <row r="39" spans="1:2" x14ac:dyDescent="0.35">
      <c r="A39" s="59" t="s">
        <v>93</v>
      </c>
      <c r="B39" s="60" t="s">
        <v>94</v>
      </c>
    </row>
    <row r="40" spans="1:2" x14ac:dyDescent="0.35">
      <c r="A40" s="59" t="s">
        <v>95</v>
      </c>
      <c r="B40" s="60" t="s">
        <v>96</v>
      </c>
    </row>
    <row r="41" spans="1:2" x14ac:dyDescent="0.35">
      <c r="A41" s="59" t="s">
        <v>97</v>
      </c>
      <c r="B41" s="60" t="s">
        <v>98</v>
      </c>
    </row>
    <row r="42" spans="1:2" x14ac:dyDescent="0.35">
      <c r="A42" s="59" t="s">
        <v>99</v>
      </c>
      <c r="B42" s="60" t="s">
        <v>100</v>
      </c>
    </row>
    <row r="43" spans="1:2" x14ac:dyDescent="0.35">
      <c r="A43" s="59" t="s">
        <v>101</v>
      </c>
      <c r="B43" s="60" t="s">
        <v>102</v>
      </c>
    </row>
    <row r="44" spans="1:2" x14ac:dyDescent="0.35">
      <c r="A44" s="59" t="s">
        <v>103</v>
      </c>
      <c r="B44" s="60" t="s">
        <v>104</v>
      </c>
    </row>
    <row r="45" spans="1:2" x14ac:dyDescent="0.35">
      <c r="A45" s="59" t="s">
        <v>105</v>
      </c>
      <c r="B45" s="60" t="s">
        <v>106</v>
      </c>
    </row>
    <row r="46" spans="1:2" x14ac:dyDescent="0.35">
      <c r="A46" s="59" t="s">
        <v>107</v>
      </c>
      <c r="B46" s="60" t="s">
        <v>108</v>
      </c>
    </row>
    <row r="47" spans="1:2" x14ac:dyDescent="0.35">
      <c r="A47" s="59" t="s">
        <v>109</v>
      </c>
      <c r="B47" s="60" t="s">
        <v>110</v>
      </c>
    </row>
    <row r="48" spans="1:2" x14ac:dyDescent="0.35">
      <c r="A48" s="59" t="s">
        <v>111</v>
      </c>
      <c r="B48" s="60" t="s">
        <v>112</v>
      </c>
    </row>
    <row r="49" spans="1:2" x14ac:dyDescent="0.35">
      <c r="A49" s="59" t="s">
        <v>113</v>
      </c>
      <c r="B49" s="60" t="s">
        <v>114</v>
      </c>
    </row>
    <row r="50" spans="1:2" x14ac:dyDescent="0.35">
      <c r="A50" s="59" t="s">
        <v>115</v>
      </c>
      <c r="B50" s="60" t="s">
        <v>116</v>
      </c>
    </row>
    <row r="51" spans="1:2" x14ac:dyDescent="0.35">
      <c r="A51" s="59" t="s">
        <v>117</v>
      </c>
      <c r="B51" s="60" t="s">
        <v>118</v>
      </c>
    </row>
    <row r="52" spans="1:2" x14ac:dyDescent="0.35">
      <c r="A52" s="59" t="s">
        <v>119</v>
      </c>
      <c r="B52" s="60" t="s">
        <v>120</v>
      </c>
    </row>
    <row r="53" spans="1:2" x14ac:dyDescent="0.35">
      <c r="A53" s="59" t="s">
        <v>121</v>
      </c>
      <c r="B53" s="60" t="s">
        <v>122</v>
      </c>
    </row>
    <row r="54" spans="1:2" x14ac:dyDescent="0.35">
      <c r="A54" s="59" t="s">
        <v>123</v>
      </c>
      <c r="B54" s="60" t="s">
        <v>124</v>
      </c>
    </row>
    <row r="55" spans="1:2" x14ac:dyDescent="0.35">
      <c r="A55" s="59" t="s">
        <v>125</v>
      </c>
      <c r="B55" s="60" t="s">
        <v>126</v>
      </c>
    </row>
    <row r="56" spans="1:2" x14ac:dyDescent="0.35">
      <c r="A56" s="59" t="s">
        <v>127</v>
      </c>
      <c r="B56" s="60" t="s">
        <v>128</v>
      </c>
    </row>
    <row r="57" spans="1:2" x14ac:dyDescent="0.35">
      <c r="A57" s="59" t="s">
        <v>129</v>
      </c>
      <c r="B57" s="60" t="s">
        <v>130</v>
      </c>
    </row>
    <row r="58" spans="1:2" x14ac:dyDescent="0.35">
      <c r="A58" s="59" t="s">
        <v>131</v>
      </c>
      <c r="B58" s="60" t="s">
        <v>132</v>
      </c>
    </row>
    <row r="59" spans="1:2" x14ac:dyDescent="0.35">
      <c r="A59" s="59" t="s">
        <v>133</v>
      </c>
      <c r="B59" s="60" t="s">
        <v>134</v>
      </c>
    </row>
    <row r="60" spans="1:2" x14ac:dyDescent="0.35">
      <c r="A60" s="59" t="s">
        <v>135</v>
      </c>
      <c r="B60" s="60" t="s">
        <v>136</v>
      </c>
    </row>
    <row r="61" spans="1:2" x14ac:dyDescent="0.35">
      <c r="A61" s="59" t="s">
        <v>137</v>
      </c>
      <c r="B61" s="60" t="s">
        <v>138</v>
      </c>
    </row>
    <row r="62" spans="1:2" x14ac:dyDescent="0.35">
      <c r="A62" s="59" t="s">
        <v>139</v>
      </c>
      <c r="B62" s="60" t="s">
        <v>140</v>
      </c>
    </row>
    <row r="63" spans="1:2" x14ac:dyDescent="0.35">
      <c r="A63" s="59" t="s">
        <v>141</v>
      </c>
      <c r="B63" s="60" t="s">
        <v>142</v>
      </c>
    </row>
    <row r="64" spans="1:2" x14ac:dyDescent="0.35">
      <c r="A64" s="59" t="s">
        <v>143</v>
      </c>
      <c r="B64" s="60" t="s">
        <v>144</v>
      </c>
    </row>
    <row r="65" spans="1:2" x14ac:dyDescent="0.35">
      <c r="A65" s="59" t="s">
        <v>145</v>
      </c>
      <c r="B65" s="60" t="s">
        <v>146</v>
      </c>
    </row>
    <row r="66" spans="1:2" x14ac:dyDescent="0.35">
      <c r="A66" s="59" t="s">
        <v>147</v>
      </c>
      <c r="B66" s="60" t="s">
        <v>148</v>
      </c>
    </row>
    <row r="67" spans="1:2" x14ac:dyDescent="0.35">
      <c r="A67" s="59" t="s">
        <v>149</v>
      </c>
      <c r="B67" s="60" t="s">
        <v>150</v>
      </c>
    </row>
    <row r="68" spans="1:2" x14ac:dyDescent="0.35">
      <c r="A68" s="59" t="s">
        <v>151</v>
      </c>
      <c r="B68" s="60" t="s">
        <v>152</v>
      </c>
    </row>
    <row r="69" spans="1:2" x14ac:dyDescent="0.35">
      <c r="A69" s="59" t="s">
        <v>153</v>
      </c>
      <c r="B69" s="60" t="s">
        <v>154</v>
      </c>
    </row>
    <row r="70" spans="1:2" x14ac:dyDescent="0.35">
      <c r="A70" s="59" t="s">
        <v>155</v>
      </c>
      <c r="B70" s="60" t="s">
        <v>156</v>
      </c>
    </row>
    <row r="71" spans="1:2" x14ac:dyDescent="0.35">
      <c r="A71" s="59" t="s">
        <v>157</v>
      </c>
      <c r="B71" s="60" t="s">
        <v>158</v>
      </c>
    </row>
    <row r="72" spans="1:2" x14ac:dyDescent="0.35">
      <c r="A72" s="59" t="s">
        <v>159</v>
      </c>
      <c r="B72" s="60" t="s">
        <v>160</v>
      </c>
    </row>
    <row r="73" spans="1:2" x14ac:dyDescent="0.35">
      <c r="A73" s="59" t="s">
        <v>161</v>
      </c>
      <c r="B73" s="60" t="s">
        <v>162</v>
      </c>
    </row>
    <row r="74" spans="1:2" x14ac:dyDescent="0.35">
      <c r="A74" s="59" t="s">
        <v>163</v>
      </c>
      <c r="B74" s="60" t="s">
        <v>164</v>
      </c>
    </row>
    <row r="75" spans="1:2" x14ac:dyDescent="0.35">
      <c r="A75" s="59" t="s">
        <v>165</v>
      </c>
      <c r="B75" s="61" t="s">
        <v>166</v>
      </c>
    </row>
    <row r="76" spans="1:2" x14ac:dyDescent="0.35">
      <c r="A76" s="59" t="s">
        <v>167</v>
      </c>
      <c r="B76" s="61" t="s">
        <v>168</v>
      </c>
    </row>
    <row r="77" spans="1:2" x14ac:dyDescent="0.35">
      <c r="A77" s="59" t="s">
        <v>169</v>
      </c>
      <c r="B77" s="61" t="s">
        <v>170</v>
      </c>
    </row>
    <row r="78" spans="1:2" x14ac:dyDescent="0.35">
      <c r="A78" s="59" t="s">
        <v>171</v>
      </c>
      <c r="B78" s="61" t="s">
        <v>172</v>
      </c>
    </row>
    <row r="79" spans="1:2" x14ac:dyDescent="0.35">
      <c r="A79" s="59" t="s">
        <v>173</v>
      </c>
      <c r="B79" s="61" t="s">
        <v>174</v>
      </c>
    </row>
    <row r="80" spans="1:2" x14ac:dyDescent="0.35">
      <c r="A80" s="59" t="s">
        <v>175</v>
      </c>
      <c r="B80" s="61" t="s">
        <v>176</v>
      </c>
    </row>
    <row r="81" spans="1:2" x14ac:dyDescent="0.35">
      <c r="A81" s="59" t="s">
        <v>177</v>
      </c>
      <c r="B81" s="61" t="s">
        <v>178</v>
      </c>
    </row>
    <row r="82" spans="1:2" x14ac:dyDescent="0.35">
      <c r="A82" s="59" t="s">
        <v>179</v>
      </c>
      <c r="B82" s="61" t="s">
        <v>180</v>
      </c>
    </row>
    <row r="83" spans="1:2" x14ac:dyDescent="0.35">
      <c r="A83" s="59" t="s">
        <v>181</v>
      </c>
      <c r="B83" s="61" t="s">
        <v>182</v>
      </c>
    </row>
    <row r="84" spans="1:2" x14ac:dyDescent="0.35">
      <c r="A84" s="59" t="s">
        <v>183</v>
      </c>
      <c r="B84" s="61" t="s">
        <v>184</v>
      </c>
    </row>
    <row r="85" spans="1:2" x14ac:dyDescent="0.35">
      <c r="A85" s="59" t="s">
        <v>185</v>
      </c>
      <c r="B85" s="61" t="s">
        <v>186</v>
      </c>
    </row>
    <row r="86" spans="1:2" x14ac:dyDescent="0.35">
      <c r="A86" s="59" t="s">
        <v>187</v>
      </c>
      <c r="B86" s="61" t="s">
        <v>188</v>
      </c>
    </row>
    <row r="87" spans="1:2" x14ac:dyDescent="0.35">
      <c r="A87" s="59" t="s">
        <v>189</v>
      </c>
      <c r="B87" s="61" t="s">
        <v>190</v>
      </c>
    </row>
    <row r="88" spans="1:2" x14ac:dyDescent="0.35">
      <c r="A88" s="59" t="s">
        <v>191</v>
      </c>
      <c r="B88" s="61" t="s">
        <v>192</v>
      </c>
    </row>
    <row r="89" spans="1:2" x14ac:dyDescent="0.35">
      <c r="A89" s="59" t="s">
        <v>193</v>
      </c>
      <c r="B89" s="61" t="s">
        <v>194</v>
      </c>
    </row>
    <row r="90" spans="1:2" x14ac:dyDescent="0.35">
      <c r="A90" s="59" t="s">
        <v>195</v>
      </c>
      <c r="B90" s="61" t="s">
        <v>196</v>
      </c>
    </row>
    <row r="91" spans="1:2" x14ac:dyDescent="0.35">
      <c r="A91" s="59" t="s">
        <v>197</v>
      </c>
      <c r="B91" s="61" t="s">
        <v>198</v>
      </c>
    </row>
    <row r="92" spans="1:2" x14ac:dyDescent="0.35">
      <c r="A92" s="59" t="s">
        <v>199</v>
      </c>
      <c r="B92" s="61" t="s">
        <v>200</v>
      </c>
    </row>
    <row r="93" spans="1:2" x14ac:dyDescent="0.35">
      <c r="A93" s="59" t="s">
        <v>201</v>
      </c>
      <c r="B93" s="61" t="s">
        <v>202</v>
      </c>
    </row>
    <row r="94" spans="1:2" x14ac:dyDescent="0.35">
      <c r="A94" s="59" t="s">
        <v>203</v>
      </c>
      <c r="B94" s="61" t="s">
        <v>204</v>
      </c>
    </row>
    <row r="95" spans="1:2" x14ac:dyDescent="0.35">
      <c r="A95" s="59" t="s">
        <v>205</v>
      </c>
      <c r="B95" s="61" t="s">
        <v>206</v>
      </c>
    </row>
    <row r="96" spans="1:2" x14ac:dyDescent="0.35">
      <c r="A96" s="59" t="s">
        <v>207</v>
      </c>
      <c r="B96" s="61" t="s">
        <v>208</v>
      </c>
    </row>
    <row r="97" spans="1:2" x14ac:dyDescent="0.35">
      <c r="A97" s="59" t="s">
        <v>209</v>
      </c>
      <c r="B97" s="61" t="s">
        <v>210</v>
      </c>
    </row>
    <row r="98" spans="1:2" x14ac:dyDescent="0.35">
      <c r="A98" s="59" t="s">
        <v>211</v>
      </c>
      <c r="B98" s="61" t="s">
        <v>212</v>
      </c>
    </row>
    <row r="99" spans="1:2" x14ac:dyDescent="0.35">
      <c r="A99" s="59" t="s">
        <v>213</v>
      </c>
      <c r="B99" s="61" t="s">
        <v>214</v>
      </c>
    </row>
    <row r="100" spans="1:2" x14ac:dyDescent="0.35">
      <c r="A100" s="59" t="s">
        <v>215</v>
      </c>
      <c r="B100" s="61" t="s">
        <v>216</v>
      </c>
    </row>
    <row r="101" spans="1:2" x14ac:dyDescent="0.35">
      <c r="A101" s="59" t="s">
        <v>217</v>
      </c>
      <c r="B101" s="61" t="s">
        <v>218</v>
      </c>
    </row>
    <row r="102" spans="1:2" x14ac:dyDescent="0.35">
      <c r="A102" s="59" t="s">
        <v>219</v>
      </c>
      <c r="B102" s="61" t="s">
        <v>220</v>
      </c>
    </row>
    <row r="103" spans="1:2" x14ac:dyDescent="0.35">
      <c r="A103" s="59" t="s">
        <v>221</v>
      </c>
      <c r="B103" s="61" t="s">
        <v>222</v>
      </c>
    </row>
    <row r="104" spans="1:2" x14ac:dyDescent="0.35">
      <c r="A104" s="59" t="s">
        <v>223</v>
      </c>
      <c r="B104" s="61" t="s">
        <v>224</v>
      </c>
    </row>
    <row r="105" spans="1:2" x14ac:dyDescent="0.35">
      <c r="A105" s="59" t="s">
        <v>225</v>
      </c>
      <c r="B105" s="61" t="s">
        <v>226</v>
      </c>
    </row>
    <row r="106" spans="1:2" x14ac:dyDescent="0.35">
      <c r="A106" s="59" t="s">
        <v>227</v>
      </c>
      <c r="B106" s="61" t="s">
        <v>228</v>
      </c>
    </row>
    <row r="107" spans="1:2" x14ac:dyDescent="0.35">
      <c r="A107" s="59" t="s">
        <v>229</v>
      </c>
      <c r="B107" s="61" t="s">
        <v>230</v>
      </c>
    </row>
    <row r="108" spans="1:2" x14ac:dyDescent="0.35">
      <c r="A108" s="59" t="s">
        <v>231</v>
      </c>
      <c r="B108" s="61" t="s">
        <v>232</v>
      </c>
    </row>
    <row r="109" spans="1:2" x14ac:dyDescent="0.35">
      <c r="A109" s="59" t="s">
        <v>233</v>
      </c>
      <c r="B109" s="61" t="s">
        <v>234</v>
      </c>
    </row>
    <row r="110" spans="1:2" x14ac:dyDescent="0.35">
      <c r="A110" s="59" t="s">
        <v>235</v>
      </c>
      <c r="B110" s="61" t="s">
        <v>236</v>
      </c>
    </row>
    <row r="111" spans="1:2" x14ac:dyDescent="0.35">
      <c r="A111" s="59" t="s">
        <v>237</v>
      </c>
      <c r="B111" s="61" t="s">
        <v>238</v>
      </c>
    </row>
    <row r="112" spans="1:2" x14ac:dyDescent="0.35">
      <c r="A112" s="59" t="s">
        <v>239</v>
      </c>
      <c r="B112" s="61" t="s">
        <v>240</v>
      </c>
    </row>
    <row r="113" spans="1:2" x14ac:dyDescent="0.35">
      <c r="A113" s="59" t="s">
        <v>241</v>
      </c>
      <c r="B113" s="61" t="s">
        <v>242</v>
      </c>
    </row>
    <row r="114" spans="1:2" x14ac:dyDescent="0.35">
      <c r="A114" s="59" t="s">
        <v>243</v>
      </c>
      <c r="B114" s="61" t="s">
        <v>244</v>
      </c>
    </row>
    <row r="115" spans="1:2" x14ac:dyDescent="0.35">
      <c r="A115" s="59" t="s">
        <v>245</v>
      </c>
      <c r="B115" s="61" t="s">
        <v>246</v>
      </c>
    </row>
    <row r="116" spans="1:2" x14ac:dyDescent="0.35">
      <c r="A116" s="59" t="s">
        <v>247</v>
      </c>
      <c r="B116" s="61" t="s">
        <v>248</v>
      </c>
    </row>
    <row r="117" spans="1:2" x14ac:dyDescent="0.35">
      <c r="A117" s="59" t="s">
        <v>249</v>
      </c>
      <c r="B117" s="61" t="s">
        <v>250</v>
      </c>
    </row>
    <row r="118" spans="1:2" x14ac:dyDescent="0.35">
      <c r="A118" s="59" t="s">
        <v>251</v>
      </c>
      <c r="B118" s="61" t="s">
        <v>252</v>
      </c>
    </row>
    <row r="119" spans="1:2" x14ac:dyDescent="0.35">
      <c r="A119" s="59" t="s">
        <v>253</v>
      </c>
      <c r="B119" s="61" t="s">
        <v>254</v>
      </c>
    </row>
    <row r="120" spans="1:2" x14ac:dyDescent="0.35">
      <c r="A120" s="59" t="s">
        <v>255</v>
      </c>
      <c r="B120" s="61" t="s">
        <v>256</v>
      </c>
    </row>
    <row r="121" spans="1:2" x14ac:dyDescent="0.35">
      <c r="A121" s="59" t="s">
        <v>257</v>
      </c>
      <c r="B121" s="61" t="s">
        <v>258</v>
      </c>
    </row>
    <row r="122" spans="1:2" x14ac:dyDescent="0.35">
      <c r="A122" s="59" t="s">
        <v>259</v>
      </c>
      <c r="B122" s="61" t="s">
        <v>260</v>
      </c>
    </row>
    <row r="123" spans="1:2" x14ac:dyDescent="0.35">
      <c r="A123" s="59" t="s">
        <v>261</v>
      </c>
      <c r="B123" s="61" t="s">
        <v>262</v>
      </c>
    </row>
    <row r="124" spans="1:2" x14ac:dyDescent="0.35">
      <c r="A124" s="59" t="s">
        <v>263</v>
      </c>
      <c r="B124" s="61" t="s">
        <v>264</v>
      </c>
    </row>
    <row r="125" spans="1:2" x14ac:dyDescent="0.35">
      <c r="A125" s="59" t="s">
        <v>265</v>
      </c>
      <c r="B125" s="61" t="s">
        <v>266</v>
      </c>
    </row>
    <row r="126" spans="1:2" x14ac:dyDescent="0.35">
      <c r="A126" s="59" t="s">
        <v>267</v>
      </c>
      <c r="B126" s="61" t="s">
        <v>268</v>
      </c>
    </row>
    <row r="127" spans="1:2" x14ac:dyDescent="0.35">
      <c r="A127" s="59" t="s">
        <v>269</v>
      </c>
      <c r="B127" s="61" t="s">
        <v>270</v>
      </c>
    </row>
    <row r="128" spans="1:2" x14ac:dyDescent="0.35">
      <c r="A128" s="59" t="s">
        <v>271</v>
      </c>
      <c r="B128" s="61" t="s">
        <v>272</v>
      </c>
    </row>
    <row r="129" spans="1:2" x14ac:dyDescent="0.35">
      <c r="A129" s="59" t="s">
        <v>273</v>
      </c>
      <c r="B129" s="61" t="s">
        <v>274</v>
      </c>
    </row>
    <row r="130" spans="1:2" x14ac:dyDescent="0.35">
      <c r="A130" s="59" t="s">
        <v>275</v>
      </c>
      <c r="B130" s="61" t="s">
        <v>276</v>
      </c>
    </row>
    <row r="131" spans="1:2" x14ac:dyDescent="0.35">
      <c r="A131" s="59" t="s">
        <v>277</v>
      </c>
      <c r="B131" s="61" t="s">
        <v>278</v>
      </c>
    </row>
    <row r="132" spans="1:2" x14ac:dyDescent="0.35">
      <c r="A132" s="59" t="s">
        <v>279</v>
      </c>
      <c r="B132" s="61" t="s">
        <v>280</v>
      </c>
    </row>
    <row r="133" spans="1:2" x14ac:dyDescent="0.35">
      <c r="A133" s="59" t="s">
        <v>281</v>
      </c>
      <c r="B133" s="61" t="s">
        <v>282</v>
      </c>
    </row>
    <row r="134" spans="1:2" x14ac:dyDescent="0.35">
      <c r="A134" s="59" t="s">
        <v>283</v>
      </c>
      <c r="B134" s="61" t="s">
        <v>284</v>
      </c>
    </row>
    <row r="135" spans="1:2" x14ac:dyDescent="0.35">
      <c r="A135" s="59" t="s">
        <v>285</v>
      </c>
      <c r="B135" s="61" t="s">
        <v>286</v>
      </c>
    </row>
    <row r="136" spans="1:2" x14ac:dyDescent="0.35">
      <c r="A136" s="59" t="s">
        <v>287</v>
      </c>
      <c r="B136" s="61" t="s">
        <v>288</v>
      </c>
    </row>
    <row r="137" spans="1:2" x14ac:dyDescent="0.35">
      <c r="A137" s="59" t="s">
        <v>289</v>
      </c>
      <c r="B137" s="61" t="s">
        <v>290</v>
      </c>
    </row>
    <row r="138" spans="1:2" x14ac:dyDescent="0.35">
      <c r="A138" s="59" t="s">
        <v>291</v>
      </c>
      <c r="B138" s="61" t="s">
        <v>292</v>
      </c>
    </row>
    <row r="139" spans="1:2" x14ac:dyDescent="0.35">
      <c r="A139" s="59" t="s">
        <v>293</v>
      </c>
      <c r="B139" s="61" t="s">
        <v>294</v>
      </c>
    </row>
    <row r="140" spans="1:2" x14ac:dyDescent="0.35">
      <c r="A140" s="59" t="s">
        <v>295</v>
      </c>
      <c r="B140" s="61" t="s">
        <v>296</v>
      </c>
    </row>
    <row r="141" spans="1:2" x14ac:dyDescent="0.35">
      <c r="A141" s="59" t="s">
        <v>297</v>
      </c>
      <c r="B141" s="61" t="s">
        <v>298</v>
      </c>
    </row>
    <row r="142" spans="1:2" x14ac:dyDescent="0.35">
      <c r="A142" s="59" t="s">
        <v>299</v>
      </c>
      <c r="B142" s="61" t="s">
        <v>300</v>
      </c>
    </row>
    <row r="143" spans="1:2" x14ac:dyDescent="0.35">
      <c r="A143" s="59" t="s">
        <v>301</v>
      </c>
      <c r="B143" s="61" t="s">
        <v>302</v>
      </c>
    </row>
    <row r="144" spans="1:2" x14ac:dyDescent="0.35">
      <c r="A144" s="59" t="s">
        <v>303</v>
      </c>
      <c r="B144" s="61" t="s">
        <v>304</v>
      </c>
    </row>
    <row r="145" spans="1:2" x14ac:dyDescent="0.35">
      <c r="A145" s="59" t="s">
        <v>305</v>
      </c>
      <c r="B145" s="61" t="s">
        <v>306</v>
      </c>
    </row>
    <row r="146" spans="1:2" x14ac:dyDescent="0.35">
      <c r="A146" s="59" t="s">
        <v>307</v>
      </c>
      <c r="B146" s="61" t="s">
        <v>308</v>
      </c>
    </row>
    <row r="147" spans="1:2" x14ac:dyDescent="0.35">
      <c r="A147" s="59" t="s">
        <v>309</v>
      </c>
      <c r="B147" s="61" t="s">
        <v>310</v>
      </c>
    </row>
    <row r="148" spans="1:2" x14ac:dyDescent="0.35">
      <c r="A148" s="59" t="s">
        <v>311</v>
      </c>
      <c r="B148" s="61" t="s">
        <v>312</v>
      </c>
    </row>
    <row r="149" spans="1:2" x14ac:dyDescent="0.35">
      <c r="A149" s="59" t="s">
        <v>313</v>
      </c>
      <c r="B149" s="61" t="s">
        <v>314</v>
      </c>
    </row>
    <row r="150" spans="1:2" x14ac:dyDescent="0.35">
      <c r="A150" s="59" t="s">
        <v>315</v>
      </c>
      <c r="B150" s="61" t="s">
        <v>316</v>
      </c>
    </row>
    <row r="151" spans="1:2" x14ac:dyDescent="0.35">
      <c r="A151" s="59" t="s">
        <v>317</v>
      </c>
      <c r="B151" s="61" t="s">
        <v>318</v>
      </c>
    </row>
    <row r="152" spans="1:2" x14ac:dyDescent="0.35">
      <c r="A152" s="59" t="s">
        <v>319</v>
      </c>
      <c r="B152" s="61" t="s">
        <v>320</v>
      </c>
    </row>
    <row r="153" spans="1:2" x14ac:dyDescent="0.35">
      <c r="A153" s="59" t="s">
        <v>321</v>
      </c>
      <c r="B153" s="61" t="s">
        <v>322</v>
      </c>
    </row>
    <row r="154" spans="1:2" x14ac:dyDescent="0.35">
      <c r="A154" s="59" t="s">
        <v>323</v>
      </c>
      <c r="B154" s="61" t="s">
        <v>324</v>
      </c>
    </row>
    <row r="155" spans="1:2" x14ac:dyDescent="0.35">
      <c r="A155" s="59" t="s">
        <v>325</v>
      </c>
      <c r="B155" s="61" t="s">
        <v>326</v>
      </c>
    </row>
    <row r="156" spans="1:2" x14ac:dyDescent="0.35">
      <c r="A156" s="59" t="s">
        <v>327</v>
      </c>
      <c r="B156" s="61" t="s">
        <v>328</v>
      </c>
    </row>
    <row r="157" spans="1:2" x14ac:dyDescent="0.35">
      <c r="A157" s="59" t="s">
        <v>329</v>
      </c>
      <c r="B157" s="61" t="s">
        <v>330</v>
      </c>
    </row>
    <row r="158" spans="1:2" x14ac:dyDescent="0.35">
      <c r="A158" s="59" t="s">
        <v>331</v>
      </c>
      <c r="B158" s="61" t="s">
        <v>332</v>
      </c>
    </row>
    <row r="159" spans="1:2" x14ac:dyDescent="0.35">
      <c r="A159" s="59" t="s">
        <v>333</v>
      </c>
      <c r="B159" s="61" t="s">
        <v>334</v>
      </c>
    </row>
    <row r="160" spans="1:2" x14ac:dyDescent="0.35">
      <c r="A160" s="59" t="s">
        <v>335</v>
      </c>
      <c r="B160" s="61" t="s">
        <v>336</v>
      </c>
    </row>
    <row r="161" spans="1:2" x14ac:dyDescent="0.35">
      <c r="A161" s="59" t="s">
        <v>337</v>
      </c>
      <c r="B161" s="61" t="s">
        <v>338</v>
      </c>
    </row>
    <row r="162" spans="1:2" x14ac:dyDescent="0.35">
      <c r="A162" s="59" t="s">
        <v>339</v>
      </c>
      <c r="B162" s="61" t="s">
        <v>340</v>
      </c>
    </row>
    <row r="163" spans="1:2" x14ac:dyDescent="0.35">
      <c r="A163" s="59" t="s">
        <v>341</v>
      </c>
      <c r="B163" s="61" t="s">
        <v>342</v>
      </c>
    </row>
    <row r="164" spans="1:2" x14ac:dyDescent="0.35">
      <c r="A164" s="59" t="s">
        <v>343</v>
      </c>
      <c r="B164" s="61" t="s">
        <v>344</v>
      </c>
    </row>
    <row r="165" spans="1:2" x14ac:dyDescent="0.35">
      <c r="A165" s="59" t="s">
        <v>345</v>
      </c>
      <c r="B165" s="61" t="s">
        <v>346</v>
      </c>
    </row>
    <row r="166" spans="1:2" x14ac:dyDescent="0.35">
      <c r="A166" s="59" t="s">
        <v>347</v>
      </c>
      <c r="B166" s="61" t="s">
        <v>348</v>
      </c>
    </row>
    <row r="167" spans="1:2" x14ac:dyDescent="0.35">
      <c r="A167" s="59" t="s">
        <v>349</v>
      </c>
      <c r="B167" s="61" t="s">
        <v>350</v>
      </c>
    </row>
    <row r="168" spans="1:2" x14ac:dyDescent="0.35">
      <c r="A168" s="59" t="s">
        <v>351</v>
      </c>
      <c r="B168" s="61" t="s">
        <v>352</v>
      </c>
    </row>
    <row r="169" spans="1:2" x14ac:dyDescent="0.35">
      <c r="A169" s="59" t="s">
        <v>353</v>
      </c>
      <c r="B169" s="61" t="s">
        <v>354</v>
      </c>
    </row>
    <row r="170" spans="1:2" x14ac:dyDescent="0.35">
      <c r="A170" s="59" t="s">
        <v>355</v>
      </c>
      <c r="B170" s="61"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fadiga@unfpa.org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MPTF_00006_00877</ProjectId>
    <FundCode xmlns="f9695bc1-6109-4dcd-a27a-f8a0370b00e2">MPTF_00006</FundCode>
    <Comments xmlns="f9695bc1-6109-4dcd-a27a-f8a0370b00e2">Rapport financier juin 2024</Comments>
    <Active xmlns="f9695bc1-6109-4dcd-a27a-f8a0370b00e2">Yes</Active>
    <DocumentDate xmlns="b1528a4b-5ccb-40f7-a09e-43427183cd95">2024-06-15T07:00:00+00:00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79AD25-5447-46AF-964C-4F6026B823DE}">
  <ds:schemaRefs>
    <ds:schemaRef ds:uri="http://schemas.openxmlformats.org/package/2006/metadata/core-properties"/>
    <ds:schemaRef ds:uri="http://purl.org/dc/dcmitype/"/>
    <ds:schemaRef ds:uri="9dc44b34-9e2b-42ea-86f7-9ee7f71036fc"/>
    <ds:schemaRef ds:uri="http://schemas.microsoft.com/office/2006/documentManagement/types"/>
    <ds:schemaRef ds:uri="3352a50b-fe51-4c0c-a9ac-ac90f8281031"/>
    <ds:schemaRef ds:uri="http://purl.org/dc/term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AA1A272-2F46-4C4F-8868-B9635CE45F47}"/>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 </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financier_PBF-IRF-446_FAO-UNH_Juin 2024.xlsx</dc:title>
  <dc:creator>Jelena Zelenovic</dc:creator>
  <cp:lastModifiedBy>Abdoulaye Fadiga</cp:lastModifiedBy>
  <cp:lastPrinted>2017-12-11T22:51:21Z</cp:lastPrinted>
  <dcterms:created xsi:type="dcterms:W3CDTF">2017-11-15T21:17:43Z</dcterms:created>
  <dcterms:modified xsi:type="dcterms:W3CDTF">2024-06-19T09:12:51Z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