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boubacar.bah\Desktop\Guinée &amp; Mali\Documents cadres du projet\Rapports\2024\"/>
    </mc:Choice>
  </mc:AlternateContent>
  <xr:revisionPtr revIDLastSave="0" documentId="8_{2A8C873C-51D3-4D9C-89BF-5F9F28336142}" xr6:coauthVersionLast="47" xr6:coauthVersionMax="47" xr10:uidLastSave="{00000000-0000-0000-0000-000000000000}"/>
  <bookViews>
    <workbookView xWindow="-110" yWindow="-110" windowWidth="19420" windowHeight="11500" tabRatio="722" xr2:uid="{00000000-000D-0000-FFFF-FFFF00000000}"/>
  </bookViews>
  <sheets>
    <sheet name="1) Tableau budgétaire 1" sheetId="1" r:id="rId1"/>
    <sheet name="2) Tableau budgétaire 2" sheetId="5" r:id="rId2"/>
    <sheet name="3) Notes d'explication" sheetId="3" r:id="rId3"/>
    <sheet name="4) Pour utilisation par PBSO" sheetId="6" r:id="rId4"/>
    <sheet name="5) Pour utilisation par MPTFO" sheetId="4" r:id="rId5"/>
    <sheet name="Dropdowns" sheetId="8" state="hidden" r:id="rId6"/>
    <sheet name="Sheet2" sheetId="7"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8" i="1" l="1"/>
  <c r="L67" i="1"/>
  <c r="L65" i="1"/>
  <c r="L64" i="1"/>
  <c r="L66" i="1" l="1"/>
  <c r="L70" i="1"/>
  <c r="L54" i="1"/>
  <c r="L53" i="1"/>
  <c r="L50" i="1"/>
  <c r="L59" i="1" l="1"/>
  <c r="L18" i="1" l="1"/>
  <c r="L31" i="1"/>
  <c r="L29" i="1"/>
  <c r="L19" i="1"/>
  <c r="L57" i="1"/>
  <c r="L72" i="1"/>
  <c r="L51" i="1"/>
  <c r="L27" i="1"/>
  <c r="L22" i="1"/>
  <c r="J91" i="5" l="1"/>
  <c r="J85" i="5"/>
  <c r="J86" i="5"/>
  <c r="J87" i="5"/>
  <c r="J88" i="5"/>
  <c r="J89" i="5"/>
  <c r="J90" i="5"/>
  <c r="J84" i="5"/>
  <c r="I91" i="5"/>
  <c r="H90" i="5"/>
  <c r="I90" i="5"/>
  <c r="H88" i="5"/>
  <c r="I88" i="5"/>
  <c r="H87" i="5"/>
  <c r="I87" i="5"/>
  <c r="I86" i="5"/>
  <c r="H86" i="5"/>
  <c r="H22" i="4"/>
  <c r="E72" i="1"/>
  <c r="D72" i="1"/>
  <c r="I213" i="5"/>
  <c r="H14" i="4" s="1"/>
  <c r="I207" i="5"/>
  <c r="J201" i="5"/>
  <c r="J118" i="5"/>
  <c r="J119" i="5"/>
  <c r="J120" i="5"/>
  <c r="J122" i="5"/>
  <c r="J124" i="5"/>
  <c r="I125" i="5"/>
  <c r="J107" i="5"/>
  <c r="J108" i="5"/>
  <c r="J109" i="5"/>
  <c r="J111" i="5"/>
  <c r="J112" i="5"/>
  <c r="J113" i="5"/>
  <c r="I114" i="5"/>
  <c r="I79" i="5"/>
  <c r="I214" i="5" s="1"/>
  <c r="H79" i="5"/>
  <c r="J79" i="5" s="1"/>
  <c r="I77" i="5"/>
  <c r="I80" i="5" s="1"/>
  <c r="H77" i="5"/>
  <c r="I76" i="5"/>
  <c r="H76" i="5"/>
  <c r="J76" i="5" s="1"/>
  <c r="I74" i="5"/>
  <c r="H74" i="5"/>
  <c r="J73" i="5"/>
  <c r="J75" i="5"/>
  <c r="J78" i="5"/>
  <c r="J62" i="5"/>
  <c r="J63" i="5"/>
  <c r="J64" i="5"/>
  <c r="I68" i="5"/>
  <c r="H68" i="5"/>
  <c r="J68" i="5" s="1"/>
  <c r="I67" i="5"/>
  <c r="H67" i="5"/>
  <c r="J67" i="5" s="1"/>
  <c r="I66" i="5"/>
  <c r="H66" i="5"/>
  <c r="J66" i="5" s="1"/>
  <c r="I65" i="5"/>
  <c r="I69" i="5" s="1"/>
  <c r="H65" i="5"/>
  <c r="J65" i="5" s="1"/>
  <c r="I46" i="5"/>
  <c r="J39" i="5"/>
  <c r="J40" i="5"/>
  <c r="J41" i="5"/>
  <c r="J42" i="5"/>
  <c r="J43" i="5"/>
  <c r="J44" i="5"/>
  <c r="J45" i="5"/>
  <c r="I35" i="5"/>
  <c r="J34" i="5"/>
  <c r="J28" i="5"/>
  <c r="J29" i="5"/>
  <c r="J30" i="5"/>
  <c r="J31" i="5"/>
  <c r="J32" i="5"/>
  <c r="J33" i="5"/>
  <c r="I24" i="5"/>
  <c r="J22" i="5"/>
  <c r="J17" i="5"/>
  <c r="J18" i="5"/>
  <c r="J19" i="5"/>
  <c r="J20" i="5"/>
  <c r="J21" i="5"/>
  <c r="J23" i="5"/>
  <c r="I89" i="1"/>
  <c r="J68" i="1"/>
  <c r="H65" i="1"/>
  <c r="I36" i="1"/>
  <c r="J59" i="1"/>
  <c r="J60" i="1"/>
  <c r="J62" i="1"/>
  <c r="J66" i="1"/>
  <c r="J69" i="1"/>
  <c r="J71" i="1"/>
  <c r="G72" i="1"/>
  <c r="J24" i="1"/>
  <c r="I70" i="1"/>
  <c r="I200" i="5" s="1"/>
  <c r="H70" i="1"/>
  <c r="I67" i="1"/>
  <c r="I197" i="5" s="1"/>
  <c r="I209" i="5" s="1"/>
  <c r="H10" i="4" s="1"/>
  <c r="H67" i="1"/>
  <c r="I66" i="1"/>
  <c r="H66" i="1"/>
  <c r="I64" i="1"/>
  <c r="I198" i="5" s="1"/>
  <c r="H64" i="1"/>
  <c r="J64" i="1" s="1"/>
  <c r="I63" i="1"/>
  <c r="I196" i="5" s="1"/>
  <c r="I208" i="5" s="1"/>
  <c r="H9" i="4" s="1"/>
  <c r="H63" i="1"/>
  <c r="H196" i="5" s="1"/>
  <c r="I45" i="1"/>
  <c r="H45" i="1"/>
  <c r="I44" i="1"/>
  <c r="H44" i="1"/>
  <c r="I43" i="1"/>
  <c r="H43" i="1"/>
  <c r="I40" i="1"/>
  <c r="H40" i="1"/>
  <c r="I39" i="1"/>
  <c r="H39" i="1"/>
  <c r="H36" i="1"/>
  <c r="I35" i="1"/>
  <c r="H35" i="1"/>
  <c r="I13" i="5"/>
  <c r="I81" i="1"/>
  <c r="H8" i="4" s="1"/>
  <c r="J61" i="1"/>
  <c r="I57" i="1"/>
  <c r="I117" i="5" s="1"/>
  <c r="J54" i="1"/>
  <c r="J55" i="1"/>
  <c r="J56" i="1"/>
  <c r="I51" i="1"/>
  <c r="I106" i="5" s="1"/>
  <c r="J50" i="1"/>
  <c r="J49" i="1"/>
  <c r="I203" i="5" l="1"/>
  <c r="J70" i="1"/>
  <c r="I46" i="1"/>
  <c r="I83" i="5" s="1"/>
  <c r="J63" i="1"/>
  <c r="H72" i="1"/>
  <c r="J67" i="1"/>
  <c r="J72" i="1" s="1"/>
  <c r="H208" i="5"/>
  <c r="G9" i="4" s="1"/>
  <c r="H15" i="4"/>
  <c r="I212" i="5"/>
  <c r="H13" i="4" s="1"/>
  <c r="I210" i="5"/>
  <c r="I211" i="5"/>
  <c r="J74" i="5"/>
  <c r="H12" i="4"/>
  <c r="J77" i="5"/>
  <c r="J65" i="1"/>
  <c r="I72" i="1"/>
  <c r="I195" i="5" s="1"/>
  <c r="J44" i="1"/>
  <c r="J45" i="1"/>
  <c r="J43" i="1"/>
  <c r="I41" i="1"/>
  <c r="I72" i="5" s="1"/>
  <c r="J40" i="1"/>
  <c r="J39" i="1"/>
  <c r="I37" i="1"/>
  <c r="I61" i="5" s="1"/>
  <c r="J36" i="1"/>
  <c r="J35" i="1"/>
  <c r="J31" i="1"/>
  <c r="I32" i="1"/>
  <c r="I38" i="5" s="1"/>
  <c r="I27" i="1"/>
  <c r="I27" i="5" s="1"/>
  <c r="J25" i="1"/>
  <c r="J26" i="1"/>
  <c r="I22" i="1"/>
  <c r="I16" i="5" s="1"/>
  <c r="J21" i="1"/>
  <c r="J17" i="1"/>
  <c r="J18" i="1"/>
  <c r="J19" i="1"/>
  <c r="J20" i="1"/>
  <c r="J16" i="1"/>
  <c r="H81" i="1"/>
  <c r="I215" i="5" l="1"/>
  <c r="H11" i="4"/>
  <c r="I216" i="5"/>
  <c r="I217" i="5" s="1"/>
  <c r="H16" i="4"/>
  <c r="H17" i="4" s="1"/>
  <c r="H18" i="4" s="1"/>
  <c r="I82" i="1"/>
  <c r="I83" i="1" s="1"/>
  <c r="I84" i="1" s="1"/>
  <c r="J27" i="1"/>
  <c r="J51" i="1"/>
  <c r="J37" i="1"/>
  <c r="I91" i="1" l="1"/>
  <c r="H24" i="4" s="1"/>
  <c r="I90" i="1"/>
  <c r="H23" i="4" s="1"/>
  <c r="H25" i="4" s="1"/>
  <c r="D22" i="4"/>
  <c r="E22" i="4"/>
  <c r="F22" i="4"/>
  <c r="G22" i="4"/>
  <c r="C22" i="4"/>
  <c r="F15" i="4"/>
  <c r="F13" i="4"/>
  <c r="F10" i="4"/>
  <c r="F9" i="4"/>
  <c r="F8" i="4"/>
  <c r="G123" i="5"/>
  <c r="G213" i="5" s="1"/>
  <c r="F14" i="4" s="1"/>
  <c r="F123" i="5"/>
  <c r="J123" i="5" s="1"/>
  <c r="G121" i="5"/>
  <c r="F121" i="5"/>
  <c r="G214" i="5"/>
  <c r="G212" i="5"/>
  <c r="G210" i="5"/>
  <c r="F11" i="4" s="1"/>
  <c r="G209" i="5"/>
  <c r="G208" i="5"/>
  <c r="G203" i="5"/>
  <c r="G110" i="5"/>
  <c r="G114" i="5" s="1"/>
  <c r="G207" i="5"/>
  <c r="G192" i="5"/>
  <c r="G184" i="5"/>
  <c r="G181" i="5"/>
  <c r="H181" i="5"/>
  <c r="G173" i="5"/>
  <c r="H173" i="5"/>
  <c r="G170" i="5"/>
  <c r="H170" i="5"/>
  <c r="G162" i="5"/>
  <c r="H162" i="5"/>
  <c r="G159" i="5"/>
  <c r="G151" i="5"/>
  <c r="G147" i="5"/>
  <c r="H147" i="5"/>
  <c r="G139" i="5"/>
  <c r="H139" i="5"/>
  <c r="G136" i="5"/>
  <c r="H136" i="5"/>
  <c r="G128" i="5"/>
  <c r="H128" i="5"/>
  <c r="H125" i="5"/>
  <c r="G102" i="5"/>
  <c r="G94" i="5"/>
  <c r="H94" i="5"/>
  <c r="G91" i="5"/>
  <c r="G80" i="5"/>
  <c r="G69" i="5"/>
  <c r="G57" i="5"/>
  <c r="G49" i="5"/>
  <c r="H49" i="5"/>
  <c r="G46" i="5"/>
  <c r="G35" i="5"/>
  <c r="G24" i="5"/>
  <c r="G13" i="5"/>
  <c r="H200" i="5"/>
  <c r="H198" i="5"/>
  <c r="H197" i="5"/>
  <c r="F202" i="5"/>
  <c r="F200" i="5"/>
  <c r="F212" i="5" s="1"/>
  <c r="F198" i="5"/>
  <c r="F197" i="5"/>
  <c r="F196" i="5"/>
  <c r="F208" i="5" s="1"/>
  <c r="E9" i="4" s="1"/>
  <c r="F110" i="5"/>
  <c r="D196" i="5"/>
  <c r="D208" i="5" s="1"/>
  <c r="J208" i="5" s="1"/>
  <c r="D199" i="5"/>
  <c r="J199" i="5" s="1"/>
  <c r="D200" i="5"/>
  <c r="D198" i="5"/>
  <c r="D197" i="5"/>
  <c r="D202" i="5"/>
  <c r="F72" i="1"/>
  <c r="G195" i="5"/>
  <c r="E46" i="1"/>
  <c r="F46" i="1"/>
  <c r="G46" i="1"/>
  <c r="G72" i="5" s="1"/>
  <c r="H46" i="1"/>
  <c r="H83" i="5" s="1"/>
  <c r="J83" i="5" s="1"/>
  <c r="D46" i="1"/>
  <c r="H37" i="1"/>
  <c r="H61" i="5" s="1"/>
  <c r="H89" i="1"/>
  <c r="H13" i="5"/>
  <c r="E41" i="1"/>
  <c r="F41" i="1"/>
  <c r="G41" i="1"/>
  <c r="H41" i="1"/>
  <c r="H72" i="5" s="1"/>
  <c r="D41" i="1"/>
  <c r="J202" i="5" l="1"/>
  <c r="J197" i="5"/>
  <c r="J198" i="5"/>
  <c r="J200" i="5"/>
  <c r="J196" i="5"/>
  <c r="J110" i="5"/>
  <c r="J121" i="5"/>
  <c r="G125" i="5"/>
  <c r="G211" i="5"/>
  <c r="E29" i="1"/>
  <c r="D29" i="1"/>
  <c r="J29" i="1" l="1"/>
  <c r="C9" i="4"/>
  <c r="G215" i="5"/>
  <c r="F12" i="4"/>
  <c r="F16" i="4" s="1"/>
  <c r="G216" i="5"/>
  <c r="G217" i="5" s="1"/>
  <c r="E30" i="1"/>
  <c r="D30" i="1"/>
  <c r="J30" i="1" s="1"/>
  <c r="G53" i="1"/>
  <c r="F53" i="1"/>
  <c r="J53" i="1" s="1"/>
  <c r="J57" i="1" s="1"/>
  <c r="D98" i="1"/>
  <c r="F17" i="4" l="1"/>
  <c r="F18" i="4" s="1"/>
  <c r="E57" i="1"/>
  <c r="E117" i="5" s="1"/>
  <c r="F57" i="1"/>
  <c r="G57" i="1"/>
  <c r="G117" i="5" s="1"/>
  <c r="H57" i="1"/>
  <c r="H117" i="5" s="1"/>
  <c r="D57" i="1"/>
  <c r="E51" i="1"/>
  <c r="D106" i="5" s="1"/>
  <c r="F51" i="1"/>
  <c r="G51" i="1"/>
  <c r="G106" i="5" s="1"/>
  <c r="H51" i="1"/>
  <c r="D51" i="1"/>
  <c r="L46" i="1"/>
  <c r="E37" i="1"/>
  <c r="F37" i="1"/>
  <c r="G37" i="1"/>
  <c r="G61" i="5" s="1"/>
  <c r="D37" i="1"/>
  <c r="E27" i="1"/>
  <c r="F27" i="1"/>
  <c r="G27" i="1"/>
  <c r="G27" i="5" s="1"/>
  <c r="H27" i="1"/>
  <c r="D27" i="1"/>
  <c r="E32" i="1"/>
  <c r="F32" i="1"/>
  <c r="G32" i="1"/>
  <c r="G38" i="5" s="1"/>
  <c r="H32" i="1"/>
  <c r="L32" i="1"/>
  <c r="D32" i="1"/>
  <c r="E22" i="1"/>
  <c r="F22" i="1"/>
  <c r="G22" i="1"/>
  <c r="H22" i="1"/>
  <c r="D22" i="1"/>
  <c r="H214" i="5"/>
  <c r="H213" i="5"/>
  <c r="G14" i="4" s="1"/>
  <c r="H212" i="5"/>
  <c r="H211" i="5"/>
  <c r="H210" i="5"/>
  <c r="H209" i="5"/>
  <c r="G10" i="4" s="1"/>
  <c r="H82" i="1" l="1"/>
  <c r="F82" i="1"/>
  <c r="D82" i="1"/>
  <c r="H215" i="5"/>
  <c r="G82" i="1"/>
  <c r="E82" i="1"/>
  <c r="G15" i="4"/>
  <c r="G13" i="4"/>
  <c r="G12" i="4"/>
  <c r="G11" i="4"/>
  <c r="G16" i="5"/>
  <c r="F16" i="5"/>
  <c r="H16" i="5"/>
  <c r="J191" i="5"/>
  <c r="J175" i="5"/>
  <c r="J156" i="5"/>
  <c r="G16" i="4" l="1"/>
  <c r="G17" i="4" s="1"/>
  <c r="G18" i="4" s="1"/>
  <c r="K72" i="1"/>
  <c r="G83" i="1"/>
  <c r="G84" i="1" s="1"/>
  <c r="G90" i="1" s="1"/>
  <c r="F23" i="4" s="1"/>
  <c r="H216" i="5"/>
  <c r="H217" i="5" s="1"/>
  <c r="E207" i="5"/>
  <c r="F207" i="5"/>
  <c r="H207" i="5"/>
  <c r="D207" i="5"/>
  <c r="J185" i="5"/>
  <c r="J186" i="5"/>
  <c r="J187" i="5"/>
  <c r="J188" i="5"/>
  <c r="J189" i="5"/>
  <c r="J190" i="5"/>
  <c r="J174" i="5"/>
  <c r="J176" i="5"/>
  <c r="J177" i="5"/>
  <c r="J178" i="5"/>
  <c r="J179" i="5"/>
  <c r="J180" i="5"/>
  <c r="J163" i="5"/>
  <c r="J164" i="5"/>
  <c r="J165" i="5"/>
  <c r="J166" i="5"/>
  <c r="J167" i="5"/>
  <c r="J168" i="5"/>
  <c r="J169" i="5"/>
  <c r="J152" i="5"/>
  <c r="J153" i="5"/>
  <c r="J154" i="5"/>
  <c r="J155" i="5"/>
  <c r="J157" i="5"/>
  <c r="J158" i="5"/>
  <c r="J140" i="5"/>
  <c r="J141" i="5"/>
  <c r="J142" i="5"/>
  <c r="J143" i="5"/>
  <c r="J144" i="5"/>
  <c r="J145" i="5"/>
  <c r="J146" i="5"/>
  <c r="J129" i="5"/>
  <c r="J130" i="5"/>
  <c r="J131" i="5"/>
  <c r="J132" i="5"/>
  <c r="J133" i="5"/>
  <c r="J134" i="5"/>
  <c r="J135" i="5"/>
  <c r="J95" i="5"/>
  <c r="J96" i="5"/>
  <c r="J97" i="5"/>
  <c r="J98" i="5"/>
  <c r="J99" i="5"/>
  <c r="J100" i="5"/>
  <c r="J101" i="5"/>
  <c r="J50" i="5"/>
  <c r="J51" i="5"/>
  <c r="J52" i="5"/>
  <c r="J53" i="5"/>
  <c r="J54" i="5"/>
  <c r="J55" i="5"/>
  <c r="J56" i="5"/>
  <c r="H35" i="5"/>
  <c r="K41" i="1"/>
  <c r="H203" i="5"/>
  <c r="H192" i="5"/>
  <c r="H159" i="5"/>
  <c r="H114" i="5"/>
  <c r="H102" i="5"/>
  <c r="H91" i="5"/>
  <c r="H80" i="5"/>
  <c r="H69" i="5"/>
  <c r="H57" i="5"/>
  <c r="H46" i="5"/>
  <c r="H24" i="5"/>
  <c r="G8" i="4"/>
  <c r="H184" i="5"/>
  <c r="H151" i="5"/>
  <c r="H106" i="5"/>
  <c r="H38" i="5"/>
  <c r="H27" i="5"/>
  <c r="K22" i="1" l="1"/>
  <c r="J46" i="1"/>
  <c r="K46" i="1"/>
  <c r="G91" i="1"/>
  <c r="F24" i="4" s="1"/>
  <c r="J41" i="1"/>
  <c r="H195" i="5"/>
  <c r="K32" i="1"/>
  <c r="K57" i="1"/>
  <c r="K51" i="1"/>
  <c r="K37" i="1"/>
  <c r="K27" i="1"/>
  <c r="J32" i="1"/>
  <c r="J22" i="1"/>
  <c r="J24" i="4"/>
  <c r="J23" i="4"/>
  <c r="J82" i="1" l="1"/>
  <c r="D95" i="1"/>
  <c r="H83" i="1"/>
  <c r="H84" i="1" s="1"/>
  <c r="H90" i="1" l="1"/>
  <c r="G23" i="4" s="1"/>
  <c r="I92" i="1"/>
  <c r="I93" i="1" s="1"/>
  <c r="H91" i="1"/>
  <c r="G24" i="4" s="1"/>
  <c r="H92" i="1"/>
  <c r="L95" i="1"/>
  <c r="G25" i="4" l="1"/>
  <c r="H93" i="1"/>
  <c r="K93" i="1"/>
  <c r="E214" i="5" l="1"/>
  <c r="D15" i="4" s="1"/>
  <c r="F214" i="5"/>
  <c r="E15" i="4" s="1"/>
  <c r="E213" i="5"/>
  <c r="D14" i="4" s="1"/>
  <c r="F213" i="5"/>
  <c r="E14" i="4" s="1"/>
  <c r="E212" i="5"/>
  <c r="D13" i="4" s="1"/>
  <c r="E13" i="4"/>
  <c r="E211" i="5"/>
  <c r="D12" i="4" s="1"/>
  <c r="F211" i="5"/>
  <c r="E12" i="4" s="1"/>
  <c r="E210" i="5"/>
  <c r="D11" i="4" s="1"/>
  <c r="F210" i="5"/>
  <c r="E11" i="4" s="1"/>
  <c r="E209" i="5"/>
  <c r="D10" i="4" s="1"/>
  <c r="F209" i="5"/>
  <c r="E10" i="4" s="1"/>
  <c r="D210" i="5"/>
  <c r="D211" i="5"/>
  <c r="D212" i="5"/>
  <c r="J212" i="5" s="1"/>
  <c r="D213" i="5"/>
  <c r="D214" i="5"/>
  <c r="D209" i="5"/>
  <c r="E208" i="5"/>
  <c r="C10" i="4" l="1"/>
  <c r="J209" i="5"/>
  <c r="J214" i="5"/>
  <c r="J213" i="5"/>
  <c r="J211" i="5"/>
  <c r="J210" i="5"/>
  <c r="I10" i="4"/>
  <c r="D9" i="4"/>
  <c r="I9" i="4" s="1"/>
  <c r="E16" i="4"/>
  <c r="F215" i="5"/>
  <c r="D215" i="5"/>
  <c r="D16" i="4" l="1"/>
  <c r="D17" i="4" s="1"/>
  <c r="D18" i="4" s="1"/>
  <c r="E17" i="4"/>
  <c r="E18" i="4" s="1"/>
  <c r="D216" i="5"/>
  <c r="D13" i="5"/>
  <c r="E89" i="1"/>
  <c r="F89" i="1"/>
  <c r="D89" i="1"/>
  <c r="E81" i="1"/>
  <c r="D8" i="4" s="1"/>
  <c r="F81" i="1"/>
  <c r="E8" i="4" s="1"/>
  <c r="D81" i="1"/>
  <c r="C8" i="4" s="1"/>
  <c r="F203" i="5"/>
  <c r="E203" i="5"/>
  <c r="D203" i="5"/>
  <c r="D195" i="5"/>
  <c r="J203" i="5" l="1"/>
  <c r="D217" i="5"/>
  <c r="E195" i="5"/>
  <c r="F195" i="5"/>
  <c r="C15" i="4"/>
  <c r="I15" i="4" s="1"/>
  <c r="C11" i="4"/>
  <c r="I11" i="4" s="1"/>
  <c r="C12" i="4"/>
  <c r="I12" i="4" s="1"/>
  <c r="C13" i="4"/>
  <c r="I13" i="4" s="1"/>
  <c r="C14" i="4"/>
  <c r="I14" i="4" s="1"/>
  <c r="F13" i="5"/>
  <c r="E13" i="5"/>
  <c r="D170" i="5"/>
  <c r="E170" i="5"/>
  <c r="F170" i="5"/>
  <c r="D181" i="5"/>
  <c r="E181" i="5"/>
  <c r="F181" i="5"/>
  <c r="D192" i="5"/>
  <c r="E192" i="5"/>
  <c r="F192" i="5"/>
  <c r="F159" i="5"/>
  <c r="E159" i="5"/>
  <c r="D159" i="5"/>
  <c r="D125" i="5"/>
  <c r="J125" i="5" s="1"/>
  <c r="E125" i="5"/>
  <c r="F125" i="5"/>
  <c r="D136" i="5"/>
  <c r="E136" i="5"/>
  <c r="F136" i="5"/>
  <c r="D147" i="5"/>
  <c r="E147" i="5"/>
  <c r="F147" i="5"/>
  <c r="F114" i="5"/>
  <c r="E114" i="5"/>
  <c r="D114" i="5"/>
  <c r="J114" i="5" s="1"/>
  <c r="D80" i="5"/>
  <c r="J80" i="5" s="1"/>
  <c r="E80" i="5"/>
  <c r="F80" i="5"/>
  <c r="D91" i="5"/>
  <c r="E91" i="5"/>
  <c r="F91" i="5"/>
  <c r="D102" i="5"/>
  <c r="E102" i="5"/>
  <c r="F102" i="5"/>
  <c r="D69" i="5"/>
  <c r="E69" i="5"/>
  <c r="F69" i="5"/>
  <c r="D35" i="5"/>
  <c r="E35" i="5"/>
  <c r="F35" i="5"/>
  <c r="D46" i="5"/>
  <c r="E46" i="5"/>
  <c r="F46" i="5"/>
  <c r="D57" i="5"/>
  <c r="E57" i="5"/>
  <c r="F57" i="5"/>
  <c r="E24" i="5"/>
  <c r="F24" i="5"/>
  <c r="D24" i="5"/>
  <c r="J24" i="5" s="1"/>
  <c r="J69" i="5" l="1"/>
  <c r="J195" i="5"/>
  <c r="I16" i="4"/>
  <c r="J35" i="5"/>
  <c r="J46" i="5"/>
  <c r="C16" i="4"/>
  <c r="J159" i="5"/>
  <c r="J181" i="5"/>
  <c r="J147" i="5"/>
  <c r="J57" i="5"/>
  <c r="J170" i="5"/>
  <c r="J136" i="5"/>
  <c r="J192" i="5"/>
  <c r="J102" i="5"/>
  <c r="E215" i="5"/>
  <c r="J215" i="5" s="1"/>
  <c r="E184" i="5"/>
  <c r="F184" i="5"/>
  <c r="E173" i="5"/>
  <c r="F173" i="5"/>
  <c r="E162" i="5"/>
  <c r="F162" i="5"/>
  <c r="E151" i="5"/>
  <c r="F151" i="5"/>
  <c r="E139" i="5"/>
  <c r="F139" i="5"/>
  <c r="E128" i="5"/>
  <c r="F128" i="5"/>
  <c r="F117" i="5"/>
  <c r="F106" i="5"/>
  <c r="J106" i="5" s="1"/>
  <c r="E94" i="5"/>
  <c r="E72" i="5"/>
  <c r="F72" i="5"/>
  <c r="E61" i="5"/>
  <c r="F61" i="5"/>
  <c r="E49" i="5"/>
  <c r="F49" i="5"/>
  <c r="F38" i="5"/>
  <c r="E27" i="5"/>
  <c r="F27" i="5"/>
  <c r="D27" i="5"/>
  <c r="J27" i="5" s="1"/>
  <c r="I17" i="4" l="1"/>
  <c r="I18" i="4" s="1"/>
  <c r="E83" i="1"/>
  <c r="F83" i="1"/>
  <c r="C17" i="4"/>
  <c r="C18" i="4" s="1"/>
  <c r="E216" i="5"/>
  <c r="F216" i="5"/>
  <c r="F217" i="5" s="1"/>
  <c r="E16" i="5"/>
  <c r="F94" i="5"/>
  <c r="E38" i="5"/>
  <c r="E217" i="5" l="1"/>
  <c r="J216" i="5"/>
  <c r="J217" i="5" s="1"/>
  <c r="I24" i="4"/>
  <c r="I23" i="4"/>
  <c r="E84" i="1"/>
  <c r="E90" i="1" s="1"/>
  <c r="D23" i="4" s="1"/>
  <c r="F84" i="1"/>
  <c r="F90" i="1" s="1"/>
  <c r="E23" i="4" s="1"/>
  <c r="D184" i="5"/>
  <c r="J184" i="5" s="1"/>
  <c r="D173" i="5"/>
  <c r="J173" i="5" s="1"/>
  <c r="D162" i="5"/>
  <c r="J162" i="5" s="1"/>
  <c r="D139" i="5"/>
  <c r="J139" i="5" s="1"/>
  <c r="D128" i="5"/>
  <c r="J128" i="5" s="1"/>
  <c r="D117" i="5"/>
  <c r="J117" i="5" s="1"/>
  <c r="D94" i="5"/>
  <c r="J94" i="5" s="1"/>
  <c r="D72" i="5"/>
  <c r="J72" i="5" s="1"/>
  <c r="D49" i="5"/>
  <c r="J49" i="5" s="1"/>
  <c r="F91" i="1" l="1"/>
  <c r="E24" i="4" s="1"/>
  <c r="E92" i="1"/>
  <c r="E91" i="1"/>
  <c r="D24" i="4" s="1"/>
  <c r="G92" i="1"/>
  <c r="F92" i="1"/>
  <c r="D16" i="5"/>
  <c r="J16" i="5" s="1"/>
  <c r="C21" i="6"/>
  <c r="D151" i="5"/>
  <c r="J151" i="5" s="1"/>
  <c r="C28" i="6"/>
  <c r="D61" i="5"/>
  <c r="J61" i="5" s="1"/>
  <c r="C14" i="6"/>
  <c r="D38" i="5"/>
  <c r="J38" i="5" s="1"/>
  <c r="C7" i="6"/>
  <c r="D10" i="6" s="1"/>
  <c r="G93" i="1" l="1"/>
  <c r="F93" i="1"/>
  <c r="E93" i="1"/>
  <c r="D83" i="1"/>
  <c r="D84" i="1" s="1"/>
  <c r="D90" i="1" s="1"/>
  <c r="C23" i="4" s="1"/>
  <c r="F25" i="4"/>
  <c r="D25" i="4"/>
  <c r="E25" i="4"/>
  <c r="D31" i="6"/>
  <c r="D24" i="6"/>
  <c r="D17" i="6"/>
  <c r="D91" i="1" l="1"/>
  <c r="D92" i="1"/>
  <c r="J92" i="1" s="1"/>
  <c r="J83" i="1"/>
  <c r="J84" i="1" s="1"/>
  <c r="D99" i="1" s="1"/>
  <c r="L96" i="1"/>
  <c r="C22" i="6"/>
  <c r="C29" i="6"/>
  <c r="C15" i="6"/>
  <c r="C8" i="6"/>
  <c r="J91" i="1" l="1"/>
  <c r="J90" i="1"/>
  <c r="D96" i="1"/>
  <c r="D93" i="1"/>
  <c r="J93" i="1" l="1"/>
  <c r="I25" i="4"/>
  <c r="C24" i="4"/>
  <c r="C25" i="4" l="1"/>
</calcChain>
</file>

<file path=xl/sharedStrings.xml><?xml version="1.0" encoding="utf-8"?>
<sst xmlns="http://schemas.openxmlformats.org/spreadsheetml/2006/main" count="763" uniqueCount="559">
  <si>
    <t>Annexe D - Budget du projet PBF</t>
  </si>
  <si>
    <t>Instructions:</t>
  </si>
  <si>
    <r>
      <t xml:space="preserve">1. Ne remplissez que les cellules blanches. Les cellules grises sont verrouillées et / ou contiennent des formules de feuille de calcul.
2. Remplissez les feuilles 1 et 2.
a) </t>
    </r>
    <r>
      <rPr>
        <sz val="16"/>
        <color theme="1"/>
        <rFont val="Calibri"/>
        <family val="2"/>
        <scheme val="minor"/>
      </rPr>
      <t>Premièrement, préparez un budget organisé par</t>
    </r>
    <r>
      <rPr>
        <b/>
        <sz val="16"/>
        <color theme="1"/>
        <rFont val="Calibri"/>
        <family val="2"/>
        <scheme val="minor"/>
      </rPr>
      <t xml:space="preserve"> activité / produit / résultat dans la feuille 1</t>
    </r>
    <r>
      <rPr>
        <sz val="16"/>
        <color theme="1"/>
        <rFont val="Calibri"/>
        <family val="2"/>
        <scheme val="minor"/>
      </rPr>
      <t>. (Les montants des activités peuvent être estimations indicatives.)</t>
    </r>
    <r>
      <rPr>
        <b/>
        <sz val="16"/>
        <color theme="1"/>
        <rFont val="Calibri"/>
        <family val="2"/>
        <scheme val="minor"/>
      </rPr>
      <t xml:space="preserve">
b) </t>
    </r>
    <r>
      <rPr>
        <sz val="16"/>
        <color theme="1"/>
        <rFont val="Calibri"/>
        <family val="2"/>
        <scheme val="minor"/>
      </rPr>
      <t xml:space="preserve">Ensuite, divisez chaque budget en fonction </t>
    </r>
    <r>
      <rPr>
        <b/>
        <sz val="16"/>
        <color theme="1"/>
        <rFont val="Calibri"/>
        <family val="2"/>
        <scheme val="minor"/>
      </rPr>
      <t xml:space="preserve">des catégories de budget des Nations Unies dans la feuille 2.
3. </t>
    </r>
    <r>
      <rPr>
        <sz val="16"/>
        <color theme="1"/>
        <rFont val="Calibri"/>
        <family val="2"/>
        <scheme val="minor"/>
      </rPr>
      <t xml:space="preserve">Assurez-vous d’inclure </t>
    </r>
    <r>
      <rPr>
        <b/>
        <sz val="16"/>
        <color theme="1"/>
        <rFont val="Calibri"/>
        <family val="2"/>
        <scheme val="minor"/>
      </rPr>
      <t>% en faveur de l’égalité des sexes et de l’autonomisation des femmes (GEWE).
4. N'utilisez pas les feuilles 4 ou 5</t>
    </r>
    <r>
      <rPr>
        <sz val="16"/>
        <color theme="1"/>
        <rFont val="Calibri"/>
        <family val="2"/>
        <scheme val="minor"/>
      </rPr>
      <t>, qui sont destinées au MPTF et au PBSO.</t>
    </r>
    <r>
      <rPr>
        <b/>
        <sz val="16"/>
        <color theme="1"/>
        <rFont val="Calibri"/>
        <family val="2"/>
        <scheme val="minor"/>
      </rPr>
      <t xml:space="preserve">
5. Laissez  en blanc </t>
    </r>
    <r>
      <rPr>
        <sz val="16"/>
        <color theme="1"/>
        <rFont val="Calibri"/>
        <family val="2"/>
        <scheme val="minor"/>
      </rPr>
      <t>toutes les organisations / résultats / réalisations / activités qui ne sont pas nécessaires. NE PAS supprimer les cellules.</t>
    </r>
    <r>
      <rPr>
        <b/>
        <sz val="16"/>
        <color theme="1"/>
        <rFont val="Calibri"/>
        <family val="2"/>
        <scheme val="minor"/>
      </rPr>
      <t xml:space="preserve">
6. Ne pas ajuster les montants des tranches </t>
    </r>
    <r>
      <rPr>
        <sz val="16"/>
        <color theme="1"/>
        <rFont val="Calibri"/>
        <family val="2"/>
        <scheme val="minor"/>
      </rPr>
      <t>sans consulter PBSO.</t>
    </r>
  </si>
  <si>
    <t>Nombre de resultat/ produit</t>
  </si>
  <si>
    <t>Formulation du resultat/ produit/activite</t>
  </si>
  <si>
    <t>Organisation recipiendiaire 1 (budget en USD)</t>
  </si>
  <si>
    <t>Organisation recipiendiaire 2 (budget en USD)</t>
  </si>
  <si>
    <t>Organisation recipiendiaire 3 (budget en USD)</t>
  </si>
  <si>
    <t>Organisation recipiendiaire 4 (budget en USD)</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</si>
  <si>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</si>
  <si>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</si>
  <si>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</si>
  <si>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t>Notes quelconque le cas echeant (.e.g sur types des entrants ou justification du budget)</t>
  </si>
  <si>
    <t>PNUD GUINEE</t>
  </si>
  <si>
    <t>PNUD MALI</t>
  </si>
  <si>
    <t>UNFPA GUINEE</t>
  </si>
  <si>
    <t>UNFPA MALI</t>
  </si>
  <si>
    <t xml:space="preserve">RESULTAT 1: </t>
  </si>
  <si>
    <t>Résultat I : Les institutions nationales et locales de gestion des conflits transfrontaliers entre la Guinée et le Mali promeuvent un dialogue pacifique et inclusif permettant la prévention et la gestion des conflits transfrontaliers</t>
  </si>
  <si>
    <t>Produit 1.1:</t>
  </si>
  <si>
    <t>Activite 1.1.1:</t>
  </si>
  <si>
    <t>Activite 1.1.2:</t>
  </si>
  <si>
    <t>Activite 1.1.3:</t>
  </si>
  <si>
    <t>Activite 1.1.4</t>
  </si>
  <si>
    <t>Activite 1.1.5</t>
  </si>
  <si>
    <t>Soutenir un processus d’élaboration ou de revue des chartes foncières ainsi que leur vulgarisation et appropriation par toutes les parties prenantes</t>
  </si>
  <si>
    <t>Activite 1.1.6</t>
  </si>
  <si>
    <t>Produit total</t>
  </si>
  <si>
    <t>Produit 1.2:</t>
  </si>
  <si>
    <t>Activite 1.2.1</t>
  </si>
  <si>
    <t>Activite 1.2.2</t>
  </si>
  <si>
    <t>Activite 1.2.3</t>
  </si>
  <si>
    <t>Produit 1.3:</t>
  </si>
  <si>
    <t>Activite 1.3.1</t>
  </si>
  <si>
    <t>Activite 1.3.2</t>
  </si>
  <si>
    <t>Activite 1.3.3</t>
  </si>
  <si>
    <t xml:space="preserve">RESULTAT 2: </t>
  </si>
  <si>
    <t>Produit 2.1</t>
  </si>
  <si>
    <t>Activite 2.1.1</t>
  </si>
  <si>
    <t>Activite 2.1.2</t>
  </si>
  <si>
    <t>Produit 2.2</t>
  </si>
  <si>
    <t>Activite 2.2.1</t>
  </si>
  <si>
    <t>Activité 2.2.2</t>
  </si>
  <si>
    <t>Produit 2.3</t>
  </si>
  <si>
    <t xml:space="preserve">RESULTAT 3: </t>
  </si>
  <si>
    <t>La résilience des jeunes et des femmes face aux diverses formes de marginalisations et d’exclusions est renforcées et contribue à la paix et à la stabilité transfrontalières</t>
  </si>
  <si>
    <t>Produit 3.1</t>
  </si>
  <si>
    <t>Activite 3.1.1</t>
  </si>
  <si>
    <t>Activite 3.1.2</t>
  </si>
  <si>
    <t>Produit 3.2:</t>
  </si>
  <si>
    <t>Activite 3.2.1</t>
  </si>
  <si>
    <t>Activite 3.2.2</t>
  </si>
  <si>
    <t>Faire une étude sur la création d' une coopérative de crédit communautaire transfrontalière (en consultation avec les institutions financières) afin d’améliorer l’inclusion économique dans la région</t>
  </si>
  <si>
    <t>Activite 3.2.3</t>
  </si>
  <si>
    <t>Cout de personnel du projet si pas inclus dans les activites si-dessus</t>
  </si>
  <si>
    <t xml:space="preserve">PNUD GUINEE : Un Cordonateur NPSA11 + un Expert National Chargé du S&amp;E NPSA 9 et un agent de zone NPSA 6 pour 24 mois </t>
  </si>
  <si>
    <t xml:space="preserve">PNUD Mali : Chargé du Projet NPSA 11 et agent de zone VNU communautaires pour 24 mois </t>
  </si>
  <si>
    <t xml:space="preserve">UNFPA GUINEE : Chargé du Projet SB4 pour 24 mois </t>
  </si>
  <si>
    <t xml:space="preserve">UNFPA Mali  : Chargé du Projet NOB pour 24 mois </t>
  </si>
  <si>
    <t>UNODC  : Chargé du Projet NOA pour 24 mois (Guinée) 50 %</t>
  </si>
  <si>
    <t>Couts operationnels si pas inclus dans les activites si-dessus</t>
  </si>
  <si>
    <t>Fonctionnement 1 véhicule</t>
  </si>
  <si>
    <t>Locations bureaux et charges locatives</t>
  </si>
  <si>
    <t>Communication</t>
  </si>
  <si>
    <t>Fournitures et consommables  bureau</t>
  </si>
  <si>
    <t>Equipements de bureau</t>
  </si>
  <si>
    <t xml:space="preserve">Etude de perception initiale et finale </t>
  </si>
  <si>
    <t xml:space="preserve">Suivi et évaluation </t>
  </si>
  <si>
    <t>Budget pour l'évaluation finale indépendante</t>
  </si>
  <si>
    <t>Evaluation finale Independante du projet</t>
  </si>
  <si>
    <t>Coûts supplémentaires total</t>
  </si>
  <si>
    <t>Totaux</t>
  </si>
  <si>
    <t>Organisation recipiendiaire 1</t>
  </si>
  <si>
    <t>Organisation recipiendiaire 2</t>
  </si>
  <si>
    <t>Organisation recipiendiaire 3</t>
  </si>
  <si>
    <t>Organisation recipiendiaire 4</t>
  </si>
  <si>
    <t>Sous-budget total du projet</t>
  </si>
  <si>
    <t>Coûts indirects (7%):</t>
  </si>
  <si>
    <t>Répartition des tranches basée sur la performance</t>
  </si>
  <si>
    <t>Tranche %</t>
  </si>
  <si>
    <t>Première tranche</t>
  </si>
  <si>
    <t>Deuxième tranche</t>
  </si>
  <si>
    <t>Troisième tranche (le cas échéant)</t>
  </si>
  <si>
    <r>
      <t xml:space="preserve">$ alloué à GEWE </t>
    </r>
    <r>
      <rPr>
        <sz val="11"/>
        <color theme="1"/>
        <rFont val="Calibri"/>
        <family val="2"/>
        <scheme val="minor"/>
      </rPr>
      <t>(inclut coûts indirects)</t>
    </r>
  </si>
  <si>
    <t>Total des dépenses</t>
  </si>
  <si>
    <t>% alloué à GEWE</t>
  </si>
  <si>
    <t>Taux d'exécution</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</si>
  <si>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</si>
  <si>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</si>
  <si>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</si>
  <si>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
  </si>
  <si>
    <r>
      <t>1. Divisez le total de chaque budget entre les catégories de budget des Nations Unies concernées.
2. À titre de référence, les totaux des produits ont été transférés du tableau 1.
3. Les totaux des produits doivent correspondre et seront sinon affichés</t>
    </r>
    <r>
      <rPr>
        <b/>
        <sz val="16"/>
        <color rgb="FFFF0000"/>
        <rFont val="Calibri"/>
        <family val="2"/>
        <scheme val="minor"/>
      </rPr>
      <t xml:space="preserve"> en rouge</t>
    </r>
    <r>
      <rPr>
        <b/>
        <sz val="16"/>
        <color theme="1"/>
        <rFont val="Calibri"/>
        <family val="2"/>
        <scheme val="minor"/>
      </rPr>
      <t>.</t>
    </r>
  </si>
  <si>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</si>
  <si>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</si>
  <si>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</si>
  <si>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</si>
  <si>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</si>
  <si>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</si>
  <si>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</si>
  <si>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</si>
  <si>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</si>
  <si>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</si>
  <si>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</si>
  <si>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</si>
  <si>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</si>
  <si>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</si>
  <si>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</si>
  <si>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</si>
  <si>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</si>
  <si>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</si>
  <si>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</si>
  <si>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</si>
  <si>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</si>
  <si>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</si>
  <si>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Produit 2.4</t>
  </si>
  <si>
    <t>Total pour produit 2.4 (du tableau 1)</t>
  </si>
  <si>
    <t>RESULTAT 3</t>
  </si>
  <si>
    <t>Total pour produit 3.1 (du tableau 1)</t>
  </si>
  <si>
    <t>Produit 3.2</t>
  </si>
  <si>
    <t>Total pour produit 3.2 (du tableau 1)</t>
  </si>
  <si>
    <t>Produit 3.3</t>
  </si>
  <si>
    <t>Total pour produit 3.3 (du tableau 1)</t>
  </si>
  <si>
    <t>Produit 3.4</t>
  </si>
  <si>
    <t>Total pour produit 3.4 (du tableau 1)</t>
  </si>
  <si>
    <t>RESULTAT 4</t>
  </si>
  <si>
    <t>Produit 4.1</t>
  </si>
  <si>
    <t>Total pour produit 4.1 (du tableau 1)</t>
  </si>
  <si>
    <t>Produit 4.2</t>
  </si>
  <si>
    <t>Total pour produit 4.2 (du tableau 1)</t>
  </si>
  <si>
    <t>Produit 4.3</t>
  </si>
  <si>
    <t>Total pour produit 4.3 (du tableau 1)</t>
  </si>
  <si>
    <t>Produit 4.4</t>
  </si>
  <si>
    <t>Total pour produit 4.4 (du tableau 1)</t>
  </si>
  <si>
    <t xml:space="preserve">Coûts supplémentaires </t>
  </si>
  <si>
    <t>Total des coûts supplémentaires (du tableau 1)</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</si>
  <si>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</si>
  <si>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</si>
  <si>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</si>
  <si>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</si>
  <si>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</si>
  <si>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</si>
  <si>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</si>
  <si>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</si>
  <si>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</si>
  <si>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</si>
  <si>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</si>
  <si>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</si>
  <si>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</si>
  <si>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</si>
  <si>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</si>
  <si>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</si>
  <si>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</si>
  <si>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</si>
  <si>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</si>
  <si>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</si>
  <si>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</si>
  <si>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Recipient Agency 4</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</si>
  <si>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</si>
  <si>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</si>
  <si>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</si>
  <si>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</si>
  <si>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</si>
  <si>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</si>
  <si>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</si>
  <si>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</si>
  <si>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</si>
  <si>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</si>
  <si>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Recip Agency 1</t>
  </si>
  <si>
    <t>Recip Agency 2</t>
  </si>
  <si>
    <t>Recip Agency 3</t>
  </si>
  <si>
    <t>First Tranche:</t>
  </si>
  <si>
    <t>Second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</si>
  <si>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</si>
  <si>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</si>
  <si>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</si>
  <si>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</si>
  <si>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</si>
  <si>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</si>
  <si>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</si>
  <si>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</si>
  <si>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</si>
  <si>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</si>
  <si>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</si>
  <si>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</si>
  <si>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</si>
  <si>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</si>
  <si>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</si>
  <si>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</si>
  <si>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</si>
  <si>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</si>
  <si>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</si>
  <si>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</si>
  <si>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</si>
  <si>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</si>
  <si>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</si>
  <si>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</si>
  <si>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</si>
  <si>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</si>
  <si>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</si>
  <si>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</si>
  <si>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</si>
  <si>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</si>
  <si>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</si>
  <si>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</si>
  <si>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</si>
  <si>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</si>
  <si>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</si>
  <si>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</si>
  <si>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</si>
  <si>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</si>
  <si>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</si>
  <si>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</si>
  <si>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</si>
  <si>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</si>
  <si>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</si>
  <si>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</si>
  <si>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</si>
  <si>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</si>
  <si>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</si>
  <si>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</si>
  <si>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</si>
  <si>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</si>
  <si>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</si>
  <si>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</si>
  <si>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</si>
  <si>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</si>
  <si>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</si>
  <si>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</si>
  <si>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</si>
  <si>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</si>
  <si>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</si>
  <si>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</si>
  <si>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</si>
  <si>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</si>
  <si>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</si>
  <si>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</si>
  <si>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</si>
  <si>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</si>
  <si>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</si>
  <si>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</si>
  <si>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</si>
  <si>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</si>
  <si>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</si>
  <si>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</si>
  <si>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</si>
  <si>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</si>
  <si>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</si>
  <si>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</si>
  <si>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</si>
  <si>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</si>
  <si>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</si>
  <si>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</si>
  <si>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</si>
  <si>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</si>
  <si>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</si>
  <si>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</si>
  <si>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</si>
  <si>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</si>
  <si>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</si>
  <si>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</si>
  <si>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</si>
  <si>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</si>
  <si>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</si>
  <si>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</si>
  <si>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</si>
  <si>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</si>
  <si>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</si>
  <si>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</si>
  <si>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</si>
  <si>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</si>
  <si>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</si>
  <si>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</si>
  <si>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</si>
  <si>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</si>
  <si>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</si>
  <si>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</si>
  <si>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</si>
  <si>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</si>
  <si>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</si>
  <si>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</si>
  <si>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</si>
  <si>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</si>
  <si>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</si>
  <si>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</si>
  <si>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</si>
  <si>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</si>
  <si>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</si>
  <si>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</si>
  <si>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</si>
  <si>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</si>
  <si>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</si>
  <si>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</si>
  <si>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</si>
  <si>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</si>
  <si>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</si>
  <si>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</si>
  <si>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</si>
  <si>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</si>
  <si>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</si>
  <si>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</si>
  <si>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</si>
  <si>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</si>
  <si>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</si>
  <si>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</si>
  <si>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</si>
  <si>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</si>
  <si>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</si>
  <si>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</si>
  <si>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</si>
  <si>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</si>
  <si>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</si>
  <si>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</si>
  <si>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</si>
  <si>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</si>
  <si>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</si>
  <si>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</si>
  <si>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</si>
  <si>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</si>
  <si>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</si>
  <si>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</si>
  <si>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</si>
  <si>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</si>
  <si>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</si>
  <si>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</si>
  <si>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</si>
  <si>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</si>
  <si>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</si>
  <si>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</si>
  <si>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</si>
  <si>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</si>
  <si>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</si>
  <si>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</si>
  <si>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</si>
  <si>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</si>
  <si>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</si>
  <si>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</si>
  <si>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</si>
  <si>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</si>
  <si>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</si>
  <si>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</si>
  <si>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</si>
  <si>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</si>
  <si>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</si>
  <si>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</si>
  <si>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</si>
  <si>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</si>
  <si>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</si>
  <si>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</si>
  <si>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</si>
  <si>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</si>
  <si>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</si>
  <si>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</si>
  <si>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</si>
  <si>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</si>
  <si>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</si>
  <si>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</si>
  <si>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</si>
  <si>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</si>
  <si>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</si>
  <si>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</si>
  <si>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</si>
  <si>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</si>
  <si>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</si>
  <si>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</si>
  <si>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</si>
  <si>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</si>
  <si>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</si>
  <si>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</si>
  <si>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</si>
  <si>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</si>
  <si>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</si>
  <si>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</si>
  <si>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</si>
  <si>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</si>
  <si>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</si>
  <si>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</si>
  <si>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</si>
  <si>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</si>
  <si>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</si>
  <si>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</si>
  <si>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</si>
  <si>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</si>
  <si>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</si>
  <si>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</si>
  <si>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</si>
  <si>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</si>
  <si>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</si>
  <si>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</si>
  <si>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</si>
  <si>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</si>
  <si>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</si>
  <si>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</si>
  <si>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</si>
  <si>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</si>
  <si>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</si>
  <si>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</si>
  <si>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</si>
  <si>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</si>
  <si>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</si>
  <si>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</si>
  <si>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</si>
  <si>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</si>
  <si>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</si>
  <si>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</si>
  <si>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</si>
  <si>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</si>
  <si>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</si>
  <si>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</si>
  <si>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</si>
  <si>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</si>
  <si>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</si>
  <si>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</si>
  <si>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</si>
  <si>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</si>
  <si>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</si>
  <si>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</si>
  <si>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</si>
  <si>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</si>
  <si>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</si>
  <si>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</si>
  <si>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</si>
  <si>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</si>
  <si>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</si>
  <si>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</si>
  <si>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</si>
  <si>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</si>
  <si>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</si>
  <si>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</si>
  <si>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</si>
  <si>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</si>
  <si>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</si>
  <si>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</si>
  <si>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</si>
  <si>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</si>
  <si>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</si>
  <si>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</si>
  <si>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</si>
  <si>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</si>
  <si>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</si>
  <si>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</si>
  <si>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</si>
  <si>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</si>
  <si>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</si>
  <si>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</si>
  <si>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</si>
  <si>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</si>
  <si>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</si>
  <si>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</si>
  <si>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</si>
  <si>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</si>
  <si>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</si>
  <si>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</si>
  <si>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</si>
  <si>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</si>
  <si>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</si>
  <si>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</si>
  <si>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</si>
  <si>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</si>
  <si>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</si>
  <si>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</si>
  <si>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</si>
  <si>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</si>
  <si>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</si>
  <si>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</si>
  <si>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</si>
  <si>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</si>
  <si>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</si>
  <si>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</si>
  <si>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</si>
  <si>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</si>
  <si>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</si>
  <si>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</si>
  <si>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</si>
  <si>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</si>
  <si>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</si>
  <si>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</si>
  <si>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</si>
  <si>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</si>
  <si>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</si>
  <si>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</si>
  <si>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</si>
  <si>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</si>
  <si>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</si>
  <si>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</si>
  <si>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</si>
  <si>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</si>
  <si>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</si>
  <si>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</si>
  <si>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</si>
  <si>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</si>
  <si>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</si>
  <si>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</si>
  <si>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</si>
  <si>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</si>
  <si>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</si>
  <si>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</si>
  <si>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</si>
  <si>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</si>
  <si>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</si>
  <si>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</si>
  <si>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</si>
  <si>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</si>
  <si>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</si>
  <si>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</si>
  <si>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</si>
  <si>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</si>
  <si>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</si>
  <si>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</si>
  <si>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</si>
  <si>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</si>
  <si>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</si>
  <si>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</si>
  <si>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Activite 3.2.4</t>
  </si>
  <si>
    <t>Tableau 1 - Budget du projet PBF par résultat, produit et activité - Projet d'appui à la prévention et gestion des conflits transfrontaliers Guinée - Mali</t>
  </si>
  <si>
    <t xml:space="preserve">  Produit 1.1: Les instances de coopération transfrontalières (les groupements locaux mixtes transfrontaliers, les autorités locales et traditionnelles) ainsi que les forces de défense et de sécurité sont engagées dans un dialogue inclusif soutenu et dans des actions conjointes de prévention des conflits transfrontaliers</t>
  </si>
  <si>
    <t>Appuyer une étude diagnostic sur les capacités nationales et locales transfrontalières de gestion des conflits, incluant des femmes et des jeunes avec l’outil DSEL (diagnostic sécuritaire économique local) et son plan d’actions intégré</t>
  </si>
  <si>
    <t>Appuyer l’élaboration et l’adoption d’une Politique intégrée de gestion des frontières en Guinée, à travers la dynamisation du dialogue avec la direction de gestion des frontières (des deux côtés) pour cette politique</t>
  </si>
  <si>
    <t xml:space="preserve">Faire la revue conjointe du Plan transfrontalier mixte de développement afin de renforcer     la composante sur la prévention des crises transfrontalières et appuyer une initiative pilote conjointe sur la prévention et le développement de mécanismes d’alerte communautaire </t>
  </si>
  <si>
    <t xml:space="preserve">Tenir 6 séances de formation sur la gestion des conflits liés aux ressources naturelles dédiées aux membres des instances de coopération transfrontalières et cadre locaux de gestion des conflits transfrontaliers (définis dans le contexte) et les rendre sensibles au genre </t>
  </si>
  <si>
    <t xml:space="preserve">Renforcer les capacités opérationnelles des membres des mécanismes nationaux et locaux de gestion des conflits pour bien assumer leurs rôles </t>
  </si>
  <si>
    <t>Produit 1.2: Les mécanismes institutionnels et communautaires de prévention et de gestion des conflits transfrontaliers sont rendus inclusifs avec une participation accrue des jeunes et des femmes</t>
  </si>
  <si>
    <t>Réactiver et faciliter la tenue de 18 cadres d’échanges incluant tous les mécanismes de coopération transfrontalière entre la Guinée et le Mali (y compris les acteurs de la société civile, les forces de défense et de sécurité, les OSCs des jeunes et des femmes) pour développer les recommandations d’interventions immédiates conjointes pour adresser les problèmes liés aux moteurs de conflits</t>
  </si>
  <si>
    <t>Mise en réseau et mobilisation des groupements des femmes et des associations des jeunes travaillant dans les secteurs de l’orpaillage et extraction minière des deux côtés de la frontière pour le développement de modes opératoires conjoints de gestion pacifique des conflits et d’alerte, en collaboration avec les mécanismes institutionnels et communautaires existants</t>
  </si>
  <si>
    <t>Organiser des activités de rapprochement communautaires et socio-culturelles en vue de renforcer la cohabitation pacifique entre les communautés transfrontalières avec une implication particulière des jeunes et des femmes : appuyer la semaine artistique, culturelle et touristique, organiser 2 tournois sportifs</t>
  </si>
  <si>
    <t>Produit 1.3 Les collectivités cibles du projet sont renforcées pour intégrer et mettre en œuvre les questions de sécurité et de cohésion sociale dans leurs actions de développement</t>
  </si>
  <si>
    <t xml:space="preserve">Effectuer un diagnostic de sécurité locale et accompagner les collectivités ciblées par le projet à prendre en compte les questions de sécurité, de cohésion sociale ainsi que de genre dans leurs PDL / PDSEC. </t>
  </si>
  <si>
    <t>Fédérer les besoins et préoccupations des jeunes et des femmes à travers les espaces socio communautaires d’échange et de dialogue en vue de leurs prises en compte dans les PDL / PDSEC des communes cibles du projet.</t>
  </si>
  <si>
    <t>Renforcer le fonctionnement des groupements locaux de coopération transfrontalière (GLCT) entre Siguiri- Kangaba et entre Yanfolila – Mandiana (formation, équipement des GLCT, renforcement des PTDL ou tout autres outils de coopération).</t>
  </si>
  <si>
    <t xml:space="preserve">Résultat 2 :  La gestion efficace et commune des frontières entre la Guinée et le Mali favorise la paix et la sécurité à travers la lutte contre la criminalité transfrontalière et les trafics illicites </t>
  </si>
  <si>
    <t xml:space="preserve"> Produit 2.1. :  La lutte contre la prolifération des armes légères et de petit calibre est portée par les acteurs locaux par le biais du renforcement du dialogue et une prise de conscience du phénomène</t>
  </si>
  <si>
    <t>Former et sensibiliser les groupements locaux de coopération transfrontalières, les autorités au niveau local, les associations de jeunes et de femmes, les leaders communautaires et les organisations de la société civile sur les dangers de la prolifération et la détention des armes légères et de petit calibre</t>
  </si>
  <si>
    <t>Appuyer les services locaux chargés de lutter contre la prolifération des armes légères et de petit calibre (dotation en équipement des antennes déconcentrées des COMNAT ALPC de part et d’autre de la frontière, mise en place d’une plate-forme TIC pour le partage d’information sur les ALPC, formations des acteurs de la chaîne pénale et autres agents chargés de la gestion des frontières sur la détection, l’investigation, la poursuite et le jugement des infractions liées aux armes à feu et infractions connexes).</t>
  </si>
  <si>
    <t xml:space="preserve">Produit 2.2: La lutte contre la traite des personnes et plus particulièrement des femmes et des enfants est assurée au niveau de la frontière Guinée - Mali </t>
  </si>
  <si>
    <t xml:space="preserve">Faire un état des lieux de la coopération transfrontalière (aspects normatif, sécuritaire, etc..) entre la Guinée et le Mali en matière de criminalité transnationale organisée et plus particulièrement de trafic illicite de migrants, d traite des personnes et de trafic d’armes, et évaluation des besoins des postes frontaliers en matière de lutte contre la criminalité transnationale organisée  </t>
  </si>
  <si>
    <t xml:space="preserve">Appuyer les Etats dans l'élaboration et l'adoption d'instruments (e.g accords bilatéraux, SoPs) pour l'opérationnalisation du cadre juridique relatif à la coopération transfrontalière entre le Mali et la Guinée concernant la traite des personnes </t>
  </si>
  <si>
    <t>Produit 2.3: Les acteurs de la chaîne pénale de la zone d'intervention gèrent efficacement la criminalité transfrontalière</t>
  </si>
  <si>
    <t>Réaliser des études, recherches et analyses sur le phénomène de la criminalité organisée entre les deux pays relativement à la traite des personnes, trafic de migrants, les formes de traite dans les mines aurifères, - ainsi que sur les routes utilisées et les modes opératoires – les acteurs - y compris sous un angle sensible au genre et aux droits humains.</t>
  </si>
  <si>
    <t>Equiper les postes de contrôle frontaliers des forces de défense et de sécurité sur les frontières, selon les besoins identifiés dans l’évaluation afin de renforcer la coopération, l’échange d’informations et l’inter-opérabilité entre les postes frontaliers de chaque côté de la frontière</t>
  </si>
  <si>
    <t>Activité 2.3.1</t>
  </si>
  <si>
    <t>Activité 2.3.2</t>
  </si>
  <si>
    <t>2.3.3	Organiser des sessions de formations conjointe (des acteurs en charge de la gestion des frontières (agences d’application de la loi: douane, police, gendarmerie, forces de défense et+ magistrats) de la Guinée et du Mali à des fins de lutte contre la criminalité transnationale organisée avec un accent mis sur la traite des personnes et le trafic d’armes (incluant une réflexion sur des manuels conjoints sur la traite des personnes, le trafic illicite de migrants et le trafic d'armes), et certains composants de la gestion intégrée de frontières (sensibilisation aux droits de mobilité des instruments de la CEDEAO sur la libre circulation des biens et des personnes et aux droits de l’homme), tenant compte également de la dimension genre, des droits humains et du respect de l’éthique et de l’intégrité.</t>
  </si>
  <si>
    <t>Activite 2.3.3</t>
  </si>
  <si>
    <t xml:space="preserve">Produit 3.1 : Le leadership et la participation des jeunes et des femmes aux mécanismes d’alerte précoce pour la cohabitation pacifique transfrontalière, la prévention des conflits et la consolidation de la paix sont accrus </t>
  </si>
  <si>
    <t xml:space="preserve">Renforcer le leadership et les capacités en matière de prévention et gestion des conflits de 1 310 jeunes (Hommes /Femmes) et de 1310 femmes soit 2620 personnes dans les 131 villages frontaliers cibles du projet sur la base du diagnostic sécuritaire local (transversal, plan d’actions intégré) proposé au R1 </t>
  </si>
  <si>
    <t>3.1.2	Promouvoir, par le biais de l’information, de la sensibilisation et la mise en place des mécanismes d’alerte précoce la participation accrue des leaders jeunes et femmes dans les dispositifs locaux de prévention et de gestion des conflits et les cadres de coopération transfrontalières. A travers les canaux de communication existante et deux approches :  Un plaidoyer auprès des élus et leaders religieux et  traditionnels, aussi auprès des jeunes pour susciter leurs intérêts (radios locales, foras, réseaux sociaux, griots, parleurs publics…).</t>
  </si>
  <si>
    <t xml:space="preserve"> Produit 3.2 : Les opportunités agro-sylvo pastorales et économiques en faveur des jeunes et des femmes sont développées autour des zones d’orpaillages et permettent une participation accrue aux efforts de prévention et gestion des conflits</t>
  </si>
  <si>
    <t>Soutenir l’identification, la mise en place et le fonctionnement des groupements d’intérêts économiques (GIE) qui font partie des groupements et associations des jeunes ou femmes dans les zones transfrontalières couvertes par le projet avec les activités agro-sylvo-pastorales et économiques dans les zones d’exploitations d’orpaillages. Le diagnostic DSL élargi à l’économique, axé sur le développement économique local/DEL Focus pour les différents groupes économiques (PME locales, GIE, groupements de femmes) et aussi le renforcement des IMF locales. Assurer une intégration dans les PDL/PDSEC de la prise en compte dans la planification locale pour une pérennisation.</t>
  </si>
  <si>
    <t>Recipient Agency 5</t>
  </si>
  <si>
    <t>Organisation recipiendiaire 5 (budget en USD)</t>
  </si>
  <si>
    <t>UNODC GUINEE</t>
  </si>
  <si>
    <t>Organisation recipiendiaire 6 (budget en USD)</t>
  </si>
  <si>
    <t>UNODC MALI</t>
  </si>
  <si>
    <t>Organisation recipiendiaire 5</t>
  </si>
  <si>
    <t>Organisation recipiendiaire 6</t>
  </si>
  <si>
    <t>Recipient Agency 6</t>
  </si>
  <si>
    <t>Développer des activités génératrices de revenu (AGRs) en faveur des groupes de jeunes ou femmes avec les activités agro-sylvo-pastorales dans les zones d’exploitations d’orpaillages. Cela permet de réduire les conflits liés aux ressources et d’établir la paix à travers le tissu économique local (plus d’opportunités crées) et il y aura moins de pression sur lesdites ressources</t>
  </si>
  <si>
    <t xml:space="preserve">  Soutenir l’organisation d’un forum transfrontalier sur le contenu local et l’investissement en faveur des jeunes et des femmes. Cet évènement impliquera notamment les autorités administratives et locales, les sociétés minières, les Partenaires Techniques et Financiers (PTF) </t>
  </si>
  <si>
    <t>UNFPA</t>
  </si>
  <si>
    <t>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</si>
</sst>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quot;$&quot;#,##0.00_);[Red]\(&quot;$&quot;#,##0.00\)"/>
    <numFmt numFmtId="165" formatCode="_(&quot;$&quot;* #,##0.00_);_(&quot;$&quot;* \(#,##0.00\);_(&quot;$&quot;* &quot;-&quot;??_);_(@_)"/>
    <numFmt numFmtId="166" formatCode="_-* #,##0.00\ _F_G_-;\-* #,##0.00\ _F_G_-;_-* &quot;-&quot;??\ _F_G_-;_-@_-"/>
    <numFmt numFmtId="167" formatCode="_-* #,##0.00\ _€_-;\-* #,##0.00\ _€_-;_-* &quot;-&quot;??\ _€_-;_-@_-"/>
  </numFmts>
  <fonts count="26"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28"/>
      <color theme="1"/>
      <name val="Calibri"/>
      <family val="2"/>
      <scheme val="minor"/>
    </font>
    <font>
      <sz val="16"/>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36"/>
      <color rgb="FF00B0F0"/>
      <name val="Calibri"/>
      <family val="2"/>
      <scheme val="minor"/>
    </font>
    <font>
      <b/>
      <sz val="16"/>
      <color rgb="FFFF0000"/>
      <name val="Calibri"/>
      <family val="2"/>
      <scheme val="minor"/>
    </font>
    <font>
      <b/>
      <sz val="12"/>
      <color rgb="FF00B0F0"/>
      <name val="Calibri"/>
      <family val="2"/>
      <scheme val="minor"/>
    </font>
    <font>
      <sz val="12"/>
      <name val="Calibri"/>
      <family val="2"/>
      <scheme val="minor"/>
    </font>
    <font>
      <b/>
      <sz val="26"/>
      <color theme="1"/>
      <name val="Calibri"/>
      <family val="2"/>
      <scheme val="minor"/>
    </font>
    <font>
      <sz val="12"/>
      <color rgb="FF000000"/>
      <name val="Calibri"/>
      <family val="2"/>
    </font>
    <font>
      <b/>
      <sz val="24"/>
      <color rgb="FF00B0F0"/>
      <name val="Calibri"/>
      <family val="2"/>
      <scheme val="minor"/>
    </font>
    <font>
      <sz val="8"/>
      <name val="Calibri"/>
      <family val="2"/>
      <scheme val="minor"/>
    </font>
    <font>
      <b/>
      <sz val="14"/>
      <color theme="1"/>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rgb="FFFBB7E9"/>
        <bgColor indexed="64"/>
      </patternFill>
    </fill>
    <fill>
      <patternFill patternType="solid">
        <fgColor theme="5" tint="0.39997558519241921"/>
        <bgColor indexed="64"/>
      </patternFill>
    </fill>
    <fill>
      <patternFill patternType="solid">
        <fgColor rgb="FF00B0F0"/>
        <bgColor indexed="64"/>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s>
  <cellStyleXfs count="5">
    <xf numFmtId="0" fontId="0" fillId="0" borderId="0"/>
    <xf numFmtId="165"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cellStyleXfs>
  <cellXfs count="381">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7" fillId="0" borderId="0" xfId="0" applyFont="1" applyAlignment="1">
      <alignment vertical="center" wrapText="1"/>
    </xf>
    <xf numFmtId="0" fontId="2" fillId="3" borderId="0" xfId="0" applyFont="1" applyFill="1" applyAlignment="1">
      <alignment vertical="center" wrapText="1"/>
    </xf>
    <xf numFmtId="165" fontId="2" fillId="0" borderId="0" xfId="0" applyNumberFormat="1" applyFont="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165" fontId="2"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165" fontId="8" fillId="3" borderId="0" xfId="1" applyFont="1" applyFill="1" applyBorder="1" applyAlignment="1" applyProtection="1">
      <alignment vertical="center" wrapText="1"/>
    </xf>
    <xf numFmtId="165" fontId="2" fillId="2" borderId="5" xfId="1" applyFont="1" applyFill="1" applyBorder="1" applyAlignment="1" applyProtection="1">
      <alignment horizontal="center" vertical="center" wrapText="1"/>
    </xf>
    <xf numFmtId="165"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8" fillId="2" borderId="8" xfId="0" applyFont="1" applyFill="1" applyBorder="1" applyAlignment="1" applyProtection="1">
      <alignment vertical="center" wrapText="1"/>
      <protection locked="0"/>
    </xf>
    <xf numFmtId="165"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wrapText="1"/>
    </xf>
    <xf numFmtId="0" fontId="3" fillId="0" borderId="0" xfId="0" applyFont="1" applyAlignment="1">
      <alignment wrapText="1"/>
    </xf>
    <xf numFmtId="0" fontId="0" fillId="0" borderId="0" xfId="0" applyAlignment="1">
      <alignment horizontal="center"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5" fontId="2" fillId="3" borderId="0" xfId="2" applyNumberFormat="1" applyFont="1" applyFill="1" applyBorder="1" applyAlignment="1">
      <alignment wrapText="1"/>
    </xf>
    <xf numFmtId="0" fontId="2" fillId="3" borderId="0" xfId="0" applyFont="1" applyFill="1" applyAlignment="1">
      <alignment horizontal="left"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165" fontId="2" fillId="4" borderId="3" xfId="1" applyFont="1" applyFill="1" applyBorder="1" applyAlignment="1" applyProtection="1">
      <alignment wrapText="1"/>
    </xf>
    <xf numFmtId="165" fontId="2" fillId="0" borderId="0" xfId="0" applyNumberFormat="1" applyFont="1" applyAlignment="1">
      <alignment wrapText="1"/>
    </xf>
    <xf numFmtId="165" fontId="7" fillId="0" borderId="0" xfId="1" applyFont="1" applyFill="1" applyBorder="1" applyAlignment="1">
      <alignment horizontal="right" vertical="center" wrapText="1"/>
    </xf>
    <xf numFmtId="0" fontId="2" fillId="2" borderId="38" xfId="0" applyFont="1" applyFill="1" applyBorder="1" applyAlignment="1">
      <alignment horizontal="center" wrapText="1"/>
    </xf>
    <xf numFmtId="0" fontId="7" fillId="2" borderId="38" xfId="0" applyFont="1" applyFill="1" applyBorder="1" applyAlignment="1">
      <alignment vertical="center" wrapText="1"/>
    </xf>
    <xf numFmtId="0" fontId="2" fillId="2" borderId="13" xfId="0" applyFont="1" applyFill="1" applyBorder="1" applyAlignment="1">
      <alignment horizontal="left" wrapText="1"/>
    </xf>
    <xf numFmtId="165" fontId="2" fillId="2" borderId="13" xfId="0" applyNumberFormat="1" applyFont="1" applyFill="1" applyBorder="1" applyAlignment="1">
      <alignment wrapText="1"/>
    </xf>
    <xf numFmtId="165" fontId="2" fillId="3" borderId="4" xfId="1" applyFont="1" applyFill="1" applyBorder="1" applyAlignment="1" applyProtection="1">
      <alignment wrapText="1"/>
    </xf>
    <xf numFmtId="165" fontId="2" fillId="3" borderId="1" xfId="1" applyFont="1" applyFill="1" applyBorder="1" applyAlignment="1">
      <alignment wrapText="1"/>
    </xf>
    <xf numFmtId="165" fontId="2" fillId="3" borderId="2" xfId="0" applyNumberFormat="1" applyFont="1" applyFill="1" applyBorder="1" applyAlignment="1">
      <alignment wrapText="1"/>
    </xf>
    <xf numFmtId="165" fontId="2" fillId="3" borderId="1" xfId="1" applyFont="1" applyFill="1" applyBorder="1" applyAlignment="1" applyProtection="1">
      <alignment wrapText="1"/>
    </xf>
    <xf numFmtId="165" fontId="2" fillId="2" borderId="37" xfId="0" applyNumberFormat="1" applyFont="1" applyFill="1" applyBorder="1" applyAlignment="1">
      <alignment wrapText="1"/>
    </xf>
    <xf numFmtId="0" fontId="2" fillId="2" borderId="11" xfId="0" applyFont="1" applyFill="1" applyBorder="1" applyAlignment="1">
      <alignment horizontal="center" wrapText="1"/>
    </xf>
    <xf numFmtId="0" fontId="6"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3" xfId="0" applyFont="1" applyFill="1" applyBorder="1"/>
    <xf numFmtId="9" fontId="0" fillId="2" borderId="3" xfId="2" applyFont="1" applyFill="1" applyBorder="1" applyAlignment="1">
      <alignment vertical="center"/>
    </xf>
    <xf numFmtId="0" fontId="2" fillId="6" borderId="3" xfId="0" applyFont="1" applyFill="1" applyBorder="1" applyAlignment="1">
      <alignment vertical="center" wrapText="1"/>
    </xf>
    <xf numFmtId="0" fontId="2" fillId="2" borderId="3" xfId="0" applyFont="1" applyFill="1" applyBorder="1" applyAlignment="1">
      <alignment vertical="center" wrapText="1"/>
    </xf>
    <xf numFmtId="165" fontId="2" fillId="2" borderId="4" xfId="1" applyFont="1" applyFill="1" applyBorder="1" applyAlignment="1" applyProtection="1">
      <alignment vertical="center" wrapText="1"/>
    </xf>
    <xf numFmtId="165"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7" xfId="0" applyFont="1" applyFill="1" applyBorder="1" applyAlignment="1">
      <alignment horizontal="left" vertical="center" wrapText="1"/>
    </xf>
    <xf numFmtId="165"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165" fontId="2" fillId="2" borderId="9" xfId="2" applyNumberFormat="1" applyFont="1" applyFill="1" applyBorder="1" applyAlignment="1" applyProtection="1">
      <alignment wrapText="1"/>
    </xf>
    <xf numFmtId="165" fontId="2" fillId="2" borderId="14" xfId="1" applyFont="1" applyFill="1" applyBorder="1" applyAlignment="1" applyProtection="1">
      <alignment vertical="center" wrapText="1"/>
    </xf>
    <xf numFmtId="0" fontId="2" fillId="2" borderId="38"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lignment vertical="center" wrapText="1"/>
    </xf>
    <xf numFmtId="165" fontId="2" fillId="2" borderId="39" xfId="1" applyFont="1" applyFill="1" applyBorder="1" applyAlignment="1" applyProtection="1">
      <alignment vertical="center" wrapText="1"/>
    </xf>
    <xf numFmtId="165" fontId="2" fillId="4" borderId="3" xfId="1" applyFont="1" applyFill="1" applyBorder="1" applyAlignment="1" applyProtection="1">
      <alignment vertical="center" wrapText="1"/>
    </xf>
    <xf numFmtId="165" fontId="2" fillId="3" borderId="1" xfId="0" applyNumberFormat="1" applyFont="1" applyFill="1" applyBorder="1" applyAlignment="1">
      <alignment wrapText="1"/>
    </xf>
    <xf numFmtId="0" fontId="2" fillId="2" borderId="31" xfId="0"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0" xfId="2" applyFont="1" applyFill="1" applyBorder="1" applyAlignment="1" applyProtection="1">
      <alignment vertical="center" wrapText="1"/>
      <protection locked="0"/>
    </xf>
    <xf numFmtId="9" fontId="2" fillId="3" borderId="30" xfId="2" applyFont="1" applyFill="1" applyBorder="1" applyAlignment="1" applyProtection="1">
      <alignment horizontal="right" vertical="center" wrapText="1"/>
      <protection locked="0"/>
    </xf>
    <xf numFmtId="9" fontId="0" fillId="0" borderId="0" xfId="2" applyFont="1"/>
    <xf numFmtId="165" fontId="2" fillId="4" borderId="5" xfId="1" applyFont="1" applyFill="1" applyBorder="1" applyAlignment="1" applyProtection="1">
      <alignment wrapText="1"/>
    </xf>
    <xf numFmtId="0" fontId="19" fillId="0" borderId="0" xfId="0" applyFont="1" applyAlignment="1">
      <alignment wrapText="1"/>
    </xf>
    <xf numFmtId="0" fontId="8" fillId="2" borderId="49" xfId="0" applyFont="1" applyFill="1" applyBorder="1" applyAlignment="1">
      <alignment vertical="center" wrapText="1"/>
    </xf>
    <xf numFmtId="0" fontId="8" fillId="2" borderId="50" xfId="0" applyFont="1" applyFill="1" applyBorder="1" applyAlignment="1">
      <alignment vertical="center" wrapText="1"/>
    </xf>
    <xf numFmtId="0" fontId="8" fillId="2" borderId="50" xfId="0" applyFont="1" applyFill="1" applyBorder="1" applyAlignment="1" applyProtection="1">
      <alignment vertical="center" wrapText="1"/>
      <protection locked="0"/>
    </xf>
    <xf numFmtId="0" fontId="2" fillId="2" borderId="10" xfId="0" applyFont="1" applyFill="1" applyBorder="1" applyAlignment="1">
      <alignment horizontal="center" wrapText="1"/>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165" fontId="2" fillId="2" borderId="12" xfId="1" applyFont="1" applyFill="1" applyBorder="1" applyAlignment="1" applyProtection="1">
      <alignment wrapText="1"/>
    </xf>
    <xf numFmtId="0" fontId="8" fillId="2" borderId="34" xfId="0" applyFont="1" applyFill="1" applyBorder="1" applyAlignment="1">
      <alignment vertical="center" wrapText="1"/>
    </xf>
    <xf numFmtId="10" fontId="2" fillId="2" borderId="9" xfId="2" applyNumberFormat="1" applyFont="1" applyFill="1" applyBorder="1" applyAlignment="1" applyProtection="1">
      <alignment wrapText="1"/>
    </xf>
    <xf numFmtId="165" fontId="2" fillId="3" borderId="0" xfId="1" applyFont="1" applyFill="1" applyBorder="1" applyAlignment="1" applyProtection="1">
      <alignment vertical="center" wrapText="1"/>
      <protection locked="0"/>
    </xf>
    <xf numFmtId="165" fontId="0" fillId="0" borderId="0" xfId="1" applyFont="1" applyBorder="1" applyAlignment="1">
      <alignment wrapText="1"/>
    </xf>
    <xf numFmtId="165" fontId="2" fillId="3" borderId="0" xfId="1" applyFont="1" applyFill="1" applyBorder="1" applyAlignment="1">
      <alignment vertical="center" wrapText="1"/>
    </xf>
    <xf numFmtId="165" fontId="2" fillId="3" borderId="0" xfId="1" applyFont="1" applyFill="1" applyBorder="1" applyAlignment="1" applyProtection="1">
      <alignment horizontal="center" vertical="center" wrapText="1"/>
    </xf>
    <xf numFmtId="165" fontId="2" fillId="3" borderId="0" xfId="1" applyFont="1" applyFill="1" applyBorder="1" applyAlignment="1" applyProtection="1">
      <alignment horizontal="right" vertical="center" wrapText="1"/>
      <protection locked="0"/>
    </xf>
    <xf numFmtId="165" fontId="2" fillId="3" borderId="0" xfId="1" applyFont="1" applyFill="1" applyBorder="1" applyAlignment="1" applyProtection="1">
      <alignment vertical="center" wrapText="1"/>
    </xf>
    <xf numFmtId="165" fontId="2" fillId="0" borderId="0" xfId="1" applyFont="1" applyFill="1" applyBorder="1" applyAlignment="1">
      <alignment vertical="center" wrapText="1"/>
    </xf>
    <xf numFmtId="165" fontId="0" fillId="0" borderId="0" xfId="1" applyFont="1" applyFill="1" applyBorder="1" applyAlignment="1">
      <alignment wrapText="1"/>
    </xf>
    <xf numFmtId="165" fontId="14" fillId="0" borderId="0" xfId="1" applyFont="1" applyBorder="1" applyAlignment="1">
      <alignment wrapText="1"/>
    </xf>
    <xf numFmtId="0" fontId="1" fillId="2" borderId="8" xfId="0" applyFont="1" applyFill="1" applyBorder="1" applyAlignment="1">
      <alignment vertical="center" wrapText="1"/>
    </xf>
    <xf numFmtId="165" fontId="2" fillId="2" borderId="27" xfId="0" applyNumberFormat="1" applyFont="1" applyFill="1" applyBorder="1" applyAlignment="1">
      <alignment vertical="center" wrapText="1"/>
    </xf>
    <xf numFmtId="165" fontId="0" fillId="2" borderId="16" xfId="1" applyFont="1" applyFill="1" applyBorder="1" applyAlignment="1">
      <alignment vertical="center" wrapText="1"/>
    </xf>
    <xf numFmtId="0" fontId="0" fillId="2" borderId="12" xfId="0" applyFill="1" applyBorder="1" applyAlignment="1">
      <alignment wrapText="1"/>
    </xf>
    <xf numFmtId="0" fontId="17" fillId="0" borderId="0" xfId="0" applyFont="1" applyAlignment="1">
      <alignment horizontal="left" vertical="top" wrapText="1"/>
    </xf>
    <xf numFmtId="165" fontId="2" fillId="2" borderId="9" xfId="2" applyNumberFormat="1" applyFont="1" applyFill="1" applyBorder="1" applyAlignment="1">
      <alignment vertical="center" wrapText="1"/>
    </xf>
    <xf numFmtId="0" fontId="2" fillId="2" borderId="35" xfId="0" applyFont="1" applyFill="1" applyBorder="1" applyAlignment="1">
      <alignment horizontal="center" vertical="center" wrapText="1"/>
    </xf>
    <xf numFmtId="9" fontId="2" fillId="2" borderId="35" xfId="2" applyFont="1" applyFill="1" applyBorder="1" applyAlignment="1">
      <alignment vertical="center" wrapText="1"/>
    </xf>
    <xf numFmtId="165" fontId="3" fillId="2" borderId="13" xfId="0" applyNumberFormat="1" applyFont="1" applyFill="1" applyBorder="1"/>
    <xf numFmtId="0" fontId="12" fillId="3" borderId="0" xfId="0" applyFont="1" applyFill="1" applyAlignment="1">
      <alignment horizontal="left" wrapText="1"/>
    </xf>
    <xf numFmtId="0" fontId="1" fillId="2" borderId="3" xfId="0" applyFont="1" applyFill="1" applyBorder="1" applyAlignment="1">
      <alignment horizontal="center" vertical="center" wrapText="1"/>
    </xf>
    <xf numFmtId="165" fontId="1" fillId="2" borderId="3" xfId="1" applyFont="1" applyFill="1" applyBorder="1" applyAlignment="1" applyProtection="1">
      <alignment horizontal="center" vertical="center" wrapText="1"/>
    </xf>
    <xf numFmtId="0" fontId="1" fillId="0" borderId="3" xfId="0" applyFont="1" applyBorder="1" applyAlignment="1" applyProtection="1">
      <alignment horizontal="left" vertical="top" wrapText="1"/>
      <protection locked="0"/>
    </xf>
    <xf numFmtId="165" fontId="1" fillId="0" borderId="3" xfId="1" applyFont="1" applyBorder="1" applyAlignment="1" applyProtection="1">
      <alignment horizontal="center" vertical="center" wrapText="1"/>
      <protection locked="0"/>
    </xf>
    <xf numFmtId="9" fontId="1" fillId="0" borderId="3" xfId="2" applyFont="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165" fontId="1" fillId="3" borderId="3" xfId="1"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165" fontId="1" fillId="3" borderId="0" xfId="1"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165" fontId="1" fillId="0" borderId="3" xfId="1" applyFont="1" applyBorder="1" applyAlignment="1" applyProtection="1">
      <alignment vertical="center" wrapText="1"/>
      <protection locked="0"/>
    </xf>
    <xf numFmtId="165" fontId="1" fillId="2" borderId="3" xfId="1" applyFont="1" applyFill="1" applyBorder="1" applyAlignment="1" applyProtection="1">
      <alignment vertical="center" wrapText="1"/>
    </xf>
    <xf numFmtId="49" fontId="1" fillId="0" borderId="3" xfId="0" applyNumberFormat="1" applyFont="1" applyBorder="1" applyAlignment="1" applyProtection="1">
      <alignment horizontal="left" wrapText="1"/>
      <protection locked="0"/>
    </xf>
    <xf numFmtId="0" fontId="1" fillId="3" borderId="0" xfId="0" applyFont="1" applyFill="1" applyAlignment="1">
      <alignment vertical="center" wrapText="1"/>
    </xf>
    <xf numFmtId="165" fontId="1" fillId="2" borderId="9" xfId="0" applyNumberFormat="1" applyFont="1" applyFill="1" applyBorder="1" applyAlignment="1">
      <alignment vertical="center" wrapText="1"/>
    </xf>
    <xf numFmtId="0" fontId="1" fillId="0" borderId="0" xfId="0" applyFont="1" applyAlignment="1" applyProtection="1">
      <alignment vertical="center" wrapText="1"/>
      <protection locked="0"/>
    </xf>
    <xf numFmtId="165" fontId="1" fillId="0" borderId="0" xfId="1" applyFont="1" applyFill="1" applyBorder="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0" fontId="1" fillId="3" borderId="0" xfId="0" applyFont="1" applyFill="1" applyAlignment="1">
      <alignment wrapText="1"/>
    </xf>
    <xf numFmtId="0" fontId="1" fillId="0" borderId="4" xfId="0" applyFont="1" applyBorder="1" applyAlignment="1">
      <alignment wrapText="1"/>
    </xf>
    <xf numFmtId="0" fontId="1" fillId="3" borderId="1" xfId="0" applyFont="1" applyFill="1" applyBorder="1" applyAlignment="1">
      <alignment wrapText="1"/>
    </xf>
    <xf numFmtId="0" fontId="1" fillId="0" borderId="2" xfId="0" applyFont="1" applyBorder="1" applyAlignment="1">
      <alignment wrapText="1"/>
    </xf>
    <xf numFmtId="165" fontId="1" fillId="3" borderId="0" xfId="1" applyFont="1" applyFill="1" applyBorder="1" applyAlignment="1" applyProtection="1">
      <alignment vertical="center" wrapText="1"/>
    </xf>
    <xf numFmtId="165"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165" fontId="1" fillId="2" borderId="27" xfId="1" applyFont="1" applyFill="1" applyBorder="1" applyAlignment="1" applyProtection="1">
      <alignment wrapText="1"/>
    </xf>
    <xf numFmtId="165" fontId="1" fillId="2" borderId="8" xfId="1" applyFont="1" applyFill="1" applyBorder="1" applyAlignment="1" applyProtection="1">
      <alignment wrapText="1"/>
    </xf>
    <xf numFmtId="0" fontId="1" fillId="0" borderId="0" xfId="0" applyFont="1" applyAlignment="1">
      <alignment horizontal="justify" vertical="center"/>
    </xf>
    <xf numFmtId="0" fontId="7" fillId="0" borderId="0" xfId="0" applyFont="1" applyAlignment="1">
      <alignment horizontal="justify" vertical="center"/>
    </xf>
    <xf numFmtId="0" fontId="2" fillId="8" borderId="3" xfId="0" applyFont="1" applyFill="1" applyBorder="1" applyAlignment="1" applyProtection="1">
      <alignment horizontal="center" vertical="center" wrapText="1"/>
      <protection locked="0"/>
    </xf>
    <xf numFmtId="165" fontId="1" fillId="8" borderId="3" xfId="1" applyFont="1" applyFill="1" applyBorder="1" applyAlignment="1" applyProtection="1">
      <alignment horizontal="center" vertical="center" wrapText="1"/>
      <protection locked="0"/>
    </xf>
    <xf numFmtId="165" fontId="2" fillId="8" borderId="3" xfId="1" applyFont="1" applyFill="1" applyBorder="1" applyAlignment="1" applyProtection="1">
      <alignment horizontal="center" vertical="center" wrapText="1"/>
    </xf>
    <xf numFmtId="165" fontId="2" fillId="8" borderId="5" xfId="1" applyFont="1" applyFill="1" applyBorder="1" applyAlignment="1" applyProtection="1">
      <alignment horizontal="center" vertical="center" wrapText="1"/>
    </xf>
    <xf numFmtId="165" fontId="1" fillId="8" borderId="3" xfId="1" applyFont="1" applyFill="1" applyBorder="1" applyAlignment="1" applyProtection="1">
      <alignment vertical="center" wrapText="1"/>
      <protection locked="0"/>
    </xf>
    <xf numFmtId="165" fontId="2" fillId="8" borderId="3" xfId="1" applyFont="1" applyFill="1" applyBorder="1" applyAlignment="1" applyProtection="1">
      <alignment vertical="center" wrapText="1"/>
    </xf>
    <xf numFmtId="0" fontId="2" fillId="8" borderId="3" xfId="1" applyNumberFormat="1" applyFont="1" applyFill="1" applyBorder="1" applyAlignment="1" applyProtection="1">
      <alignment horizontal="center" vertical="center" wrapText="1"/>
    </xf>
    <xf numFmtId="165" fontId="1" fillId="8" borderId="3" xfId="0" applyNumberFormat="1" applyFont="1" applyFill="1" applyBorder="1" applyAlignment="1">
      <alignment vertical="center" wrapText="1"/>
    </xf>
    <xf numFmtId="165" fontId="2" fillId="8" borderId="13" xfId="1" applyFont="1" applyFill="1" applyBorder="1" applyAlignment="1" applyProtection="1">
      <alignment vertical="center" wrapText="1"/>
    </xf>
    <xf numFmtId="0" fontId="2" fillId="9" borderId="3" xfId="0" applyFont="1" applyFill="1" applyBorder="1" applyAlignment="1" applyProtection="1">
      <alignment horizontal="center" vertical="center" wrapText="1"/>
      <protection locked="0"/>
    </xf>
    <xf numFmtId="165" fontId="1" fillId="9" borderId="3" xfId="1" applyFont="1" applyFill="1" applyBorder="1" applyAlignment="1" applyProtection="1">
      <alignment horizontal="center" vertical="center" wrapText="1"/>
      <protection locked="0"/>
    </xf>
    <xf numFmtId="165" fontId="2" fillId="9" borderId="5" xfId="1" applyFont="1" applyFill="1" applyBorder="1" applyAlignment="1" applyProtection="1">
      <alignment horizontal="center" vertical="center" wrapText="1"/>
    </xf>
    <xf numFmtId="165" fontId="2" fillId="9" borderId="3" xfId="1" applyFont="1" applyFill="1" applyBorder="1" applyAlignment="1" applyProtection="1">
      <alignment horizontal="center" vertical="center" wrapText="1"/>
    </xf>
    <xf numFmtId="165" fontId="1" fillId="9" borderId="3" xfId="1" applyFont="1" applyFill="1" applyBorder="1" applyAlignment="1" applyProtection="1">
      <alignment vertical="center" wrapText="1"/>
      <protection locked="0"/>
    </xf>
    <xf numFmtId="165" fontId="2" fillId="9" borderId="3" xfId="1" applyFont="1" applyFill="1" applyBorder="1" applyAlignment="1" applyProtection="1">
      <alignment vertical="center" wrapText="1"/>
    </xf>
    <xf numFmtId="0" fontId="2" fillId="9" borderId="3" xfId="1" applyNumberFormat="1" applyFont="1" applyFill="1" applyBorder="1" applyAlignment="1" applyProtection="1">
      <alignment horizontal="center" vertical="center" wrapText="1"/>
    </xf>
    <xf numFmtId="165" fontId="1" fillId="9" borderId="3" xfId="0" applyNumberFormat="1" applyFont="1" applyFill="1" applyBorder="1" applyAlignment="1">
      <alignment vertical="center" wrapText="1"/>
    </xf>
    <xf numFmtId="165" fontId="2" fillId="9" borderId="13" xfId="1" applyFont="1" applyFill="1" applyBorder="1" applyAlignment="1" applyProtection="1">
      <alignment vertical="center" wrapText="1"/>
    </xf>
    <xf numFmtId="0" fontId="2" fillId="9" borderId="3" xfId="0" applyFont="1" applyFill="1" applyBorder="1" applyAlignment="1">
      <alignment horizontal="center" vertical="center" wrapText="1"/>
    </xf>
    <xf numFmtId="165" fontId="2" fillId="9" borderId="4" xfId="1" applyFont="1" applyFill="1" applyBorder="1" applyAlignment="1" applyProtection="1">
      <alignment vertical="center" wrapText="1"/>
    </xf>
    <xf numFmtId="0" fontId="2" fillId="8" borderId="3" xfId="0" applyFont="1" applyFill="1" applyBorder="1" applyAlignment="1">
      <alignment horizontal="center" vertical="center" wrapText="1"/>
    </xf>
    <xf numFmtId="0" fontId="2" fillId="10" borderId="3" xfId="0" applyFont="1" applyFill="1" applyBorder="1" applyAlignment="1" applyProtection="1">
      <alignment horizontal="center" vertical="center" wrapText="1"/>
      <protection locked="0"/>
    </xf>
    <xf numFmtId="165" fontId="1" fillId="10" borderId="3" xfId="1" applyFont="1" applyFill="1" applyBorder="1" applyAlignment="1" applyProtection="1">
      <alignment horizontal="center" vertical="center" wrapText="1"/>
      <protection locked="0"/>
    </xf>
    <xf numFmtId="165" fontId="2" fillId="10" borderId="3" xfId="1" applyFont="1" applyFill="1" applyBorder="1" applyAlignment="1" applyProtection="1">
      <alignment horizontal="center" vertical="center" wrapText="1"/>
    </xf>
    <xf numFmtId="165" fontId="2" fillId="10" borderId="5" xfId="1" applyFont="1" applyFill="1" applyBorder="1" applyAlignment="1" applyProtection="1">
      <alignment horizontal="center" vertical="center" wrapText="1"/>
    </xf>
    <xf numFmtId="165" fontId="1" fillId="10" borderId="3" xfId="1" applyFont="1" applyFill="1" applyBorder="1" applyAlignment="1" applyProtection="1">
      <alignment vertical="center" wrapText="1"/>
      <protection locked="0"/>
    </xf>
    <xf numFmtId="165" fontId="2" fillId="10" borderId="3" xfId="1" applyFont="1" applyFill="1" applyBorder="1" applyAlignment="1" applyProtection="1">
      <alignment vertical="center" wrapText="1"/>
    </xf>
    <xf numFmtId="0" fontId="2" fillId="10" borderId="3" xfId="1" applyNumberFormat="1" applyFont="1" applyFill="1" applyBorder="1" applyAlignment="1" applyProtection="1">
      <alignment horizontal="center" vertical="center" wrapText="1"/>
    </xf>
    <xf numFmtId="165" fontId="1" fillId="10" borderId="3" xfId="0" applyNumberFormat="1" applyFont="1" applyFill="1" applyBorder="1" applyAlignment="1">
      <alignment vertical="center" wrapText="1"/>
    </xf>
    <xf numFmtId="165" fontId="2" fillId="10" borderId="13" xfId="1" applyFont="1" applyFill="1" applyBorder="1" applyAlignment="1" applyProtection="1">
      <alignment vertical="center" wrapText="1"/>
    </xf>
    <xf numFmtId="0" fontId="2" fillId="10" borderId="3" xfId="0" applyFont="1" applyFill="1" applyBorder="1" applyAlignment="1">
      <alignment horizontal="center" vertical="center" wrapText="1"/>
    </xf>
    <xf numFmtId="165" fontId="2" fillId="10" borderId="4" xfId="1" applyFont="1" applyFill="1" applyBorder="1" applyAlignment="1" applyProtection="1">
      <alignment vertical="center" wrapText="1"/>
    </xf>
    <xf numFmtId="0" fontId="2" fillId="11" borderId="3" xfId="0" applyFont="1" applyFill="1" applyBorder="1" applyAlignment="1" applyProtection="1">
      <alignment horizontal="center" vertical="center" wrapText="1"/>
      <protection locked="0"/>
    </xf>
    <xf numFmtId="165" fontId="1" fillId="11" borderId="3" xfId="1" applyFont="1" applyFill="1" applyBorder="1" applyAlignment="1" applyProtection="1">
      <alignment horizontal="center" vertical="center" wrapText="1"/>
      <protection locked="0"/>
    </xf>
    <xf numFmtId="165" fontId="2" fillId="11" borderId="3" xfId="1" applyFont="1" applyFill="1" applyBorder="1" applyAlignment="1" applyProtection="1">
      <alignment horizontal="center" vertical="center" wrapText="1"/>
    </xf>
    <xf numFmtId="165" fontId="2" fillId="11" borderId="5" xfId="1" applyFont="1" applyFill="1" applyBorder="1" applyAlignment="1" applyProtection="1">
      <alignment horizontal="center" vertical="center" wrapText="1"/>
    </xf>
    <xf numFmtId="165" fontId="1" fillId="11" borderId="3" xfId="1" applyFont="1" applyFill="1" applyBorder="1" applyAlignment="1" applyProtection="1">
      <alignment vertical="center" wrapText="1"/>
      <protection locked="0"/>
    </xf>
    <xf numFmtId="0" fontId="2" fillId="11" borderId="3" xfId="1" applyNumberFormat="1" applyFont="1" applyFill="1" applyBorder="1" applyAlignment="1" applyProtection="1">
      <alignment horizontal="center" vertical="center" wrapText="1"/>
    </xf>
    <xf numFmtId="165" fontId="1" fillId="11" borderId="3" xfId="0" applyNumberFormat="1" applyFont="1" applyFill="1" applyBorder="1" applyAlignment="1">
      <alignment vertical="center" wrapText="1"/>
    </xf>
    <xf numFmtId="165" fontId="2" fillId="11" borderId="13" xfId="1" applyFont="1" applyFill="1" applyBorder="1" applyAlignment="1" applyProtection="1">
      <alignment vertical="center" wrapText="1"/>
    </xf>
    <xf numFmtId="0" fontId="2" fillId="11" borderId="3" xfId="0" applyFont="1" applyFill="1" applyBorder="1" applyAlignment="1">
      <alignment horizontal="center" vertical="center" wrapText="1"/>
    </xf>
    <xf numFmtId="165" fontId="2" fillId="11" borderId="4" xfId="1" applyFont="1" applyFill="1" applyBorder="1" applyAlignment="1" applyProtection="1">
      <alignment vertical="center" wrapText="1"/>
    </xf>
    <xf numFmtId="0" fontId="2" fillId="12" borderId="3" xfId="0" applyFont="1" applyFill="1" applyBorder="1" applyAlignment="1" applyProtection="1">
      <alignment horizontal="center" vertical="center" wrapText="1"/>
      <protection locked="0"/>
    </xf>
    <xf numFmtId="165" fontId="1" fillId="12" borderId="3" xfId="1" applyFont="1" applyFill="1" applyBorder="1" applyAlignment="1" applyProtection="1">
      <alignment horizontal="center" vertical="center" wrapText="1"/>
      <protection locked="0"/>
    </xf>
    <xf numFmtId="165" fontId="2" fillId="12" borderId="3" xfId="1" applyFont="1" applyFill="1" applyBorder="1" applyAlignment="1" applyProtection="1">
      <alignment horizontal="center" vertical="center" wrapText="1"/>
    </xf>
    <xf numFmtId="165" fontId="2" fillId="12" borderId="5" xfId="1" applyFont="1" applyFill="1" applyBorder="1" applyAlignment="1" applyProtection="1">
      <alignment horizontal="center" vertical="center" wrapText="1"/>
    </xf>
    <xf numFmtId="165" fontId="1" fillId="12" borderId="3" xfId="1" applyFont="1" applyFill="1" applyBorder="1" applyAlignment="1" applyProtection="1">
      <alignment vertical="center" wrapText="1"/>
      <protection locked="0"/>
    </xf>
    <xf numFmtId="165" fontId="2" fillId="12" borderId="3" xfId="1" applyFont="1" applyFill="1" applyBorder="1" applyAlignment="1" applyProtection="1">
      <alignment vertical="center" wrapText="1"/>
    </xf>
    <xf numFmtId="0" fontId="2" fillId="12" borderId="3" xfId="1" applyNumberFormat="1" applyFont="1" applyFill="1" applyBorder="1" applyAlignment="1" applyProtection="1">
      <alignment horizontal="center" vertical="center" wrapText="1"/>
    </xf>
    <xf numFmtId="165" fontId="1" fillId="12" borderId="3" xfId="0" applyNumberFormat="1" applyFont="1" applyFill="1" applyBorder="1" applyAlignment="1">
      <alignment vertical="center" wrapText="1"/>
    </xf>
    <xf numFmtId="165" fontId="2" fillId="12" borderId="13" xfId="1" applyFont="1" applyFill="1" applyBorder="1" applyAlignment="1" applyProtection="1">
      <alignment vertical="center" wrapText="1"/>
    </xf>
    <xf numFmtId="0" fontId="2" fillId="12" borderId="3" xfId="0" applyFont="1" applyFill="1" applyBorder="1" applyAlignment="1">
      <alignment horizontal="center" vertical="center" wrapText="1"/>
    </xf>
    <xf numFmtId="165" fontId="2" fillId="12" borderId="4" xfId="1" applyFont="1" applyFill="1" applyBorder="1" applyAlignment="1" applyProtection="1">
      <alignment vertical="center" wrapText="1"/>
    </xf>
    <xf numFmtId="0" fontId="1" fillId="3" borderId="5" xfId="0" applyFont="1" applyFill="1" applyBorder="1" applyAlignment="1" applyProtection="1">
      <alignment vertical="center" wrapText="1"/>
      <protection locked="0"/>
    </xf>
    <xf numFmtId="3" fontId="20" fillId="0" borderId="3" xfId="0" applyNumberFormat="1" applyFont="1" applyBorder="1" applyAlignment="1">
      <alignment vertical="center" wrapText="1"/>
    </xf>
    <xf numFmtId="0" fontId="1" fillId="3" borderId="55" xfId="0" applyFont="1" applyFill="1" applyBorder="1" applyAlignment="1" applyProtection="1">
      <alignment vertical="center" wrapText="1"/>
      <protection locked="0"/>
    </xf>
    <xf numFmtId="3" fontId="20" fillId="0" borderId="0" xfId="0" applyNumberFormat="1" applyFont="1" applyAlignment="1">
      <alignment vertical="center" wrapText="1"/>
    </xf>
    <xf numFmtId="0" fontId="2" fillId="3" borderId="3" xfId="0" applyFont="1" applyFill="1" applyBorder="1" applyAlignment="1">
      <alignment vertical="center" wrapText="1"/>
    </xf>
    <xf numFmtId="0" fontId="1" fillId="0" borderId="3" xfId="0" applyFont="1" applyBorder="1" applyAlignment="1">
      <alignment wrapText="1"/>
    </xf>
    <xf numFmtId="0" fontId="1" fillId="0" borderId="3" xfId="0" applyFont="1" applyBorder="1" applyAlignment="1">
      <alignment horizontal="left" vertical="top" wrapText="1"/>
    </xf>
    <xf numFmtId="166" fontId="1" fillId="3" borderId="0" xfId="0" applyNumberFormat="1" applyFont="1" applyFill="1" applyAlignment="1" applyProtection="1">
      <alignment vertical="center" wrapText="1"/>
      <protection locked="0"/>
    </xf>
    <xf numFmtId="166" fontId="0" fillId="0" borderId="0" xfId="0" applyNumberFormat="1" applyAlignment="1">
      <alignment wrapText="1"/>
    </xf>
    <xf numFmtId="165" fontId="2" fillId="3" borderId="3" xfId="1" applyFont="1" applyFill="1" applyBorder="1" applyAlignment="1" applyProtection="1">
      <alignment horizontal="center" vertical="center" wrapText="1"/>
    </xf>
    <xf numFmtId="0" fontId="0" fillId="0" borderId="2" xfId="0" applyBorder="1" applyAlignment="1">
      <alignment wrapText="1"/>
    </xf>
    <xf numFmtId="0" fontId="0" fillId="0" borderId="0" xfId="0" applyBorder="1" applyAlignment="1">
      <alignment wrapText="1"/>
    </xf>
    <xf numFmtId="0" fontId="17" fillId="0" borderId="0" xfId="0" applyFont="1" applyAlignment="1">
      <alignment horizontal="left" vertical="top" wrapText="1"/>
    </xf>
    <xf numFmtId="165" fontId="25" fillId="2" borderId="33" xfId="0" applyNumberFormat="1" applyFont="1" applyFill="1" applyBorder="1" applyAlignment="1">
      <alignment wrapText="1"/>
    </xf>
    <xf numFmtId="0" fontId="2" fillId="13" borderId="3" xfId="1" applyNumberFormat="1" applyFont="1" applyFill="1" applyBorder="1" applyAlignment="1" applyProtection="1">
      <alignment horizontal="center" vertical="center" wrapText="1"/>
    </xf>
    <xf numFmtId="165" fontId="2" fillId="13" borderId="13" xfId="0" applyNumberFormat="1" applyFont="1" applyFill="1" applyBorder="1" applyAlignment="1">
      <alignment horizontal="center" wrapText="1"/>
    </xf>
    <xf numFmtId="165" fontId="1" fillId="13" borderId="38" xfId="0" applyNumberFormat="1" applyFont="1" applyFill="1" applyBorder="1" applyAlignment="1" applyProtection="1">
      <alignment wrapText="1"/>
      <protection locked="0"/>
    </xf>
    <xf numFmtId="165" fontId="1" fillId="13" borderId="3" xfId="0" applyNumberFormat="1" applyFont="1" applyFill="1" applyBorder="1" applyAlignment="1" applyProtection="1">
      <alignment wrapText="1"/>
      <protection locked="0"/>
    </xf>
    <xf numFmtId="165" fontId="2" fillId="13" borderId="3" xfId="1" applyFont="1" applyFill="1" applyBorder="1" applyAlignment="1">
      <alignment wrapText="1"/>
    </xf>
    <xf numFmtId="165" fontId="2" fillId="13" borderId="5" xfId="1" applyFont="1" applyFill="1" applyBorder="1" applyAlignment="1">
      <alignment wrapText="1"/>
    </xf>
    <xf numFmtId="165" fontId="2" fillId="13" borderId="3" xfId="1" applyFont="1" applyFill="1" applyBorder="1" applyAlignment="1" applyProtection="1">
      <alignment horizontal="center" vertical="center" wrapText="1"/>
    </xf>
    <xf numFmtId="0" fontId="2" fillId="13" borderId="3" xfId="0" applyFont="1" applyFill="1" applyBorder="1" applyAlignment="1">
      <alignment horizontal="center" wrapText="1"/>
    </xf>
    <xf numFmtId="165" fontId="1" fillId="13" borderId="38" xfId="0" applyNumberFormat="1" applyFont="1" applyFill="1" applyBorder="1" applyAlignment="1">
      <alignment wrapText="1"/>
    </xf>
    <xf numFmtId="165" fontId="1" fillId="13" borderId="3" xfId="0" applyNumberFormat="1" applyFont="1" applyFill="1" applyBorder="1" applyAlignment="1">
      <alignment wrapText="1"/>
    </xf>
    <xf numFmtId="165" fontId="1" fillId="13" borderId="13" xfId="0" applyNumberFormat="1" applyFont="1" applyFill="1" applyBorder="1" applyAlignment="1">
      <alignment wrapText="1"/>
    </xf>
    <xf numFmtId="165" fontId="2" fillId="13" borderId="32" xfId="0" applyNumberFormat="1" applyFont="1" applyFill="1" applyBorder="1" applyAlignment="1">
      <alignment wrapText="1"/>
    </xf>
    <xf numFmtId="165" fontId="2" fillId="9" borderId="13" xfId="0" applyNumberFormat="1" applyFont="1" applyFill="1" applyBorder="1" applyAlignment="1">
      <alignment horizontal="center" wrapText="1"/>
    </xf>
    <xf numFmtId="165" fontId="1" fillId="9" borderId="38" xfId="1" applyFont="1" applyFill="1" applyBorder="1" applyAlignment="1" applyProtection="1">
      <alignment horizontal="center" vertical="center" wrapText="1"/>
      <protection locked="0"/>
    </xf>
    <xf numFmtId="165" fontId="1" fillId="9" borderId="3" xfId="0" applyNumberFormat="1" applyFont="1" applyFill="1" applyBorder="1" applyAlignment="1" applyProtection="1">
      <alignment wrapText="1"/>
      <protection locked="0"/>
    </xf>
    <xf numFmtId="165" fontId="2" fillId="9" borderId="3" xfId="1" applyFont="1" applyFill="1" applyBorder="1" applyAlignment="1">
      <alignment wrapText="1"/>
    </xf>
    <xf numFmtId="165" fontId="2" fillId="9" borderId="5" xfId="1" applyFont="1" applyFill="1" applyBorder="1" applyAlignment="1">
      <alignment wrapText="1"/>
    </xf>
    <xf numFmtId="0" fontId="2" fillId="9" borderId="3" xfId="0" applyFont="1" applyFill="1" applyBorder="1" applyAlignment="1">
      <alignment horizontal="center" wrapText="1"/>
    </xf>
    <xf numFmtId="165" fontId="1" fillId="9" borderId="38" xfId="0" applyNumberFormat="1" applyFont="1" applyFill="1" applyBorder="1" applyAlignment="1">
      <alignment wrapText="1"/>
    </xf>
    <xf numFmtId="165" fontId="1" fillId="9" borderId="3" xfId="0" applyNumberFormat="1" applyFont="1" applyFill="1" applyBorder="1" applyAlignment="1">
      <alignment wrapText="1"/>
    </xf>
    <xf numFmtId="165" fontId="1" fillId="9" borderId="13" xfId="0" applyNumberFormat="1" applyFont="1" applyFill="1" applyBorder="1" applyAlignment="1">
      <alignment wrapText="1"/>
    </xf>
    <xf numFmtId="165" fontId="2" fillId="9" borderId="32" xfId="0" applyNumberFormat="1" applyFont="1" applyFill="1" applyBorder="1" applyAlignment="1">
      <alignment wrapText="1"/>
    </xf>
    <xf numFmtId="165" fontId="2" fillId="10" borderId="13" xfId="0" applyNumberFormat="1" applyFont="1" applyFill="1" applyBorder="1" applyAlignment="1">
      <alignment horizontal="center" wrapText="1"/>
    </xf>
    <xf numFmtId="165" fontId="1" fillId="10" borderId="38" xfId="1" applyFont="1" applyFill="1" applyBorder="1" applyAlignment="1" applyProtection="1">
      <alignment horizontal="center" vertical="center" wrapText="1"/>
      <protection locked="0"/>
    </xf>
    <xf numFmtId="165" fontId="1" fillId="10" borderId="3" xfId="0" applyNumberFormat="1" applyFont="1" applyFill="1" applyBorder="1" applyAlignment="1" applyProtection="1">
      <alignment wrapText="1"/>
      <protection locked="0"/>
    </xf>
    <xf numFmtId="165" fontId="2" fillId="10" borderId="3" xfId="1" applyFont="1" applyFill="1" applyBorder="1" applyAlignment="1">
      <alignment wrapText="1"/>
    </xf>
    <xf numFmtId="165" fontId="2" fillId="10" borderId="5" xfId="1" applyFont="1" applyFill="1" applyBorder="1" applyAlignment="1">
      <alignment wrapText="1"/>
    </xf>
    <xf numFmtId="165" fontId="2" fillId="10" borderId="3" xfId="0" applyNumberFormat="1" applyFont="1" applyFill="1" applyBorder="1" applyAlignment="1" applyProtection="1">
      <alignment wrapText="1"/>
      <protection locked="0"/>
    </xf>
    <xf numFmtId="0" fontId="2" fillId="10" borderId="3" xfId="0" applyFont="1" applyFill="1" applyBorder="1" applyAlignment="1">
      <alignment horizontal="center" wrapText="1"/>
    </xf>
    <xf numFmtId="165" fontId="1" fillId="10" borderId="38" xfId="0" applyNumberFormat="1" applyFont="1" applyFill="1" applyBorder="1" applyAlignment="1">
      <alignment wrapText="1"/>
    </xf>
    <xf numFmtId="165" fontId="1" fillId="10" borderId="3" xfId="0" applyNumberFormat="1" applyFont="1" applyFill="1" applyBorder="1" applyAlignment="1">
      <alignment wrapText="1"/>
    </xf>
    <xf numFmtId="165" fontId="1" fillId="10" borderId="13" xfId="0" applyNumberFormat="1" applyFont="1" applyFill="1" applyBorder="1" applyAlignment="1">
      <alignment wrapText="1"/>
    </xf>
    <xf numFmtId="165" fontId="2" fillId="10" borderId="32" xfId="0" applyNumberFormat="1" applyFont="1" applyFill="1" applyBorder="1" applyAlignment="1">
      <alignment wrapText="1"/>
    </xf>
    <xf numFmtId="165" fontId="2" fillId="11" borderId="13" xfId="0" applyNumberFormat="1" applyFont="1" applyFill="1" applyBorder="1" applyAlignment="1">
      <alignment horizontal="center" wrapText="1"/>
    </xf>
    <xf numFmtId="165" fontId="1" fillId="11" borderId="38" xfId="1" applyFont="1" applyFill="1" applyBorder="1" applyAlignment="1" applyProtection="1">
      <alignment horizontal="center" vertical="center" wrapText="1"/>
      <protection locked="0"/>
    </xf>
    <xf numFmtId="165" fontId="1" fillId="11" borderId="3" xfId="0" applyNumberFormat="1" applyFont="1" applyFill="1" applyBorder="1" applyAlignment="1" applyProtection="1">
      <alignment wrapText="1"/>
      <protection locked="0"/>
    </xf>
    <xf numFmtId="165" fontId="2" fillId="11" borderId="3" xfId="1" applyFont="1" applyFill="1" applyBorder="1" applyAlignment="1">
      <alignment wrapText="1"/>
    </xf>
    <xf numFmtId="165" fontId="2" fillId="11" borderId="5" xfId="1" applyFont="1" applyFill="1" applyBorder="1" applyAlignment="1">
      <alignment wrapText="1"/>
    </xf>
    <xf numFmtId="0" fontId="2" fillId="11" borderId="3" xfId="0" applyFont="1" applyFill="1" applyBorder="1" applyAlignment="1">
      <alignment horizontal="center" wrapText="1"/>
    </xf>
    <xf numFmtId="165" fontId="1" fillId="11" borderId="38" xfId="0" applyNumberFormat="1" applyFont="1" applyFill="1" applyBorder="1" applyAlignment="1">
      <alignment wrapText="1"/>
    </xf>
    <xf numFmtId="165" fontId="1" fillId="11" borderId="3" xfId="0" applyNumberFormat="1" applyFont="1" applyFill="1" applyBorder="1" applyAlignment="1">
      <alignment wrapText="1"/>
    </xf>
    <xf numFmtId="165" fontId="1" fillId="11" borderId="13" xfId="0" applyNumberFormat="1" applyFont="1" applyFill="1" applyBorder="1" applyAlignment="1">
      <alignment wrapText="1"/>
    </xf>
    <xf numFmtId="165" fontId="2" fillId="11" borderId="32" xfId="0" applyNumberFormat="1" applyFont="1" applyFill="1" applyBorder="1" applyAlignment="1">
      <alignment wrapText="1"/>
    </xf>
    <xf numFmtId="165" fontId="2" fillId="12" borderId="13" xfId="0" applyNumberFormat="1" applyFont="1" applyFill="1" applyBorder="1" applyAlignment="1">
      <alignment horizontal="center" wrapText="1"/>
    </xf>
    <xf numFmtId="165" fontId="1" fillId="12" borderId="38" xfId="1" applyFont="1" applyFill="1" applyBorder="1" applyAlignment="1" applyProtection="1">
      <alignment horizontal="center" vertical="center" wrapText="1"/>
      <protection locked="0"/>
    </xf>
    <xf numFmtId="165" fontId="1" fillId="12" borderId="3" xfId="0" applyNumberFormat="1" applyFont="1" applyFill="1" applyBorder="1" applyAlignment="1" applyProtection="1">
      <alignment wrapText="1"/>
      <protection locked="0"/>
    </xf>
    <xf numFmtId="165" fontId="2" fillId="12" borderId="3" xfId="1" applyFont="1" applyFill="1" applyBorder="1" applyAlignment="1">
      <alignment wrapText="1"/>
    </xf>
    <xf numFmtId="165" fontId="2" fillId="12" borderId="5" xfId="1" applyFont="1" applyFill="1" applyBorder="1" applyAlignment="1">
      <alignment wrapText="1"/>
    </xf>
    <xf numFmtId="164" fontId="1" fillId="12" borderId="3" xfId="0" applyNumberFormat="1" applyFont="1" applyFill="1" applyBorder="1" applyAlignment="1" applyProtection="1">
      <alignment wrapText="1"/>
      <protection locked="0"/>
    </xf>
    <xf numFmtId="0" fontId="2" fillId="12" borderId="3" xfId="0" applyFont="1" applyFill="1" applyBorder="1" applyAlignment="1">
      <alignment horizontal="center" wrapText="1"/>
    </xf>
    <xf numFmtId="165" fontId="1" fillId="12" borderId="38" xfId="0" applyNumberFormat="1" applyFont="1" applyFill="1" applyBorder="1" applyAlignment="1">
      <alignment wrapText="1"/>
    </xf>
    <xf numFmtId="165" fontId="1" fillId="12" borderId="3" xfId="0" applyNumberFormat="1" applyFont="1" applyFill="1" applyBorder="1" applyAlignment="1">
      <alignment wrapText="1"/>
    </xf>
    <xf numFmtId="165" fontId="1" fillId="12" borderId="13" xfId="0" applyNumberFormat="1" applyFont="1" applyFill="1" applyBorder="1" applyAlignment="1">
      <alignment wrapText="1"/>
    </xf>
    <xf numFmtId="165" fontId="2" fillId="12" borderId="32" xfId="0" applyNumberFormat="1" applyFont="1" applyFill="1" applyBorder="1" applyAlignment="1">
      <alignment wrapText="1"/>
    </xf>
    <xf numFmtId="166" fontId="1" fillId="0" borderId="0" xfId="0" applyNumberFormat="1" applyFont="1" applyAlignment="1">
      <alignment wrapText="1"/>
    </xf>
    <xf numFmtId="166" fontId="1" fillId="3" borderId="0" xfId="0" applyNumberFormat="1" applyFont="1" applyFill="1" applyAlignment="1">
      <alignment wrapText="1"/>
    </xf>
    <xf numFmtId="0" fontId="22" fillId="0" borderId="3" xfId="0" applyFont="1" applyBorder="1" applyAlignment="1" applyProtection="1">
      <alignment horizontal="left" vertical="top" wrapText="1"/>
      <protection locked="0"/>
    </xf>
    <xf numFmtId="0" fontId="2" fillId="7" borderId="0" xfId="0" applyFont="1" applyFill="1" applyBorder="1" applyAlignment="1">
      <alignment horizontal="center" vertical="center"/>
    </xf>
    <xf numFmtId="0" fontId="0" fillId="0" borderId="3" xfId="0" applyBorder="1"/>
    <xf numFmtId="0" fontId="0" fillId="2" borderId="3" xfId="0" applyFill="1" applyBorder="1" applyAlignment="1">
      <alignment vertical="top" wrapText="1"/>
    </xf>
    <xf numFmtId="165" fontId="0" fillId="2" borderId="3" xfId="0" applyNumberFormat="1" applyFill="1" applyBorder="1" applyAlignment="1">
      <alignment vertical="center"/>
    </xf>
    <xf numFmtId="0" fontId="0" fillId="2" borderId="3" xfId="0" applyFill="1" applyBorder="1" applyAlignment="1">
      <alignment vertical="center" wrapText="1"/>
    </xf>
    <xf numFmtId="165" fontId="1" fillId="2" borderId="38" xfId="0" applyNumberFormat="1" applyFont="1" applyFill="1" applyBorder="1" applyAlignment="1">
      <alignment vertical="center" wrapText="1"/>
    </xf>
    <xf numFmtId="165" fontId="2" fillId="2" borderId="37" xfId="0" applyNumberFormat="1" applyFont="1" applyFill="1" applyBorder="1" applyAlignment="1">
      <alignment vertical="center" wrapText="1"/>
    </xf>
    <xf numFmtId="165" fontId="1" fillId="2" borderId="5" xfId="0" applyNumberFormat="1" applyFont="1" applyFill="1" applyBorder="1" applyAlignment="1">
      <alignment vertical="center" wrapText="1"/>
    </xf>
    <xf numFmtId="165" fontId="1" fillId="2" borderId="29" xfId="1" applyFont="1" applyFill="1" applyBorder="1" applyAlignment="1">
      <alignment vertical="center" wrapText="1"/>
    </xf>
    <xf numFmtId="165" fontId="1" fillId="2" borderId="16" xfId="0" applyNumberFormat="1" applyFont="1" applyFill="1" applyBorder="1" applyAlignment="1">
      <alignment vertical="center" wrapText="1"/>
    </xf>
    <xf numFmtId="165" fontId="2" fillId="2" borderId="9" xfId="1" applyFont="1" applyFill="1" applyBorder="1" applyAlignment="1">
      <alignment vertical="center" wrapText="1"/>
    </xf>
    <xf numFmtId="165" fontId="2" fillId="2" borderId="13" xfId="1" applyFont="1" applyFill="1" applyBorder="1" applyAlignment="1">
      <alignment vertical="center" wrapText="1"/>
    </xf>
    <xf numFmtId="165" fontId="2" fillId="2" borderId="14" xfId="1" applyFont="1" applyFill="1" applyBorder="1" applyAlignment="1">
      <alignment vertical="center" wrapText="1"/>
    </xf>
    <xf numFmtId="0" fontId="17" fillId="0" borderId="0" xfId="0" applyFont="1" applyAlignment="1">
      <alignment horizontal="left" vertical="top" wrapText="1"/>
    </xf>
    <xf numFmtId="41" fontId="2" fillId="3" borderId="0" xfId="3" applyFont="1" applyFill="1" applyBorder="1" applyAlignment="1">
      <alignment wrapText="1"/>
    </xf>
    <xf numFmtId="165" fontId="1" fillId="12" borderId="38" xfId="0" applyNumberFormat="1" applyFont="1" applyFill="1" applyBorder="1" applyAlignment="1" applyProtection="1">
      <alignment wrapText="1"/>
      <protection locked="0"/>
    </xf>
    <xf numFmtId="165" fontId="1" fillId="12" borderId="53" xfId="1" applyFont="1" applyFill="1" applyBorder="1" applyAlignment="1" applyProtection="1">
      <alignment horizontal="center" vertical="center" wrapText="1"/>
      <protection locked="0"/>
    </xf>
    <xf numFmtId="165" fontId="1" fillId="12" borderId="5" xfId="1" applyFont="1" applyFill="1" applyBorder="1" applyAlignment="1" applyProtection="1">
      <alignment horizontal="center" vertical="center" wrapText="1"/>
      <protection locked="0"/>
    </xf>
    <xf numFmtId="165" fontId="1" fillId="12" borderId="5" xfId="0" applyNumberFormat="1" applyFont="1" applyFill="1" applyBorder="1" applyAlignment="1" applyProtection="1">
      <alignment wrapText="1"/>
      <protection locked="0"/>
    </xf>
    <xf numFmtId="164" fontId="1" fillId="12" borderId="5" xfId="0" applyNumberFormat="1" applyFont="1" applyFill="1" applyBorder="1" applyAlignment="1" applyProtection="1">
      <alignment wrapText="1"/>
      <protection locked="0"/>
    </xf>
    <xf numFmtId="167" fontId="0" fillId="0" borderId="0" xfId="0" applyNumberFormat="1" applyAlignment="1">
      <alignment wrapText="1"/>
    </xf>
    <xf numFmtId="43" fontId="1" fillId="10" borderId="3" xfId="4" applyFont="1" applyFill="1" applyBorder="1" applyAlignment="1" applyProtection="1">
      <alignment horizontal="center" vertical="center" wrapText="1"/>
    </xf>
    <xf numFmtId="43" fontId="1" fillId="11" borderId="3" xfId="4" applyFont="1" applyFill="1" applyBorder="1" applyAlignment="1" applyProtection="1">
      <alignment horizontal="center" vertical="center" wrapText="1"/>
    </xf>
    <xf numFmtId="43" fontId="1" fillId="12" borderId="3" xfId="4" applyFont="1" applyFill="1" applyBorder="1" applyAlignment="1" applyProtection="1">
      <alignment horizontal="center" vertical="center" wrapText="1"/>
    </xf>
    <xf numFmtId="43" fontId="0" fillId="0" borderId="0" xfId="4" applyFont="1" applyAlignment="1">
      <alignment wrapText="1"/>
    </xf>
    <xf numFmtId="165" fontId="2" fillId="11" borderId="3" xfId="1" applyFont="1" applyFill="1" applyBorder="1" applyAlignment="1" applyProtection="1">
      <alignment vertical="center" wrapText="1"/>
    </xf>
    <xf numFmtId="167" fontId="1" fillId="3" borderId="0" xfId="0" applyNumberFormat="1" applyFont="1" applyFill="1" applyAlignment="1">
      <alignment wrapText="1"/>
    </xf>
    <xf numFmtId="165" fontId="1" fillId="14" borderId="3" xfId="1" applyFont="1" applyFill="1" applyBorder="1" applyAlignment="1" applyProtection="1">
      <alignment horizontal="center" vertical="center" wrapText="1"/>
      <protection locked="0"/>
    </xf>
    <xf numFmtId="165" fontId="2" fillId="14" borderId="3" xfId="1" applyFont="1" applyFill="1" applyBorder="1" applyAlignment="1" applyProtection="1">
      <alignment horizontal="center" vertical="center" wrapText="1"/>
    </xf>
    <xf numFmtId="165" fontId="1" fillId="14" borderId="3" xfId="1" applyFont="1" applyFill="1" applyBorder="1" applyAlignment="1" applyProtection="1">
      <alignment vertical="center" wrapText="1"/>
      <protection locked="0"/>
    </xf>
    <xf numFmtId="165" fontId="2" fillId="14" borderId="5" xfId="1" applyFont="1" applyFill="1" applyBorder="1" applyAlignment="1" applyProtection="1">
      <alignment horizontal="center" vertical="center" wrapText="1"/>
    </xf>
    <xf numFmtId="0" fontId="2" fillId="14" borderId="3"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2" fillId="2" borderId="53" xfId="0" applyFont="1" applyFill="1" applyBorder="1" applyAlignment="1">
      <alignment horizontal="left" vertical="center" wrapText="1"/>
    </xf>
    <xf numFmtId="0" fontId="2" fillId="2" borderId="38" xfId="0" applyFont="1" applyFill="1" applyBorder="1" applyAlignment="1">
      <alignment horizontal="left" vertical="center" wrapText="1"/>
    </xf>
    <xf numFmtId="0" fontId="2" fillId="2" borderId="39" xfId="0" applyFont="1" applyFill="1" applyBorder="1" applyAlignment="1">
      <alignment horizontal="left" vertical="center" wrapText="1"/>
    </xf>
    <xf numFmtId="0" fontId="2" fillId="2" borderId="54"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2" fillId="2" borderId="53"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0" borderId="0" xfId="0" applyFont="1" applyAlignment="1">
      <alignment horizontal="center" vertical="center" wrapText="1"/>
    </xf>
    <xf numFmtId="0" fontId="2" fillId="2" borderId="27"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10" xfId="0" applyFont="1" applyFill="1" applyBorder="1" applyAlignment="1">
      <alignment horizontal="center" vertical="center" wrapText="1"/>
    </xf>
    <xf numFmtId="165" fontId="2" fillId="2" borderId="30" xfId="1" applyFont="1" applyFill="1" applyBorder="1" applyAlignment="1" applyProtection="1">
      <alignment horizontal="center" vertical="center" wrapText="1"/>
    </xf>
    <xf numFmtId="165" fontId="2" fillId="2" borderId="37"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3" fillId="0" borderId="0" xfId="0" applyFont="1" applyAlignment="1">
      <alignment horizontal="left" vertical="top" wrapText="1"/>
    </xf>
    <xf numFmtId="0" fontId="2" fillId="3" borderId="3" xfId="0" applyFont="1" applyFill="1" applyBorder="1" applyAlignment="1" applyProtection="1">
      <alignment horizontal="left" vertical="top" wrapText="1"/>
      <protection locked="0"/>
    </xf>
    <xf numFmtId="165" fontId="2" fillId="3" borderId="3" xfId="1"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top" wrapText="1"/>
      <protection locked="0"/>
    </xf>
    <xf numFmtId="0" fontId="12" fillId="7" borderId="4" xfId="0" applyFont="1" applyFill="1" applyBorder="1" applyAlignment="1">
      <alignment horizontal="center" wrapText="1"/>
    </xf>
    <xf numFmtId="0" fontId="12" fillId="7" borderId="1" xfId="0" applyFont="1" applyFill="1" applyBorder="1" applyAlignment="1">
      <alignment horizontal="center" wrapText="1"/>
    </xf>
    <xf numFmtId="0" fontId="12" fillId="7" borderId="2" xfId="0" applyFont="1" applyFill="1" applyBorder="1" applyAlignment="1">
      <alignment horizontal="center" wrapText="1"/>
    </xf>
    <xf numFmtId="0" fontId="21" fillId="7" borderId="39" xfId="0" applyFont="1" applyFill="1" applyBorder="1" applyAlignment="1">
      <alignment horizontal="left" wrapText="1"/>
    </xf>
    <xf numFmtId="0" fontId="21" fillId="7" borderId="51" xfId="0" applyFont="1" applyFill="1" applyBorder="1" applyAlignment="1">
      <alignment horizontal="left" wrapText="1"/>
    </xf>
    <xf numFmtId="0" fontId="21" fillId="7" borderId="52" xfId="0" applyFont="1" applyFill="1" applyBorder="1" applyAlignment="1">
      <alignment horizontal="left" wrapText="1"/>
    </xf>
    <xf numFmtId="0" fontId="1" fillId="3" borderId="3" xfId="0" applyFont="1" applyFill="1" applyBorder="1" applyAlignment="1" applyProtection="1">
      <alignment horizontal="left" vertical="top" wrapText="1"/>
      <protection locked="0"/>
    </xf>
    <xf numFmtId="165" fontId="1" fillId="3" borderId="3" xfId="1" applyFont="1" applyFill="1" applyBorder="1" applyAlignment="1" applyProtection="1">
      <alignment horizontal="left" vertical="top" wrapText="1"/>
      <protection locked="0"/>
    </xf>
    <xf numFmtId="0" fontId="4" fillId="7" borderId="46" xfId="0" applyFont="1" applyFill="1" applyBorder="1" applyAlignment="1">
      <alignment horizontal="left" wrapText="1"/>
    </xf>
    <xf numFmtId="0" fontId="4" fillId="7" borderId="47" xfId="0" applyFont="1" applyFill="1" applyBorder="1" applyAlignment="1">
      <alignment horizontal="left" wrapText="1"/>
    </xf>
    <xf numFmtId="165" fontId="4" fillId="7" borderId="47" xfId="1" applyFont="1" applyFill="1" applyBorder="1" applyAlignment="1">
      <alignment horizontal="left" wrapText="1"/>
    </xf>
    <xf numFmtId="0" fontId="4" fillId="7" borderId="48" xfId="0" applyFont="1" applyFill="1" applyBorder="1" applyAlignment="1">
      <alignment horizontal="left"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8" xfId="0" applyFont="1" applyFill="1" applyBorder="1" applyAlignment="1">
      <alignment horizontal="center" vertical="center" wrapText="1"/>
    </xf>
    <xf numFmtId="0" fontId="4" fillId="7" borderId="11" xfId="0" applyFont="1" applyFill="1" applyBorder="1" applyAlignment="1">
      <alignment horizontal="left" vertical="center" wrapText="1"/>
    </xf>
    <xf numFmtId="0" fontId="4" fillId="7" borderId="0" xfId="0" applyFont="1" applyFill="1" applyAlignment="1">
      <alignment horizontal="left" vertical="center" wrapText="1"/>
    </xf>
    <xf numFmtId="0" fontId="4" fillId="7" borderId="41" xfId="0" applyFont="1" applyFill="1" applyBorder="1" applyAlignment="1">
      <alignment horizontal="left" vertical="center" wrapText="1"/>
    </xf>
    <xf numFmtId="0" fontId="4" fillId="7" borderId="19" xfId="0" applyFont="1" applyFill="1" applyBorder="1" applyAlignment="1">
      <alignment horizontal="left" vertical="center" wrapText="1"/>
    </xf>
    <xf numFmtId="0" fontId="4" fillId="7" borderId="24" xfId="0" applyFont="1" applyFill="1" applyBorder="1" applyAlignment="1">
      <alignment horizontal="left" vertical="center" wrapText="1"/>
    </xf>
    <xf numFmtId="0" fontId="4" fillId="7" borderId="42" xfId="0" applyFont="1" applyFill="1" applyBorder="1" applyAlignment="1">
      <alignment horizontal="left" vertical="center"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17" fillId="0" borderId="0" xfId="0" applyFont="1" applyAlignment="1">
      <alignment horizontal="left" vertical="top" wrapText="1"/>
    </xf>
    <xf numFmtId="0" fontId="10" fillId="7" borderId="17" xfId="0" applyFont="1" applyFill="1" applyBorder="1" applyAlignment="1">
      <alignment horizontal="left" wrapText="1"/>
    </xf>
    <xf numFmtId="0" fontId="10" fillId="7" borderId="15" xfId="0" applyFont="1" applyFill="1" applyBorder="1" applyAlignment="1">
      <alignment horizontal="left" wrapText="1"/>
    </xf>
    <xf numFmtId="0" fontId="10" fillId="7" borderId="40" xfId="0" applyFont="1" applyFill="1" applyBorder="1" applyAlignment="1">
      <alignment horizontal="left" wrapText="1"/>
    </xf>
    <xf numFmtId="0" fontId="2" fillId="2" borderId="46" xfId="0" applyFont="1" applyFill="1" applyBorder="1" applyAlignment="1">
      <alignment horizontal="left" wrapText="1"/>
    </xf>
    <xf numFmtId="0" fontId="2" fillId="2" borderId="47" xfId="0" applyFont="1" applyFill="1" applyBorder="1" applyAlignment="1">
      <alignment horizontal="left" wrapText="1"/>
    </xf>
    <xf numFmtId="0" fontId="2" fillId="2" borderId="48" xfId="0" applyFont="1" applyFill="1" applyBorder="1" applyAlignment="1">
      <alignment horizontal="left" wrapText="1"/>
    </xf>
    <xf numFmtId="0" fontId="12" fillId="7" borderId="11" xfId="0" applyFont="1" applyFill="1" applyBorder="1" applyAlignment="1">
      <alignment horizontal="left" wrapText="1"/>
    </xf>
    <xf numFmtId="0" fontId="12" fillId="7" borderId="0" xfId="0" applyFont="1" applyFill="1" applyBorder="1" applyAlignment="1">
      <alignment horizontal="left" wrapText="1"/>
    </xf>
    <xf numFmtId="0" fontId="3" fillId="7" borderId="3" xfId="0" applyFont="1" applyFill="1" applyBorder="1" applyAlignment="1">
      <alignment horizontal="center" vertical="center"/>
    </xf>
    <xf numFmtId="165" fontId="3" fillId="2" borderId="3" xfId="0" applyNumberFormat="1" applyFont="1" applyFill="1" applyBorder="1" applyAlignment="1">
      <alignment horizontal="center"/>
    </xf>
    <xf numFmtId="49" fontId="0" fillId="2" borderId="3" xfId="0" applyNumberFormat="1" applyFill="1" applyBorder="1" applyAlignment="1">
      <alignment horizontal="center" wrapText="1"/>
    </xf>
    <xf numFmtId="0" fontId="3" fillId="2" borderId="3" xfId="0" applyFont="1" applyFill="1" applyBorder="1" applyAlignment="1">
      <alignment horizontal="left"/>
    </xf>
    <xf numFmtId="0" fontId="0" fillId="2" borderId="3" xfId="0" applyFill="1" applyBorder="1" applyAlignment="1">
      <alignment horizont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xf numFmtId="0" fontId="2" fillId="14" borderId="3" xfId="0" applyFont="1" applyFill="1" applyBorder="1" applyAlignment="1">
      <alignment vertical="center" wrapText="1"/>
    </xf>
    <xf numFmtId="0" fontId="7" fillId="14" borderId="0" xfId="0" applyFont="1" applyFill="1" applyAlignment="1">
      <alignment horizontal="justify" vertical="center"/>
    </xf>
    <xf numFmtId="10" fontId="0" fillId="2" borderId="14" xfId="2" applyNumberFormat="1" applyFont="1" applyFill="1" applyBorder="1" applyAlignment="1">
      <alignment wrapText="1"/>
    </xf>
    <xf numFmtId="165" fontId="20" fillId="3" borderId="3" xfId="1" applyFont="1" applyFill="1" applyBorder="1" applyAlignment="1" applyProtection="1">
      <alignment horizontal="center" vertical="center" wrapText="1"/>
      <protection locked="0"/>
    </xf>
    <xf numFmtId="165" fontId="0" fillId="0" borderId="0" xfId="0" applyNumberFormat="1" applyAlignment="1">
      <alignment wrapText="1"/>
    </xf>
    <xf numFmtId="0" fontId="0" fillId="0" borderId="0" xfId="0" applyAlignment="1">
      <alignment horizontal="right" vertical="center" wrapText="1"/>
    </xf>
  </cellXfs>
  <cellStyles count="5">
    <cellStyle name="Milliers" xfId="4" builtinId="3"/>
    <cellStyle name="Milliers [0]" xfId="3" builtinId="6"/>
    <cellStyle name="Monétaire" xfId="1" builtinId="4"/>
    <cellStyle name="Normal" xfId="0" builtinId="0"/>
    <cellStyle name="Pourcentage" xfId="2" builtinId="5"/>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B7E9"/>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2:O165"/>
  <sheetViews>
    <sheetView showGridLines="0" showZeros="0" tabSelected="1" topLeftCell="B6" zoomScale="60" zoomScaleNormal="60" workbookViewId="0">
      <selection activeCell="N20" sqref="N20"/>
    </sheetView>
  </sheetViews>
  <sheetFormatPr baseColWidth="10" defaultColWidth="9.1796875" defaultRowHeight="14.5" x14ac:dyDescent="0.35"/>
  <cols>
    <col min="1" max="1" width="9.1796875" style="22"/>
    <col min="2" max="2" width="22.453125" style="22" customWidth="1"/>
    <col min="3" max="3" width="32.453125" style="22" customWidth="1"/>
    <col min="4" max="4" width="25" style="22" customWidth="1"/>
    <col min="5" max="5" width="25.7265625" style="22" customWidth="1"/>
    <col min="6" max="6" width="25.26953125" style="22" customWidth="1"/>
    <col min="7" max="7" width="25" style="22" customWidth="1"/>
    <col min="8" max="9" width="24.81640625" style="22" customWidth="1"/>
    <col min="10" max="10" width="23.1796875" style="22" customWidth="1"/>
    <col min="11" max="11" width="22.453125" style="22" customWidth="1"/>
    <col min="12" max="12" width="20.453125" style="93" customWidth="1"/>
    <col min="13" max="13" width="20.81640625" style="22" customWidth="1"/>
    <col min="14" max="14" width="29.7265625" style="22" customWidth="1"/>
    <col min="15" max="15" width="23.453125" style="22" customWidth="1"/>
    <col min="16" max="16" width="18.453125" style="22" customWidth="1"/>
    <col min="17" max="17" width="17.453125" style="22" customWidth="1"/>
    <col min="18" max="18" width="25.1796875" style="22" customWidth="1"/>
    <col min="19" max="16384" width="9.1796875" style="22"/>
  </cols>
  <sheetData>
    <row r="2" spans="2:13" ht="36" customHeight="1" x14ac:dyDescent="1">
      <c r="B2" s="326" t="s">
        <v>0</v>
      </c>
      <c r="C2" s="326"/>
      <c r="D2" s="326"/>
      <c r="E2" s="326"/>
      <c r="F2" s="20"/>
      <c r="G2" s="20"/>
      <c r="H2" s="20"/>
      <c r="I2" s="20"/>
      <c r="J2" s="20"/>
      <c r="K2" s="21"/>
      <c r="L2" s="100"/>
      <c r="M2" s="21"/>
    </row>
    <row r="3" spans="2:13" ht="15.5" x14ac:dyDescent="0.35">
      <c r="B3" s="79"/>
    </row>
    <row r="4" spans="2:13" ht="15.5" x14ac:dyDescent="0.35">
      <c r="B4" s="24"/>
    </row>
    <row r="5" spans="2:13" ht="36.75" customHeight="1" x14ac:dyDescent="0.75">
      <c r="B5" s="333" t="s">
        <v>1</v>
      </c>
      <c r="C5" s="334"/>
      <c r="D5" s="334"/>
      <c r="E5" s="334"/>
      <c r="F5" s="334"/>
      <c r="G5" s="334"/>
      <c r="H5" s="334"/>
      <c r="I5" s="334"/>
      <c r="J5" s="334"/>
      <c r="K5" s="334"/>
      <c r="L5" s="334"/>
      <c r="M5" s="335"/>
    </row>
    <row r="6" spans="2:13" ht="174" customHeight="1" x14ac:dyDescent="0.5">
      <c r="B6" s="338" t="s">
        <v>2</v>
      </c>
      <c r="C6" s="339"/>
      <c r="D6" s="339"/>
      <c r="E6" s="339"/>
      <c r="F6" s="339"/>
      <c r="G6" s="339"/>
      <c r="H6" s="339"/>
      <c r="I6" s="339"/>
      <c r="J6" s="339"/>
      <c r="K6" s="339"/>
      <c r="L6" s="340"/>
      <c r="M6" s="341"/>
    </row>
    <row r="7" spans="2:13" x14ac:dyDescent="0.35">
      <c r="B7" s="25"/>
    </row>
    <row r="9" spans="2:13" ht="27" customHeight="1" x14ac:dyDescent="0.6">
      <c r="B9" s="330" t="s">
        <v>513</v>
      </c>
      <c r="C9" s="331"/>
      <c r="D9" s="331"/>
      <c r="E9" s="331"/>
      <c r="F9" s="331"/>
      <c r="G9" s="331"/>
      <c r="H9" s="331"/>
      <c r="I9" s="331"/>
      <c r="J9" s="331"/>
      <c r="K9" s="331"/>
      <c r="L9" s="331"/>
      <c r="M9" s="332"/>
    </row>
    <row r="11" spans="2:13" ht="25.5" customHeight="1" x14ac:dyDescent="0.35">
      <c r="D11" s="26"/>
      <c r="E11" s="26"/>
      <c r="F11" s="26"/>
      <c r="G11" s="26"/>
      <c r="H11" s="26"/>
      <c r="I11" s="26"/>
      <c r="J11" s="26"/>
      <c r="L11" s="99"/>
      <c r="M11" s="23"/>
    </row>
    <row r="12" spans="2:13" ht="210" customHeight="1" x14ac:dyDescent="0.35">
      <c r="B12" s="13" t="s">
        <v>3</v>
      </c>
      <c r="C12" s="13" t="s">
        <v>4</v>
      </c>
      <c r="D12" s="13" t="s">
        <v>5</v>
      </c>
      <c r="E12" s="13" t="s">
        <v>6</v>
      </c>
      <c r="F12" s="13" t="s">
        <v>7</v>
      </c>
      <c r="G12" s="13" t="s">
        <v>8</v>
      </c>
      <c r="H12" s="13" t="s">
        <v>548</v>
      </c>
      <c r="I12" s="13" t="s">
        <v>550</v>
      </c>
      <c r="J12" s="13" t="s">
        <v>9</v>
      </c>
      <c r="K12" s="13" t="s">
        <v>10</v>
      </c>
      <c r="L12" s="298" t="s">
        <v>11</v>
      </c>
      <c r="M12" s="13" t="s">
        <v>12</v>
      </c>
    </row>
    <row r="13" spans="2:13" ht="18.75" customHeight="1" x14ac:dyDescent="0.35">
      <c r="B13" s="111"/>
      <c r="C13" s="111"/>
      <c r="D13" s="143" t="s">
        <v>13</v>
      </c>
      <c r="E13" s="152" t="s">
        <v>14</v>
      </c>
      <c r="F13" s="164" t="s">
        <v>15</v>
      </c>
      <c r="G13" s="175" t="s">
        <v>16</v>
      </c>
      <c r="H13" s="185" t="s">
        <v>549</v>
      </c>
      <c r="I13" s="185" t="s">
        <v>551</v>
      </c>
      <c r="J13" s="13"/>
      <c r="K13" s="111"/>
      <c r="L13" s="112"/>
      <c r="M13" s="111"/>
    </row>
    <row r="14" spans="2:13" ht="26.5" customHeight="1" x14ac:dyDescent="0.35">
      <c r="B14" s="57" t="s">
        <v>17</v>
      </c>
      <c r="C14" s="329" t="s">
        <v>18</v>
      </c>
      <c r="D14" s="329"/>
      <c r="E14" s="329"/>
      <c r="F14" s="329"/>
      <c r="G14" s="329"/>
      <c r="H14" s="329"/>
      <c r="I14" s="329"/>
      <c r="J14" s="329"/>
      <c r="K14" s="329"/>
      <c r="L14" s="328"/>
      <c r="M14" s="329"/>
    </row>
    <row r="15" spans="2:13" ht="37.5" customHeight="1" x14ac:dyDescent="0.35">
      <c r="B15" s="57" t="s">
        <v>19</v>
      </c>
      <c r="C15" s="329" t="s">
        <v>514</v>
      </c>
      <c r="D15" s="329"/>
      <c r="E15" s="329"/>
      <c r="F15" s="329"/>
      <c r="G15" s="329"/>
      <c r="H15" s="329"/>
      <c r="I15" s="329"/>
      <c r="J15" s="329"/>
      <c r="K15" s="329"/>
      <c r="L15" s="328"/>
      <c r="M15" s="329"/>
    </row>
    <row r="16" spans="2:13" ht="173.25" customHeight="1" x14ac:dyDescent="0.35">
      <c r="B16" s="57" t="s">
        <v>20</v>
      </c>
      <c r="C16" s="141" t="s">
        <v>515</v>
      </c>
      <c r="D16" s="144">
        <v>0</v>
      </c>
      <c r="E16" s="153">
        <v>80000</v>
      </c>
      <c r="F16" s="165">
        <v>0</v>
      </c>
      <c r="G16" s="176">
        <v>0</v>
      </c>
      <c r="H16" s="186">
        <v>0</v>
      </c>
      <c r="I16" s="186">
        <v>0</v>
      </c>
      <c r="J16" s="8">
        <f>SUM(D16:I16)</f>
        <v>80000</v>
      </c>
      <c r="K16" s="115">
        <v>0.5</v>
      </c>
      <c r="L16" s="294">
        <v>73098.78</v>
      </c>
      <c r="M16" s="117"/>
    </row>
    <row r="17" spans="1:13" ht="148.5" customHeight="1" x14ac:dyDescent="0.35">
      <c r="B17" s="57" t="s">
        <v>21</v>
      </c>
      <c r="C17" s="113" t="s">
        <v>516</v>
      </c>
      <c r="D17" s="144">
        <v>80000</v>
      </c>
      <c r="E17" s="153">
        <v>0</v>
      </c>
      <c r="F17" s="165">
        <v>0</v>
      </c>
      <c r="G17" s="176">
        <v>0</v>
      </c>
      <c r="H17" s="186">
        <v>0</v>
      </c>
      <c r="I17" s="186">
        <v>0</v>
      </c>
      <c r="J17" s="8">
        <f t="shared" ref="J17:J20" si="0">SUM(D17:I17)</f>
        <v>80000</v>
      </c>
      <c r="K17" s="115">
        <v>0.3</v>
      </c>
      <c r="L17" s="294">
        <v>30000</v>
      </c>
      <c r="M17" s="116"/>
    </row>
    <row r="18" spans="1:13" ht="186.75" customHeight="1" x14ac:dyDescent="0.35">
      <c r="B18" s="375" t="s">
        <v>22</v>
      </c>
      <c r="C18" s="113" t="s">
        <v>517</v>
      </c>
      <c r="D18" s="144">
        <v>25000</v>
      </c>
      <c r="E18" s="153">
        <v>25000</v>
      </c>
      <c r="F18" s="165">
        <v>0</v>
      </c>
      <c r="G18" s="176">
        <v>0</v>
      </c>
      <c r="H18" s="186">
        <v>0</v>
      </c>
      <c r="I18" s="186">
        <v>0</v>
      </c>
      <c r="J18" s="8">
        <f t="shared" si="0"/>
        <v>50000</v>
      </c>
      <c r="K18" s="115">
        <v>0.3</v>
      </c>
      <c r="L18" s="294">
        <f>537.84+26261.41</f>
        <v>26799.25</v>
      </c>
      <c r="M18" s="116"/>
    </row>
    <row r="19" spans="1:13" ht="204.75" customHeight="1" x14ac:dyDescent="0.35">
      <c r="B19" s="375" t="s">
        <v>23</v>
      </c>
      <c r="C19" s="141" t="s">
        <v>518</v>
      </c>
      <c r="D19" s="144">
        <v>60000</v>
      </c>
      <c r="E19" s="153">
        <v>60000</v>
      </c>
      <c r="F19" s="165">
        <v>0</v>
      </c>
      <c r="G19" s="176">
        <v>0</v>
      </c>
      <c r="H19" s="186">
        <v>0</v>
      </c>
      <c r="I19" s="186">
        <v>0</v>
      </c>
      <c r="J19" s="8">
        <f t="shared" si="0"/>
        <v>120000</v>
      </c>
      <c r="K19" s="115">
        <v>0.5</v>
      </c>
      <c r="L19" s="294">
        <f>1336.89</f>
        <v>1336.89</v>
      </c>
      <c r="M19" s="116"/>
    </row>
    <row r="20" spans="1:13" ht="101.25" customHeight="1" x14ac:dyDescent="0.35">
      <c r="B20" s="57" t="s">
        <v>24</v>
      </c>
      <c r="C20" s="113" t="s">
        <v>519</v>
      </c>
      <c r="D20" s="144">
        <v>0</v>
      </c>
      <c r="E20" s="153">
        <v>57579.44</v>
      </c>
      <c r="F20" s="165">
        <v>0</v>
      </c>
      <c r="G20" s="176">
        <v>0</v>
      </c>
      <c r="H20" s="186">
        <v>0</v>
      </c>
      <c r="I20" s="186">
        <v>0</v>
      </c>
      <c r="J20" s="8">
        <f t="shared" si="0"/>
        <v>57579.44</v>
      </c>
      <c r="K20" s="115">
        <v>0.5</v>
      </c>
      <c r="L20" s="294">
        <v>52705.04</v>
      </c>
      <c r="M20" s="116"/>
    </row>
    <row r="21" spans="1:13" ht="106.5" customHeight="1" x14ac:dyDescent="0.35">
      <c r="B21" s="57" t="s">
        <v>26</v>
      </c>
      <c r="C21" s="113" t="s">
        <v>25</v>
      </c>
      <c r="D21" s="144">
        <v>80000</v>
      </c>
      <c r="E21" s="153">
        <v>0</v>
      </c>
      <c r="F21" s="165">
        <v>0</v>
      </c>
      <c r="G21" s="176">
        <v>0</v>
      </c>
      <c r="H21" s="186">
        <v>0</v>
      </c>
      <c r="I21" s="186">
        <v>0</v>
      </c>
      <c r="J21" s="8">
        <f>SUM(D21:I21)</f>
        <v>80000</v>
      </c>
      <c r="K21" s="115">
        <v>0.3</v>
      </c>
      <c r="L21" s="294">
        <v>2376.46</v>
      </c>
      <c r="M21" s="116"/>
    </row>
    <row r="22" spans="1:13" ht="25.5" customHeight="1" x14ac:dyDescent="0.35">
      <c r="A22" s="23"/>
      <c r="C22" s="58" t="s">
        <v>27</v>
      </c>
      <c r="D22" s="145">
        <f>SUM(D16:D21)</f>
        <v>245000</v>
      </c>
      <c r="E22" s="155">
        <f t="shared" ref="E22:J22" si="1">SUM(E16:E21)</f>
        <v>222579.44</v>
      </c>
      <c r="F22" s="166">
        <f t="shared" si="1"/>
        <v>0</v>
      </c>
      <c r="G22" s="177">
        <f t="shared" si="1"/>
        <v>0</v>
      </c>
      <c r="H22" s="187">
        <f t="shared" si="1"/>
        <v>0</v>
      </c>
      <c r="I22" s="187">
        <f t="shared" si="1"/>
        <v>0</v>
      </c>
      <c r="J22" s="8">
        <f t="shared" si="1"/>
        <v>467579.44</v>
      </c>
      <c r="K22" s="205">
        <f>(J18*K18+J19*K19+J20*K20+J21*K21)</f>
        <v>127789.72</v>
      </c>
      <c r="L22" s="295">
        <f>SUM(L16:L21)</f>
        <v>186316.42</v>
      </c>
      <c r="M22" s="118"/>
    </row>
    <row r="23" spans="1:13" ht="33" customHeight="1" x14ac:dyDescent="0.35">
      <c r="A23" s="23"/>
      <c r="B23" s="57" t="s">
        <v>28</v>
      </c>
      <c r="C23" s="327" t="s">
        <v>520</v>
      </c>
      <c r="D23" s="327"/>
      <c r="E23" s="327"/>
      <c r="F23" s="327"/>
      <c r="G23" s="327"/>
      <c r="H23" s="327"/>
      <c r="I23" s="327"/>
      <c r="J23" s="327"/>
      <c r="K23" s="327"/>
      <c r="L23" s="328"/>
      <c r="M23" s="327"/>
    </row>
    <row r="24" spans="1:13" ht="267.75" customHeight="1" x14ac:dyDescent="0.35">
      <c r="A24" s="23"/>
      <c r="B24" s="57" t="s">
        <v>29</v>
      </c>
      <c r="C24" s="113" t="s">
        <v>521</v>
      </c>
      <c r="D24" s="144">
        <v>90000</v>
      </c>
      <c r="E24" s="153">
        <v>90000</v>
      </c>
      <c r="F24" s="165">
        <v>0</v>
      </c>
      <c r="G24" s="176">
        <v>0</v>
      </c>
      <c r="H24" s="186">
        <v>0</v>
      </c>
      <c r="I24" s="186">
        <v>0</v>
      </c>
      <c r="J24" s="112">
        <f>SUM(D24:I24)</f>
        <v>180000</v>
      </c>
      <c r="K24" s="115">
        <v>0.4</v>
      </c>
      <c r="L24" s="294">
        <v>1179.1199999999999</v>
      </c>
      <c r="M24" s="116"/>
    </row>
    <row r="25" spans="1:13" ht="251.25" customHeight="1" x14ac:dyDescent="0.35">
      <c r="A25" s="23"/>
      <c r="B25" s="57" t="s">
        <v>30</v>
      </c>
      <c r="C25" s="266" t="s">
        <v>522</v>
      </c>
      <c r="D25" s="144">
        <v>70000</v>
      </c>
      <c r="E25" s="153">
        <v>70000</v>
      </c>
      <c r="F25" s="165">
        <v>0</v>
      </c>
      <c r="G25" s="176">
        <v>0</v>
      </c>
      <c r="H25" s="186">
        <v>0</v>
      </c>
      <c r="I25" s="186">
        <v>0</v>
      </c>
      <c r="J25" s="112">
        <f t="shared" ref="J25:J26" si="2">SUM(D25:I25)</f>
        <v>140000</v>
      </c>
      <c r="K25" s="115">
        <v>0.8</v>
      </c>
      <c r="L25" s="378">
        <v>0</v>
      </c>
      <c r="M25" s="116"/>
    </row>
    <row r="26" spans="1:13" ht="230.25" customHeight="1" x14ac:dyDescent="0.35">
      <c r="A26" s="23"/>
      <c r="B26" s="57" t="s">
        <v>31</v>
      </c>
      <c r="C26" s="113" t="s">
        <v>523</v>
      </c>
      <c r="D26" s="144">
        <v>60000</v>
      </c>
      <c r="E26" s="153">
        <v>60000</v>
      </c>
      <c r="F26" s="165">
        <v>0</v>
      </c>
      <c r="G26" s="176">
        <v>0</v>
      </c>
      <c r="H26" s="186">
        <v>0</v>
      </c>
      <c r="I26" s="186">
        <v>0</v>
      </c>
      <c r="J26" s="112">
        <f t="shared" si="2"/>
        <v>120000</v>
      </c>
      <c r="K26" s="115">
        <v>0.5</v>
      </c>
      <c r="L26" s="294">
        <v>53275.39</v>
      </c>
      <c r="M26" s="116"/>
    </row>
    <row r="27" spans="1:13" ht="15.5" x14ac:dyDescent="0.35">
      <c r="A27" s="23"/>
      <c r="C27" s="58" t="s">
        <v>27</v>
      </c>
      <c r="D27" s="144">
        <f>SUM(D24:D26)</f>
        <v>220000</v>
      </c>
      <c r="E27" s="154">
        <f t="shared" ref="E27:H27" si="3">SUM(E24:E26)</f>
        <v>220000</v>
      </c>
      <c r="F27" s="167">
        <f t="shared" si="3"/>
        <v>0</v>
      </c>
      <c r="G27" s="178">
        <f t="shared" si="3"/>
        <v>0</v>
      </c>
      <c r="H27" s="188">
        <f t="shared" si="3"/>
        <v>0</v>
      </c>
      <c r="I27" s="188">
        <f>SUM(I24:I26)</f>
        <v>0</v>
      </c>
      <c r="J27" s="11">
        <f>SUM(J24:J26)</f>
        <v>440000</v>
      </c>
      <c r="K27" s="11">
        <f>J24*K24+J25*K25+J26*K26</f>
        <v>244000</v>
      </c>
      <c r="L27" s="295">
        <f>SUM(L24:L26)</f>
        <v>54454.51</v>
      </c>
      <c r="M27" s="118"/>
    </row>
    <row r="28" spans="1:13" ht="18.75" customHeight="1" x14ac:dyDescent="0.35">
      <c r="A28" s="23"/>
      <c r="B28" s="57" t="s">
        <v>32</v>
      </c>
      <c r="C28" s="327" t="s">
        <v>524</v>
      </c>
      <c r="D28" s="327"/>
      <c r="E28" s="327"/>
      <c r="F28" s="327"/>
      <c r="G28" s="327"/>
      <c r="H28" s="327"/>
      <c r="I28" s="327"/>
      <c r="J28" s="327"/>
      <c r="K28" s="327"/>
      <c r="L28" s="328"/>
      <c r="M28" s="327"/>
    </row>
    <row r="29" spans="1:13" ht="133.5" customHeight="1" x14ac:dyDescent="0.35">
      <c r="A29" s="23"/>
      <c r="B29" s="375" t="s">
        <v>33</v>
      </c>
      <c r="C29" s="376" t="s">
        <v>525</v>
      </c>
      <c r="D29" s="144">
        <f>18000*11</f>
        <v>198000</v>
      </c>
      <c r="E29" s="153">
        <f>18000*12</f>
        <v>216000</v>
      </c>
      <c r="F29" s="165">
        <v>0</v>
      </c>
      <c r="G29" s="176">
        <v>0</v>
      </c>
      <c r="H29" s="186">
        <v>0</v>
      </c>
      <c r="I29" s="186">
        <v>0</v>
      </c>
      <c r="J29" s="112">
        <f>SUM(D29:I29)</f>
        <v>414000</v>
      </c>
      <c r="K29" s="115">
        <v>0.4</v>
      </c>
      <c r="L29" s="294">
        <f>87079.15+50897.92</f>
        <v>137977.07</v>
      </c>
      <c r="M29" s="116"/>
    </row>
    <row r="30" spans="1:13" ht="151.5" customHeight="1" x14ac:dyDescent="0.35">
      <c r="A30" s="23"/>
      <c r="B30" s="57" t="s">
        <v>34</v>
      </c>
      <c r="C30" s="113" t="s">
        <v>526</v>
      </c>
      <c r="D30" s="144">
        <f>3*11000</f>
        <v>33000</v>
      </c>
      <c r="E30" s="153">
        <f>3*12000</f>
        <v>36000</v>
      </c>
      <c r="F30" s="165">
        <v>0</v>
      </c>
      <c r="G30" s="176">
        <v>0</v>
      </c>
      <c r="H30" s="186">
        <v>0</v>
      </c>
      <c r="I30" s="186">
        <v>0</v>
      </c>
      <c r="J30" s="112">
        <f t="shared" ref="J30" si="4">SUM(D30:I30)</f>
        <v>69000</v>
      </c>
      <c r="K30" s="115">
        <v>1</v>
      </c>
      <c r="L30" s="114"/>
      <c r="M30" s="116"/>
    </row>
    <row r="31" spans="1:13" ht="168" customHeight="1" x14ac:dyDescent="0.35">
      <c r="A31" s="23"/>
      <c r="B31" s="57" t="s">
        <v>35</v>
      </c>
      <c r="C31" s="113" t="s">
        <v>527</v>
      </c>
      <c r="D31" s="144">
        <v>40000</v>
      </c>
      <c r="E31" s="153">
        <v>40000</v>
      </c>
      <c r="F31" s="165">
        <v>0</v>
      </c>
      <c r="G31" s="176">
        <v>0</v>
      </c>
      <c r="H31" s="186">
        <v>0</v>
      </c>
      <c r="I31" s="186">
        <v>0</v>
      </c>
      <c r="J31" s="112">
        <f>SUM(D31:I31)</f>
        <v>80000</v>
      </c>
      <c r="K31" s="115">
        <v>0.3</v>
      </c>
      <c r="L31" s="294">
        <f>25536.74+37412.83</f>
        <v>62949.570000000007</v>
      </c>
      <c r="M31" s="116"/>
    </row>
    <row r="32" spans="1:13" ht="21.75" customHeight="1" x14ac:dyDescent="0.35">
      <c r="C32" s="58" t="s">
        <v>27</v>
      </c>
      <c r="D32" s="146">
        <f>SUM(D29:D31)</f>
        <v>271000</v>
      </c>
      <c r="E32" s="154">
        <f t="shared" ref="E32:L32" si="5">SUM(E29:E31)</f>
        <v>292000</v>
      </c>
      <c r="F32" s="167">
        <f t="shared" si="5"/>
        <v>0</v>
      </c>
      <c r="G32" s="178">
        <f t="shared" si="5"/>
        <v>0</v>
      </c>
      <c r="H32" s="188">
        <f t="shared" si="5"/>
        <v>0</v>
      </c>
      <c r="I32" s="188">
        <f t="shared" si="5"/>
        <v>0</v>
      </c>
      <c r="J32" s="11">
        <f t="shared" si="5"/>
        <v>563000</v>
      </c>
      <c r="K32" s="11">
        <f>J29*K29+J30*K30+J31*K31</f>
        <v>258600</v>
      </c>
      <c r="L32" s="297">
        <f t="shared" si="5"/>
        <v>200926.64</v>
      </c>
      <c r="M32" s="118"/>
    </row>
    <row r="33" spans="1:13" ht="22.5" customHeight="1" x14ac:dyDescent="0.35">
      <c r="B33" s="58" t="s">
        <v>36</v>
      </c>
      <c r="C33" s="327" t="s">
        <v>528</v>
      </c>
      <c r="D33" s="327"/>
      <c r="E33" s="327"/>
      <c r="F33" s="327"/>
      <c r="G33" s="327"/>
      <c r="H33" s="327"/>
      <c r="I33" s="327"/>
      <c r="J33" s="327"/>
      <c r="K33" s="327"/>
      <c r="L33" s="328"/>
      <c r="M33" s="327"/>
    </row>
    <row r="34" spans="1:13" ht="22.5" customHeight="1" x14ac:dyDescent="0.35">
      <c r="B34" s="57" t="s">
        <v>37</v>
      </c>
      <c r="C34" s="327" t="s">
        <v>529</v>
      </c>
      <c r="D34" s="327"/>
      <c r="E34" s="327"/>
      <c r="F34" s="327"/>
      <c r="G34" s="327"/>
      <c r="H34" s="327"/>
      <c r="I34" s="327"/>
      <c r="J34" s="327"/>
      <c r="K34" s="327"/>
      <c r="L34" s="328"/>
      <c r="M34" s="327"/>
    </row>
    <row r="35" spans="1:13" ht="212.25" customHeight="1" x14ac:dyDescent="0.35">
      <c r="B35" s="57" t="s">
        <v>38</v>
      </c>
      <c r="C35" s="113" t="s">
        <v>530</v>
      </c>
      <c r="D35" s="144">
        <v>0</v>
      </c>
      <c r="E35" s="153">
        <v>0</v>
      </c>
      <c r="F35" s="165">
        <v>0</v>
      </c>
      <c r="G35" s="176">
        <v>0</v>
      </c>
      <c r="H35" s="186">
        <f>50000*56%</f>
        <v>28000.000000000004</v>
      </c>
      <c r="I35" s="186">
        <f>50000*44%</f>
        <v>22000</v>
      </c>
      <c r="J35" s="112">
        <f>SUM(D35:I35)</f>
        <v>50000</v>
      </c>
      <c r="K35" s="115">
        <v>0.3</v>
      </c>
      <c r="L35" s="114"/>
      <c r="M35" s="116"/>
    </row>
    <row r="36" spans="1:13" ht="312.75" customHeight="1" x14ac:dyDescent="0.35">
      <c r="B36" s="57" t="s">
        <v>39</v>
      </c>
      <c r="C36" s="142" t="s">
        <v>531</v>
      </c>
      <c r="D36" s="144">
        <v>0</v>
      </c>
      <c r="E36" s="153">
        <v>0</v>
      </c>
      <c r="F36" s="165">
        <v>0</v>
      </c>
      <c r="G36" s="176">
        <v>0</v>
      </c>
      <c r="H36" s="186">
        <f>60000*56%</f>
        <v>33600</v>
      </c>
      <c r="I36" s="186">
        <f>60000*44%</f>
        <v>26400</v>
      </c>
      <c r="J36" s="112">
        <f>SUM(D36:I36)</f>
        <v>60000</v>
      </c>
      <c r="K36" s="115">
        <v>0.15</v>
      </c>
      <c r="L36" s="114"/>
      <c r="M36" s="116"/>
    </row>
    <row r="37" spans="1:13" s="23" customFormat="1" ht="15.5" x14ac:dyDescent="0.35">
      <c r="A37" s="22"/>
      <c r="B37" s="22"/>
      <c r="C37" s="58" t="s">
        <v>27</v>
      </c>
      <c r="D37" s="145">
        <f>SUM(D35:D36)</f>
        <v>0</v>
      </c>
      <c r="E37" s="155">
        <f t="shared" ref="E37:G37" si="6">SUM(E35:E36)</f>
        <v>0</v>
      </c>
      <c r="F37" s="166">
        <f t="shared" si="6"/>
        <v>0</v>
      </c>
      <c r="G37" s="177">
        <f t="shared" si="6"/>
        <v>0</v>
      </c>
      <c r="H37" s="187">
        <f>SUM(H35:H36)</f>
        <v>61600</v>
      </c>
      <c r="I37" s="187">
        <f>SUM(I35:I36)</f>
        <v>48400</v>
      </c>
      <c r="J37" s="8">
        <f>SUM(J35:J36)</f>
        <v>110000</v>
      </c>
      <c r="K37" s="8">
        <f>J35*K35+J36*K36</f>
        <v>24000</v>
      </c>
      <c r="L37" s="205"/>
      <c r="M37" s="118"/>
    </row>
    <row r="38" spans="1:13" ht="18.75" customHeight="1" x14ac:dyDescent="0.35">
      <c r="B38" s="57" t="s">
        <v>40</v>
      </c>
      <c r="C38" s="327" t="s">
        <v>532</v>
      </c>
      <c r="D38" s="327"/>
      <c r="E38" s="327"/>
      <c r="F38" s="327"/>
      <c r="G38" s="327"/>
      <c r="H38" s="327"/>
      <c r="I38" s="327"/>
      <c r="J38" s="327"/>
      <c r="K38" s="327"/>
      <c r="L38" s="328"/>
      <c r="M38" s="327"/>
    </row>
    <row r="39" spans="1:13" ht="249.75" customHeight="1" x14ac:dyDescent="0.35">
      <c r="B39" s="57" t="s">
        <v>41</v>
      </c>
      <c r="C39" s="113" t="s">
        <v>533</v>
      </c>
      <c r="D39" s="144">
        <v>0</v>
      </c>
      <c r="E39" s="153">
        <v>0</v>
      </c>
      <c r="F39" s="165">
        <v>0</v>
      </c>
      <c r="G39" s="176">
        <v>0</v>
      </c>
      <c r="H39" s="186">
        <f>55000*56%</f>
        <v>30800.000000000004</v>
      </c>
      <c r="I39" s="186">
        <f>55000*44%</f>
        <v>24200</v>
      </c>
      <c r="J39" s="112">
        <f>SUM(D39:I39)</f>
        <v>55000</v>
      </c>
      <c r="K39" s="115">
        <v>0.5</v>
      </c>
      <c r="L39" s="114"/>
      <c r="M39" s="116"/>
    </row>
    <row r="40" spans="1:13" ht="165" customHeight="1" x14ac:dyDescent="0.35">
      <c r="B40" s="57" t="s">
        <v>42</v>
      </c>
      <c r="C40" s="113" t="s">
        <v>534</v>
      </c>
      <c r="D40" s="144">
        <v>0</v>
      </c>
      <c r="E40" s="153">
        <v>0</v>
      </c>
      <c r="F40" s="165">
        <v>0</v>
      </c>
      <c r="G40" s="176">
        <v>0</v>
      </c>
      <c r="H40" s="186">
        <f>50000*56%</f>
        <v>28000.000000000004</v>
      </c>
      <c r="I40" s="186">
        <f>50000*44%</f>
        <v>22000</v>
      </c>
      <c r="J40" s="112">
        <f>SUM(D40:I40)</f>
        <v>50000</v>
      </c>
      <c r="K40" s="115">
        <v>0.3</v>
      </c>
      <c r="L40" s="114"/>
      <c r="M40" s="116"/>
    </row>
    <row r="41" spans="1:13" ht="24" customHeight="1" x14ac:dyDescent="0.35">
      <c r="B41" s="200"/>
      <c r="C41" s="58" t="s">
        <v>27</v>
      </c>
      <c r="D41" s="145">
        <f>SUM(D39:D40)</f>
        <v>0</v>
      </c>
      <c r="E41" s="153">
        <f t="shared" ref="E41:J41" si="7">SUM(E39:E40)</f>
        <v>0</v>
      </c>
      <c r="F41" s="165">
        <f t="shared" si="7"/>
        <v>0</v>
      </c>
      <c r="G41" s="176">
        <f t="shared" si="7"/>
        <v>0</v>
      </c>
      <c r="H41" s="186">
        <f t="shared" si="7"/>
        <v>58800.000000000007</v>
      </c>
      <c r="I41" s="186">
        <f t="shared" si="7"/>
        <v>46200</v>
      </c>
      <c r="J41" s="112">
        <f t="shared" si="7"/>
        <v>105000</v>
      </c>
      <c r="K41" s="114">
        <f>J39*K39+J40*K40</f>
        <v>42500</v>
      </c>
      <c r="L41" s="114"/>
      <c r="M41" s="116"/>
    </row>
    <row r="42" spans="1:13" ht="15.25" customHeight="1" x14ac:dyDescent="0.35">
      <c r="B42" s="57" t="s">
        <v>43</v>
      </c>
      <c r="C42" s="327" t="s">
        <v>535</v>
      </c>
      <c r="D42" s="327"/>
      <c r="E42" s="327"/>
      <c r="F42" s="327"/>
      <c r="G42" s="327"/>
      <c r="H42" s="327"/>
      <c r="I42" s="327"/>
      <c r="J42" s="327"/>
      <c r="K42" s="327"/>
      <c r="L42" s="328"/>
      <c r="M42" s="327"/>
    </row>
    <row r="43" spans="1:13" ht="214" customHeight="1" x14ac:dyDescent="0.35">
      <c r="B43" s="57" t="s">
        <v>538</v>
      </c>
      <c r="C43" s="113" t="s">
        <v>536</v>
      </c>
      <c r="D43" s="144">
        <v>0</v>
      </c>
      <c r="E43" s="153">
        <v>0</v>
      </c>
      <c r="F43" s="165">
        <v>0</v>
      </c>
      <c r="G43" s="176">
        <v>0</v>
      </c>
      <c r="H43" s="186">
        <f>60000*56%</f>
        <v>33600</v>
      </c>
      <c r="I43" s="186">
        <f>60000*44%</f>
        <v>26400</v>
      </c>
      <c r="J43" s="112">
        <f>SUM(D43:I43)</f>
        <v>60000</v>
      </c>
      <c r="K43" s="115">
        <v>0.3</v>
      </c>
      <c r="L43" s="114"/>
      <c r="M43" s="116"/>
    </row>
    <row r="44" spans="1:13" ht="180.75" customHeight="1" x14ac:dyDescent="0.35">
      <c r="B44" s="57" t="s">
        <v>539</v>
      </c>
      <c r="C44" s="113" t="s">
        <v>537</v>
      </c>
      <c r="D44" s="144">
        <v>0</v>
      </c>
      <c r="E44" s="153">
        <v>0</v>
      </c>
      <c r="F44" s="165">
        <v>0</v>
      </c>
      <c r="G44" s="176">
        <v>0</v>
      </c>
      <c r="H44" s="186">
        <f>70000*56%</f>
        <v>39200.000000000007</v>
      </c>
      <c r="I44" s="186">
        <f>70000*44%</f>
        <v>30800</v>
      </c>
      <c r="J44" s="112">
        <f t="shared" ref="J44:J45" si="8">SUM(D44:I44)</f>
        <v>70000</v>
      </c>
      <c r="K44" s="115">
        <v>0.15</v>
      </c>
      <c r="L44" s="114"/>
      <c r="M44" s="116"/>
    </row>
    <row r="45" spans="1:13" ht="409.6" customHeight="1" x14ac:dyDescent="0.35">
      <c r="B45" s="57" t="s">
        <v>541</v>
      </c>
      <c r="C45" s="113" t="s">
        <v>540</v>
      </c>
      <c r="D45" s="144">
        <v>0</v>
      </c>
      <c r="E45" s="153">
        <v>0</v>
      </c>
      <c r="F45" s="165">
        <v>0</v>
      </c>
      <c r="G45" s="176">
        <v>0</v>
      </c>
      <c r="H45" s="186">
        <f>50000*56%</f>
        <v>28000.000000000004</v>
      </c>
      <c r="I45" s="186">
        <f>50000*44%</f>
        <v>22000</v>
      </c>
      <c r="J45" s="112">
        <f t="shared" si="8"/>
        <v>50000</v>
      </c>
      <c r="K45" s="115">
        <v>0.3</v>
      </c>
      <c r="L45" s="114"/>
      <c r="M45" s="116"/>
    </row>
    <row r="46" spans="1:13" ht="15.5" x14ac:dyDescent="0.35">
      <c r="C46" s="58" t="s">
        <v>27</v>
      </c>
      <c r="D46" s="146">
        <f>SUM(D43:D45)</f>
        <v>0</v>
      </c>
      <c r="E46" s="153">
        <f t="shared" ref="E46:J46" si="9">SUM(E43:E45)</f>
        <v>0</v>
      </c>
      <c r="F46" s="165">
        <f t="shared" si="9"/>
        <v>0</v>
      </c>
      <c r="G46" s="176">
        <f t="shared" si="9"/>
        <v>0</v>
      </c>
      <c r="H46" s="186">
        <f t="shared" si="9"/>
        <v>100800</v>
      </c>
      <c r="I46" s="186">
        <f t="shared" si="9"/>
        <v>79200</v>
      </c>
      <c r="J46" s="112">
        <f t="shared" si="9"/>
        <v>180000</v>
      </c>
      <c r="K46" s="114">
        <f>J43*K43+J44*K44+J45*K45</f>
        <v>43500</v>
      </c>
      <c r="L46" s="297">
        <f t="shared" ref="L46" si="10">SUM(L39:L45)</f>
        <v>0</v>
      </c>
      <c r="M46" s="118"/>
    </row>
    <row r="47" spans="1:13" ht="21" customHeight="1" x14ac:dyDescent="0.35">
      <c r="B47" s="58" t="s">
        <v>44</v>
      </c>
      <c r="C47" s="327" t="s">
        <v>45</v>
      </c>
      <c r="D47" s="327"/>
      <c r="E47" s="327"/>
      <c r="F47" s="327"/>
      <c r="G47" s="327"/>
      <c r="H47" s="327"/>
      <c r="I47" s="327"/>
      <c r="J47" s="327"/>
      <c r="K47" s="327"/>
      <c r="L47" s="328"/>
      <c r="M47" s="327"/>
    </row>
    <row r="48" spans="1:13" ht="20" customHeight="1" x14ac:dyDescent="0.35">
      <c r="B48" s="57" t="s">
        <v>46</v>
      </c>
      <c r="C48" s="327" t="s">
        <v>542</v>
      </c>
      <c r="D48" s="327"/>
      <c r="E48" s="327"/>
      <c r="F48" s="327"/>
      <c r="G48" s="327"/>
      <c r="H48" s="327"/>
      <c r="I48" s="327"/>
      <c r="J48" s="327"/>
      <c r="K48" s="327"/>
      <c r="L48" s="328"/>
      <c r="M48" s="327"/>
    </row>
    <row r="49" spans="1:14" ht="200.25" customHeight="1" x14ac:dyDescent="0.35">
      <c r="B49" s="57" t="s">
        <v>47</v>
      </c>
      <c r="C49" s="113" t="s">
        <v>543</v>
      </c>
      <c r="D49" s="144">
        <v>0</v>
      </c>
      <c r="E49" s="153">
        <v>0</v>
      </c>
      <c r="F49" s="165">
        <v>70000</v>
      </c>
      <c r="G49" s="176">
        <v>70000</v>
      </c>
      <c r="H49" s="186">
        <v>0</v>
      </c>
      <c r="I49" s="186">
        <v>0</v>
      </c>
      <c r="J49" s="112">
        <f>SUM(D49:I49)</f>
        <v>140000</v>
      </c>
      <c r="K49" s="115">
        <v>0.6</v>
      </c>
      <c r="L49" s="114">
        <v>0</v>
      </c>
      <c r="M49" s="116"/>
    </row>
    <row r="50" spans="1:14" ht="312" customHeight="1" x14ac:dyDescent="0.35">
      <c r="B50" s="57" t="s">
        <v>48</v>
      </c>
      <c r="C50" s="113" t="s">
        <v>544</v>
      </c>
      <c r="D50" s="144"/>
      <c r="E50" s="153"/>
      <c r="F50" s="165">
        <v>40000</v>
      </c>
      <c r="G50" s="176">
        <v>40000</v>
      </c>
      <c r="H50" s="186">
        <v>0</v>
      </c>
      <c r="I50" s="186">
        <v>0</v>
      </c>
      <c r="J50" s="112">
        <f>SUM(D50:I50)</f>
        <v>80000</v>
      </c>
      <c r="K50" s="115">
        <v>0.4</v>
      </c>
      <c r="L50" s="294">
        <f>18000+21000</f>
        <v>39000</v>
      </c>
      <c r="M50" s="116"/>
    </row>
    <row r="51" spans="1:14" ht="15.5" x14ac:dyDescent="0.35">
      <c r="C51" s="58" t="s">
        <v>27</v>
      </c>
      <c r="D51" s="145">
        <f>SUM(D49:D50)</f>
        <v>0</v>
      </c>
      <c r="E51" s="155">
        <f t="shared" ref="E51:I51" si="11">SUM(E49:E50)</f>
        <v>0</v>
      </c>
      <c r="F51" s="166">
        <f t="shared" si="11"/>
        <v>110000</v>
      </c>
      <c r="G51" s="177">
        <f t="shared" si="11"/>
        <v>110000</v>
      </c>
      <c r="H51" s="187">
        <f t="shared" si="11"/>
        <v>0</v>
      </c>
      <c r="I51" s="187">
        <f t="shared" si="11"/>
        <v>0</v>
      </c>
      <c r="J51" s="8">
        <f>SUM(J49:J50)</f>
        <v>220000</v>
      </c>
      <c r="K51" s="8">
        <f>J49*K49+J50*K50</f>
        <v>116000</v>
      </c>
      <c r="L51" s="295">
        <f>SUM(L49:L50)</f>
        <v>39000</v>
      </c>
      <c r="M51" s="118"/>
    </row>
    <row r="52" spans="1:14" ht="23" customHeight="1" x14ac:dyDescent="0.35">
      <c r="B52" s="57" t="s">
        <v>49</v>
      </c>
      <c r="C52" s="327" t="s">
        <v>545</v>
      </c>
      <c r="D52" s="336"/>
      <c r="E52" s="336"/>
      <c r="F52" s="336"/>
      <c r="G52" s="336"/>
      <c r="H52" s="336"/>
      <c r="I52" s="336"/>
      <c r="J52" s="336"/>
      <c r="K52" s="336"/>
      <c r="L52" s="337"/>
      <c r="M52" s="336"/>
    </row>
    <row r="53" spans="1:14" ht="409.6" customHeight="1" x14ac:dyDescent="0.35">
      <c r="B53" s="57" t="s">
        <v>50</v>
      </c>
      <c r="C53" s="113" t="s">
        <v>546</v>
      </c>
      <c r="D53" s="144">
        <v>0</v>
      </c>
      <c r="E53" s="153">
        <v>0</v>
      </c>
      <c r="F53" s="165">
        <f>8000*11</f>
        <v>88000</v>
      </c>
      <c r="G53" s="176">
        <f>12*8000</f>
        <v>96000</v>
      </c>
      <c r="H53" s="186">
        <v>0</v>
      </c>
      <c r="I53" s="186">
        <v>0</v>
      </c>
      <c r="J53" s="112">
        <f>SUM(D53:I53)</f>
        <v>184000</v>
      </c>
      <c r="K53" s="115">
        <v>0.5</v>
      </c>
      <c r="L53" s="294">
        <f>30000+20000</f>
        <v>50000</v>
      </c>
      <c r="M53" s="116"/>
    </row>
    <row r="54" spans="1:14" ht="179" customHeight="1" x14ac:dyDescent="0.35">
      <c r="B54" s="57" t="s">
        <v>51</v>
      </c>
      <c r="C54" s="201" t="s">
        <v>555</v>
      </c>
      <c r="D54" s="144">
        <v>0</v>
      </c>
      <c r="E54" s="153">
        <v>0</v>
      </c>
      <c r="F54" s="165">
        <v>260000</v>
      </c>
      <c r="G54" s="176">
        <v>260000</v>
      </c>
      <c r="H54" s="186">
        <v>0</v>
      </c>
      <c r="I54" s="186">
        <v>0</v>
      </c>
      <c r="J54" s="112">
        <f t="shared" ref="J54:J56" si="12">SUM(D54:I54)</f>
        <v>520000</v>
      </c>
      <c r="K54" s="115">
        <v>0.75</v>
      </c>
      <c r="L54" s="294">
        <f>52994.9</f>
        <v>52994.9</v>
      </c>
      <c r="M54" s="116"/>
    </row>
    <row r="55" spans="1:14" ht="136.5" customHeight="1" x14ac:dyDescent="0.35">
      <c r="B55" s="57" t="s">
        <v>53</v>
      </c>
      <c r="C55" s="202" t="s">
        <v>556</v>
      </c>
      <c r="D55" s="144">
        <v>0</v>
      </c>
      <c r="E55" s="153">
        <v>0</v>
      </c>
      <c r="F55" s="165">
        <v>20000</v>
      </c>
      <c r="G55" s="176">
        <v>20000</v>
      </c>
      <c r="H55" s="186">
        <v>0</v>
      </c>
      <c r="I55" s="186">
        <v>0</v>
      </c>
      <c r="J55" s="112">
        <f t="shared" si="12"/>
        <v>40000</v>
      </c>
      <c r="K55" s="115">
        <v>0.4</v>
      </c>
      <c r="L55" s="117">
        <v>0</v>
      </c>
      <c r="M55" s="117"/>
    </row>
    <row r="56" spans="1:14" ht="109.5" customHeight="1" x14ac:dyDescent="0.35">
      <c r="B56" s="57" t="s">
        <v>512</v>
      </c>
      <c r="C56" s="113" t="s">
        <v>52</v>
      </c>
      <c r="D56" s="144">
        <v>0</v>
      </c>
      <c r="E56" s="153">
        <v>0</v>
      </c>
      <c r="F56" s="165">
        <v>40000</v>
      </c>
      <c r="G56" s="176">
        <v>40000</v>
      </c>
      <c r="H56" s="186">
        <v>0</v>
      </c>
      <c r="I56" s="186">
        <v>0</v>
      </c>
      <c r="J56" s="112">
        <f t="shared" si="12"/>
        <v>80000</v>
      </c>
      <c r="K56" s="115">
        <v>0.75</v>
      </c>
      <c r="L56" s="294">
        <v>16474.46</v>
      </c>
      <c r="M56" s="116"/>
    </row>
    <row r="57" spans="1:14" ht="15.5" x14ac:dyDescent="0.35">
      <c r="A57" s="207"/>
      <c r="C57" s="58" t="s">
        <v>27</v>
      </c>
      <c r="D57" s="145">
        <f>SUM(D53:D56)</f>
        <v>0</v>
      </c>
      <c r="E57" s="155">
        <f t="shared" ref="E57:I57" si="13">SUM(E53:E56)</f>
        <v>0</v>
      </c>
      <c r="F57" s="166">
        <f t="shared" si="13"/>
        <v>408000</v>
      </c>
      <c r="G57" s="177">
        <f t="shared" si="13"/>
        <v>416000</v>
      </c>
      <c r="H57" s="187">
        <f t="shared" si="13"/>
        <v>0</v>
      </c>
      <c r="I57" s="187">
        <f t="shared" si="13"/>
        <v>0</v>
      </c>
      <c r="J57" s="8">
        <f>SUM(J53:J56)</f>
        <v>824000</v>
      </c>
      <c r="K57" s="8">
        <f>J53*K53+J54*K54+J56*K56</f>
        <v>542000</v>
      </c>
      <c r="L57" s="295">
        <f>SUM(L53:L56)</f>
        <v>119469.35999999999</v>
      </c>
      <c r="M57" s="118"/>
    </row>
    <row r="58" spans="1:14" ht="15.75" customHeight="1" x14ac:dyDescent="0.35">
      <c r="B58" s="206"/>
      <c r="C58" s="119"/>
      <c r="D58" s="120"/>
      <c r="E58" s="120"/>
      <c r="F58" s="120"/>
      <c r="G58" s="120"/>
      <c r="H58" s="120"/>
      <c r="I58" s="120"/>
      <c r="J58" s="120"/>
      <c r="K58" s="120"/>
      <c r="L58" s="120"/>
      <c r="M58" s="119"/>
    </row>
    <row r="59" spans="1:14" ht="87.75" customHeight="1" x14ac:dyDescent="0.35">
      <c r="B59" s="299" t="s">
        <v>54</v>
      </c>
      <c r="C59" s="121" t="s">
        <v>55</v>
      </c>
      <c r="D59" s="147">
        <v>206000</v>
      </c>
      <c r="E59" s="156">
        <v>0</v>
      </c>
      <c r="F59" s="168">
        <v>0</v>
      </c>
      <c r="G59" s="179">
        <v>0</v>
      </c>
      <c r="H59" s="189">
        <v>0</v>
      </c>
      <c r="I59" s="189">
        <v>0</v>
      </c>
      <c r="J59" s="123">
        <f>SUM(D59:I59)</f>
        <v>206000</v>
      </c>
      <c r="K59" s="115">
        <v>0.2</v>
      </c>
      <c r="L59" s="296">
        <f>55768+14242.3+2648.51+6487.89-1.58</f>
        <v>79145.119999999995</v>
      </c>
      <c r="M59" s="124"/>
      <c r="N59" s="380"/>
    </row>
    <row r="60" spans="1:14" ht="71.25" customHeight="1" x14ac:dyDescent="0.35">
      <c r="B60" s="300"/>
      <c r="C60" s="121" t="s">
        <v>56</v>
      </c>
      <c r="D60" s="147">
        <v>0</v>
      </c>
      <c r="E60" s="156">
        <v>135000</v>
      </c>
      <c r="F60" s="168"/>
      <c r="G60" s="179"/>
      <c r="H60" s="189"/>
      <c r="I60" s="189">
        <v>0</v>
      </c>
      <c r="J60" s="123">
        <f>SUM(D60:I60)</f>
        <v>135000</v>
      </c>
      <c r="K60" s="115">
        <v>0.15</v>
      </c>
      <c r="L60" s="296">
        <v>28247.08</v>
      </c>
      <c r="M60" s="124"/>
      <c r="N60" s="379"/>
    </row>
    <row r="61" spans="1:14" ht="39.75" customHeight="1" x14ac:dyDescent="0.35">
      <c r="B61" s="300"/>
      <c r="C61" s="121" t="s">
        <v>57</v>
      </c>
      <c r="D61" s="147">
        <v>0</v>
      </c>
      <c r="E61" s="156">
        <v>0</v>
      </c>
      <c r="F61" s="168">
        <v>70000</v>
      </c>
      <c r="G61" s="179">
        <v>0</v>
      </c>
      <c r="H61" s="189">
        <v>0</v>
      </c>
      <c r="I61" s="189">
        <v>0</v>
      </c>
      <c r="J61" s="123">
        <f t="shared" ref="J61:J65" si="14">SUM(D61:I61)</f>
        <v>70000</v>
      </c>
      <c r="K61" s="115">
        <v>0.15</v>
      </c>
      <c r="L61" s="296">
        <v>24300</v>
      </c>
      <c r="M61" s="124"/>
    </row>
    <row r="62" spans="1:14" ht="44.25" customHeight="1" x14ac:dyDescent="0.35">
      <c r="B62" s="300"/>
      <c r="C62" s="121" t="s">
        <v>58</v>
      </c>
      <c r="D62" s="147">
        <v>0</v>
      </c>
      <c r="E62" s="156">
        <v>0</v>
      </c>
      <c r="F62" s="168">
        <v>0</v>
      </c>
      <c r="G62" s="179">
        <v>70000</v>
      </c>
      <c r="H62" s="189">
        <v>0</v>
      </c>
      <c r="I62" s="189">
        <v>0</v>
      </c>
      <c r="J62" s="123">
        <f>SUM(D62:I62)</f>
        <v>70000</v>
      </c>
      <c r="K62" s="115">
        <v>0.15</v>
      </c>
      <c r="L62" s="296">
        <v>35457</v>
      </c>
      <c r="M62" s="124"/>
    </row>
    <row r="63" spans="1:14" ht="55.5" customHeight="1" x14ac:dyDescent="0.35">
      <c r="B63" s="301"/>
      <c r="C63" s="196" t="s">
        <v>59</v>
      </c>
      <c r="D63" s="147">
        <v>0</v>
      </c>
      <c r="E63" s="156">
        <v>0</v>
      </c>
      <c r="F63" s="168">
        <v>0</v>
      </c>
      <c r="G63" s="179">
        <v>0</v>
      </c>
      <c r="H63" s="189">
        <f>65000*56%</f>
        <v>36400</v>
      </c>
      <c r="I63" s="189">
        <f>65000*44%</f>
        <v>28600</v>
      </c>
      <c r="J63" s="123">
        <f>SUM(D63:I63)</f>
        <v>65000</v>
      </c>
      <c r="K63" s="115">
        <v>0.15</v>
      </c>
      <c r="L63" s="296">
        <v>31309.15</v>
      </c>
      <c r="M63" s="124"/>
    </row>
    <row r="64" spans="1:14" ht="15.5" x14ac:dyDescent="0.35">
      <c r="B64" s="302" t="s">
        <v>60</v>
      </c>
      <c r="C64" s="197" t="s">
        <v>61</v>
      </c>
      <c r="D64" s="147">
        <v>20000</v>
      </c>
      <c r="E64" s="156">
        <v>10000</v>
      </c>
      <c r="F64" s="168">
        <v>10000</v>
      </c>
      <c r="G64" s="179">
        <v>10000</v>
      </c>
      <c r="H64" s="189">
        <f>10000*56%</f>
        <v>5600.0000000000009</v>
      </c>
      <c r="I64" s="189">
        <f>10000*44%</f>
        <v>4400</v>
      </c>
      <c r="J64" s="123">
        <f>SUM(D64:I64)</f>
        <v>60000</v>
      </c>
      <c r="K64" s="115">
        <v>0.15</v>
      </c>
      <c r="L64" s="296">
        <f>10000+4000</f>
        <v>14000</v>
      </c>
      <c r="M64" s="124" t="s">
        <v>557</v>
      </c>
      <c r="N64" s="379"/>
    </row>
    <row r="65" spans="2:15" ht="31" x14ac:dyDescent="0.35">
      <c r="B65" s="303"/>
      <c r="C65" s="197" t="s">
        <v>62</v>
      </c>
      <c r="D65" s="147">
        <v>12000</v>
      </c>
      <c r="E65" s="156">
        <v>11000</v>
      </c>
      <c r="F65" s="168">
        <v>10000</v>
      </c>
      <c r="G65" s="179">
        <v>10000</v>
      </c>
      <c r="H65" s="189">
        <f>6000</f>
        <v>6000</v>
      </c>
      <c r="I65" s="189">
        <v>0</v>
      </c>
      <c r="J65" s="123">
        <f t="shared" si="14"/>
        <v>49000</v>
      </c>
      <c r="K65" s="115">
        <v>0.15</v>
      </c>
      <c r="L65" s="296">
        <f>3000+2000</f>
        <v>5000</v>
      </c>
      <c r="M65" s="124" t="s">
        <v>557</v>
      </c>
      <c r="N65" s="379"/>
    </row>
    <row r="66" spans="2:15" ht="15.5" x14ac:dyDescent="0.35">
      <c r="B66" s="303"/>
      <c r="C66" s="197" t="s">
        <v>63</v>
      </c>
      <c r="D66" s="147">
        <v>10000</v>
      </c>
      <c r="E66" s="156">
        <v>6000</v>
      </c>
      <c r="F66" s="168">
        <v>8000</v>
      </c>
      <c r="G66" s="179">
        <v>8000</v>
      </c>
      <c r="H66" s="189">
        <f>5000*56%</f>
        <v>2800.0000000000005</v>
      </c>
      <c r="I66" s="189">
        <f>5000*44%</f>
        <v>2200</v>
      </c>
      <c r="J66" s="123">
        <f t="shared" ref="J66:J71" si="15">SUM(D66:I66)</f>
        <v>37000</v>
      </c>
      <c r="K66" s="115">
        <v>0.15</v>
      </c>
      <c r="L66" s="296">
        <f>5000+6429.13+5000+2000</f>
        <v>18429.13</v>
      </c>
      <c r="M66" s="124"/>
      <c r="N66" s="379"/>
    </row>
    <row r="67" spans="2:15" ht="31" x14ac:dyDescent="0.35">
      <c r="B67" s="303"/>
      <c r="C67" s="197" t="s">
        <v>64</v>
      </c>
      <c r="D67" s="147">
        <v>12000</v>
      </c>
      <c r="E67" s="156">
        <v>8000</v>
      </c>
      <c r="F67" s="168">
        <v>9000</v>
      </c>
      <c r="G67" s="179">
        <v>9000</v>
      </c>
      <c r="H67" s="189">
        <f>5000*56%</f>
        <v>2800.0000000000005</v>
      </c>
      <c r="I67" s="189">
        <f>5000*44%</f>
        <v>2200</v>
      </c>
      <c r="J67" s="123">
        <f t="shared" si="15"/>
        <v>43000</v>
      </c>
      <c r="K67" s="115">
        <v>0.15</v>
      </c>
      <c r="L67" s="296">
        <f>5000+5000</f>
        <v>10000</v>
      </c>
      <c r="M67" s="124" t="s">
        <v>558</v>
      </c>
      <c r="N67" s="379"/>
    </row>
    <row r="68" spans="2:15" ht="15.5" x14ac:dyDescent="0.35">
      <c r="B68" s="304"/>
      <c r="C68" s="197" t="s">
        <v>65</v>
      </c>
      <c r="D68" s="147">
        <v>5000</v>
      </c>
      <c r="E68" s="156">
        <v>5000</v>
      </c>
      <c r="F68" s="168">
        <v>5000</v>
      </c>
      <c r="G68" s="179">
        <v>5000</v>
      </c>
      <c r="H68" s="189">
        <v>2300</v>
      </c>
      <c r="I68" s="189">
        <v>2700.0000000000005</v>
      </c>
      <c r="J68" s="123">
        <f t="shared" si="15"/>
        <v>25000</v>
      </c>
      <c r="K68" s="115">
        <v>0.15</v>
      </c>
      <c r="L68" s="296">
        <f>3000+3000+2000</f>
        <v>8000</v>
      </c>
      <c r="M68" s="124"/>
      <c r="N68" s="379"/>
      <c r="O68" s="204"/>
    </row>
    <row r="69" spans="2:15" ht="33.75" customHeight="1" x14ac:dyDescent="0.35">
      <c r="B69" s="305"/>
      <c r="C69" s="197" t="s">
        <v>66</v>
      </c>
      <c r="D69" s="147">
        <v>60000</v>
      </c>
      <c r="E69" s="156">
        <v>0</v>
      </c>
      <c r="F69" s="168">
        <v>0</v>
      </c>
      <c r="G69" s="179">
        <v>0</v>
      </c>
      <c r="H69" s="189">
        <v>0</v>
      </c>
      <c r="I69" s="189"/>
      <c r="J69" s="123">
        <f t="shared" si="15"/>
        <v>60000</v>
      </c>
      <c r="K69" s="115">
        <v>0.15</v>
      </c>
      <c r="L69" s="122"/>
      <c r="M69" s="124"/>
    </row>
    <row r="70" spans="2:15" ht="21.75" customHeight="1" thickBot="1" x14ac:dyDescent="0.4">
      <c r="B70" s="306"/>
      <c r="C70" s="197" t="s">
        <v>67</v>
      </c>
      <c r="D70" s="147">
        <v>55000</v>
      </c>
      <c r="E70" s="156">
        <v>30000</v>
      </c>
      <c r="F70" s="168">
        <v>25000</v>
      </c>
      <c r="G70" s="179">
        <v>25000</v>
      </c>
      <c r="H70" s="189">
        <f>15000*56%</f>
        <v>8400</v>
      </c>
      <c r="I70" s="189">
        <f>15000*44%</f>
        <v>6600</v>
      </c>
      <c r="J70" s="123">
        <f t="shared" si="15"/>
        <v>150000</v>
      </c>
      <c r="K70" s="115">
        <v>0.15</v>
      </c>
      <c r="L70" s="296">
        <f>3167.56+5000+1384+14295.75+3150.63+309.42+5000</f>
        <v>32307.359999999997</v>
      </c>
      <c r="M70" s="124"/>
      <c r="N70" s="379"/>
    </row>
    <row r="71" spans="2:15" ht="75" customHeight="1" thickBot="1" x14ac:dyDescent="0.4">
      <c r="B71" s="67" t="s">
        <v>68</v>
      </c>
      <c r="C71" s="198" t="s">
        <v>69</v>
      </c>
      <c r="D71" s="147">
        <v>70000</v>
      </c>
      <c r="E71" s="156">
        <v>0</v>
      </c>
      <c r="F71" s="168">
        <v>0</v>
      </c>
      <c r="G71" s="179">
        <v>0</v>
      </c>
      <c r="H71" s="189">
        <v>0</v>
      </c>
      <c r="I71" s="189"/>
      <c r="J71" s="123">
        <f t="shared" si="15"/>
        <v>70000</v>
      </c>
      <c r="K71" s="115">
        <v>0.15</v>
      </c>
      <c r="L71" s="122"/>
      <c r="M71" s="124"/>
      <c r="N71" s="204"/>
      <c r="O71" s="204"/>
    </row>
    <row r="72" spans="2:15" ht="25.5" customHeight="1" x14ac:dyDescent="0.35">
      <c r="B72" s="4"/>
      <c r="C72" s="68" t="s">
        <v>70</v>
      </c>
      <c r="D72" s="148">
        <f>SUM(D59:D71)</f>
        <v>450000</v>
      </c>
      <c r="E72" s="157">
        <f>SUM(E59:E71)</f>
        <v>205000</v>
      </c>
      <c r="F72" s="169">
        <f t="shared" ref="F72:I72" si="16">SUM(F59:F71)</f>
        <v>137000</v>
      </c>
      <c r="G72" s="292">
        <f>SUM(G59:G71)</f>
        <v>137000</v>
      </c>
      <c r="H72" s="190">
        <f>SUM(H59:H71)</f>
        <v>64300</v>
      </c>
      <c r="I72" s="190">
        <f t="shared" si="16"/>
        <v>46700</v>
      </c>
      <c r="J72" s="71">
        <f>SUM(J59:J71)</f>
        <v>1040000</v>
      </c>
      <c r="K72" s="8">
        <f>(K59*J59)+(K68*J68)+(K70*J70)+(K71*J71)</f>
        <v>77950</v>
      </c>
      <c r="L72" s="295">
        <f>SUM(L59:L71)</f>
        <v>286194.84000000003</v>
      </c>
      <c r="M72" s="121"/>
    </row>
    <row r="73" spans="2:15" ht="15.75" customHeight="1" x14ac:dyDescent="0.35">
      <c r="B73" s="4"/>
      <c r="C73" s="119"/>
      <c r="D73" s="120"/>
      <c r="E73" s="120"/>
      <c r="F73" s="120"/>
      <c r="G73" s="120"/>
      <c r="H73" s="120"/>
      <c r="I73" s="120"/>
      <c r="J73" s="120"/>
      <c r="K73" s="120"/>
      <c r="L73" s="120"/>
      <c r="M73" s="119"/>
    </row>
    <row r="74" spans="2:15" ht="15.75" customHeight="1" x14ac:dyDescent="0.35">
      <c r="B74" s="4"/>
      <c r="C74" s="119"/>
      <c r="D74" s="120"/>
      <c r="E74" s="120"/>
      <c r="F74" s="120"/>
      <c r="G74" s="120"/>
      <c r="H74" s="120"/>
      <c r="I74" s="120"/>
      <c r="J74" s="120"/>
      <c r="K74" s="120"/>
      <c r="L74" s="120"/>
      <c r="M74" s="119"/>
    </row>
    <row r="75" spans="2:15" ht="15.75" customHeight="1" x14ac:dyDescent="0.35">
      <c r="B75" s="4"/>
      <c r="C75" s="119"/>
      <c r="D75" s="120"/>
      <c r="E75" s="120"/>
      <c r="F75" s="120"/>
      <c r="G75" s="120"/>
      <c r="H75" s="120"/>
      <c r="I75" s="120"/>
      <c r="J75" s="120"/>
      <c r="K75" s="120"/>
      <c r="L75" s="120"/>
      <c r="M75" s="119"/>
    </row>
    <row r="76" spans="2:15" ht="15.75" customHeight="1" x14ac:dyDescent="0.35">
      <c r="B76" s="4"/>
      <c r="C76" s="119"/>
      <c r="D76" s="120"/>
      <c r="E76" s="120"/>
      <c r="F76" s="120"/>
      <c r="G76" s="120"/>
      <c r="H76" s="120"/>
      <c r="I76" s="120"/>
      <c r="J76" s="120"/>
      <c r="K76" s="120"/>
      <c r="L76" s="120"/>
      <c r="M76" s="119"/>
    </row>
    <row r="77" spans="2:15" ht="15.75" customHeight="1" x14ac:dyDescent="0.35">
      <c r="B77" s="4"/>
      <c r="C77" s="119"/>
      <c r="D77" s="120"/>
      <c r="E77" s="120"/>
      <c r="F77" s="120"/>
      <c r="G77" s="120"/>
      <c r="H77" s="120"/>
      <c r="I77" s="120"/>
      <c r="J77" s="120"/>
      <c r="K77" s="120"/>
      <c r="L77" s="120"/>
      <c r="M77" s="119"/>
    </row>
    <row r="78" spans="2:15" ht="15.75" customHeight="1" thickBot="1" x14ac:dyDescent="0.4">
      <c r="B78" s="4"/>
      <c r="C78" s="119"/>
      <c r="D78" s="120"/>
      <c r="E78" s="120"/>
      <c r="F78" s="120"/>
      <c r="G78" s="120"/>
      <c r="H78" s="120"/>
      <c r="I78" s="120"/>
      <c r="J78" s="120"/>
      <c r="K78" s="120"/>
      <c r="L78" s="120"/>
      <c r="M78" s="199"/>
      <c r="N78" s="204"/>
      <c r="O78" s="204"/>
    </row>
    <row r="79" spans="2:15" ht="15.5" x14ac:dyDescent="0.35">
      <c r="B79" s="4"/>
      <c r="C79" s="323" t="s">
        <v>71</v>
      </c>
      <c r="D79" s="324"/>
      <c r="E79" s="324"/>
      <c r="F79" s="324"/>
      <c r="G79" s="324"/>
      <c r="H79" s="324"/>
      <c r="I79" s="324"/>
      <c r="J79" s="325"/>
      <c r="K79" s="7"/>
      <c r="L79" s="92"/>
      <c r="M79" s="199"/>
    </row>
    <row r="80" spans="2:15" ht="40.5" customHeight="1" x14ac:dyDescent="0.35">
      <c r="B80" s="4"/>
      <c r="C80" s="314"/>
      <c r="D80" s="8" t="s">
        <v>72</v>
      </c>
      <c r="E80" s="8" t="s">
        <v>73</v>
      </c>
      <c r="F80" s="8" t="s">
        <v>74</v>
      </c>
      <c r="G80" s="8" t="s">
        <v>75</v>
      </c>
      <c r="H80" s="8" t="s">
        <v>75</v>
      </c>
      <c r="I80" s="8" t="s">
        <v>552</v>
      </c>
      <c r="J80" s="316" t="s">
        <v>9</v>
      </c>
      <c r="K80" s="119"/>
      <c r="L80" s="120"/>
      <c r="M80" s="7"/>
    </row>
    <row r="81" spans="2:13" ht="24.75" customHeight="1" x14ac:dyDescent="0.35">
      <c r="B81" s="4"/>
      <c r="C81" s="315"/>
      <c r="D81" s="149" t="str">
        <f>D13</f>
        <v>PNUD GUINEE</v>
      </c>
      <c r="E81" s="158" t="str">
        <f>E13</f>
        <v>PNUD MALI</v>
      </c>
      <c r="F81" s="170" t="str">
        <f>F13</f>
        <v>UNFPA GUINEE</v>
      </c>
      <c r="G81" s="180" t="s">
        <v>16</v>
      </c>
      <c r="H81" s="191" t="str">
        <f>H13</f>
        <v>UNODC GUINEE</v>
      </c>
      <c r="I81" s="191" t="str">
        <f>I13</f>
        <v>UNODC MALI</v>
      </c>
      <c r="J81" s="317"/>
      <c r="K81" s="119"/>
      <c r="L81" s="120"/>
      <c r="M81" s="7"/>
    </row>
    <row r="82" spans="2:13" ht="32.25" customHeight="1" x14ac:dyDescent="0.35">
      <c r="B82" s="125"/>
      <c r="C82" s="14" t="s">
        <v>76</v>
      </c>
      <c r="D82" s="150">
        <f>SUM(D22,D27,D32,D37,D41,D46,D51,D57,D72)</f>
        <v>1186000</v>
      </c>
      <c r="E82" s="159">
        <f>SUM(E22,E27,E32,E37,E41,E46,E51,E57,E72)</f>
        <v>939579.44</v>
      </c>
      <c r="F82" s="288">
        <f t="shared" ref="F82:I82" si="17">SUM(F22,F27,F32,F37,F41,F46,F51,F57,F72)</f>
        <v>655000</v>
      </c>
      <c r="G82" s="289">
        <f t="shared" si="17"/>
        <v>663000</v>
      </c>
      <c r="H82" s="290">
        <f>SUM(H22,H27,H32,H37,H41,H46,H51,H57,H72)</f>
        <v>285500</v>
      </c>
      <c r="I82" s="290">
        <f t="shared" si="17"/>
        <v>220500</v>
      </c>
      <c r="J82" s="126">
        <f>SUM(J22,J27,J32,J37,J41+J46,J51,J57,J72)</f>
        <v>3949579.44</v>
      </c>
      <c r="K82" s="203"/>
      <c r="L82" s="120"/>
      <c r="M82" s="125"/>
    </row>
    <row r="83" spans="2:13" ht="21.75" customHeight="1" x14ac:dyDescent="0.35">
      <c r="B83" s="127"/>
      <c r="C83" s="14" t="s">
        <v>77</v>
      </c>
      <c r="D83" s="150">
        <f t="shared" ref="D83:J83" si="18">D82*0.07</f>
        <v>83020.000000000015</v>
      </c>
      <c r="E83" s="159">
        <f t="shared" si="18"/>
        <v>65770.560800000007</v>
      </c>
      <c r="F83" s="171">
        <f t="shared" si="18"/>
        <v>45850.000000000007</v>
      </c>
      <c r="G83" s="181">
        <f t="shared" si="18"/>
        <v>46410.000000000007</v>
      </c>
      <c r="H83" s="192">
        <f t="shared" si="18"/>
        <v>19985.000000000004</v>
      </c>
      <c r="I83" s="192">
        <f t="shared" si="18"/>
        <v>15435.000000000002</v>
      </c>
      <c r="J83" s="126">
        <f t="shared" si="18"/>
        <v>276470.56080000004</v>
      </c>
      <c r="K83" s="127"/>
      <c r="L83" s="128"/>
      <c r="M83" s="129"/>
    </row>
    <row r="84" spans="2:13" ht="29.25" customHeight="1" thickBot="1" x14ac:dyDescent="0.4">
      <c r="B84" s="127"/>
      <c r="C84" s="6" t="s">
        <v>9</v>
      </c>
      <c r="D84" s="151">
        <f>SUM(D82:D83)</f>
        <v>1269020</v>
      </c>
      <c r="E84" s="160">
        <f>SUM(E82:E83)</f>
        <v>1005350.0007999999</v>
      </c>
      <c r="F84" s="172">
        <f>SUM(F82:F83)</f>
        <v>700850</v>
      </c>
      <c r="G84" s="182">
        <f>G82+G83</f>
        <v>709410</v>
      </c>
      <c r="H84" s="193">
        <f>SUM(H82:H83)</f>
        <v>305485</v>
      </c>
      <c r="I84" s="193">
        <f>SUM(I82:I83)</f>
        <v>235935</v>
      </c>
      <c r="J84" s="66">
        <f>SUM(J82:J83)</f>
        <v>4226050.0007999996</v>
      </c>
      <c r="K84" s="127"/>
      <c r="L84" s="128"/>
      <c r="M84" s="129"/>
    </row>
    <row r="85" spans="2:13" ht="42" customHeight="1" x14ac:dyDescent="0.35">
      <c r="B85" s="127"/>
      <c r="D85" s="204"/>
      <c r="E85" s="204"/>
      <c r="F85" s="204"/>
      <c r="G85" s="204"/>
      <c r="H85" s="291"/>
      <c r="I85" s="291"/>
      <c r="J85" s="287"/>
      <c r="M85" s="2"/>
    </row>
    <row r="86" spans="2:13" s="23" customFormat="1" ht="29.25" customHeight="1" thickBot="1" x14ac:dyDescent="0.4">
      <c r="B86" s="119"/>
      <c r="C86" s="4"/>
      <c r="D86" s="18"/>
      <c r="E86" s="18"/>
      <c r="F86" s="18"/>
      <c r="G86" s="18"/>
      <c r="H86" s="204"/>
      <c r="I86" s="18"/>
      <c r="J86" s="18"/>
      <c r="K86" s="18"/>
      <c r="L86" s="94"/>
      <c r="M86" s="7"/>
    </row>
    <row r="87" spans="2:13" ht="23.25" customHeight="1" x14ac:dyDescent="0.35">
      <c r="B87" s="129"/>
      <c r="C87" s="308" t="s">
        <v>78</v>
      </c>
      <c r="D87" s="309"/>
      <c r="E87" s="310"/>
      <c r="F87" s="310"/>
      <c r="G87" s="310"/>
      <c r="H87" s="310"/>
      <c r="I87" s="310"/>
      <c r="J87" s="310"/>
      <c r="K87" s="311"/>
      <c r="L87" s="95"/>
      <c r="M87" s="129"/>
    </row>
    <row r="88" spans="2:13" ht="41.25" customHeight="1" x14ac:dyDescent="0.35">
      <c r="B88" s="129"/>
      <c r="C88" s="15"/>
      <c r="D88" s="8" t="s">
        <v>72</v>
      </c>
      <c r="E88" s="8" t="s">
        <v>73</v>
      </c>
      <c r="F88" s="8" t="s">
        <v>74</v>
      </c>
      <c r="G88" s="8" t="s">
        <v>75</v>
      </c>
      <c r="H88" s="8" t="s">
        <v>552</v>
      </c>
      <c r="I88" s="8" t="s">
        <v>553</v>
      </c>
      <c r="J88" s="318" t="s">
        <v>9</v>
      </c>
      <c r="K88" s="319" t="s">
        <v>79</v>
      </c>
      <c r="L88" s="95"/>
      <c r="M88" s="129"/>
    </row>
    <row r="89" spans="2:13" ht="21" customHeight="1" x14ac:dyDescent="0.35">
      <c r="B89" s="129"/>
      <c r="C89" s="15"/>
      <c r="D89" s="163" t="str">
        <f>D13</f>
        <v>PNUD GUINEE</v>
      </c>
      <c r="E89" s="161" t="str">
        <f>E13</f>
        <v>PNUD MALI</v>
      </c>
      <c r="F89" s="173" t="str">
        <f>F13</f>
        <v>UNFPA GUINEE</v>
      </c>
      <c r="G89" s="183" t="s">
        <v>16</v>
      </c>
      <c r="H89" s="194" t="str">
        <f>H13</f>
        <v>UNODC GUINEE</v>
      </c>
      <c r="I89" s="194" t="str">
        <f>I13</f>
        <v>UNODC MALI</v>
      </c>
      <c r="J89" s="306"/>
      <c r="K89" s="320"/>
      <c r="L89" s="95"/>
      <c r="M89" s="129"/>
    </row>
    <row r="90" spans="2:13" ht="22.5" customHeight="1" x14ac:dyDescent="0.35">
      <c r="B90" s="129"/>
      <c r="C90" s="14" t="s">
        <v>80</v>
      </c>
      <c r="D90" s="148">
        <f>D84*K90</f>
        <v>888314</v>
      </c>
      <c r="E90" s="162">
        <f>E84*K90</f>
        <v>703745.00055999996</v>
      </c>
      <c r="F90" s="174">
        <f>F84*K90</f>
        <v>490594.99999999994</v>
      </c>
      <c r="G90" s="184">
        <f>G84*K90</f>
        <v>496586.99999999994</v>
      </c>
      <c r="H90" s="195">
        <f>H84*K90</f>
        <v>213839.5</v>
      </c>
      <c r="I90" s="195">
        <f>I84*K90</f>
        <v>165154.5</v>
      </c>
      <c r="J90" s="59">
        <f>J84*K90</f>
        <v>2958235.0005599996</v>
      </c>
      <c r="K90" s="74">
        <v>0.7</v>
      </c>
      <c r="L90" s="92"/>
      <c r="M90" s="129"/>
    </row>
    <row r="91" spans="2:13" ht="25.5" customHeight="1" x14ac:dyDescent="0.35">
      <c r="B91" s="307"/>
      <c r="C91" s="69" t="s">
        <v>81</v>
      </c>
      <c r="D91" s="148">
        <f>D84*K91</f>
        <v>380706</v>
      </c>
      <c r="E91" s="162">
        <f>E84*K91</f>
        <v>301605.00023999996</v>
      </c>
      <c r="F91" s="174">
        <f>F84*K91</f>
        <v>210255</v>
      </c>
      <c r="G91" s="184">
        <f>G84*K91</f>
        <v>212823</v>
      </c>
      <c r="H91" s="195">
        <f>H84*K91</f>
        <v>91645.5</v>
      </c>
      <c r="I91" s="195">
        <f>I84*K91</f>
        <v>70780.5</v>
      </c>
      <c r="J91" s="70">
        <f>J84*K91</f>
        <v>1267815.0002399997</v>
      </c>
      <c r="K91" s="75">
        <v>0.3</v>
      </c>
      <c r="L91" s="92"/>
    </row>
    <row r="92" spans="2:13" ht="36.75" customHeight="1" x14ac:dyDescent="0.35">
      <c r="B92" s="307"/>
      <c r="C92" s="69" t="s">
        <v>82</v>
      </c>
      <c r="D92" s="148">
        <f>$D$84*K92</f>
        <v>0</v>
      </c>
      <c r="E92" s="162">
        <f>$E$84*K92</f>
        <v>0</v>
      </c>
      <c r="F92" s="174">
        <f>$F$84*K92</f>
        <v>0</v>
      </c>
      <c r="G92" s="184">
        <f>$F$84*L92</f>
        <v>0</v>
      </c>
      <c r="H92" s="195">
        <f>$H$84*K92</f>
        <v>0</v>
      </c>
      <c r="I92" s="195">
        <f>$H$84*K92</f>
        <v>0</v>
      </c>
      <c r="J92" s="70">
        <f>SUM(D92:H92)</f>
        <v>0</v>
      </c>
      <c r="K92" s="76">
        <v>0</v>
      </c>
      <c r="L92" s="96"/>
    </row>
    <row r="93" spans="2:13" ht="19.5" customHeight="1" thickBot="1" x14ac:dyDescent="0.4">
      <c r="B93" s="307"/>
      <c r="C93" s="6" t="s">
        <v>9</v>
      </c>
      <c r="D93" s="151">
        <f t="shared" ref="D93:J93" si="19">SUM(D90:D92)</f>
        <v>1269020</v>
      </c>
      <c r="E93" s="160">
        <f t="shared" si="19"/>
        <v>1005350.0007999999</v>
      </c>
      <c r="F93" s="172">
        <f t="shared" si="19"/>
        <v>700850</v>
      </c>
      <c r="G93" s="182">
        <f t="shared" si="19"/>
        <v>709410</v>
      </c>
      <c r="H93" s="193">
        <f t="shared" si="19"/>
        <v>305485</v>
      </c>
      <c r="I93" s="193">
        <f t="shared" si="19"/>
        <v>235935</v>
      </c>
      <c r="J93" s="60">
        <f t="shared" si="19"/>
        <v>4226050.0007999996</v>
      </c>
      <c r="K93" s="61">
        <f t="shared" ref="K93" si="20">SUM(K90:K92)</f>
        <v>1</v>
      </c>
      <c r="L93" s="97"/>
    </row>
    <row r="94" spans="2:13" ht="21.75" customHeight="1" thickBot="1" x14ac:dyDescent="0.4">
      <c r="B94" s="307"/>
      <c r="C94" s="1"/>
      <c r="D94" s="5"/>
      <c r="E94" s="5"/>
      <c r="F94" s="5"/>
      <c r="G94" s="5"/>
      <c r="H94" s="5"/>
      <c r="I94" s="5"/>
      <c r="J94" s="5"/>
      <c r="K94" s="5"/>
      <c r="L94" s="98"/>
    </row>
    <row r="95" spans="2:13" ht="35.25" customHeight="1" x14ac:dyDescent="0.35">
      <c r="B95" s="307"/>
      <c r="C95" s="62" t="s">
        <v>83</v>
      </c>
      <c r="D95" s="63">
        <f>SUM(K22,K27,K32,K37,K41,K46,K51,K57,K72)*1.07</f>
        <v>1579683.5004</v>
      </c>
      <c r="E95" s="18"/>
      <c r="F95" s="18"/>
      <c r="G95" s="18"/>
      <c r="H95" s="30"/>
      <c r="I95" s="30"/>
      <c r="J95" s="18"/>
      <c r="K95" s="102" t="s">
        <v>84</v>
      </c>
      <c r="L95" s="103">
        <f>SUM(L72,L57,L51,L46,L37,L32,L27,L22)</f>
        <v>886361.77000000014</v>
      </c>
    </row>
    <row r="96" spans="2:13" ht="25.5" customHeight="1" thickBot="1" x14ac:dyDescent="0.4">
      <c r="B96" s="307"/>
      <c r="C96" s="64" t="s">
        <v>85</v>
      </c>
      <c r="D96" s="91">
        <f>D95/J84</f>
        <v>0.37379668960399492</v>
      </c>
      <c r="E96" s="28"/>
      <c r="F96" s="28"/>
      <c r="G96" s="28"/>
      <c r="H96" s="28"/>
      <c r="I96" s="28"/>
      <c r="J96" s="28"/>
      <c r="K96" s="104" t="s">
        <v>86</v>
      </c>
      <c r="L96" s="377">
        <f>L95/J82</f>
        <v>0.22441927892960678</v>
      </c>
    </row>
    <row r="97" spans="2:12" ht="22" customHeight="1" x14ac:dyDescent="0.35">
      <c r="B97" s="307"/>
      <c r="C97" s="321"/>
      <c r="D97" s="322"/>
      <c r="E97" s="29"/>
      <c r="F97" s="29"/>
      <c r="G97" s="29"/>
      <c r="H97" s="29"/>
      <c r="I97" s="29"/>
      <c r="J97" s="29"/>
    </row>
    <row r="98" spans="2:12" ht="34.5" customHeight="1" x14ac:dyDescent="0.35">
      <c r="B98" s="307"/>
      <c r="C98" s="64" t="s">
        <v>87</v>
      </c>
      <c r="D98" s="65">
        <f>SUM(J71+J70)*1.07</f>
        <v>235400</v>
      </c>
      <c r="E98" s="30"/>
      <c r="F98" s="30"/>
      <c r="G98" s="30"/>
      <c r="H98" s="30"/>
      <c r="I98" s="30"/>
      <c r="J98" s="281"/>
    </row>
    <row r="99" spans="2:12" ht="23.25" customHeight="1" x14ac:dyDescent="0.35">
      <c r="B99" s="307"/>
      <c r="C99" s="64" t="s">
        <v>88</v>
      </c>
      <c r="D99" s="91">
        <f>D98/J84</f>
        <v>5.5702133187122325E-2</v>
      </c>
      <c r="E99" s="30"/>
      <c r="F99" s="30"/>
      <c r="G99" s="30"/>
      <c r="H99" s="30"/>
      <c r="I99" s="30"/>
      <c r="J99" s="30"/>
    </row>
    <row r="100" spans="2:12" ht="66.75" customHeight="1" thickBot="1" x14ac:dyDescent="0.4">
      <c r="B100" s="307"/>
      <c r="C100" s="312" t="s">
        <v>89</v>
      </c>
      <c r="D100" s="313"/>
      <c r="E100" s="19"/>
      <c r="F100" s="19"/>
      <c r="G100" s="19"/>
      <c r="H100" s="19"/>
      <c r="I100" s="19"/>
      <c r="J100" s="19"/>
      <c r="L100" s="99"/>
    </row>
    <row r="101" spans="2:12" ht="55.5" customHeight="1" x14ac:dyDescent="0.35">
      <c r="B101" s="307"/>
    </row>
    <row r="102" spans="2:12" ht="42.75" customHeight="1" x14ac:dyDescent="0.35">
      <c r="B102" s="307"/>
    </row>
    <row r="103" spans="2:12" ht="21.75" customHeight="1" x14ac:dyDescent="0.35">
      <c r="B103" s="307"/>
    </row>
    <row r="104" spans="2:12" ht="21.75" customHeight="1" x14ac:dyDescent="0.35">
      <c r="B104" s="307"/>
    </row>
    <row r="105" spans="2:12" ht="23.25" customHeight="1" x14ac:dyDescent="0.35">
      <c r="B105" s="307"/>
    </row>
    <row r="106" spans="2:12" ht="23.25" customHeight="1" x14ac:dyDescent="0.35"/>
    <row r="107" spans="2:12" ht="21.75" customHeight="1" x14ac:dyDescent="0.35"/>
    <row r="108" spans="2:12" ht="16.5" customHeight="1" x14ac:dyDescent="0.35"/>
    <row r="109" spans="2:12" ht="29.25" customHeight="1" x14ac:dyDescent="0.35"/>
    <row r="110" spans="2:12" ht="24.75" customHeight="1" x14ac:dyDescent="0.35"/>
    <row r="111" spans="2:12" ht="33" customHeight="1" x14ac:dyDescent="0.35"/>
    <row r="113" ht="15" customHeight="1" x14ac:dyDescent="0.35"/>
    <row r="114" ht="25.5" customHeight="1" x14ac:dyDescent="0.35"/>
    <row r="165" spans="1:1" x14ac:dyDescent="0.35">
      <c r="A165" s="22" t="s">
        <v>90</v>
      </c>
    </row>
  </sheetData>
  <sheetProtection formatCells="0" formatColumns="0" formatRows="0"/>
  <mergeCells count="27">
    <mergeCell ref="C48:M48"/>
    <mergeCell ref="C52:M52"/>
    <mergeCell ref="C33:M33"/>
    <mergeCell ref="C34:M34"/>
    <mergeCell ref="B6:M6"/>
    <mergeCell ref="C38:M38"/>
    <mergeCell ref="C47:M47"/>
    <mergeCell ref="C42:M42"/>
    <mergeCell ref="B2:E2"/>
    <mergeCell ref="C23:M23"/>
    <mergeCell ref="C15:M15"/>
    <mergeCell ref="C28:M28"/>
    <mergeCell ref="B9:M9"/>
    <mergeCell ref="B5:M5"/>
    <mergeCell ref="C14:M14"/>
    <mergeCell ref="B59:B63"/>
    <mergeCell ref="B64:B68"/>
    <mergeCell ref="B69:B70"/>
    <mergeCell ref="B91:B105"/>
    <mergeCell ref="C87:K87"/>
    <mergeCell ref="C100:D100"/>
    <mergeCell ref="C80:C81"/>
    <mergeCell ref="J80:J81"/>
    <mergeCell ref="J88:J89"/>
    <mergeCell ref="K88:K89"/>
    <mergeCell ref="C97:D97"/>
    <mergeCell ref="C79:J79"/>
  </mergeCells>
  <phoneticPr fontId="24" type="noConversion"/>
  <conditionalFormatting sqref="D96">
    <cfRule type="cellIs" dxfId="20" priority="46" operator="lessThan">
      <formula>0.15</formula>
    </cfRule>
  </conditionalFormatting>
  <conditionalFormatting sqref="D99">
    <cfRule type="cellIs" dxfId="19" priority="44" operator="lessThan">
      <formula>0.05</formula>
    </cfRule>
  </conditionalFormatting>
  <conditionalFormatting sqref="K93:L93">
    <cfRule type="cellIs" dxfId="18" priority="1" operator="greaterThan">
      <formula>1</formula>
    </cfRule>
  </conditionalFormatting>
  <dataValidations xWindow="431" yWindow="475" count="7">
    <dataValidation allowBlank="1" showInputMessage="1" showErrorMessage="1" prompt="Insert *text* description of Output here" sqref="C15 C23 C28 C34 C38 C48 C52" xr:uid="{31AC9CA6-D499-4711-A99F-BECD0A64F3A8}"/>
    <dataValidation allowBlank="1" showInputMessage="1" showErrorMessage="1" prompt="Insert *text* description of Activity here" sqref="C24 C35 C39 C49 C53" xr:uid="{E7A390F5-03DD-4A67-B842-17326B4F2DA4}"/>
    <dataValidation allowBlank="1" showErrorMessage="1" prompt="% Towards Gender Equality and Women's Empowerment Must be Higher than 15%_x000a_" sqref="D98:J98" xr:uid="{8C6643DA-1D03-44FB-AC1F-C4CB706ED3AA}"/>
    <dataValidation allowBlank="1" showInputMessage="1" showErrorMessage="1" prompt="% Towards Gender Equality and Women's Empowerment Must be Higher than 15%_x000a_" sqref="D96:J96" xr:uid="{E72508C7-C8DD-46A5-878C-E4FA07CAB6AF}"/>
    <dataValidation allowBlank="1" showInputMessage="1" showErrorMessage="1" prompt="M&amp;E Budget Cannot be Less than 5%_x000a_" sqref="D99:J99" xr:uid="{53928C0A-D548-4B6B-97FC-07D38B0E5FA7}"/>
    <dataValidation allowBlank="1" showInputMessage="1" showErrorMessage="1" prompt="Insert *text* description of Outcome here" sqref="C14:M14 C33:M33 C47:M47" xr:uid="{89ACADD6-F982-42D9-AC8D-CCF9750605B2}"/>
    <dataValidation allowBlank="1" showInputMessage="1" showErrorMessage="1" prompt="Insert name of recipient agency here _x000a_" sqref="D13:J13" xr:uid="{6F27C540-9DBA-46EE-AEC3-C6AACF4159B5}"/>
  </dataValidations>
  <pageMargins left="0.7" right="0.7" top="0.75" bottom="0.75" header="0.3" footer="0.3"/>
  <pageSetup scale="42" orientation="landscape" r:id="rId1"/>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Q248"/>
  <sheetViews>
    <sheetView showGridLines="0" showZeros="0" topLeftCell="A206" zoomScale="70" zoomScaleNormal="70" zoomScaleSheetLayoutView="80" workbookViewId="0">
      <selection activeCell="G221" sqref="G221"/>
    </sheetView>
  </sheetViews>
  <sheetFormatPr baseColWidth="10" defaultColWidth="9.1796875" defaultRowHeight="15.5" x14ac:dyDescent="0.35"/>
  <cols>
    <col min="1" max="1" width="4.453125" style="34" customWidth="1"/>
    <col min="2" max="2" width="3.26953125" style="34" customWidth="1"/>
    <col min="3" max="3" width="51.453125" style="34" customWidth="1"/>
    <col min="4" max="4" width="19.54296875" style="35" customWidth="1"/>
    <col min="5" max="5" width="19" style="35" customWidth="1"/>
    <col min="6" max="6" width="19.54296875" style="35" customWidth="1"/>
    <col min="7" max="7" width="20.54296875" style="35" customWidth="1"/>
    <col min="8" max="9" width="17.7265625" style="35" customWidth="1"/>
    <col min="10" max="10" width="23.54296875" style="34" customWidth="1"/>
    <col min="11" max="11" width="21.453125" style="34" customWidth="1"/>
    <col min="12" max="12" width="16.81640625" style="34" customWidth="1"/>
    <col min="13" max="13" width="19.453125" style="34" customWidth="1"/>
    <col min="14" max="14" width="19" style="34" customWidth="1"/>
    <col min="15" max="15" width="26" style="34" customWidth="1"/>
    <col min="16" max="16" width="21.1796875" style="34" customWidth="1"/>
    <col min="17" max="17" width="7" style="34" customWidth="1"/>
    <col min="18" max="18" width="24.26953125" style="34" customWidth="1"/>
    <col min="19" max="19" width="26.453125" style="34" customWidth="1"/>
    <col min="20" max="20" width="30.1796875" style="34" customWidth="1"/>
    <col min="21" max="21" width="33" style="34" customWidth="1"/>
    <col min="22" max="23" width="22.7265625" style="34" customWidth="1"/>
    <col min="24" max="24" width="23.453125" style="34" customWidth="1"/>
    <col min="25" max="25" width="32.1796875" style="34" customWidth="1"/>
    <col min="26" max="26" width="9.1796875" style="34"/>
    <col min="27" max="27" width="17.7265625" style="34" customWidth="1"/>
    <col min="28" max="28" width="26.453125" style="34" customWidth="1"/>
    <col min="29" max="29" width="22.453125" style="34" customWidth="1"/>
    <col min="30" max="30" width="29.7265625" style="34" customWidth="1"/>
    <col min="31" max="31" width="23.453125" style="34" customWidth="1"/>
    <col min="32" max="32" width="18.453125" style="34" customWidth="1"/>
    <col min="33" max="33" width="17.453125" style="34" customWidth="1"/>
    <col min="34" max="34" width="25.1796875" style="34" customWidth="1"/>
    <col min="35" max="16384" width="9.1796875" style="34"/>
  </cols>
  <sheetData>
    <row r="1" spans="2:17" ht="24" customHeight="1" x14ac:dyDescent="0.35">
      <c r="B1" s="130"/>
      <c r="C1" s="130"/>
      <c r="D1" s="131"/>
      <c r="E1" s="131"/>
      <c r="F1" s="131"/>
      <c r="G1" s="131"/>
      <c r="H1" s="131"/>
      <c r="I1" s="131"/>
      <c r="J1" s="130"/>
      <c r="K1" s="130"/>
      <c r="L1" s="130"/>
      <c r="M1" s="130"/>
      <c r="N1" s="130"/>
      <c r="O1" s="10"/>
      <c r="P1" s="3"/>
      <c r="Q1" s="130"/>
    </row>
    <row r="2" spans="2:17" ht="46.5" customHeight="1" x14ac:dyDescent="1">
      <c r="B2" s="130"/>
      <c r="C2" s="355" t="s">
        <v>0</v>
      </c>
      <c r="D2" s="355"/>
      <c r="E2" s="355"/>
      <c r="F2" s="355"/>
      <c r="G2" s="208"/>
      <c r="H2" s="105"/>
      <c r="I2" s="280"/>
      <c r="J2" s="20"/>
      <c r="K2" s="21"/>
      <c r="L2" s="21"/>
      <c r="M2" s="130"/>
      <c r="N2" s="130"/>
      <c r="O2" s="10"/>
      <c r="P2" s="3"/>
      <c r="Q2" s="130"/>
    </row>
    <row r="3" spans="2:17" ht="24" customHeight="1" x14ac:dyDescent="0.35">
      <c r="B3" s="130"/>
      <c r="C3" s="24"/>
      <c r="D3" s="22"/>
      <c r="E3" s="22"/>
      <c r="F3" s="22"/>
      <c r="G3" s="22"/>
      <c r="H3" s="22"/>
      <c r="I3" s="22"/>
      <c r="J3" s="22"/>
      <c r="K3" s="22"/>
      <c r="L3" s="22"/>
      <c r="M3" s="130"/>
      <c r="N3" s="130"/>
      <c r="O3" s="10"/>
      <c r="P3" s="3"/>
      <c r="Q3" s="130"/>
    </row>
    <row r="4" spans="2:17" ht="24" customHeight="1" thickBot="1" x14ac:dyDescent="0.4">
      <c r="B4" s="130"/>
      <c r="C4" s="24"/>
      <c r="D4" s="22"/>
      <c r="E4" s="22"/>
      <c r="F4" s="22"/>
      <c r="G4" s="22"/>
      <c r="H4" s="22"/>
      <c r="I4" s="22"/>
      <c r="J4" s="22"/>
      <c r="K4" s="22"/>
      <c r="L4" s="22"/>
      <c r="M4" s="130"/>
      <c r="N4" s="130"/>
      <c r="O4" s="10"/>
      <c r="P4" s="3"/>
      <c r="Q4" s="130"/>
    </row>
    <row r="5" spans="2:17" ht="30" customHeight="1" x14ac:dyDescent="0.8">
      <c r="B5" s="130"/>
      <c r="C5" s="356" t="s">
        <v>1</v>
      </c>
      <c r="D5" s="357"/>
      <c r="E5" s="357"/>
      <c r="F5" s="357"/>
      <c r="G5" s="357"/>
      <c r="H5" s="357"/>
      <c r="I5" s="357"/>
      <c r="J5" s="358"/>
      <c r="K5" s="130"/>
      <c r="L5" s="130"/>
      <c r="M5" s="10"/>
      <c r="N5" s="3"/>
      <c r="O5" s="130"/>
      <c r="P5" s="130"/>
      <c r="Q5" s="130"/>
    </row>
    <row r="6" spans="2:17" ht="24" customHeight="1" x14ac:dyDescent="0.35">
      <c r="B6" s="130"/>
      <c r="C6" s="346" t="s">
        <v>91</v>
      </c>
      <c r="D6" s="347"/>
      <c r="E6" s="347"/>
      <c r="F6" s="347"/>
      <c r="G6" s="347"/>
      <c r="H6" s="347"/>
      <c r="I6" s="347"/>
      <c r="J6" s="348"/>
      <c r="K6" s="130"/>
      <c r="L6" s="130"/>
      <c r="M6" s="10"/>
      <c r="N6" s="3"/>
      <c r="O6" s="130"/>
      <c r="P6" s="130"/>
      <c r="Q6" s="130"/>
    </row>
    <row r="7" spans="2:17" ht="41.25" customHeight="1" x14ac:dyDescent="0.35">
      <c r="B7" s="130"/>
      <c r="C7" s="346"/>
      <c r="D7" s="347"/>
      <c r="E7" s="347"/>
      <c r="F7" s="347"/>
      <c r="G7" s="347"/>
      <c r="H7" s="347"/>
      <c r="I7" s="347"/>
      <c r="J7" s="348"/>
      <c r="K7" s="130"/>
      <c r="L7" s="130"/>
      <c r="M7" s="10"/>
      <c r="N7" s="3"/>
      <c r="O7" s="130"/>
      <c r="P7" s="130"/>
      <c r="Q7" s="130"/>
    </row>
    <row r="8" spans="2:17" ht="24" customHeight="1" thickBot="1" x14ac:dyDescent="0.4">
      <c r="B8" s="130"/>
      <c r="C8" s="349"/>
      <c r="D8" s="350"/>
      <c r="E8" s="350"/>
      <c r="F8" s="350"/>
      <c r="G8" s="350"/>
      <c r="H8" s="350"/>
      <c r="I8" s="350"/>
      <c r="J8" s="351"/>
      <c r="K8" s="130"/>
      <c r="L8" s="130"/>
      <c r="M8" s="10"/>
      <c r="N8" s="3"/>
      <c r="O8" s="130"/>
      <c r="P8" s="130"/>
      <c r="Q8" s="130"/>
    </row>
    <row r="9" spans="2:17" ht="24" customHeight="1" x14ac:dyDescent="0.35">
      <c r="B9" s="130"/>
      <c r="C9" s="31"/>
      <c r="D9" s="31"/>
      <c r="E9" s="31"/>
      <c r="F9" s="31"/>
      <c r="G9" s="31"/>
      <c r="H9" s="31"/>
      <c r="I9" s="31"/>
      <c r="J9" s="130"/>
      <c r="K9" s="130"/>
      <c r="L9" s="130"/>
      <c r="M9" s="130"/>
      <c r="N9" s="130"/>
      <c r="O9" s="10"/>
      <c r="P9" s="3"/>
      <c r="Q9" s="130"/>
    </row>
    <row r="10" spans="2:17" ht="25.5" customHeight="1" x14ac:dyDescent="0.6">
      <c r="B10" s="130"/>
      <c r="C10" s="362" t="s">
        <v>92</v>
      </c>
      <c r="D10" s="363"/>
      <c r="E10" s="363"/>
      <c r="F10" s="363"/>
      <c r="G10" s="363"/>
      <c r="H10" s="110"/>
      <c r="I10" s="110"/>
      <c r="J10" s="130"/>
      <c r="K10" s="130"/>
      <c r="L10" s="130"/>
      <c r="M10" s="130"/>
      <c r="N10" s="130"/>
      <c r="O10" s="10"/>
      <c r="P10" s="3"/>
      <c r="Q10" s="130"/>
    </row>
    <row r="11" spans="2:17" ht="24" customHeight="1" x14ac:dyDescent="0.35">
      <c r="B11" s="130"/>
      <c r="C11" s="31"/>
      <c r="D11" s="31"/>
      <c r="E11" s="31"/>
      <c r="F11" s="31"/>
      <c r="G11" s="31"/>
      <c r="H11" s="31"/>
      <c r="I11" s="31"/>
      <c r="J11" s="130"/>
      <c r="K11" s="130"/>
      <c r="L11" s="130"/>
      <c r="M11" s="130"/>
      <c r="N11" s="130"/>
      <c r="O11" s="10"/>
      <c r="P11" s="3"/>
      <c r="Q11" s="130"/>
    </row>
    <row r="12" spans="2:17" ht="40.5" customHeight="1" x14ac:dyDescent="0.35">
      <c r="B12" s="130"/>
      <c r="C12" s="31"/>
      <c r="D12" s="8" t="s">
        <v>72</v>
      </c>
      <c r="E12" s="8" t="s">
        <v>73</v>
      </c>
      <c r="F12" s="8" t="s">
        <v>74</v>
      </c>
      <c r="G12" s="8" t="s">
        <v>75</v>
      </c>
      <c r="H12" s="8" t="s">
        <v>75</v>
      </c>
      <c r="I12" s="8" t="s">
        <v>552</v>
      </c>
      <c r="J12" s="318" t="s">
        <v>9</v>
      </c>
      <c r="K12" s="130"/>
      <c r="L12" s="130"/>
      <c r="M12" s="130"/>
      <c r="N12" s="130"/>
      <c r="O12" s="10"/>
      <c r="P12" s="3"/>
      <c r="Q12" s="130"/>
    </row>
    <row r="13" spans="2:17" ht="24" customHeight="1" x14ac:dyDescent="0.35">
      <c r="B13" s="130"/>
      <c r="C13" s="31"/>
      <c r="D13" s="210" t="str">
        <f>'1) Tableau budgétaire 1'!D13</f>
        <v>PNUD GUINEE</v>
      </c>
      <c r="E13" s="158" t="str">
        <f>'1) Tableau budgétaire 1'!E13</f>
        <v>PNUD MALI</v>
      </c>
      <c r="F13" s="170" t="str">
        <f>'1) Tableau budgétaire 1'!F13</f>
        <v>UNFPA GUINEE</v>
      </c>
      <c r="G13" s="180" t="str">
        <f>'1) Tableau budgétaire 1'!G13</f>
        <v>UNFPA MALI</v>
      </c>
      <c r="H13" s="191" t="str">
        <f>'1) Tableau budgétaire 1'!H13</f>
        <v>UNODC GUINEE</v>
      </c>
      <c r="I13" s="191" t="str">
        <f>'1) Tableau budgétaire 1'!I13</f>
        <v>UNODC MALI</v>
      </c>
      <c r="J13" s="306"/>
      <c r="K13" s="130"/>
      <c r="L13" s="130"/>
      <c r="M13" s="130"/>
      <c r="N13" s="130"/>
      <c r="O13" s="10"/>
      <c r="P13" s="3"/>
      <c r="Q13" s="130"/>
    </row>
    <row r="14" spans="2:17" ht="24" customHeight="1" x14ac:dyDescent="0.35">
      <c r="B14" s="342" t="s">
        <v>93</v>
      </c>
      <c r="C14" s="343"/>
      <c r="D14" s="343"/>
      <c r="E14" s="343"/>
      <c r="F14" s="343"/>
      <c r="G14" s="343"/>
      <c r="H14" s="343"/>
      <c r="I14" s="343"/>
      <c r="J14" s="344"/>
      <c r="K14" s="130"/>
      <c r="L14" s="130"/>
      <c r="M14" s="130"/>
      <c r="N14" s="130"/>
      <c r="O14" s="10"/>
      <c r="P14" s="3"/>
      <c r="Q14" s="130"/>
    </row>
    <row r="15" spans="2:17" ht="22.5" customHeight="1" x14ac:dyDescent="0.35">
      <c r="B15" s="130"/>
      <c r="C15" s="342" t="s">
        <v>94</v>
      </c>
      <c r="D15" s="343"/>
      <c r="E15" s="343"/>
      <c r="F15" s="343"/>
      <c r="G15" s="343"/>
      <c r="H15" s="343"/>
      <c r="I15" s="343"/>
      <c r="J15" s="344"/>
      <c r="K15" s="130"/>
      <c r="L15" s="130"/>
      <c r="M15" s="130"/>
      <c r="N15" s="130"/>
      <c r="O15" s="10"/>
      <c r="P15" s="3"/>
      <c r="Q15" s="130"/>
    </row>
    <row r="16" spans="2:17" ht="24.75" customHeight="1" thickBot="1" x14ac:dyDescent="0.4">
      <c r="B16" s="130"/>
      <c r="C16" s="41" t="s">
        <v>95</v>
      </c>
      <c r="D16" s="211">
        <f>'1) Tableau budgétaire 1'!D22</f>
        <v>245000</v>
      </c>
      <c r="E16" s="222">
        <f>'1) Tableau budgétaire 1'!E22</f>
        <v>222579.44</v>
      </c>
      <c r="F16" s="232">
        <f>'1) Tableau budgétaire 1'!F22</f>
        <v>0</v>
      </c>
      <c r="G16" s="243">
        <f>'1) Tableau budgétaire 1'!G22</f>
        <v>0</v>
      </c>
      <c r="H16" s="253">
        <f>'1) Tableau budgétaire 1'!H22</f>
        <v>0</v>
      </c>
      <c r="I16" s="253">
        <f>'1) Tableau budgétaire 1'!I22</f>
        <v>0</v>
      </c>
      <c r="J16" s="42">
        <f>SUM(D16:I16)</f>
        <v>467579.44</v>
      </c>
      <c r="K16" s="130"/>
      <c r="L16" s="130"/>
      <c r="M16" s="130"/>
      <c r="N16" s="130"/>
      <c r="O16" s="10"/>
      <c r="P16" s="3"/>
      <c r="Q16" s="130"/>
    </row>
    <row r="17" spans="3:17" ht="21.75" customHeight="1" thickBot="1" x14ac:dyDescent="0.4">
      <c r="C17" s="40" t="s">
        <v>96</v>
      </c>
      <c r="D17" s="212"/>
      <c r="E17" s="223"/>
      <c r="F17" s="233"/>
      <c r="G17" s="244"/>
      <c r="H17" s="254"/>
      <c r="I17" s="254"/>
      <c r="J17" s="42">
        <f t="shared" ref="J17:J24" si="0">SUM(D17:I17)</f>
        <v>0</v>
      </c>
      <c r="K17" s="130"/>
      <c r="L17" s="130"/>
      <c r="M17" s="130"/>
      <c r="N17" s="130"/>
      <c r="O17" s="130"/>
      <c r="P17" s="130"/>
      <c r="Q17" s="130"/>
    </row>
    <row r="18" spans="3:17" ht="16" thickBot="1" x14ac:dyDescent="0.4">
      <c r="C18" s="32" t="s">
        <v>97</v>
      </c>
      <c r="D18" s="213"/>
      <c r="E18" s="153"/>
      <c r="F18" s="165"/>
      <c r="G18" s="176"/>
      <c r="H18" s="186"/>
      <c r="I18" s="254"/>
      <c r="J18" s="42">
        <f t="shared" si="0"/>
        <v>0</v>
      </c>
      <c r="K18" s="130"/>
      <c r="L18" s="130"/>
      <c r="M18" s="130"/>
      <c r="N18" s="130"/>
      <c r="O18" s="130"/>
      <c r="P18" s="130"/>
      <c r="Q18" s="130"/>
    </row>
    <row r="19" spans="3:17" ht="15.75" customHeight="1" thickBot="1" x14ac:dyDescent="0.4">
      <c r="C19" s="32" t="s">
        <v>98</v>
      </c>
      <c r="D19" s="213"/>
      <c r="E19" s="224"/>
      <c r="F19" s="234"/>
      <c r="G19" s="245"/>
      <c r="H19" s="255"/>
      <c r="I19" s="282"/>
      <c r="J19" s="42">
        <f t="shared" si="0"/>
        <v>0</v>
      </c>
      <c r="K19" s="130"/>
      <c r="L19" s="130"/>
      <c r="M19" s="130"/>
      <c r="N19" s="130"/>
      <c r="O19" s="130"/>
      <c r="P19" s="130"/>
      <c r="Q19" s="130"/>
    </row>
    <row r="20" spans="3:17" ht="16" thickBot="1" x14ac:dyDescent="0.4">
      <c r="C20" s="33" t="s">
        <v>99</v>
      </c>
      <c r="D20" s="213">
        <v>80000</v>
      </c>
      <c r="E20" s="224">
        <v>66773.831999999995</v>
      </c>
      <c r="F20" s="234"/>
      <c r="G20" s="245"/>
      <c r="H20" s="255"/>
      <c r="I20" s="282"/>
      <c r="J20" s="42">
        <f t="shared" si="0"/>
        <v>146773.83199999999</v>
      </c>
      <c r="K20" s="130"/>
      <c r="L20" s="130"/>
      <c r="M20" s="130"/>
      <c r="N20" s="130"/>
      <c r="O20" s="130"/>
      <c r="P20" s="130"/>
      <c r="Q20" s="130"/>
    </row>
    <row r="21" spans="3:17" ht="16" thickBot="1" x14ac:dyDescent="0.4">
      <c r="C21" s="32" t="s">
        <v>100</v>
      </c>
      <c r="D21" s="213">
        <v>65000</v>
      </c>
      <c r="E21" s="224">
        <v>44515.887999999999</v>
      </c>
      <c r="F21" s="234"/>
      <c r="G21" s="245"/>
      <c r="H21" s="255"/>
      <c r="I21" s="282"/>
      <c r="J21" s="42">
        <f t="shared" si="0"/>
        <v>109515.88800000001</v>
      </c>
      <c r="K21" s="130"/>
      <c r="L21" s="130"/>
      <c r="M21" s="130"/>
      <c r="N21" s="130"/>
      <c r="O21" s="130"/>
      <c r="P21" s="130"/>
      <c r="Q21" s="130"/>
    </row>
    <row r="22" spans="3:17" ht="21.75" customHeight="1" thickBot="1" x14ac:dyDescent="0.4">
      <c r="C22" s="32" t="s">
        <v>101</v>
      </c>
      <c r="D22" s="213">
        <v>100000</v>
      </c>
      <c r="E22" s="224">
        <v>111289.72</v>
      </c>
      <c r="F22" s="234"/>
      <c r="G22" s="245"/>
      <c r="H22" s="255"/>
      <c r="I22" s="282"/>
      <c r="J22" s="42">
        <f>SUM(D22:I22)</f>
        <v>211289.72</v>
      </c>
      <c r="K22" s="130"/>
      <c r="L22" s="264"/>
      <c r="M22" s="130"/>
      <c r="N22" s="130"/>
      <c r="O22" s="130"/>
      <c r="P22" s="130"/>
      <c r="Q22" s="130"/>
    </row>
    <row r="23" spans="3:17" ht="25" customHeight="1" thickBot="1" x14ac:dyDescent="0.4">
      <c r="C23" s="32" t="s">
        <v>102</v>
      </c>
      <c r="D23" s="213"/>
      <c r="E23" s="224"/>
      <c r="F23" s="234"/>
      <c r="G23" s="245"/>
      <c r="H23" s="255"/>
      <c r="I23" s="282"/>
      <c r="J23" s="42">
        <f t="shared" si="0"/>
        <v>0</v>
      </c>
      <c r="K23" s="130"/>
      <c r="L23" s="130"/>
      <c r="M23" s="130"/>
      <c r="N23" s="130"/>
      <c r="O23" s="130"/>
      <c r="P23" s="130"/>
      <c r="Q23" s="130"/>
    </row>
    <row r="24" spans="3:17" ht="21.75" customHeight="1" thickBot="1" x14ac:dyDescent="0.4">
      <c r="C24" s="36" t="s">
        <v>103</v>
      </c>
      <c r="D24" s="214">
        <f t="shared" ref="D24:I24" si="1">SUM(D17:D23)</f>
        <v>245000</v>
      </c>
      <c r="E24" s="225">
        <f t="shared" si="1"/>
        <v>222579.44</v>
      </c>
      <c r="F24" s="235">
        <f t="shared" si="1"/>
        <v>0</v>
      </c>
      <c r="G24" s="246">
        <f t="shared" si="1"/>
        <v>0</v>
      </c>
      <c r="H24" s="256">
        <f t="shared" si="1"/>
        <v>0</v>
      </c>
      <c r="I24" s="256">
        <f t="shared" si="1"/>
        <v>0</v>
      </c>
      <c r="J24" s="42">
        <f t="shared" si="0"/>
        <v>467579.44</v>
      </c>
      <c r="K24" s="130"/>
      <c r="L24" s="130"/>
      <c r="M24" s="130"/>
      <c r="N24" s="130"/>
      <c r="O24" s="130"/>
      <c r="P24" s="130"/>
      <c r="Q24" s="130"/>
    </row>
    <row r="25" spans="3:17" s="35" customFormat="1" x14ac:dyDescent="0.35">
      <c r="C25" s="43"/>
      <c r="D25" s="44"/>
      <c r="E25" s="44"/>
      <c r="F25" s="44"/>
      <c r="G25" s="44"/>
      <c r="H25" s="44"/>
      <c r="I25" s="44"/>
      <c r="J25" s="72"/>
      <c r="K25" s="131"/>
      <c r="L25" s="131"/>
      <c r="M25" s="131"/>
      <c r="N25" s="131"/>
      <c r="O25" s="131"/>
      <c r="P25" s="131"/>
      <c r="Q25" s="131"/>
    </row>
    <row r="26" spans="3:17" x14ac:dyDescent="0.35">
      <c r="C26" s="342" t="s">
        <v>104</v>
      </c>
      <c r="D26" s="343"/>
      <c r="E26" s="343"/>
      <c r="F26" s="343"/>
      <c r="G26" s="343"/>
      <c r="H26" s="343"/>
      <c r="I26" s="343"/>
      <c r="J26" s="344"/>
      <c r="K26" s="130"/>
      <c r="L26" s="130"/>
      <c r="M26" s="130"/>
      <c r="N26" s="130"/>
      <c r="O26" s="130"/>
      <c r="P26" s="130"/>
      <c r="Q26" s="130"/>
    </row>
    <row r="27" spans="3:17" ht="21" customHeight="1" thickBot="1" x14ac:dyDescent="0.4">
      <c r="C27" s="41" t="s">
        <v>105</v>
      </c>
      <c r="D27" s="211">
        <f>'1) Tableau budgétaire 1'!D27</f>
        <v>220000</v>
      </c>
      <c r="E27" s="222">
        <f>'1) Tableau budgétaire 1'!E27</f>
        <v>220000</v>
      </c>
      <c r="F27" s="232">
        <f>'1) Tableau budgétaire 1'!F27</f>
        <v>0</v>
      </c>
      <c r="G27" s="243">
        <f>'1) Tableau budgétaire 1'!G27</f>
        <v>0</v>
      </c>
      <c r="H27" s="253">
        <f>'1) Tableau budgétaire 1'!H27</f>
        <v>0</v>
      </c>
      <c r="I27" s="253">
        <f>'1) Tableau budgétaire 1'!I27</f>
        <v>0</v>
      </c>
      <c r="J27" s="42">
        <f>SUM(D27:I27)</f>
        <v>440000</v>
      </c>
      <c r="K27" s="130"/>
      <c r="L27" s="130"/>
      <c r="M27" s="130"/>
      <c r="N27" s="130"/>
      <c r="O27" s="130"/>
      <c r="P27" s="130"/>
      <c r="Q27" s="130"/>
    </row>
    <row r="28" spans="3:17" ht="16" thickBot="1" x14ac:dyDescent="0.4">
      <c r="C28" s="40" t="s">
        <v>96</v>
      </c>
      <c r="D28" s="212"/>
      <c r="E28" s="223"/>
      <c r="F28" s="233"/>
      <c r="G28" s="244"/>
      <c r="H28" s="254"/>
      <c r="I28" s="283"/>
      <c r="J28" s="42">
        <f t="shared" ref="J28:J33" si="2">SUM(D28:I28)</f>
        <v>0</v>
      </c>
      <c r="K28" s="130"/>
      <c r="L28" s="130"/>
      <c r="M28" s="130"/>
      <c r="N28" s="130"/>
      <c r="O28" s="130"/>
      <c r="P28" s="130"/>
      <c r="Q28" s="130"/>
    </row>
    <row r="29" spans="3:17" x14ac:dyDescent="0.35">
      <c r="C29" s="32" t="s">
        <v>97</v>
      </c>
      <c r="D29" s="213">
        <v>5000</v>
      </c>
      <c r="E29" s="153">
        <v>33000</v>
      </c>
      <c r="F29" s="165"/>
      <c r="G29" s="176"/>
      <c r="H29" s="186"/>
      <c r="I29" s="284"/>
      <c r="J29" s="42">
        <f t="shared" si="2"/>
        <v>38000</v>
      </c>
      <c r="K29" s="130"/>
      <c r="L29" s="130"/>
      <c r="M29" s="130"/>
      <c r="N29" s="130"/>
      <c r="O29" s="130"/>
      <c r="P29" s="130"/>
      <c r="Q29" s="130"/>
    </row>
    <row r="30" spans="3:17" ht="31.5" thickBot="1" x14ac:dyDescent="0.4">
      <c r="C30" s="32" t="s">
        <v>98</v>
      </c>
      <c r="D30" s="213"/>
      <c r="E30" s="224"/>
      <c r="F30" s="234"/>
      <c r="G30" s="245"/>
      <c r="H30" s="255"/>
      <c r="I30" s="285"/>
      <c r="J30" s="42">
        <f t="shared" si="2"/>
        <v>0</v>
      </c>
      <c r="K30" s="130"/>
      <c r="L30" s="130"/>
      <c r="M30" s="130"/>
      <c r="N30" s="130"/>
      <c r="O30" s="130"/>
      <c r="P30" s="130"/>
      <c r="Q30" s="130"/>
    </row>
    <row r="31" spans="3:17" x14ac:dyDescent="0.35">
      <c r="C31" s="33" t="s">
        <v>99</v>
      </c>
      <c r="D31" s="213">
        <v>35000</v>
      </c>
      <c r="E31" s="224">
        <v>44000</v>
      </c>
      <c r="F31" s="234"/>
      <c r="G31" s="245"/>
      <c r="H31" s="255"/>
      <c r="I31" s="285"/>
      <c r="J31" s="42">
        <f t="shared" si="2"/>
        <v>79000</v>
      </c>
      <c r="K31" s="130"/>
      <c r="L31" s="130"/>
      <c r="M31" s="130"/>
      <c r="N31" s="130"/>
      <c r="O31" s="130"/>
      <c r="P31" s="130"/>
      <c r="Q31" s="130"/>
    </row>
    <row r="32" spans="3:17" x14ac:dyDescent="0.35">
      <c r="C32" s="32" t="s">
        <v>100</v>
      </c>
      <c r="D32" s="213">
        <v>20000</v>
      </c>
      <c r="E32" s="224">
        <v>44000</v>
      </c>
      <c r="F32" s="234"/>
      <c r="G32" s="245"/>
      <c r="H32" s="255"/>
      <c r="I32" s="285"/>
      <c r="J32" s="42">
        <f t="shared" si="2"/>
        <v>64000</v>
      </c>
      <c r="K32" s="130"/>
      <c r="L32" s="130"/>
      <c r="M32" s="130"/>
      <c r="N32" s="130"/>
      <c r="O32" s="130"/>
      <c r="P32" s="130"/>
      <c r="Q32" s="130"/>
    </row>
    <row r="33" spans="3:17" x14ac:dyDescent="0.35">
      <c r="C33" s="32" t="s">
        <v>101</v>
      </c>
      <c r="D33" s="213">
        <v>160000</v>
      </c>
      <c r="E33" s="224">
        <v>99000</v>
      </c>
      <c r="F33" s="234"/>
      <c r="G33" s="245"/>
      <c r="H33" s="255"/>
      <c r="I33" s="285"/>
      <c r="J33" s="42">
        <f t="shared" si="2"/>
        <v>259000</v>
      </c>
      <c r="K33" s="130"/>
      <c r="L33" s="130"/>
      <c r="M33" s="130"/>
      <c r="N33" s="130"/>
      <c r="O33" s="130"/>
      <c r="P33" s="130"/>
      <c r="Q33" s="130"/>
    </row>
    <row r="34" spans="3:17" ht="24" customHeight="1" thickBot="1" x14ac:dyDescent="0.4">
      <c r="C34" s="32" t="s">
        <v>102</v>
      </c>
      <c r="D34" s="213"/>
      <c r="E34" s="224"/>
      <c r="F34" s="234"/>
      <c r="G34" s="245"/>
      <c r="H34" s="255"/>
      <c r="I34" s="285"/>
      <c r="J34" s="42">
        <f>SUM(D34:I34)</f>
        <v>0</v>
      </c>
      <c r="K34" s="130"/>
      <c r="L34" s="130"/>
      <c r="M34" s="130"/>
      <c r="N34" s="130"/>
      <c r="O34" s="130"/>
      <c r="P34" s="130"/>
      <c r="Q34" s="130"/>
    </row>
    <row r="35" spans="3:17" ht="19" customHeight="1" thickBot="1" x14ac:dyDescent="0.4">
      <c r="C35" s="36" t="s">
        <v>103</v>
      </c>
      <c r="D35" s="214">
        <f t="shared" ref="D35:I35" si="3">SUM(D28:D34)</f>
        <v>220000</v>
      </c>
      <c r="E35" s="225">
        <f t="shared" si="3"/>
        <v>220000</v>
      </c>
      <c r="F35" s="235">
        <f t="shared" si="3"/>
        <v>0</v>
      </c>
      <c r="G35" s="246">
        <f t="shared" si="3"/>
        <v>0</v>
      </c>
      <c r="H35" s="256">
        <f t="shared" si="3"/>
        <v>0</v>
      </c>
      <c r="I35" s="256">
        <f t="shared" si="3"/>
        <v>0</v>
      </c>
      <c r="J35" s="42">
        <f>SUM(D35:I35)</f>
        <v>440000</v>
      </c>
      <c r="K35" s="130"/>
      <c r="L35" s="130"/>
      <c r="M35" s="130"/>
      <c r="N35" s="130"/>
      <c r="O35" s="130"/>
      <c r="P35" s="130"/>
      <c r="Q35" s="130"/>
    </row>
    <row r="36" spans="3:17" s="35" customFormat="1" x14ac:dyDescent="0.35">
      <c r="C36" s="43"/>
      <c r="D36" s="44"/>
      <c r="E36" s="44"/>
      <c r="F36" s="44"/>
      <c r="G36" s="44"/>
      <c r="H36" s="44"/>
      <c r="I36" s="44"/>
      <c r="J36" s="45"/>
      <c r="K36" s="131"/>
      <c r="L36" s="131"/>
      <c r="M36" s="131"/>
      <c r="N36" s="131"/>
      <c r="O36" s="131"/>
      <c r="P36" s="131"/>
      <c r="Q36" s="131"/>
    </row>
    <row r="37" spans="3:17" x14ac:dyDescent="0.35">
      <c r="C37" s="342" t="s">
        <v>106</v>
      </c>
      <c r="D37" s="343"/>
      <c r="E37" s="343"/>
      <c r="F37" s="343"/>
      <c r="G37" s="343"/>
      <c r="H37" s="343"/>
      <c r="I37" s="343"/>
      <c r="J37" s="344"/>
      <c r="K37" s="130"/>
      <c r="L37" s="130"/>
      <c r="M37" s="130"/>
      <c r="N37" s="130"/>
      <c r="O37" s="130"/>
      <c r="P37" s="130"/>
      <c r="Q37" s="130"/>
    </row>
    <row r="38" spans="3:17" ht="21.75" customHeight="1" thickBot="1" x14ac:dyDescent="0.4">
      <c r="C38" s="41" t="s">
        <v>107</v>
      </c>
      <c r="D38" s="211">
        <f>'1) Tableau budgétaire 1'!D32</f>
        <v>271000</v>
      </c>
      <c r="E38" s="222">
        <f>'1) Tableau budgétaire 1'!E32</f>
        <v>292000</v>
      </c>
      <c r="F38" s="232">
        <f>'1) Tableau budgétaire 1'!F32</f>
        <v>0</v>
      </c>
      <c r="G38" s="243">
        <f>'1) Tableau budgétaire 1'!G32</f>
        <v>0</v>
      </c>
      <c r="H38" s="253">
        <f>'1) Tableau budgétaire 1'!H32</f>
        <v>0</v>
      </c>
      <c r="I38" s="253">
        <f>'1) Tableau budgétaire 1'!I32</f>
        <v>0</v>
      </c>
      <c r="J38" s="42">
        <f>SUM(D38:I38)</f>
        <v>563000</v>
      </c>
      <c r="K38" s="130"/>
      <c r="L38" s="130"/>
      <c r="M38" s="130"/>
      <c r="N38" s="130"/>
      <c r="O38" s="130"/>
      <c r="P38" s="130"/>
      <c r="Q38" s="130"/>
    </row>
    <row r="39" spans="3:17" ht="16" thickBot="1" x14ac:dyDescent="0.4">
      <c r="C39" s="40" t="s">
        <v>96</v>
      </c>
      <c r="D39" s="212"/>
      <c r="E39" s="223"/>
      <c r="F39" s="233"/>
      <c r="G39" s="244"/>
      <c r="H39" s="254"/>
      <c r="I39" s="283"/>
      <c r="J39" s="42">
        <f t="shared" ref="J39:J45" si="4">SUM(D39:I39)</f>
        <v>0</v>
      </c>
      <c r="K39" s="130"/>
      <c r="L39" s="130"/>
      <c r="M39" s="130"/>
      <c r="N39" s="130"/>
      <c r="O39" s="130"/>
      <c r="P39" s="130"/>
      <c r="Q39" s="130"/>
    </row>
    <row r="40" spans="3:17" s="35" customFormat="1" ht="17.25" customHeight="1" thickBot="1" x14ac:dyDescent="0.4">
      <c r="C40" s="32" t="s">
        <v>97</v>
      </c>
      <c r="D40" s="213">
        <v>5000</v>
      </c>
      <c r="E40" s="153">
        <v>13800</v>
      </c>
      <c r="F40" s="165"/>
      <c r="G40" s="176"/>
      <c r="H40" s="186"/>
      <c r="I40" s="284"/>
      <c r="J40" s="42">
        <f t="shared" si="4"/>
        <v>18800</v>
      </c>
      <c r="K40" s="131"/>
      <c r="L40" s="131"/>
      <c r="M40" s="131"/>
      <c r="N40" s="131"/>
      <c r="O40" s="131"/>
      <c r="P40" s="131"/>
      <c r="Q40" s="131"/>
    </row>
    <row r="41" spans="3:17" s="35" customFormat="1" ht="31.5" thickBot="1" x14ac:dyDescent="0.4">
      <c r="C41" s="32" t="s">
        <v>98</v>
      </c>
      <c r="D41" s="213"/>
      <c r="E41" s="224"/>
      <c r="F41" s="234"/>
      <c r="G41" s="245"/>
      <c r="H41" s="255"/>
      <c r="I41" s="285"/>
      <c r="J41" s="42">
        <f t="shared" si="4"/>
        <v>0</v>
      </c>
      <c r="K41" s="131"/>
      <c r="L41" s="265"/>
      <c r="M41" s="131"/>
      <c r="N41" s="131"/>
      <c r="O41" s="131"/>
      <c r="P41" s="131"/>
      <c r="Q41" s="131"/>
    </row>
    <row r="42" spans="3:17" s="35" customFormat="1" ht="15.75" customHeight="1" thickBot="1" x14ac:dyDescent="0.4">
      <c r="C42" s="33" t="s">
        <v>99</v>
      </c>
      <c r="D42" s="213">
        <v>20000</v>
      </c>
      <c r="E42" s="224"/>
      <c r="F42" s="234"/>
      <c r="G42" s="245"/>
      <c r="H42" s="255"/>
      <c r="I42" s="285"/>
      <c r="J42" s="42">
        <f t="shared" si="4"/>
        <v>20000</v>
      </c>
      <c r="K42" s="131"/>
      <c r="L42" s="131"/>
      <c r="M42" s="131"/>
      <c r="N42" s="131"/>
      <c r="O42" s="131"/>
      <c r="P42" s="131"/>
      <c r="Q42" s="131"/>
    </row>
    <row r="43" spans="3:17" x14ac:dyDescent="0.35">
      <c r="C43" s="32" t="s">
        <v>100</v>
      </c>
      <c r="D43" s="213">
        <v>15000</v>
      </c>
      <c r="E43" s="224">
        <v>78200</v>
      </c>
      <c r="F43" s="234"/>
      <c r="G43" s="245"/>
      <c r="H43" s="255"/>
      <c r="I43" s="285"/>
      <c r="J43" s="42">
        <f t="shared" si="4"/>
        <v>93200</v>
      </c>
      <c r="K43" s="130"/>
      <c r="L43" s="130"/>
      <c r="M43" s="130"/>
      <c r="N43" s="130"/>
      <c r="O43" s="130"/>
      <c r="P43" s="130"/>
      <c r="Q43" s="130"/>
    </row>
    <row r="44" spans="3:17" x14ac:dyDescent="0.35">
      <c r="C44" s="32" t="s">
        <v>101</v>
      </c>
      <c r="D44" s="213">
        <v>231000</v>
      </c>
      <c r="E44" s="224">
        <v>200000</v>
      </c>
      <c r="F44" s="234"/>
      <c r="G44" s="245"/>
      <c r="H44" s="255"/>
      <c r="I44" s="285"/>
      <c r="J44" s="42">
        <f t="shared" si="4"/>
        <v>431000</v>
      </c>
      <c r="K44" s="130"/>
      <c r="L44" s="130"/>
      <c r="M44" s="130"/>
      <c r="N44" s="130"/>
      <c r="O44" s="130"/>
      <c r="P44" s="130"/>
      <c r="Q44" s="130"/>
    </row>
    <row r="45" spans="3:17" ht="18" customHeight="1" thickBot="1" x14ac:dyDescent="0.4">
      <c r="C45" s="32" t="s">
        <v>102</v>
      </c>
      <c r="D45" s="213"/>
      <c r="E45" s="224"/>
      <c r="F45" s="234"/>
      <c r="G45" s="245"/>
      <c r="H45" s="255"/>
      <c r="I45" s="285"/>
      <c r="J45" s="42">
        <f t="shared" si="4"/>
        <v>0</v>
      </c>
      <c r="K45" s="130"/>
      <c r="L45" s="130"/>
      <c r="M45" s="130"/>
      <c r="N45" s="130"/>
      <c r="O45" s="130"/>
      <c r="P45" s="130"/>
      <c r="Q45" s="130"/>
    </row>
    <row r="46" spans="3:17" ht="20.25" customHeight="1" thickBot="1" x14ac:dyDescent="0.4">
      <c r="C46" s="78" t="s">
        <v>103</v>
      </c>
      <c r="D46" s="215">
        <f t="shared" ref="D46:I46" si="5">SUM(D39:D45)</f>
        <v>271000</v>
      </c>
      <c r="E46" s="226">
        <f t="shared" si="5"/>
        <v>292000</v>
      </c>
      <c r="F46" s="236">
        <f t="shared" si="5"/>
        <v>0</v>
      </c>
      <c r="G46" s="247">
        <f t="shared" si="5"/>
        <v>0</v>
      </c>
      <c r="H46" s="257">
        <f t="shared" si="5"/>
        <v>0</v>
      </c>
      <c r="I46" s="257">
        <f t="shared" si="5"/>
        <v>0</v>
      </c>
      <c r="J46" s="42">
        <f>SUM(D46:I46)</f>
        <v>563000</v>
      </c>
      <c r="K46" s="130"/>
      <c r="L46" s="130"/>
      <c r="M46" s="130"/>
      <c r="N46" s="130"/>
      <c r="O46" s="130"/>
      <c r="P46" s="130"/>
      <c r="Q46" s="130"/>
    </row>
    <row r="47" spans="3:17" x14ac:dyDescent="0.35">
      <c r="C47" s="132"/>
      <c r="D47" s="133"/>
      <c r="E47" s="133"/>
      <c r="F47" s="133"/>
      <c r="G47" s="133"/>
      <c r="H47" s="133"/>
      <c r="I47" s="133"/>
      <c r="J47" s="134"/>
      <c r="K47" s="130"/>
      <c r="L47" s="130"/>
      <c r="M47" s="130"/>
      <c r="N47" s="130"/>
      <c r="O47" s="130"/>
      <c r="P47" s="130"/>
      <c r="Q47" s="130"/>
    </row>
    <row r="48" spans="3:17" s="35" customFormat="1" hidden="1" x14ac:dyDescent="0.35">
      <c r="C48" s="359" t="s">
        <v>108</v>
      </c>
      <c r="D48" s="360"/>
      <c r="E48" s="360"/>
      <c r="F48" s="360"/>
      <c r="G48" s="360"/>
      <c r="H48" s="360"/>
      <c r="I48" s="360"/>
      <c r="J48" s="361"/>
      <c r="K48" s="131"/>
      <c r="L48" s="131"/>
      <c r="M48" s="131"/>
      <c r="N48" s="131"/>
      <c r="O48" s="131"/>
      <c r="P48" s="131"/>
      <c r="Q48" s="131"/>
    </row>
    <row r="49" spans="2:17" ht="20.25" hidden="1" customHeight="1" thickBot="1" x14ac:dyDescent="0.4">
      <c r="B49" s="130"/>
      <c r="C49" s="41" t="s">
        <v>109</v>
      </c>
      <c r="D49" s="211" t="e">
        <f>'1) Tableau budgétaire 1'!#REF!</f>
        <v>#REF!</v>
      </c>
      <c r="E49" s="222" t="e">
        <f>'1) Tableau budgétaire 1'!#REF!</f>
        <v>#REF!</v>
      </c>
      <c r="F49" s="232" t="e">
        <f>'1) Tableau budgétaire 1'!#REF!</f>
        <v>#REF!</v>
      </c>
      <c r="G49" s="243" t="e">
        <f>'1) Tableau budgétaire 1'!#REF!</f>
        <v>#REF!</v>
      </c>
      <c r="H49" s="253" t="e">
        <f>'1) Tableau budgétaire 1'!#REF!</f>
        <v>#REF!</v>
      </c>
      <c r="I49" s="253"/>
      <c r="J49" s="42" t="e">
        <f>SUM(D49:H49)</f>
        <v>#REF!</v>
      </c>
      <c r="K49" s="130"/>
      <c r="L49" s="130"/>
      <c r="M49" s="130"/>
      <c r="N49" s="130"/>
      <c r="O49" s="130"/>
      <c r="P49" s="130"/>
      <c r="Q49" s="130"/>
    </row>
    <row r="50" spans="2:17" ht="16" hidden="1" thickBot="1" x14ac:dyDescent="0.4">
      <c r="B50" s="130"/>
      <c r="C50" s="40" t="s">
        <v>96</v>
      </c>
      <c r="D50" s="212"/>
      <c r="E50" s="223"/>
      <c r="F50" s="233"/>
      <c r="G50" s="244"/>
      <c r="H50" s="254"/>
      <c r="I50" s="283"/>
      <c r="J50" s="42">
        <f t="shared" ref="J50:J57" si="6">SUM(D50:H50)</f>
        <v>0</v>
      </c>
      <c r="K50" s="130"/>
      <c r="L50" s="130"/>
      <c r="M50" s="130"/>
      <c r="N50" s="130"/>
      <c r="O50" s="130"/>
      <c r="P50" s="130"/>
      <c r="Q50" s="130"/>
    </row>
    <row r="51" spans="2:17" ht="15.75" hidden="1" customHeight="1" thickBot="1" x14ac:dyDescent="0.4">
      <c r="B51" s="130"/>
      <c r="C51" s="32" t="s">
        <v>97</v>
      </c>
      <c r="D51" s="213"/>
      <c r="E51" s="153"/>
      <c r="F51" s="165"/>
      <c r="G51" s="176"/>
      <c r="H51" s="186"/>
      <c r="I51" s="284"/>
      <c r="J51" s="42">
        <f t="shared" si="6"/>
        <v>0</v>
      </c>
      <c r="K51" s="130"/>
      <c r="L51" s="130"/>
      <c r="M51" s="130"/>
      <c r="N51" s="130"/>
      <c r="O51" s="130"/>
      <c r="P51" s="130"/>
      <c r="Q51" s="130"/>
    </row>
    <row r="52" spans="2:17" ht="32.25" hidden="1" customHeight="1" thickBot="1" x14ac:dyDescent="0.4">
      <c r="B52" s="130"/>
      <c r="C52" s="32" t="s">
        <v>98</v>
      </c>
      <c r="D52" s="213"/>
      <c r="E52" s="224"/>
      <c r="F52" s="234"/>
      <c r="G52" s="245"/>
      <c r="H52" s="255"/>
      <c r="I52" s="285"/>
      <c r="J52" s="42">
        <f t="shared" si="6"/>
        <v>0</v>
      </c>
      <c r="K52" s="130"/>
      <c r="L52" s="130"/>
      <c r="M52" s="130"/>
      <c r="N52" s="130"/>
      <c r="O52" s="130"/>
      <c r="P52" s="130"/>
      <c r="Q52" s="130"/>
    </row>
    <row r="53" spans="2:17" s="35" customFormat="1" ht="16" hidden="1" thickBot="1" x14ac:dyDescent="0.4">
      <c r="B53" s="131"/>
      <c r="C53" s="33" t="s">
        <v>99</v>
      </c>
      <c r="D53" s="213"/>
      <c r="E53" s="224"/>
      <c r="F53" s="234"/>
      <c r="G53" s="245"/>
      <c r="H53" s="255"/>
      <c r="I53" s="285"/>
      <c r="J53" s="42">
        <f t="shared" si="6"/>
        <v>0</v>
      </c>
      <c r="K53" s="131"/>
      <c r="L53" s="131"/>
      <c r="M53" s="131"/>
      <c r="N53" s="131"/>
      <c r="O53" s="131"/>
      <c r="P53" s="131"/>
      <c r="Q53" s="131"/>
    </row>
    <row r="54" spans="2:17" ht="16" hidden="1" thickBot="1" x14ac:dyDescent="0.4">
      <c r="B54" s="130"/>
      <c r="C54" s="32" t="s">
        <v>100</v>
      </c>
      <c r="D54" s="213"/>
      <c r="E54" s="224"/>
      <c r="F54" s="234"/>
      <c r="G54" s="245"/>
      <c r="H54" s="255"/>
      <c r="I54" s="285"/>
      <c r="J54" s="42">
        <f t="shared" si="6"/>
        <v>0</v>
      </c>
      <c r="K54" s="130"/>
      <c r="L54" s="130"/>
      <c r="M54" s="130"/>
      <c r="N54" s="130"/>
      <c r="O54" s="130"/>
      <c r="P54" s="130"/>
      <c r="Q54" s="130"/>
    </row>
    <row r="55" spans="2:17" ht="16" hidden="1" thickBot="1" x14ac:dyDescent="0.4">
      <c r="B55" s="130"/>
      <c r="C55" s="32" t="s">
        <v>101</v>
      </c>
      <c r="D55" s="213"/>
      <c r="E55" s="224"/>
      <c r="F55" s="234"/>
      <c r="G55" s="245"/>
      <c r="H55" s="255"/>
      <c r="I55" s="285"/>
      <c r="J55" s="42">
        <f t="shared" si="6"/>
        <v>0</v>
      </c>
      <c r="K55" s="130"/>
      <c r="L55" s="130"/>
      <c r="M55" s="130"/>
      <c r="N55" s="130"/>
      <c r="O55" s="130"/>
      <c r="P55" s="130"/>
      <c r="Q55" s="130"/>
    </row>
    <row r="56" spans="2:17" ht="31.5" hidden="1" thickBot="1" x14ac:dyDescent="0.4">
      <c r="B56" s="130"/>
      <c r="C56" s="32" t="s">
        <v>102</v>
      </c>
      <c r="D56" s="213"/>
      <c r="E56" s="224"/>
      <c r="F56" s="234"/>
      <c r="G56" s="245"/>
      <c r="H56" s="255"/>
      <c r="I56" s="285"/>
      <c r="J56" s="42">
        <f t="shared" si="6"/>
        <v>0</v>
      </c>
      <c r="K56" s="130"/>
      <c r="L56" s="130"/>
      <c r="M56" s="130"/>
      <c r="N56" s="130"/>
      <c r="O56" s="130"/>
      <c r="P56" s="130"/>
      <c r="Q56" s="130"/>
    </row>
    <row r="57" spans="2:17" ht="21" hidden="1" customHeight="1" thickBot="1" x14ac:dyDescent="0.4">
      <c r="B57" s="130"/>
      <c r="C57" s="36" t="s">
        <v>103</v>
      </c>
      <c r="D57" s="214">
        <f>SUM(D50:D56)</f>
        <v>0</v>
      </c>
      <c r="E57" s="225">
        <f>SUM(E50:E56)</f>
        <v>0</v>
      </c>
      <c r="F57" s="235">
        <f>SUM(F50:F56)</f>
        <v>0</v>
      </c>
      <c r="G57" s="246">
        <f>SUM(G50:G56)</f>
        <v>0</v>
      </c>
      <c r="H57" s="256">
        <f>SUM(H50:H56)</f>
        <v>0</v>
      </c>
      <c r="I57" s="257"/>
      <c r="J57" s="42">
        <f t="shared" si="6"/>
        <v>0</v>
      </c>
      <c r="K57" s="130"/>
      <c r="L57" s="130"/>
      <c r="M57" s="130"/>
      <c r="N57" s="130"/>
      <c r="O57" s="130"/>
      <c r="P57" s="130"/>
      <c r="Q57" s="130"/>
    </row>
    <row r="58" spans="2:17" s="35" customFormat="1" ht="22.5" customHeight="1" x14ac:dyDescent="0.35">
      <c r="B58" s="131"/>
      <c r="C58" s="46"/>
      <c r="D58" s="44"/>
      <c r="E58" s="44"/>
      <c r="F58" s="44"/>
      <c r="G58" s="44"/>
      <c r="H58" s="44"/>
      <c r="I58" s="44"/>
      <c r="J58" s="45"/>
      <c r="K58" s="131"/>
      <c r="L58" s="131"/>
      <c r="M58" s="131"/>
      <c r="N58" s="131"/>
      <c r="O58" s="131"/>
      <c r="P58" s="131"/>
      <c r="Q58" s="131"/>
    </row>
    <row r="59" spans="2:17" x14ac:dyDescent="0.35">
      <c r="B59" s="342" t="s">
        <v>110</v>
      </c>
      <c r="C59" s="343"/>
      <c r="D59" s="343"/>
      <c r="E59" s="343"/>
      <c r="F59" s="343"/>
      <c r="G59" s="343"/>
      <c r="H59" s="343"/>
      <c r="I59" s="343"/>
      <c r="J59" s="344"/>
      <c r="K59" s="130"/>
      <c r="L59" s="130"/>
      <c r="M59" s="130"/>
      <c r="N59" s="130"/>
      <c r="O59" s="130"/>
      <c r="P59" s="130"/>
      <c r="Q59" s="130"/>
    </row>
    <row r="60" spans="2:17" x14ac:dyDescent="0.35">
      <c r="B60" s="130"/>
      <c r="C60" s="342" t="s">
        <v>37</v>
      </c>
      <c r="D60" s="343"/>
      <c r="E60" s="343"/>
      <c r="F60" s="343"/>
      <c r="G60" s="343"/>
      <c r="H60" s="343"/>
      <c r="I60" s="343"/>
      <c r="J60" s="344"/>
      <c r="K60" s="130"/>
      <c r="L60" s="130"/>
      <c r="M60" s="130"/>
      <c r="N60" s="130"/>
      <c r="O60" s="130"/>
      <c r="P60" s="130"/>
      <c r="Q60" s="130"/>
    </row>
    <row r="61" spans="2:17" ht="24" customHeight="1" thickBot="1" x14ac:dyDescent="0.4">
      <c r="B61" s="130"/>
      <c r="C61" s="41" t="s">
        <v>111</v>
      </c>
      <c r="D61" s="211">
        <f>'1) Tableau budgétaire 1'!D37</f>
        <v>0</v>
      </c>
      <c r="E61" s="222">
        <f>'1) Tableau budgétaire 1'!E37</f>
        <v>0</v>
      </c>
      <c r="F61" s="232">
        <f>'1) Tableau budgétaire 1'!F37</f>
        <v>0</v>
      </c>
      <c r="G61" s="243">
        <f>'1) Tableau budgétaire 1'!G37</f>
        <v>0</v>
      </c>
      <c r="H61" s="253">
        <f>'1) Tableau budgétaire 1'!H37</f>
        <v>61600</v>
      </c>
      <c r="I61" s="253">
        <f>'1) Tableau budgétaire 1'!I37</f>
        <v>48400</v>
      </c>
      <c r="J61" s="42">
        <f>SUM(D61:I61)</f>
        <v>110000</v>
      </c>
      <c r="K61" s="130"/>
      <c r="L61" s="130"/>
      <c r="M61" s="130"/>
      <c r="N61" s="130"/>
      <c r="O61" s="130"/>
      <c r="P61" s="130"/>
      <c r="Q61" s="130"/>
    </row>
    <row r="62" spans="2:17" ht="15.75" customHeight="1" thickBot="1" x14ac:dyDescent="0.4">
      <c r="B62" s="130"/>
      <c r="C62" s="40" t="s">
        <v>96</v>
      </c>
      <c r="D62" s="212"/>
      <c r="E62" s="223"/>
      <c r="F62" s="233"/>
      <c r="G62" s="244"/>
      <c r="H62" s="255"/>
      <c r="I62" s="255"/>
      <c r="J62" s="42">
        <f t="shared" ref="J62:J68" si="7">SUM(D62:I62)</f>
        <v>0</v>
      </c>
      <c r="K62" s="130"/>
      <c r="L62" s="130"/>
      <c r="M62" s="130"/>
      <c r="N62" s="130"/>
      <c r="O62" s="130"/>
      <c r="P62" s="130"/>
      <c r="Q62" s="130"/>
    </row>
    <row r="63" spans="2:17" ht="15.75" customHeight="1" thickBot="1" x14ac:dyDescent="0.4">
      <c r="B63" s="130"/>
      <c r="C63" s="32" t="s">
        <v>97</v>
      </c>
      <c r="D63" s="213"/>
      <c r="E63" s="153"/>
      <c r="F63" s="165"/>
      <c r="G63" s="176"/>
      <c r="H63" s="186"/>
      <c r="I63" s="186"/>
      <c r="J63" s="42">
        <f t="shared" si="7"/>
        <v>0</v>
      </c>
      <c r="K63" s="130"/>
      <c r="L63" s="130"/>
      <c r="M63" s="130"/>
      <c r="N63" s="130"/>
      <c r="O63" s="130"/>
      <c r="P63" s="130"/>
      <c r="Q63" s="130"/>
    </row>
    <row r="64" spans="2:17" ht="36.75" customHeight="1" thickBot="1" x14ac:dyDescent="0.4">
      <c r="B64" s="130"/>
      <c r="C64" s="32" t="s">
        <v>98</v>
      </c>
      <c r="D64" s="213"/>
      <c r="E64" s="224"/>
      <c r="F64" s="234"/>
      <c r="G64" s="245"/>
      <c r="H64" s="255"/>
      <c r="I64" s="285"/>
      <c r="J64" s="42">
        <f t="shared" si="7"/>
        <v>0</v>
      </c>
      <c r="K64" s="130"/>
      <c r="L64" s="130"/>
      <c r="M64" s="130"/>
      <c r="N64" s="130"/>
      <c r="O64" s="130"/>
      <c r="P64" s="130"/>
      <c r="Q64" s="130"/>
    </row>
    <row r="65" spans="2:17" ht="18.75" customHeight="1" thickBot="1" x14ac:dyDescent="0.4">
      <c r="B65" s="130"/>
      <c r="C65" s="33" t="s">
        <v>99</v>
      </c>
      <c r="D65" s="213"/>
      <c r="E65" s="224"/>
      <c r="F65" s="234"/>
      <c r="G65" s="245"/>
      <c r="H65" s="255">
        <f>20000*56%</f>
        <v>11200.000000000002</v>
      </c>
      <c r="I65" s="285">
        <f>20000*44%</f>
        <v>8800</v>
      </c>
      <c r="J65" s="42">
        <f t="shared" si="7"/>
        <v>20000</v>
      </c>
      <c r="K65" s="130"/>
      <c r="L65" s="130"/>
      <c r="M65" s="130"/>
      <c r="N65" s="130"/>
      <c r="O65" s="130"/>
      <c r="P65" s="130"/>
      <c r="Q65" s="130"/>
    </row>
    <row r="66" spans="2:17" x14ac:dyDescent="0.35">
      <c r="B66" s="130"/>
      <c r="C66" s="32" t="s">
        <v>100</v>
      </c>
      <c r="D66" s="213"/>
      <c r="E66" s="224"/>
      <c r="F66" s="234"/>
      <c r="G66" s="245"/>
      <c r="H66" s="258">
        <f>32300*56%</f>
        <v>18088</v>
      </c>
      <c r="I66" s="286">
        <f>32300*44%</f>
        <v>14212</v>
      </c>
      <c r="J66" s="42">
        <f t="shared" si="7"/>
        <v>32300</v>
      </c>
      <c r="K66" s="130"/>
      <c r="L66" s="130"/>
      <c r="M66" s="130"/>
      <c r="N66" s="130"/>
      <c r="O66" s="130"/>
      <c r="P66" s="130"/>
      <c r="Q66" s="130"/>
    </row>
    <row r="67" spans="2:17" s="35" customFormat="1" ht="21.75" customHeight="1" thickBot="1" x14ac:dyDescent="0.4">
      <c r="B67" s="130"/>
      <c r="C67" s="32" t="s">
        <v>101</v>
      </c>
      <c r="D67" s="213"/>
      <c r="E67" s="224"/>
      <c r="F67" s="234"/>
      <c r="G67" s="245"/>
      <c r="H67" s="255">
        <f>50000*56%</f>
        <v>28000.000000000004</v>
      </c>
      <c r="I67" s="285">
        <f>50000*44%</f>
        <v>22000</v>
      </c>
      <c r="J67" s="42">
        <f t="shared" si="7"/>
        <v>50000</v>
      </c>
      <c r="K67" s="131"/>
      <c r="L67" s="131"/>
      <c r="M67" s="131"/>
      <c r="N67" s="131"/>
      <c r="O67" s="131"/>
      <c r="P67" s="131"/>
      <c r="Q67" s="131"/>
    </row>
    <row r="68" spans="2:17" s="35" customFormat="1" ht="18.649999999999999" customHeight="1" x14ac:dyDescent="0.35">
      <c r="B68" s="130"/>
      <c r="C68" s="32" t="s">
        <v>102</v>
      </c>
      <c r="D68" s="213"/>
      <c r="E68" s="224"/>
      <c r="F68" s="234"/>
      <c r="G68" s="245"/>
      <c r="H68" s="255">
        <f>7700*56%</f>
        <v>4312</v>
      </c>
      <c r="I68" s="285">
        <f>7700*44%</f>
        <v>3388</v>
      </c>
      <c r="J68" s="42">
        <f t="shared" si="7"/>
        <v>7700</v>
      </c>
      <c r="K68" s="131"/>
      <c r="L68" s="131"/>
      <c r="M68" s="131"/>
      <c r="N68" s="131"/>
      <c r="O68" s="131"/>
      <c r="P68" s="131"/>
      <c r="Q68" s="131"/>
    </row>
    <row r="69" spans="2:17" ht="18.75" customHeight="1" thickBot="1" x14ac:dyDescent="0.4">
      <c r="B69" s="130"/>
      <c r="C69" s="36" t="s">
        <v>103</v>
      </c>
      <c r="D69" s="214">
        <f t="shared" ref="D69:I69" si="8">SUM(D62:D68)</f>
        <v>0</v>
      </c>
      <c r="E69" s="225">
        <f t="shared" si="8"/>
        <v>0</v>
      </c>
      <c r="F69" s="235">
        <f t="shared" si="8"/>
        <v>0</v>
      </c>
      <c r="G69" s="246">
        <f t="shared" si="8"/>
        <v>0</v>
      </c>
      <c r="H69" s="256">
        <f t="shared" si="8"/>
        <v>61600</v>
      </c>
      <c r="I69" s="256">
        <f t="shared" si="8"/>
        <v>48400</v>
      </c>
      <c r="J69" s="42">
        <f>SUM(D69:I69)</f>
        <v>110000</v>
      </c>
      <c r="K69" s="130"/>
      <c r="L69" s="130"/>
      <c r="M69" s="130"/>
      <c r="N69" s="130"/>
      <c r="O69" s="130"/>
      <c r="P69" s="130"/>
      <c r="Q69" s="130"/>
    </row>
    <row r="70" spans="2:17" s="35" customFormat="1" x14ac:dyDescent="0.35">
      <c r="B70" s="131"/>
      <c r="C70" s="43"/>
      <c r="D70" s="44"/>
      <c r="E70" s="44"/>
      <c r="F70" s="44"/>
      <c r="G70" s="44"/>
      <c r="H70" s="44"/>
      <c r="I70" s="44"/>
      <c r="J70" s="45"/>
      <c r="K70" s="131"/>
      <c r="L70" s="131"/>
      <c r="M70" s="131"/>
      <c r="N70" s="131"/>
      <c r="O70" s="131"/>
      <c r="P70" s="131"/>
      <c r="Q70" s="131"/>
    </row>
    <row r="71" spans="2:17" x14ac:dyDescent="0.35">
      <c r="B71" s="131"/>
      <c r="C71" s="342" t="s">
        <v>40</v>
      </c>
      <c r="D71" s="343"/>
      <c r="E71" s="343"/>
      <c r="F71" s="343"/>
      <c r="G71" s="343"/>
      <c r="H71" s="343"/>
      <c r="I71" s="343"/>
      <c r="J71" s="344"/>
      <c r="K71" s="130"/>
      <c r="L71" s="130"/>
      <c r="M71" s="130"/>
      <c r="N71" s="130"/>
      <c r="O71" s="130"/>
      <c r="P71" s="130"/>
      <c r="Q71" s="130"/>
    </row>
    <row r="72" spans="2:17" ht="21.75" customHeight="1" thickBot="1" x14ac:dyDescent="0.4">
      <c r="B72" s="130"/>
      <c r="C72" s="41" t="s">
        <v>112</v>
      </c>
      <c r="D72" s="211">
        <f>'1) Tableau budgétaire 1'!D46</f>
        <v>0</v>
      </c>
      <c r="E72" s="222">
        <f>'1) Tableau budgétaire 1'!E46</f>
        <v>0</v>
      </c>
      <c r="F72" s="232">
        <f>'1) Tableau budgétaire 1'!F46</f>
        <v>0</v>
      </c>
      <c r="G72" s="243">
        <f>'1) Tableau budgétaire 1'!G46</f>
        <v>0</v>
      </c>
      <c r="H72" s="253">
        <f>'1) Tableau budgétaire 1'!H41</f>
        <v>58800.000000000007</v>
      </c>
      <c r="I72" s="253">
        <f>'1) Tableau budgétaire 1'!I41</f>
        <v>46200</v>
      </c>
      <c r="J72" s="42">
        <f>SUM(D72:I72)</f>
        <v>105000</v>
      </c>
      <c r="K72" s="130"/>
      <c r="L72" s="130"/>
      <c r="M72" s="130"/>
      <c r="N72" s="130"/>
      <c r="O72" s="130"/>
      <c r="P72" s="130"/>
      <c r="Q72" s="130"/>
    </row>
    <row r="73" spans="2:17" ht="15.75" customHeight="1" thickBot="1" x14ac:dyDescent="0.4">
      <c r="B73" s="130"/>
      <c r="C73" s="40" t="s">
        <v>96</v>
      </c>
      <c r="D73" s="212"/>
      <c r="E73" s="223"/>
      <c r="F73" s="233"/>
      <c r="G73" s="244"/>
      <c r="H73" s="254"/>
      <c r="I73" s="283"/>
      <c r="J73" s="42">
        <f t="shared" ref="J73:J79" si="9">SUM(D73:I73)</f>
        <v>0</v>
      </c>
      <c r="K73" s="130"/>
      <c r="L73" s="130"/>
      <c r="M73" s="130"/>
      <c r="N73" s="130"/>
      <c r="O73" s="130"/>
      <c r="P73" s="130"/>
      <c r="Q73" s="130"/>
    </row>
    <row r="74" spans="2:17" ht="15.75" customHeight="1" thickBot="1" x14ac:dyDescent="0.4">
      <c r="B74" s="130"/>
      <c r="C74" s="32" t="s">
        <v>97</v>
      </c>
      <c r="D74" s="213"/>
      <c r="E74" s="153"/>
      <c r="F74" s="165"/>
      <c r="G74" s="176"/>
      <c r="H74" s="186">
        <f>10000*56%</f>
        <v>5600.0000000000009</v>
      </c>
      <c r="I74" s="284">
        <f>10000*44%</f>
        <v>4400</v>
      </c>
      <c r="J74" s="42">
        <f t="shared" si="9"/>
        <v>10000</v>
      </c>
      <c r="K74" s="130"/>
      <c r="L74" s="130"/>
      <c r="M74" s="130"/>
      <c r="N74" s="130"/>
      <c r="O74" s="130"/>
      <c r="P74" s="130"/>
      <c r="Q74" s="130"/>
    </row>
    <row r="75" spans="2:17" ht="33" customHeight="1" thickBot="1" x14ac:dyDescent="0.4">
      <c r="B75" s="130"/>
      <c r="C75" s="32" t="s">
        <v>98</v>
      </c>
      <c r="D75" s="213"/>
      <c r="E75" s="224"/>
      <c r="F75" s="234"/>
      <c r="G75" s="245"/>
      <c r="H75" s="255"/>
      <c r="I75" s="285"/>
      <c r="J75" s="42">
        <f t="shared" si="9"/>
        <v>0</v>
      </c>
      <c r="K75" s="130"/>
      <c r="L75" s="130"/>
      <c r="M75" s="130"/>
      <c r="N75" s="130"/>
      <c r="O75" s="130"/>
      <c r="P75" s="130"/>
      <c r="Q75" s="130"/>
    </row>
    <row r="76" spans="2:17" x14ac:dyDescent="0.35">
      <c r="B76" s="130"/>
      <c r="C76" s="33" t="s">
        <v>99</v>
      </c>
      <c r="D76" s="213"/>
      <c r="E76" s="224"/>
      <c r="F76" s="234"/>
      <c r="G76" s="245"/>
      <c r="H76" s="255">
        <f>52650*56%</f>
        <v>29484.000000000004</v>
      </c>
      <c r="I76" s="285">
        <f>52650*44%</f>
        <v>23166</v>
      </c>
      <c r="J76" s="42">
        <f t="shared" si="9"/>
        <v>52650</v>
      </c>
      <c r="K76" s="130"/>
      <c r="L76" s="130"/>
      <c r="M76" s="130"/>
      <c r="N76" s="130"/>
      <c r="O76" s="130"/>
      <c r="P76" s="130"/>
      <c r="Q76" s="130"/>
    </row>
    <row r="77" spans="2:17" x14ac:dyDescent="0.35">
      <c r="B77" s="130"/>
      <c r="C77" s="32" t="s">
        <v>100</v>
      </c>
      <c r="D77" s="213"/>
      <c r="E77" s="224"/>
      <c r="F77" s="234"/>
      <c r="G77" s="245"/>
      <c r="H77" s="255">
        <f>35000*56%</f>
        <v>19600.000000000004</v>
      </c>
      <c r="I77" s="285">
        <f>35000*44%</f>
        <v>15400</v>
      </c>
      <c r="J77" s="42">
        <f t="shared" si="9"/>
        <v>35000</v>
      </c>
      <c r="K77" s="130"/>
      <c r="L77" s="130"/>
      <c r="M77" s="130"/>
      <c r="N77" s="130"/>
      <c r="O77" s="130"/>
      <c r="P77" s="130"/>
      <c r="Q77" s="130"/>
    </row>
    <row r="78" spans="2:17" x14ac:dyDescent="0.35">
      <c r="B78" s="130"/>
      <c r="C78" s="32" t="s">
        <v>101</v>
      </c>
      <c r="D78" s="213"/>
      <c r="E78" s="224"/>
      <c r="F78" s="234"/>
      <c r="G78" s="245"/>
      <c r="H78" s="255"/>
      <c r="I78" s="285"/>
      <c r="J78" s="42">
        <f t="shared" si="9"/>
        <v>0</v>
      </c>
      <c r="K78" s="130"/>
      <c r="L78" s="130"/>
      <c r="M78" s="130"/>
      <c r="N78" s="130"/>
      <c r="O78" s="130"/>
      <c r="P78" s="130"/>
      <c r="Q78" s="130"/>
    </row>
    <row r="79" spans="2:17" ht="22.5" customHeight="1" x14ac:dyDescent="0.35">
      <c r="B79" s="130"/>
      <c r="C79" s="32" t="s">
        <v>102</v>
      </c>
      <c r="D79" s="213"/>
      <c r="E79" s="224"/>
      <c r="F79" s="234"/>
      <c r="G79" s="245"/>
      <c r="H79" s="255">
        <f>7350*56%</f>
        <v>4116</v>
      </c>
      <c r="I79" s="285">
        <f>7350*44%</f>
        <v>3234</v>
      </c>
      <c r="J79" s="42">
        <f t="shared" si="9"/>
        <v>7350</v>
      </c>
      <c r="K79" s="130"/>
      <c r="L79" s="130"/>
      <c r="M79" s="130"/>
      <c r="N79" s="130"/>
      <c r="O79" s="130"/>
      <c r="P79" s="130"/>
      <c r="Q79" s="130"/>
    </row>
    <row r="80" spans="2:17" ht="16" thickBot="1" x14ac:dyDescent="0.4">
      <c r="B80" s="130"/>
      <c r="C80" s="36" t="s">
        <v>103</v>
      </c>
      <c r="D80" s="214">
        <f t="shared" ref="D80:I80" si="10">SUM(D73:D79)</f>
        <v>0</v>
      </c>
      <c r="E80" s="225">
        <f t="shared" si="10"/>
        <v>0</v>
      </c>
      <c r="F80" s="235">
        <f t="shared" si="10"/>
        <v>0</v>
      </c>
      <c r="G80" s="246">
        <f t="shared" si="10"/>
        <v>0</v>
      </c>
      <c r="H80" s="256">
        <f t="shared" si="10"/>
        <v>58800.000000000015</v>
      </c>
      <c r="I80" s="256">
        <f t="shared" si="10"/>
        <v>46200</v>
      </c>
      <c r="J80" s="42">
        <f>SUM(D80:I80)</f>
        <v>105000.00000000001</v>
      </c>
      <c r="K80" s="130"/>
      <c r="L80" s="130"/>
      <c r="M80" s="130"/>
      <c r="N80" s="130"/>
      <c r="O80" s="130"/>
      <c r="P80" s="130"/>
      <c r="Q80" s="130"/>
    </row>
    <row r="81" spans="2:17" s="35" customFormat="1" x14ac:dyDescent="0.35">
      <c r="B81" s="131"/>
      <c r="C81" s="43"/>
      <c r="D81" s="44"/>
      <c r="E81" s="44"/>
      <c r="F81" s="44"/>
      <c r="G81" s="44"/>
      <c r="H81" s="44"/>
      <c r="I81" s="44"/>
      <c r="J81" s="45"/>
      <c r="K81" s="131"/>
      <c r="L81" s="131"/>
      <c r="M81" s="131"/>
      <c r="N81" s="131"/>
      <c r="O81" s="131"/>
      <c r="P81" s="131"/>
      <c r="Q81" s="131"/>
    </row>
    <row r="82" spans="2:17" x14ac:dyDescent="0.35">
      <c r="B82" s="130"/>
      <c r="C82" s="342" t="s">
        <v>43</v>
      </c>
      <c r="D82" s="343"/>
      <c r="E82" s="343"/>
      <c r="F82" s="343"/>
      <c r="G82" s="343"/>
      <c r="H82" s="343"/>
      <c r="I82" s="343"/>
      <c r="J82" s="344"/>
      <c r="K82" s="130"/>
      <c r="L82" s="130"/>
      <c r="M82" s="130"/>
      <c r="N82" s="130"/>
      <c r="O82" s="130"/>
      <c r="P82" s="130"/>
      <c r="Q82" s="130"/>
    </row>
    <row r="83" spans="2:17" ht="21.75" customHeight="1" thickBot="1" x14ac:dyDescent="0.4">
      <c r="B83" s="131"/>
      <c r="C83" s="41" t="s">
        <v>113</v>
      </c>
      <c r="D83" s="211">
        <v>0</v>
      </c>
      <c r="E83" s="222">
        <v>0</v>
      </c>
      <c r="F83" s="232">
        <v>0</v>
      </c>
      <c r="G83" s="243">
        <v>0</v>
      </c>
      <c r="H83" s="253">
        <f>'1) Tableau budgétaire 1'!H46</f>
        <v>100800</v>
      </c>
      <c r="I83" s="253">
        <f>'1) Tableau budgétaire 1'!I46</f>
        <v>79200</v>
      </c>
      <c r="J83" s="42">
        <f>SUM(D83:I83)</f>
        <v>180000</v>
      </c>
      <c r="K83" s="130"/>
      <c r="L83" s="130"/>
      <c r="M83" s="130"/>
      <c r="N83" s="130"/>
      <c r="O83" s="130"/>
      <c r="P83" s="130"/>
      <c r="Q83" s="130"/>
    </row>
    <row r="84" spans="2:17" ht="18" customHeight="1" thickBot="1" x14ac:dyDescent="0.4">
      <c r="B84" s="130"/>
      <c r="C84" s="40" t="s">
        <v>96</v>
      </c>
      <c r="D84" s="212"/>
      <c r="E84" s="223"/>
      <c r="F84" s="233"/>
      <c r="G84" s="244"/>
      <c r="H84" s="254"/>
      <c r="I84" s="283"/>
      <c r="J84" s="42">
        <f>SUM(D84:I84)</f>
        <v>0</v>
      </c>
      <c r="K84" s="130"/>
      <c r="L84" s="130"/>
      <c r="M84" s="130"/>
      <c r="N84" s="130"/>
      <c r="O84" s="130"/>
      <c r="P84" s="130"/>
      <c r="Q84" s="130"/>
    </row>
    <row r="85" spans="2:17" ht="15.75" customHeight="1" thickBot="1" x14ac:dyDescent="0.4">
      <c r="B85" s="130"/>
      <c r="C85" s="32" t="s">
        <v>97</v>
      </c>
      <c r="D85" s="213"/>
      <c r="E85" s="153"/>
      <c r="F85" s="165"/>
      <c r="G85" s="176"/>
      <c r="H85" s="186"/>
      <c r="I85" s="284"/>
      <c r="J85" s="42">
        <f t="shared" ref="J85:J90" si="11">SUM(D85:I85)</f>
        <v>0</v>
      </c>
      <c r="K85" s="130"/>
      <c r="L85" s="130"/>
      <c r="M85" s="130"/>
      <c r="N85" s="130"/>
      <c r="O85" s="130"/>
      <c r="P85" s="130"/>
      <c r="Q85" s="130"/>
    </row>
    <row r="86" spans="2:17" s="35" customFormat="1" ht="27.75" customHeight="1" thickBot="1" x14ac:dyDescent="0.4">
      <c r="B86" s="130"/>
      <c r="C86" s="32" t="s">
        <v>98</v>
      </c>
      <c r="D86" s="213"/>
      <c r="E86" s="224"/>
      <c r="F86" s="234"/>
      <c r="G86" s="245"/>
      <c r="H86" s="255">
        <f>30000*56%</f>
        <v>16800</v>
      </c>
      <c r="I86" s="285">
        <f>30000*44%</f>
        <v>13200</v>
      </c>
      <c r="J86" s="42">
        <f t="shared" si="11"/>
        <v>30000</v>
      </c>
      <c r="K86" s="131"/>
      <c r="L86" s="131"/>
      <c r="M86" s="131"/>
      <c r="N86" s="131"/>
      <c r="O86" s="131"/>
      <c r="P86" s="131"/>
      <c r="Q86" s="131"/>
    </row>
    <row r="87" spans="2:17" x14ac:dyDescent="0.35">
      <c r="B87" s="131"/>
      <c r="C87" s="33" t="s">
        <v>99</v>
      </c>
      <c r="D87" s="213"/>
      <c r="E87" s="224"/>
      <c r="F87" s="234"/>
      <c r="G87" s="245"/>
      <c r="H87" s="255">
        <f>99000*56%</f>
        <v>55440.000000000007</v>
      </c>
      <c r="I87" s="285">
        <f>99000*44%</f>
        <v>43560</v>
      </c>
      <c r="J87" s="42">
        <f t="shared" si="11"/>
        <v>99000</v>
      </c>
      <c r="K87" s="130"/>
      <c r="L87" s="130"/>
      <c r="M87" s="130"/>
      <c r="N87" s="130"/>
      <c r="O87" s="130"/>
      <c r="P87" s="130"/>
      <c r="Q87" s="130"/>
    </row>
    <row r="88" spans="2:17" x14ac:dyDescent="0.35">
      <c r="B88" s="131"/>
      <c r="C88" s="32" t="s">
        <v>100</v>
      </c>
      <c r="D88" s="213"/>
      <c r="E88" s="224"/>
      <c r="F88" s="234"/>
      <c r="G88" s="245"/>
      <c r="H88" s="255">
        <f>38400*56%</f>
        <v>21504.000000000004</v>
      </c>
      <c r="I88" s="285">
        <f>38400*44%</f>
        <v>16896</v>
      </c>
      <c r="J88" s="42">
        <f t="shared" si="11"/>
        <v>38400</v>
      </c>
      <c r="K88" s="130"/>
      <c r="L88" s="130"/>
      <c r="M88" s="130"/>
      <c r="N88" s="130"/>
      <c r="O88" s="130"/>
      <c r="P88" s="130"/>
      <c r="Q88" s="130"/>
    </row>
    <row r="89" spans="2:17" x14ac:dyDescent="0.35">
      <c r="B89" s="131"/>
      <c r="C89" s="32" t="s">
        <v>101</v>
      </c>
      <c r="D89" s="213"/>
      <c r="E89" s="224"/>
      <c r="F89" s="234"/>
      <c r="G89" s="245"/>
      <c r="H89" s="255"/>
      <c r="I89" s="285"/>
      <c r="J89" s="42">
        <f t="shared" si="11"/>
        <v>0</v>
      </c>
      <c r="K89" s="130"/>
      <c r="L89" s="130"/>
      <c r="M89" s="130"/>
      <c r="N89" s="130"/>
      <c r="O89" s="130"/>
      <c r="P89" s="130"/>
      <c r="Q89" s="130"/>
    </row>
    <row r="90" spans="2:17" ht="22.5" customHeight="1" thickBot="1" x14ac:dyDescent="0.4">
      <c r="B90" s="130"/>
      <c r="C90" s="32" t="s">
        <v>102</v>
      </c>
      <c r="D90" s="213"/>
      <c r="E90" s="224"/>
      <c r="F90" s="234"/>
      <c r="G90" s="245"/>
      <c r="H90" s="255">
        <f>12600*56%</f>
        <v>7056.0000000000009</v>
      </c>
      <c r="I90" s="285">
        <f>12600*44%</f>
        <v>5544</v>
      </c>
      <c r="J90" s="42">
        <f t="shared" si="11"/>
        <v>12600</v>
      </c>
      <c r="K90" s="130"/>
      <c r="L90" s="130"/>
      <c r="M90" s="130"/>
      <c r="N90" s="130"/>
      <c r="O90" s="130"/>
      <c r="P90" s="130"/>
      <c r="Q90" s="130"/>
    </row>
    <row r="91" spans="2:17" ht="16" thickBot="1" x14ac:dyDescent="0.4">
      <c r="B91" s="130"/>
      <c r="C91" s="36" t="s">
        <v>103</v>
      </c>
      <c r="D91" s="214">
        <f t="shared" ref="D91:I91" si="12">SUM(D84:D90)</f>
        <v>0</v>
      </c>
      <c r="E91" s="225">
        <f t="shared" si="12"/>
        <v>0</v>
      </c>
      <c r="F91" s="235">
        <f t="shared" si="12"/>
        <v>0</v>
      </c>
      <c r="G91" s="246">
        <f t="shared" si="12"/>
        <v>0</v>
      </c>
      <c r="H91" s="256">
        <f t="shared" si="12"/>
        <v>100800</v>
      </c>
      <c r="I91" s="256">
        <f t="shared" si="12"/>
        <v>79200</v>
      </c>
      <c r="J91" s="42">
        <f>SUM(D91:I91)</f>
        <v>180000</v>
      </c>
      <c r="K91" s="130"/>
      <c r="L91" s="130"/>
      <c r="M91" s="130"/>
      <c r="N91" s="130"/>
      <c r="O91" s="130"/>
      <c r="P91" s="130"/>
      <c r="Q91" s="130"/>
    </row>
    <row r="92" spans="2:17" s="35" customFormat="1" x14ac:dyDescent="0.35">
      <c r="B92" s="131"/>
      <c r="C92" s="43"/>
      <c r="D92" s="44"/>
      <c r="E92" s="44"/>
      <c r="F92" s="44"/>
      <c r="G92" s="44"/>
      <c r="H92" s="44"/>
      <c r="I92" s="44"/>
      <c r="J92" s="45"/>
      <c r="K92" s="131"/>
      <c r="L92" s="131"/>
      <c r="M92" s="131"/>
      <c r="N92" s="131"/>
      <c r="O92" s="131"/>
      <c r="P92" s="131"/>
      <c r="Q92" s="131"/>
    </row>
    <row r="93" spans="2:17" hidden="1" x14ac:dyDescent="0.35">
      <c r="B93" s="130"/>
      <c r="C93" s="342" t="s">
        <v>114</v>
      </c>
      <c r="D93" s="343"/>
      <c r="E93" s="343"/>
      <c r="F93" s="343"/>
      <c r="G93" s="343"/>
      <c r="H93" s="343"/>
      <c r="I93" s="343"/>
      <c r="J93" s="344"/>
      <c r="K93" s="130"/>
      <c r="L93" s="130"/>
      <c r="M93" s="130"/>
      <c r="N93" s="130"/>
      <c r="O93" s="130"/>
      <c r="P93" s="130"/>
      <c r="Q93" s="130"/>
    </row>
    <row r="94" spans="2:17" ht="21.75" hidden="1" customHeight="1" thickBot="1" x14ac:dyDescent="0.4">
      <c r="B94" s="130"/>
      <c r="C94" s="41" t="s">
        <v>115</v>
      </c>
      <c r="D94" s="211" t="e">
        <f>'1) Tableau budgétaire 1'!#REF!</f>
        <v>#REF!</v>
      </c>
      <c r="E94" s="222" t="e">
        <f>'1) Tableau budgétaire 1'!#REF!</f>
        <v>#REF!</v>
      </c>
      <c r="F94" s="232" t="e">
        <f>'1) Tableau budgétaire 1'!#REF!</f>
        <v>#REF!</v>
      </c>
      <c r="G94" s="243" t="e">
        <f>'1) Tableau budgétaire 1'!#REF!</f>
        <v>#REF!</v>
      </c>
      <c r="H94" s="253" t="e">
        <f>'1) Tableau budgétaire 1'!#REF!</f>
        <v>#REF!</v>
      </c>
      <c r="I94" s="253"/>
      <c r="J94" s="42" t="e">
        <f>SUM(D94:H94)</f>
        <v>#REF!</v>
      </c>
      <c r="K94" s="130"/>
      <c r="L94" s="130"/>
      <c r="M94" s="130"/>
      <c r="N94" s="130"/>
      <c r="O94" s="130"/>
      <c r="P94" s="130"/>
      <c r="Q94" s="130"/>
    </row>
    <row r="95" spans="2:17" ht="15.75" hidden="1" customHeight="1" thickBot="1" x14ac:dyDescent="0.4">
      <c r="B95" s="130"/>
      <c r="C95" s="40" t="s">
        <v>96</v>
      </c>
      <c r="D95" s="212"/>
      <c r="E95" s="223"/>
      <c r="F95" s="233"/>
      <c r="G95" s="244"/>
      <c r="H95" s="254"/>
      <c r="I95" s="283"/>
      <c r="J95" s="42">
        <f t="shared" ref="J95:J102" si="13">SUM(D95:H95)</f>
        <v>0</v>
      </c>
      <c r="K95" s="130"/>
      <c r="L95" s="130"/>
      <c r="M95" s="130"/>
      <c r="N95" s="130"/>
      <c r="O95" s="130"/>
      <c r="P95" s="130"/>
      <c r="Q95" s="130"/>
    </row>
    <row r="96" spans="2:17" ht="15.75" hidden="1" customHeight="1" thickBot="1" x14ac:dyDescent="0.4">
      <c r="B96" s="131"/>
      <c r="C96" s="32" t="s">
        <v>97</v>
      </c>
      <c r="D96" s="213"/>
      <c r="E96" s="153"/>
      <c r="F96" s="165"/>
      <c r="G96" s="176"/>
      <c r="H96" s="186"/>
      <c r="I96" s="284"/>
      <c r="J96" s="42">
        <f t="shared" si="13"/>
        <v>0</v>
      </c>
      <c r="K96" s="130"/>
      <c r="L96" s="130"/>
      <c r="M96" s="130"/>
      <c r="N96" s="130"/>
      <c r="O96" s="130"/>
      <c r="P96" s="130"/>
      <c r="Q96" s="130"/>
    </row>
    <row r="97" spans="2:17" ht="15.75" hidden="1" customHeight="1" thickBot="1" x14ac:dyDescent="0.4">
      <c r="B97" s="130"/>
      <c r="C97" s="32" t="s">
        <v>98</v>
      </c>
      <c r="D97" s="213"/>
      <c r="E97" s="224"/>
      <c r="F97" s="234"/>
      <c r="G97" s="245"/>
      <c r="H97" s="255"/>
      <c r="I97" s="285"/>
      <c r="J97" s="42">
        <f t="shared" si="13"/>
        <v>0</v>
      </c>
      <c r="K97" s="130"/>
      <c r="L97" s="130"/>
      <c r="M97" s="130"/>
      <c r="N97" s="130"/>
      <c r="O97" s="130"/>
      <c r="P97" s="130"/>
      <c r="Q97" s="130"/>
    </row>
    <row r="98" spans="2:17" ht="16" hidden="1" thickBot="1" x14ac:dyDescent="0.4">
      <c r="B98" s="130"/>
      <c r="C98" s="33" t="s">
        <v>99</v>
      </c>
      <c r="D98" s="213"/>
      <c r="E98" s="224"/>
      <c r="F98" s="234"/>
      <c r="G98" s="245"/>
      <c r="H98" s="255"/>
      <c r="I98" s="285"/>
      <c r="J98" s="42">
        <f t="shared" si="13"/>
        <v>0</v>
      </c>
      <c r="K98" s="130"/>
      <c r="L98" s="130"/>
      <c r="M98" s="130"/>
      <c r="N98" s="130"/>
      <c r="O98" s="130"/>
      <c r="P98" s="130"/>
      <c r="Q98" s="130"/>
    </row>
    <row r="99" spans="2:17" ht="16" hidden="1" thickBot="1" x14ac:dyDescent="0.4">
      <c r="B99" s="130"/>
      <c r="C99" s="32" t="s">
        <v>100</v>
      </c>
      <c r="D99" s="213"/>
      <c r="E99" s="224"/>
      <c r="F99" s="234"/>
      <c r="G99" s="245"/>
      <c r="H99" s="255"/>
      <c r="I99" s="285"/>
      <c r="J99" s="42">
        <f t="shared" si="13"/>
        <v>0</v>
      </c>
      <c r="K99" s="130"/>
      <c r="L99" s="130"/>
      <c r="M99" s="130"/>
      <c r="N99" s="130"/>
      <c r="O99" s="130"/>
      <c r="P99" s="130"/>
      <c r="Q99" s="130"/>
    </row>
    <row r="100" spans="2:17" ht="25.5" hidden="1" customHeight="1" thickBot="1" x14ac:dyDescent="0.4">
      <c r="B100" s="130"/>
      <c r="C100" s="32" t="s">
        <v>101</v>
      </c>
      <c r="D100" s="213"/>
      <c r="E100" s="224"/>
      <c r="F100" s="234"/>
      <c r="G100" s="245"/>
      <c r="H100" s="255"/>
      <c r="I100" s="285"/>
      <c r="J100" s="42">
        <f t="shared" si="13"/>
        <v>0</v>
      </c>
      <c r="K100" s="130"/>
      <c r="L100" s="130"/>
      <c r="M100" s="130"/>
      <c r="N100" s="130"/>
      <c r="O100" s="130"/>
      <c r="P100" s="130"/>
      <c r="Q100" s="130"/>
    </row>
    <row r="101" spans="2:17" ht="31.5" hidden="1" thickBot="1" x14ac:dyDescent="0.4">
      <c r="B101" s="131"/>
      <c r="C101" s="32" t="s">
        <v>102</v>
      </c>
      <c r="D101" s="213"/>
      <c r="E101" s="224"/>
      <c r="F101" s="234"/>
      <c r="G101" s="245"/>
      <c r="H101" s="255"/>
      <c r="I101" s="285"/>
      <c r="J101" s="42">
        <f t="shared" si="13"/>
        <v>0</v>
      </c>
      <c r="K101" s="130"/>
      <c r="L101" s="130"/>
      <c r="M101" s="130"/>
      <c r="N101" s="130"/>
      <c r="O101" s="130"/>
      <c r="P101" s="130"/>
      <c r="Q101" s="130"/>
    </row>
    <row r="102" spans="2:17" ht="15.75" hidden="1" customHeight="1" thickBot="1" x14ac:dyDescent="0.4">
      <c r="B102" s="130"/>
      <c r="C102" s="36" t="s">
        <v>103</v>
      </c>
      <c r="D102" s="214">
        <f>SUM(D95:D101)</f>
        <v>0</v>
      </c>
      <c r="E102" s="225">
        <f>SUM(E95:E101)</f>
        <v>0</v>
      </c>
      <c r="F102" s="235">
        <f>SUM(F95:F101)</f>
        <v>0</v>
      </c>
      <c r="G102" s="246">
        <f>SUM(G95:G101)</f>
        <v>0</v>
      </c>
      <c r="H102" s="256">
        <f>SUM(H95:H101)</f>
        <v>0</v>
      </c>
      <c r="I102" s="257"/>
      <c r="J102" s="42">
        <f t="shared" si="13"/>
        <v>0</v>
      </c>
      <c r="K102" s="130"/>
      <c r="L102" s="130"/>
      <c r="M102" s="130"/>
      <c r="N102" s="130"/>
      <c r="O102" s="130"/>
      <c r="P102" s="130"/>
      <c r="Q102" s="130"/>
    </row>
    <row r="103" spans="2:17" ht="25.5" hidden="1" customHeight="1" x14ac:dyDescent="0.35">
      <c r="B103" s="130"/>
      <c r="C103" s="130"/>
      <c r="D103" s="130"/>
      <c r="E103" s="130"/>
      <c r="F103" s="130"/>
      <c r="G103" s="130"/>
      <c r="H103" s="130"/>
      <c r="I103" s="130"/>
      <c r="J103" s="130"/>
      <c r="K103" s="130"/>
      <c r="L103" s="130"/>
      <c r="M103" s="130"/>
      <c r="N103" s="130"/>
      <c r="O103" s="130"/>
      <c r="P103" s="130"/>
      <c r="Q103" s="130"/>
    </row>
    <row r="104" spans="2:17" x14ac:dyDescent="0.35">
      <c r="B104" s="342" t="s">
        <v>116</v>
      </c>
      <c r="C104" s="343"/>
      <c r="D104" s="343"/>
      <c r="E104" s="343"/>
      <c r="F104" s="343"/>
      <c r="G104" s="343"/>
      <c r="H104" s="343"/>
      <c r="I104" s="343"/>
      <c r="J104" s="344"/>
      <c r="K104" s="130"/>
      <c r="L104" s="130"/>
      <c r="M104" s="130"/>
      <c r="N104" s="130"/>
      <c r="O104" s="130"/>
      <c r="P104" s="130"/>
      <c r="Q104" s="130"/>
    </row>
    <row r="105" spans="2:17" x14ac:dyDescent="0.35">
      <c r="B105" s="130"/>
      <c r="C105" s="342" t="s">
        <v>46</v>
      </c>
      <c r="D105" s="343"/>
      <c r="E105" s="343"/>
      <c r="F105" s="343"/>
      <c r="G105" s="343"/>
      <c r="H105" s="343"/>
      <c r="I105" s="343"/>
      <c r="J105" s="344"/>
      <c r="K105" s="130"/>
      <c r="L105" s="130"/>
      <c r="M105" s="130"/>
      <c r="N105" s="130"/>
      <c r="O105" s="130"/>
      <c r="P105" s="130"/>
      <c r="Q105" s="130"/>
    </row>
    <row r="106" spans="2:17" ht="22.5" customHeight="1" thickBot="1" x14ac:dyDescent="0.4">
      <c r="B106" s="130"/>
      <c r="C106" s="41" t="s">
        <v>117</v>
      </c>
      <c r="D106" s="211">
        <f>'1) Tableau budgétaire 1'!E51</f>
        <v>0</v>
      </c>
      <c r="E106" s="222"/>
      <c r="F106" s="232">
        <f>'1) Tableau budgétaire 1'!F51</f>
        <v>110000</v>
      </c>
      <c r="G106" s="243">
        <f>'1) Tableau budgétaire 1'!G51</f>
        <v>110000</v>
      </c>
      <c r="H106" s="253">
        <f>'1) Tableau budgétaire 1'!H51</f>
        <v>0</v>
      </c>
      <c r="I106" s="253">
        <f>'1) Tableau budgétaire 1'!I51</f>
        <v>0</v>
      </c>
      <c r="J106" s="42">
        <f>SUM(D106:I106)</f>
        <v>220000</v>
      </c>
      <c r="K106" s="130"/>
      <c r="L106" s="130"/>
      <c r="M106" s="130"/>
      <c r="N106" s="130"/>
      <c r="O106" s="130"/>
      <c r="P106" s="130"/>
      <c r="Q106" s="130"/>
    </row>
    <row r="107" spans="2:17" ht="16" thickBot="1" x14ac:dyDescent="0.4">
      <c r="B107" s="130"/>
      <c r="C107" s="40" t="s">
        <v>96</v>
      </c>
      <c r="D107" s="212"/>
      <c r="E107" s="223"/>
      <c r="F107" s="233"/>
      <c r="G107" s="244"/>
      <c r="H107" s="254"/>
      <c r="I107" s="283"/>
      <c r="J107" s="42">
        <f t="shared" ref="J107:J113" si="14">SUM(D107:I107)</f>
        <v>0</v>
      </c>
      <c r="K107" s="130"/>
      <c r="L107" s="130"/>
      <c r="M107" s="130"/>
      <c r="N107" s="130"/>
      <c r="O107" s="130"/>
      <c r="P107" s="130"/>
      <c r="Q107" s="130"/>
    </row>
    <row r="108" spans="2:17" ht="16" thickBot="1" x14ac:dyDescent="0.4">
      <c r="B108" s="130"/>
      <c r="C108" s="32" t="s">
        <v>97</v>
      </c>
      <c r="D108" s="213"/>
      <c r="E108" s="153"/>
      <c r="F108" s="165"/>
      <c r="G108" s="176"/>
      <c r="H108" s="186"/>
      <c r="I108" s="284"/>
      <c r="J108" s="42">
        <f t="shared" si="14"/>
        <v>0</v>
      </c>
      <c r="K108" s="130"/>
      <c r="L108" s="130"/>
      <c r="M108" s="130"/>
      <c r="N108" s="130"/>
      <c r="O108" s="130"/>
      <c r="P108" s="130"/>
      <c r="Q108" s="130"/>
    </row>
    <row r="109" spans="2:17" ht="35.25" customHeight="1" thickBot="1" x14ac:dyDescent="0.4">
      <c r="B109" s="130"/>
      <c r="C109" s="32" t="s">
        <v>98</v>
      </c>
      <c r="D109" s="213"/>
      <c r="E109" s="224"/>
      <c r="F109" s="234"/>
      <c r="G109" s="245"/>
      <c r="H109" s="255"/>
      <c r="I109" s="285"/>
      <c r="J109" s="42">
        <f t="shared" si="14"/>
        <v>0</v>
      </c>
      <c r="K109" s="130"/>
      <c r="L109" s="130"/>
      <c r="M109" s="130"/>
      <c r="N109" s="130"/>
      <c r="O109" s="130"/>
      <c r="P109" s="130"/>
      <c r="Q109" s="130"/>
    </row>
    <row r="110" spans="2:17" ht="21.75" customHeight="1" thickBot="1" x14ac:dyDescent="0.4">
      <c r="B110" s="130"/>
      <c r="C110" s="33" t="s">
        <v>99</v>
      </c>
      <c r="D110" s="213"/>
      <c r="E110" s="224"/>
      <c r="F110" s="237">
        <f>'1) Tableau budgétaire 1'!G49+'1) Tableau budgétaire 1'!G50</f>
        <v>110000</v>
      </c>
      <c r="G110" s="245">
        <f>'1) Tableau budgétaire 1'!G49+'1) Tableau budgétaire 1'!G50</f>
        <v>110000</v>
      </c>
      <c r="H110" s="255"/>
      <c r="I110" s="285"/>
      <c r="J110" s="42">
        <f t="shared" si="14"/>
        <v>220000</v>
      </c>
      <c r="K110" s="130"/>
      <c r="L110" s="130"/>
      <c r="M110" s="130"/>
      <c r="N110" s="130"/>
      <c r="O110" s="130"/>
      <c r="P110" s="130"/>
      <c r="Q110" s="130"/>
    </row>
    <row r="111" spans="2:17" ht="16" thickBot="1" x14ac:dyDescent="0.4">
      <c r="B111" s="130"/>
      <c r="C111" s="32" t="s">
        <v>100</v>
      </c>
      <c r="D111" s="213"/>
      <c r="E111" s="224"/>
      <c r="F111" s="234"/>
      <c r="G111" s="245"/>
      <c r="H111" s="255"/>
      <c r="I111" s="285"/>
      <c r="J111" s="42">
        <f t="shared" si="14"/>
        <v>0</v>
      </c>
      <c r="K111" s="130"/>
      <c r="L111" s="130"/>
      <c r="M111" s="130"/>
      <c r="N111" s="130"/>
      <c r="O111" s="130"/>
      <c r="P111" s="130"/>
      <c r="Q111" s="130"/>
    </row>
    <row r="112" spans="2:17" ht="16" thickBot="1" x14ac:dyDescent="0.4">
      <c r="B112" s="130"/>
      <c r="C112" s="32" t="s">
        <v>101</v>
      </c>
      <c r="D112" s="213"/>
      <c r="E112" s="224"/>
      <c r="F112" s="234"/>
      <c r="G112" s="245"/>
      <c r="H112" s="255"/>
      <c r="I112" s="285"/>
      <c r="J112" s="42">
        <f t="shared" si="14"/>
        <v>0</v>
      </c>
      <c r="K112" s="130"/>
      <c r="L112" s="130"/>
      <c r="M112" s="130"/>
      <c r="N112" s="130"/>
      <c r="O112" s="130"/>
      <c r="P112" s="130"/>
      <c r="Q112" s="130"/>
    </row>
    <row r="113" spans="3:17" ht="24" customHeight="1" thickBot="1" x14ac:dyDescent="0.4">
      <c r="C113" s="32" t="s">
        <v>102</v>
      </c>
      <c r="D113" s="213"/>
      <c r="E113" s="224"/>
      <c r="F113" s="234"/>
      <c r="G113" s="245"/>
      <c r="H113" s="255"/>
      <c r="I113" s="285"/>
      <c r="J113" s="42">
        <f t="shared" si="14"/>
        <v>0</v>
      </c>
      <c r="K113" s="130"/>
      <c r="L113" s="130"/>
      <c r="M113" s="130"/>
      <c r="N113" s="130"/>
      <c r="O113" s="130"/>
      <c r="P113" s="130"/>
      <c r="Q113" s="130"/>
    </row>
    <row r="114" spans="3:17" ht="24" customHeight="1" thickBot="1" x14ac:dyDescent="0.4">
      <c r="C114" s="36" t="s">
        <v>103</v>
      </c>
      <c r="D114" s="214">
        <f t="shared" ref="D114:I114" si="15">SUM(D107:D113)</f>
        <v>0</v>
      </c>
      <c r="E114" s="225">
        <f t="shared" si="15"/>
        <v>0</v>
      </c>
      <c r="F114" s="235">
        <f t="shared" si="15"/>
        <v>110000</v>
      </c>
      <c r="G114" s="246">
        <f t="shared" si="15"/>
        <v>110000</v>
      </c>
      <c r="H114" s="256">
        <f t="shared" si="15"/>
        <v>0</v>
      </c>
      <c r="I114" s="256">
        <f t="shared" si="15"/>
        <v>0</v>
      </c>
      <c r="J114" s="42">
        <f>SUM(D114:I114)</f>
        <v>220000</v>
      </c>
      <c r="K114" s="130"/>
      <c r="L114" s="130"/>
      <c r="M114" s="130"/>
      <c r="N114" s="130"/>
      <c r="O114" s="130"/>
      <c r="P114" s="130"/>
      <c r="Q114" s="130"/>
    </row>
    <row r="115" spans="3:17" s="35" customFormat="1" x14ac:dyDescent="0.35">
      <c r="C115" s="43"/>
      <c r="D115" s="44"/>
      <c r="E115" s="44"/>
      <c r="F115" s="44"/>
      <c r="G115" s="44"/>
      <c r="H115" s="44"/>
      <c r="I115" s="44"/>
      <c r="J115" s="45"/>
      <c r="K115" s="131"/>
      <c r="L115" s="131"/>
      <c r="M115" s="131"/>
      <c r="N115" s="131"/>
      <c r="O115" s="131"/>
      <c r="P115" s="131"/>
      <c r="Q115" s="131"/>
    </row>
    <row r="116" spans="3:17" ht="15.75" customHeight="1" x14ac:dyDescent="0.35">
      <c r="C116" s="342" t="s">
        <v>118</v>
      </c>
      <c r="D116" s="343"/>
      <c r="E116" s="343"/>
      <c r="F116" s="343"/>
      <c r="G116" s="343"/>
      <c r="H116" s="343"/>
      <c r="I116" s="343"/>
      <c r="J116" s="344"/>
      <c r="K116" s="130"/>
      <c r="L116" s="130"/>
      <c r="M116" s="130"/>
      <c r="N116" s="130"/>
      <c r="O116" s="130"/>
      <c r="P116" s="130"/>
      <c r="Q116" s="130"/>
    </row>
    <row r="117" spans="3:17" ht="21.75" customHeight="1" thickBot="1" x14ac:dyDescent="0.4">
      <c r="C117" s="41" t="s">
        <v>119</v>
      </c>
      <c r="D117" s="211">
        <f>'1) Tableau budgétaire 1'!D57</f>
        <v>0</v>
      </c>
      <c r="E117" s="222">
        <f>'1) Tableau budgétaire 1'!E57</f>
        <v>0</v>
      </c>
      <c r="F117" s="232">
        <f>'1) Tableau budgétaire 1'!F57</f>
        <v>408000</v>
      </c>
      <c r="G117" s="243">
        <f>'1) Tableau budgétaire 1'!G57</f>
        <v>416000</v>
      </c>
      <c r="H117" s="253">
        <f>'1) Tableau budgétaire 1'!H57</f>
        <v>0</v>
      </c>
      <c r="I117" s="253">
        <f>'1) Tableau budgétaire 1'!I57</f>
        <v>0</v>
      </c>
      <c r="J117" s="42">
        <f>SUM(D117:I117)</f>
        <v>824000</v>
      </c>
      <c r="K117" s="130"/>
      <c r="L117" s="130"/>
      <c r="M117" s="130"/>
      <c r="N117" s="130"/>
      <c r="O117" s="130"/>
      <c r="P117" s="130"/>
      <c r="Q117" s="130"/>
    </row>
    <row r="118" spans="3:17" ht="16" thickBot="1" x14ac:dyDescent="0.4">
      <c r="C118" s="40" t="s">
        <v>96</v>
      </c>
      <c r="D118" s="212"/>
      <c r="E118" s="223"/>
      <c r="F118" s="233"/>
      <c r="G118" s="244"/>
      <c r="H118" s="254"/>
      <c r="I118" s="283"/>
      <c r="J118" s="42">
        <f t="shared" ref="J118:J124" si="16">SUM(D118:I118)</f>
        <v>0</v>
      </c>
      <c r="K118" s="130"/>
      <c r="L118" s="130"/>
      <c r="M118" s="130"/>
      <c r="N118" s="130"/>
      <c r="O118" s="130"/>
      <c r="P118" s="130"/>
      <c r="Q118" s="130"/>
    </row>
    <row r="119" spans="3:17" ht="16" thickBot="1" x14ac:dyDescent="0.4">
      <c r="C119" s="32" t="s">
        <v>97</v>
      </c>
      <c r="D119" s="213"/>
      <c r="E119" s="153"/>
      <c r="F119" s="165"/>
      <c r="G119" s="176"/>
      <c r="H119" s="186"/>
      <c r="I119" s="284"/>
      <c r="J119" s="42">
        <f t="shared" si="16"/>
        <v>0</v>
      </c>
      <c r="K119" s="130"/>
      <c r="L119" s="130"/>
      <c r="M119" s="130"/>
      <c r="N119" s="130"/>
      <c r="O119" s="130"/>
      <c r="P119" s="130"/>
      <c r="Q119" s="130"/>
    </row>
    <row r="120" spans="3:17" ht="31.5" thickBot="1" x14ac:dyDescent="0.4">
      <c r="C120" s="32" t="s">
        <v>98</v>
      </c>
      <c r="D120" s="213"/>
      <c r="E120" s="224"/>
      <c r="F120" s="234"/>
      <c r="G120" s="245"/>
      <c r="H120" s="255"/>
      <c r="I120" s="285"/>
      <c r="J120" s="42">
        <f t="shared" si="16"/>
        <v>0</v>
      </c>
      <c r="K120" s="130"/>
      <c r="L120" s="130"/>
      <c r="M120" s="130"/>
      <c r="N120" s="130"/>
      <c r="O120" s="130"/>
      <c r="P120" s="130"/>
      <c r="Q120" s="130"/>
    </row>
    <row r="121" spans="3:17" ht="21.75" customHeight="1" thickBot="1" x14ac:dyDescent="0.4">
      <c r="C121" s="33" t="s">
        <v>99</v>
      </c>
      <c r="D121" s="213"/>
      <c r="E121" s="224"/>
      <c r="F121" s="234">
        <f>'1) Tableau budgétaire 1'!F55</f>
        <v>20000</v>
      </c>
      <c r="G121" s="245">
        <f>'1) Tableau budgétaire 1'!G55</f>
        <v>20000</v>
      </c>
      <c r="H121" s="255"/>
      <c r="I121" s="285"/>
      <c r="J121" s="42">
        <f t="shared" si="16"/>
        <v>40000</v>
      </c>
      <c r="K121" s="130"/>
      <c r="L121" s="130"/>
      <c r="M121" s="130"/>
      <c r="N121" s="130"/>
      <c r="O121" s="130"/>
      <c r="P121" s="130"/>
      <c r="Q121" s="130"/>
    </row>
    <row r="122" spans="3:17" ht="16" thickBot="1" x14ac:dyDescent="0.4">
      <c r="C122" s="32" t="s">
        <v>100</v>
      </c>
      <c r="D122" s="213"/>
      <c r="E122" s="224"/>
      <c r="F122" s="234">
        <v>18000</v>
      </c>
      <c r="G122" s="245">
        <v>26000</v>
      </c>
      <c r="H122" s="255"/>
      <c r="I122" s="285"/>
      <c r="J122" s="42">
        <f t="shared" si="16"/>
        <v>44000</v>
      </c>
      <c r="K122" s="130"/>
      <c r="L122" s="130"/>
      <c r="M122" s="130"/>
      <c r="N122" s="130"/>
      <c r="O122" s="130"/>
      <c r="P122" s="130"/>
      <c r="Q122" s="130"/>
    </row>
    <row r="123" spans="3:17" ht="21.75" customHeight="1" thickBot="1" x14ac:dyDescent="0.4">
      <c r="C123" s="32" t="s">
        <v>101</v>
      </c>
      <c r="D123" s="213"/>
      <c r="E123" s="224"/>
      <c r="F123" s="234">
        <f>'1) Tableau budgétaire 1'!F54+'1) Tableau budgétaire 1'!F56+70000</f>
        <v>370000</v>
      </c>
      <c r="G123" s="245">
        <f>'1) Tableau budgétaire 1'!G54+'1) Tableau budgétaire 1'!G56+70000</f>
        <v>370000</v>
      </c>
      <c r="H123" s="255"/>
      <c r="I123" s="285"/>
      <c r="J123" s="42">
        <f t="shared" si="16"/>
        <v>740000</v>
      </c>
      <c r="K123" s="130"/>
      <c r="L123" s="130"/>
      <c r="M123" s="130"/>
      <c r="N123" s="130"/>
      <c r="O123" s="130"/>
      <c r="P123" s="130"/>
      <c r="Q123" s="130"/>
    </row>
    <row r="124" spans="3:17" ht="21.65" customHeight="1" thickBot="1" x14ac:dyDescent="0.4">
      <c r="C124" s="32" t="s">
        <v>102</v>
      </c>
      <c r="D124" s="213"/>
      <c r="E124" s="224"/>
      <c r="F124" s="234"/>
      <c r="G124" s="245"/>
      <c r="H124" s="255"/>
      <c r="I124" s="285"/>
      <c r="J124" s="42">
        <f t="shared" si="16"/>
        <v>0</v>
      </c>
      <c r="K124" s="130"/>
      <c r="L124" s="130"/>
      <c r="M124" s="130"/>
      <c r="N124" s="130"/>
      <c r="O124" s="130"/>
      <c r="P124" s="130"/>
      <c r="Q124" s="130"/>
    </row>
    <row r="125" spans="3:17" ht="16" thickBot="1" x14ac:dyDescent="0.4">
      <c r="C125" s="36" t="s">
        <v>103</v>
      </c>
      <c r="D125" s="214">
        <f>SUM(D118:D124)</f>
        <v>0</v>
      </c>
      <c r="E125" s="225">
        <f>SUM(E118:E124)</f>
        <v>0</v>
      </c>
      <c r="F125" s="235">
        <f>SUM(F118:F124)</f>
        <v>408000</v>
      </c>
      <c r="G125" s="246">
        <f t="shared" ref="G125:I125" si="17">SUM(G118:G124)</f>
        <v>416000</v>
      </c>
      <c r="H125" s="256">
        <f t="shared" si="17"/>
        <v>0</v>
      </c>
      <c r="I125" s="256">
        <f t="shared" si="17"/>
        <v>0</v>
      </c>
      <c r="J125" s="42">
        <f>SUM(D125:I125)</f>
        <v>824000</v>
      </c>
      <c r="K125" s="130"/>
      <c r="L125" s="130"/>
      <c r="M125" s="130"/>
      <c r="N125" s="130"/>
      <c r="O125" s="130"/>
      <c r="P125" s="130"/>
      <c r="Q125" s="130"/>
    </row>
    <row r="126" spans="3:17" s="35" customFormat="1" x14ac:dyDescent="0.35">
      <c r="C126" s="43"/>
      <c r="D126" s="44"/>
      <c r="E126" s="44"/>
      <c r="F126" s="44"/>
      <c r="G126" s="44"/>
      <c r="H126" s="44"/>
      <c r="I126" s="44"/>
      <c r="J126" s="45"/>
      <c r="K126" s="131"/>
      <c r="L126" s="131"/>
      <c r="M126" s="131"/>
      <c r="N126" s="131"/>
      <c r="O126" s="131"/>
      <c r="P126" s="131"/>
      <c r="Q126" s="131"/>
    </row>
    <row r="127" spans="3:17" hidden="1" x14ac:dyDescent="0.35">
      <c r="C127" s="342" t="s">
        <v>120</v>
      </c>
      <c r="D127" s="343"/>
      <c r="E127" s="343"/>
      <c r="F127" s="343"/>
      <c r="G127" s="343"/>
      <c r="H127" s="343"/>
      <c r="I127" s="343"/>
      <c r="J127" s="344"/>
      <c r="K127" s="130"/>
      <c r="L127" s="130"/>
      <c r="M127" s="130"/>
      <c r="N127" s="130"/>
      <c r="O127" s="130"/>
      <c r="P127" s="130"/>
      <c r="Q127" s="130"/>
    </row>
    <row r="128" spans="3:17" ht="21" hidden="1" customHeight="1" thickBot="1" x14ac:dyDescent="0.4">
      <c r="C128" s="41" t="s">
        <v>121</v>
      </c>
      <c r="D128" s="211" t="e">
        <f>'1) Tableau budgétaire 1'!#REF!</f>
        <v>#REF!</v>
      </c>
      <c r="E128" s="222" t="e">
        <f>'1) Tableau budgétaire 1'!#REF!</f>
        <v>#REF!</v>
      </c>
      <c r="F128" s="232" t="e">
        <f>'1) Tableau budgétaire 1'!#REF!</f>
        <v>#REF!</v>
      </c>
      <c r="G128" s="243" t="e">
        <f>'1) Tableau budgétaire 1'!#REF!</f>
        <v>#REF!</v>
      </c>
      <c r="H128" s="253" t="e">
        <f>'1) Tableau budgétaire 1'!#REF!</f>
        <v>#REF!</v>
      </c>
      <c r="I128" s="253"/>
      <c r="J128" s="42" t="e">
        <f>SUM(D128:H128)</f>
        <v>#REF!</v>
      </c>
      <c r="K128" s="130"/>
      <c r="L128" s="130"/>
      <c r="M128" s="130"/>
      <c r="N128" s="130"/>
      <c r="O128" s="130"/>
      <c r="P128" s="130"/>
      <c r="Q128" s="130"/>
    </row>
    <row r="129" spans="3:17" ht="16" hidden="1" thickBot="1" x14ac:dyDescent="0.4">
      <c r="C129" s="40" t="s">
        <v>96</v>
      </c>
      <c r="D129" s="212"/>
      <c r="E129" s="223"/>
      <c r="F129" s="233"/>
      <c r="G129" s="244"/>
      <c r="H129" s="254"/>
      <c r="I129" s="283"/>
      <c r="J129" s="42">
        <f t="shared" ref="J129:J135" si="18">SUM(D129:H129)</f>
        <v>0</v>
      </c>
      <c r="K129" s="130"/>
      <c r="L129" s="130"/>
      <c r="M129" s="130"/>
      <c r="N129" s="130"/>
      <c r="O129" s="130"/>
      <c r="P129" s="130"/>
      <c r="Q129" s="130"/>
    </row>
    <row r="130" spans="3:17" ht="16" hidden="1" thickBot="1" x14ac:dyDescent="0.4">
      <c r="C130" s="32" t="s">
        <v>97</v>
      </c>
      <c r="D130" s="213"/>
      <c r="E130" s="153"/>
      <c r="F130" s="165"/>
      <c r="G130" s="176"/>
      <c r="H130" s="186"/>
      <c r="I130" s="284"/>
      <c r="J130" s="42">
        <f t="shared" si="18"/>
        <v>0</v>
      </c>
      <c r="K130" s="130"/>
      <c r="L130" s="130"/>
      <c r="M130" s="130"/>
      <c r="N130" s="130"/>
      <c r="O130" s="130"/>
      <c r="P130" s="130"/>
      <c r="Q130" s="130"/>
    </row>
    <row r="131" spans="3:17" ht="31.5" hidden="1" thickBot="1" x14ac:dyDescent="0.4">
      <c r="C131" s="32" t="s">
        <v>98</v>
      </c>
      <c r="D131" s="213"/>
      <c r="E131" s="224"/>
      <c r="F131" s="234"/>
      <c r="G131" s="245"/>
      <c r="H131" s="255"/>
      <c r="I131" s="285"/>
      <c r="J131" s="42">
        <f t="shared" si="18"/>
        <v>0</v>
      </c>
      <c r="K131" s="130"/>
      <c r="L131" s="130"/>
      <c r="M131" s="130"/>
      <c r="N131" s="130"/>
      <c r="O131" s="130"/>
      <c r="P131" s="130"/>
      <c r="Q131" s="130"/>
    </row>
    <row r="132" spans="3:17" ht="16" hidden="1" thickBot="1" x14ac:dyDescent="0.4">
      <c r="C132" s="33" t="s">
        <v>99</v>
      </c>
      <c r="D132" s="213"/>
      <c r="E132" s="224"/>
      <c r="F132" s="234"/>
      <c r="G132" s="245"/>
      <c r="H132" s="255"/>
      <c r="I132" s="285"/>
      <c r="J132" s="42">
        <f t="shared" si="18"/>
        <v>0</v>
      </c>
      <c r="K132" s="130"/>
      <c r="L132" s="130"/>
      <c r="M132" s="130"/>
      <c r="N132" s="130"/>
      <c r="O132" s="130"/>
      <c r="P132" s="130"/>
      <c r="Q132" s="130"/>
    </row>
    <row r="133" spans="3:17" ht="16" hidden="1" thickBot="1" x14ac:dyDescent="0.4">
      <c r="C133" s="32" t="s">
        <v>100</v>
      </c>
      <c r="D133" s="213"/>
      <c r="E133" s="224"/>
      <c r="F133" s="234"/>
      <c r="G133" s="245"/>
      <c r="H133" s="255"/>
      <c r="I133" s="285"/>
      <c r="J133" s="42">
        <f t="shared" si="18"/>
        <v>0</v>
      </c>
      <c r="K133" s="130"/>
      <c r="L133" s="130"/>
      <c r="M133" s="130"/>
      <c r="N133" s="130"/>
      <c r="O133" s="130"/>
      <c r="P133" s="130"/>
      <c r="Q133" s="130"/>
    </row>
    <row r="134" spans="3:17" ht="16" hidden="1" thickBot="1" x14ac:dyDescent="0.4">
      <c r="C134" s="32" t="s">
        <v>101</v>
      </c>
      <c r="D134" s="213"/>
      <c r="E134" s="224"/>
      <c r="F134" s="234"/>
      <c r="G134" s="245"/>
      <c r="H134" s="255"/>
      <c r="I134" s="285"/>
      <c r="J134" s="42">
        <f t="shared" si="18"/>
        <v>0</v>
      </c>
      <c r="K134" s="130"/>
      <c r="L134" s="130"/>
      <c r="M134" s="130"/>
      <c r="N134" s="130"/>
      <c r="O134" s="130"/>
      <c r="P134" s="130"/>
      <c r="Q134" s="130"/>
    </row>
    <row r="135" spans="3:17" ht="31.5" hidden="1" thickBot="1" x14ac:dyDescent="0.4">
      <c r="C135" s="32" t="s">
        <v>102</v>
      </c>
      <c r="D135" s="213"/>
      <c r="E135" s="224"/>
      <c r="F135" s="234"/>
      <c r="G135" s="245"/>
      <c r="H135" s="255"/>
      <c r="I135" s="285"/>
      <c r="J135" s="42">
        <f t="shared" si="18"/>
        <v>0</v>
      </c>
      <c r="K135" s="130"/>
      <c r="L135" s="130"/>
      <c r="M135" s="130"/>
      <c r="N135" s="130"/>
      <c r="O135" s="130"/>
      <c r="P135" s="130"/>
      <c r="Q135" s="130"/>
    </row>
    <row r="136" spans="3:17" ht="16" hidden="1" thickBot="1" x14ac:dyDescent="0.4">
      <c r="C136" s="36" t="s">
        <v>103</v>
      </c>
      <c r="D136" s="214">
        <f>SUM(D129:D135)</f>
        <v>0</v>
      </c>
      <c r="E136" s="225">
        <f>SUM(E129:E135)</f>
        <v>0</v>
      </c>
      <c r="F136" s="235">
        <f>SUM(F129:F135)</f>
        <v>0</v>
      </c>
      <c r="G136" s="246">
        <f t="shared" ref="G136:H136" si="19">SUM(G129:G135)</f>
        <v>0</v>
      </c>
      <c r="H136" s="256">
        <f t="shared" si="19"/>
        <v>0</v>
      </c>
      <c r="I136" s="257"/>
      <c r="J136" s="42">
        <f>SUM(D136:H136)</f>
        <v>0</v>
      </c>
      <c r="K136" s="130"/>
      <c r="L136" s="130"/>
      <c r="M136" s="130"/>
      <c r="N136" s="130"/>
      <c r="O136" s="130"/>
      <c r="P136" s="130"/>
      <c r="Q136" s="130"/>
    </row>
    <row r="137" spans="3:17" s="35" customFormat="1" hidden="1" x14ac:dyDescent="0.35">
      <c r="C137" s="43"/>
      <c r="D137" s="44"/>
      <c r="E137" s="44"/>
      <c r="F137" s="44"/>
      <c r="G137" s="44"/>
      <c r="H137" s="44"/>
      <c r="I137" s="44"/>
      <c r="J137" s="45"/>
      <c r="K137" s="131"/>
      <c r="L137" s="131"/>
      <c r="M137" s="131"/>
      <c r="N137" s="131"/>
      <c r="O137" s="131"/>
      <c r="P137" s="131"/>
      <c r="Q137" s="131"/>
    </row>
    <row r="138" spans="3:17" hidden="1" x14ac:dyDescent="0.35">
      <c r="C138" s="342" t="s">
        <v>122</v>
      </c>
      <c r="D138" s="343"/>
      <c r="E138" s="343"/>
      <c r="F138" s="343"/>
      <c r="G138" s="343"/>
      <c r="H138" s="343"/>
      <c r="I138" s="343"/>
      <c r="J138" s="344"/>
      <c r="K138" s="130"/>
      <c r="L138" s="130"/>
      <c r="M138" s="130"/>
      <c r="N138" s="130"/>
      <c r="O138" s="130"/>
      <c r="P138" s="130"/>
      <c r="Q138" s="130"/>
    </row>
    <row r="139" spans="3:17" ht="24" hidden="1" customHeight="1" thickBot="1" x14ac:dyDescent="0.4">
      <c r="C139" s="41" t="s">
        <v>123</v>
      </c>
      <c r="D139" s="211" t="e">
        <f>'1) Tableau budgétaire 1'!#REF!</f>
        <v>#REF!</v>
      </c>
      <c r="E139" s="222" t="e">
        <f>'1) Tableau budgétaire 1'!#REF!</f>
        <v>#REF!</v>
      </c>
      <c r="F139" s="232" t="e">
        <f>'1) Tableau budgétaire 1'!#REF!</f>
        <v>#REF!</v>
      </c>
      <c r="G139" s="243" t="e">
        <f>'1) Tableau budgétaire 1'!#REF!</f>
        <v>#REF!</v>
      </c>
      <c r="H139" s="253" t="e">
        <f>'1) Tableau budgétaire 1'!#REF!</f>
        <v>#REF!</v>
      </c>
      <c r="I139" s="253"/>
      <c r="J139" s="42" t="e">
        <f>SUM(D139:H139)</f>
        <v>#REF!</v>
      </c>
      <c r="K139" s="130"/>
      <c r="L139" s="130"/>
      <c r="M139" s="130"/>
      <c r="N139" s="130"/>
      <c r="O139" s="130"/>
      <c r="P139" s="130"/>
      <c r="Q139" s="130"/>
    </row>
    <row r="140" spans="3:17" ht="15.75" hidden="1" customHeight="1" thickBot="1" x14ac:dyDescent="0.4">
      <c r="C140" s="40" t="s">
        <v>96</v>
      </c>
      <c r="D140" s="212"/>
      <c r="E140" s="223"/>
      <c r="F140" s="233"/>
      <c r="G140" s="244"/>
      <c r="H140" s="254"/>
      <c r="I140" s="283"/>
      <c r="J140" s="42">
        <f t="shared" ref="J140:J147" si="20">SUM(D140:H140)</f>
        <v>0</v>
      </c>
      <c r="K140" s="130"/>
      <c r="L140" s="130"/>
      <c r="M140" s="130"/>
      <c r="N140" s="130"/>
      <c r="O140" s="130"/>
      <c r="P140" s="130"/>
      <c r="Q140" s="130"/>
    </row>
    <row r="141" spans="3:17" ht="16" hidden="1" thickBot="1" x14ac:dyDescent="0.4">
      <c r="C141" s="32" t="s">
        <v>97</v>
      </c>
      <c r="D141" s="213"/>
      <c r="E141" s="153"/>
      <c r="F141" s="165"/>
      <c r="G141" s="176"/>
      <c r="H141" s="186"/>
      <c r="I141" s="284"/>
      <c r="J141" s="42">
        <f t="shared" si="20"/>
        <v>0</v>
      </c>
      <c r="K141" s="130"/>
      <c r="L141" s="130"/>
      <c r="M141" s="130"/>
      <c r="N141" s="130"/>
      <c r="O141" s="130"/>
      <c r="P141" s="130"/>
      <c r="Q141" s="130"/>
    </row>
    <row r="142" spans="3:17" ht="15.75" hidden="1" customHeight="1" thickBot="1" x14ac:dyDescent="0.4">
      <c r="C142" s="32" t="s">
        <v>98</v>
      </c>
      <c r="D142" s="213"/>
      <c r="E142" s="224"/>
      <c r="F142" s="234"/>
      <c r="G142" s="245"/>
      <c r="H142" s="255"/>
      <c r="I142" s="285"/>
      <c r="J142" s="42">
        <f t="shared" si="20"/>
        <v>0</v>
      </c>
      <c r="K142" s="130"/>
      <c r="L142" s="130"/>
      <c r="M142" s="130"/>
      <c r="N142" s="130"/>
      <c r="O142" s="130"/>
      <c r="P142" s="130"/>
      <c r="Q142" s="130"/>
    </row>
    <row r="143" spans="3:17" ht="16" hidden="1" thickBot="1" x14ac:dyDescent="0.4">
      <c r="C143" s="33" t="s">
        <v>99</v>
      </c>
      <c r="D143" s="213"/>
      <c r="E143" s="224"/>
      <c r="F143" s="234"/>
      <c r="G143" s="245"/>
      <c r="H143" s="255"/>
      <c r="I143" s="285"/>
      <c r="J143" s="42">
        <f t="shared" si="20"/>
        <v>0</v>
      </c>
      <c r="K143" s="130"/>
      <c r="L143" s="130"/>
      <c r="M143" s="130"/>
      <c r="N143" s="130"/>
      <c r="O143" s="130"/>
      <c r="P143" s="130"/>
      <c r="Q143" s="130"/>
    </row>
    <row r="144" spans="3:17" ht="16" hidden="1" thickBot="1" x14ac:dyDescent="0.4">
      <c r="C144" s="32" t="s">
        <v>100</v>
      </c>
      <c r="D144" s="213"/>
      <c r="E144" s="224"/>
      <c r="F144" s="234"/>
      <c r="G144" s="245"/>
      <c r="H144" s="255"/>
      <c r="I144" s="285"/>
      <c r="J144" s="42">
        <f t="shared" si="20"/>
        <v>0</v>
      </c>
      <c r="K144" s="130"/>
      <c r="L144" s="130"/>
      <c r="M144" s="130"/>
      <c r="N144" s="130"/>
      <c r="O144" s="130"/>
      <c r="P144" s="130"/>
      <c r="Q144" s="130"/>
    </row>
    <row r="145" spans="2:10" ht="15.75" hidden="1" customHeight="1" thickBot="1" x14ac:dyDescent="0.4">
      <c r="B145" s="130"/>
      <c r="C145" s="32" t="s">
        <v>101</v>
      </c>
      <c r="D145" s="213"/>
      <c r="E145" s="224"/>
      <c r="F145" s="234"/>
      <c r="G145" s="245"/>
      <c r="H145" s="255"/>
      <c r="I145" s="285"/>
      <c r="J145" s="42">
        <f t="shared" si="20"/>
        <v>0</v>
      </c>
    </row>
    <row r="146" spans="2:10" ht="31.5" hidden="1" thickBot="1" x14ac:dyDescent="0.4">
      <c r="B146" s="130"/>
      <c r="C146" s="32" t="s">
        <v>102</v>
      </c>
      <c r="D146" s="213"/>
      <c r="E146" s="224"/>
      <c r="F146" s="234"/>
      <c r="G146" s="245"/>
      <c r="H146" s="255"/>
      <c r="I146" s="285"/>
      <c r="J146" s="42">
        <f t="shared" si="20"/>
        <v>0</v>
      </c>
    </row>
    <row r="147" spans="2:10" ht="16" hidden="1" thickBot="1" x14ac:dyDescent="0.4">
      <c r="B147" s="130"/>
      <c r="C147" s="36" t="s">
        <v>103</v>
      </c>
      <c r="D147" s="214">
        <f>SUM(D140:D146)</f>
        <v>0</v>
      </c>
      <c r="E147" s="225">
        <f>SUM(E140:E146)</f>
        <v>0</v>
      </c>
      <c r="F147" s="235">
        <f>SUM(F140:F146)</f>
        <v>0</v>
      </c>
      <c r="G147" s="246">
        <f t="shared" ref="G147:H147" si="21">SUM(G140:G146)</f>
        <v>0</v>
      </c>
      <c r="H147" s="256">
        <f t="shared" si="21"/>
        <v>0</v>
      </c>
      <c r="I147" s="257"/>
      <c r="J147" s="42">
        <f t="shared" si="20"/>
        <v>0</v>
      </c>
    </row>
    <row r="148" spans="2:10" hidden="1" x14ac:dyDescent="0.35">
      <c r="B148" s="130"/>
      <c r="C148" s="130"/>
      <c r="D148" s="131"/>
      <c r="E148" s="131"/>
      <c r="F148" s="131"/>
      <c r="G148" s="131"/>
      <c r="H148" s="131"/>
      <c r="I148" s="131"/>
      <c r="J148" s="130"/>
    </row>
    <row r="149" spans="2:10" hidden="1" x14ac:dyDescent="0.35">
      <c r="B149" s="342" t="s">
        <v>124</v>
      </c>
      <c r="C149" s="343"/>
      <c r="D149" s="343"/>
      <c r="E149" s="343"/>
      <c r="F149" s="343"/>
      <c r="G149" s="343"/>
      <c r="H149" s="343"/>
      <c r="I149" s="343"/>
      <c r="J149" s="344"/>
    </row>
    <row r="150" spans="2:10" hidden="1" x14ac:dyDescent="0.35">
      <c r="B150" s="130"/>
      <c r="C150" s="342" t="s">
        <v>125</v>
      </c>
      <c r="D150" s="343"/>
      <c r="E150" s="343"/>
      <c r="F150" s="343"/>
      <c r="G150" s="343"/>
      <c r="H150" s="343"/>
      <c r="I150" s="343"/>
      <c r="J150" s="344"/>
    </row>
    <row r="151" spans="2:10" ht="24" hidden="1" customHeight="1" thickBot="1" x14ac:dyDescent="0.4">
      <c r="B151" s="130"/>
      <c r="C151" s="41" t="s">
        <v>126</v>
      </c>
      <c r="D151" s="211" t="e">
        <f>'1) Tableau budgétaire 1'!#REF!</f>
        <v>#REF!</v>
      </c>
      <c r="E151" s="222" t="e">
        <f>'1) Tableau budgétaire 1'!#REF!</f>
        <v>#REF!</v>
      </c>
      <c r="F151" s="232" t="e">
        <f>'1) Tableau budgétaire 1'!#REF!</f>
        <v>#REF!</v>
      </c>
      <c r="G151" s="243" t="e">
        <f>'1) Tableau budgétaire 1'!#REF!</f>
        <v>#REF!</v>
      </c>
      <c r="H151" s="253" t="e">
        <f>'1) Tableau budgétaire 1'!#REF!</f>
        <v>#REF!</v>
      </c>
      <c r="I151" s="253"/>
      <c r="J151" s="42" t="e">
        <f>SUM(D151:H151)</f>
        <v>#REF!</v>
      </c>
    </row>
    <row r="152" spans="2:10" ht="24.75" hidden="1" customHeight="1" thickBot="1" x14ac:dyDescent="0.4">
      <c r="B152" s="130"/>
      <c r="C152" s="40" t="s">
        <v>96</v>
      </c>
      <c r="D152" s="212"/>
      <c r="E152" s="223"/>
      <c r="F152" s="233"/>
      <c r="G152" s="244"/>
      <c r="H152" s="254"/>
      <c r="I152" s="283"/>
      <c r="J152" s="42">
        <f t="shared" ref="J152:J159" si="22">SUM(D152:H152)</f>
        <v>0</v>
      </c>
    </row>
    <row r="153" spans="2:10" ht="15.75" hidden="1" customHeight="1" thickBot="1" x14ac:dyDescent="0.4">
      <c r="B153" s="130"/>
      <c r="C153" s="32" t="s">
        <v>97</v>
      </c>
      <c r="D153" s="213"/>
      <c r="E153" s="153"/>
      <c r="F153" s="165"/>
      <c r="G153" s="176"/>
      <c r="H153" s="186"/>
      <c r="I153" s="284"/>
      <c r="J153" s="42">
        <f t="shared" si="22"/>
        <v>0</v>
      </c>
    </row>
    <row r="154" spans="2:10" ht="15.75" hidden="1" customHeight="1" thickBot="1" x14ac:dyDescent="0.4">
      <c r="B154" s="130"/>
      <c r="C154" s="32" t="s">
        <v>98</v>
      </c>
      <c r="D154" s="213"/>
      <c r="E154" s="224"/>
      <c r="F154" s="234"/>
      <c r="G154" s="245"/>
      <c r="H154" s="255"/>
      <c r="I154" s="285"/>
      <c r="J154" s="42">
        <f t="shared" si="22"/>
        <v>0</v>
      </c>
    </row>
    <row r="155" spans="2:10" ht="15.75" hidden="1" customHeight="1" thickBot="1" x14ac:dyDescent="0.4">
      <c r="B155" s="130"/>
      <c r="C155" s="33" t="s">
        <v>99</v>
      </c>
      <c r="D155" s="213"/>
      <c r="E155" s="224"/>
      <c r="F155" s="234"/>
      <c r="G155" s="245"/>
      <c r="H155" s="255"/>
      <c r="I155" s="285"/>
      <c r="J155" s="42">
        <f t="shared" si="22"/>
        <v>0</v>
      </c>
    </row>
    <row r="156" spans="2:10" ht="15.75" hidden="1" customHeight="1" thickBot="1" x14ac:dyDescent="0.4">
      <c r="B156" s="130"/>
      <c r="C156" s="32" t="s">
        <v>100</v>
      </c>
      <c r="D156" s="213"/>
      <c r="E156" s="224"/>
      <c r="F156" s="234"/>
      <c r="G156" s="245"/>
      <c r="H156" s="255"/>
      <c r="I156" s="285"/>
      <c r="J156" s="42">
        <f>SUM(D156:H156)</f>
        <v>0</v>
      </c>
    </row>
    <row r="157" spans="2:10" ht="15.75" hidden="1" customHeight="1" thickBot="1" x14ac:dyDescent="0.4">
      <c r="B157" s="130"/>
      <c r="C157" s="32" t="s">
        <v>101</v>
      </c>
      <c r="D157" s="213"/>
      <c r="E157" s="224"/>
      <c r="F157" s="234"/>
      <c r="G157" s="245"/>
      <c r="H157" s="255"/>
      <c r="I157" s="285"/>
      <c r="J157" s="42">
        <f t="shared" si="22"/>
        <v>0</v>
      </c>
    </row>
    <row r="158" spans="2:10" ht="15.75" hidden="1" customHeight="1" thickBot="1" x14ac:dyDescent="0.4">
      <c r="B158" s="130"/>
      <c r="C158" s="32" t="s">
        <v>102</v>
      </c>
      <c r="D158" s="213"/>
      <c r="E158" s="224"/>
      <c r="F158" s="234"/>
      <c r="G158" s="245"/>
      <c r="H158" s="255"/>
      <c r="I158" s="285"/>
      <c r="J158" s="42">
        <f t="shared" si="22"/>
        <v>0</v>
      </c>
    </row>
    <row r="159" spans="2:10" ht="15.75" hidden="1" customHeight="1" thickBot="1" x14ac:dyDescent="0.4">
      <c r="B159" s="130"/>
      <c r="C159" s="36" t="s">
        <v>103</v>
      </c>
      <c r="D159" s="214">
        <f>SUM(D152:D158)</f>
        <v>0</v>
      </c>
      <c r="E159" s="225">
        <f>SUM(E152:E158)</f>
        <v>0</v>
      </c>
      <c r="F159" s="235">
        <f>SUM(F152:F158)</f>
        <v>0</v>
      </c>
      <c r="G159" s="246">
        <f>SUM(G152:G158)</f>
        <v>0</v>
      </c>
      <c r="H159" s="256">
        <f>SUM(H152:H158)</f>
        <v>0</v>
      </c>
      <c r="I159" s="257"/>
      <c r="J159" s="42">
        <f t="shared" si="22"/>
        <v>0</v>
      </c>
    </row>
    <row r="160" spans="2:10" s="35" customFormat="1" ht="15.75" hidden="1" customHeight="1" x14ac:dyDescent="0.35">
      <c r="B160" s="131"/>
      <c r="C160" s="43"/>
      <c r="D160" s="44"/>
      <c r="E160" s="44"/>
      <c r="F160" s="44"/>
      <c r="G160" s="44"/>
      <c r="H160" s="44"/>
      <c r="I160" s="44"/>
      <c r="J160" s="45"/>
    </row>
    <row r="161" spans="3:10" ht="15.75" hidden="1" customHeight="1" x14ac:dyDescent="0.35">
      <c r="C161" s="342" t="s">
        <v>127</v>
      </c>
      <c r="D161" s="343"/>
      <c r="E161" s="343"/>
      <c r="F161" s="343"/>
      <c r="G161" s="343"/>
      <c r="H161" s="343"/>
      <c r="I161" s="343"/>
      <c r="J161" s="344"/>
    </row>
    <row r="162" spans="3:10" ht="21" hidden="1" customHeight="1" thickBot="1" x14ac:dyDescent="0.4">
      <c r="C162" s="41" t="s">
        <v>128</v>
      </c>
      <c r="D162" s="211" t="e">
        <f>'1) Tableau budgétaire 1'!#REF!</f>
        <v>#REF!</v>
      </c>
      <c r="E162" s="222" t="e">
        <f>'1) Tableau budgétaire 1'!#REF!</f>
        <v>#REF!</v>
      </c>
      <c r="F162" s="232" t="e">
        <f>'1) Tableau budgétaire 1'!#REF!</f>
        <v>#REF!</v>
      </c>
      <c r="G162" s="243" t="e">
        <f>'1) Tableau budgétaire 1'!#REF!</f>
        <v>#REF!</v>
      </c>
      <c r="H162" s="253" t="e">
        <f>'1) Tableau budgétaire 1'!#REF!</f>
        <v>#REF!</v>
      </c>
      <c r="I162" s="253"/>
      <c r="J162" s="42" t="e">
        <f>SUM(D162:H162)</f>
        <v>#REF!</v>
      </c>
    </row>
    <row r="163" spans="3:10" ht="15.75" hidden="1" customHeight="1" thickBot="1" x14ac:dyDescent="0.4">
      <c r="C163" s="40" t="s">
        <v>96</v>
      </c>
      <c r="D163" s="212"/>
      <c r="E163" s="223"/>
      <c r="F163" s="233"/>
      <c r="G163" s="244"/>
      <c r="H163" s="254"/>
      <c r="I163" s="283"/>
      <c r="J163" s="42">
        <f t="shared" ref="J163:J170" si="23">SUM(D163:H163)</f>
        <v>0</v>
      </c>
    </row>
    <row r="164" spans="3:10" ht="15.75" hidden="1" customHeight="1" thickBot="1" x14ac:dyDescent="0.4">
      <c r="C164" s="32" t="s">
        <v>97</v>
      </c>
      <c r="D164" s="213"/>
      <c r="E164" s="153"/>
      <c r="F164" s="165"/>
      <c r="G164" s="176"/>
      <c r="H164" s="186"/>
      <c r="I164" s="284"/>
      <c r="J164" s="42">
        <f t="shared" si="23"/>
        <v>0</v>
      </c>
    </row>
    <row r="165" spans="3:10" ht="15.75" hidden="1" customHeight="1" thickBot="1" x14ac:dyDescent="0.4">
      <c r="C165" s="32" t="s">
        <v>98</v>
      </c>
      <c r="D165" s="213"/>
      <c r="E165" s="224"/>
      <c r="F165" s="234"/>
      <c r="G165" s="245"/>
      <c r="H165" s="255"/>
      <c r="I165" s="285"/>
      <c r="J165" s="42">
        <f t="shared" si="23"/>
        <v>0</v>
      </c>
    </row>
    <row r="166" spans="3:10" ht="15.75" hidden="1" customHeight="1" thickBot="1" x14ac:dyDescent="0.4">
      <c r="C166" s="33" t="s">
        <v>99</v>
      </c>
      <c r="D166" s="213"/>
      <c r="E166" s="224"/>
      <c r="F166" s="234"/>
      <c r="G166" s="245"/>
      <c r="H166" s="255"/>
      <c r="I166" s="285"/>
      <c r="J166" s="42">
        <f t="shared" si="23"/>
        <v>0</v>
      </c>
    </row>
    <row r="167" spans="3:10" ht="15.75" hidden="1" customHeight="1" thickBot="1" x14ac:dyDescent="0.4">
      <c r="C167" s="32" t="s">
        <v>100</v>
      </c>
      <c r="D167" s="213"/>
      <c r="E167" s="224"/>
      <c r="F167" s="234"/>
      <c r="G167" s="245"/>
      <c r="H167" s="255"/>
      <c r="I167" s="285"/>
      <c r="J167" s="42">
        <f t="shared" si="23"/>
        <v>0</v>
      </c>
    </row>
    <row r="168" spans="3:10" ht="15.75" hidden="1" customHeight="1" thickBot="1" x14ac:dyDescent="0.4">
      <c r="C168" s="32" t="s">
        <v>101</v>
      </c>
      <c r="D168" s="213"/>
      <c r="E168" s="224"/>
      <c r="F168" s="234"/>
      <c r="G168" s="245"/>
      <c r="H168" s="255"/>
      <c r="I168" s="285"/>
      <c r="J168" s="42">
        <f t="shared" si="23"/>
        <v>0</v>
      </c>
    </row>
    <row r="169" spans="3:10" ht="15.75" hidden="1" customHeight="1" thickBot="1" x14ac:dyDescent="0.4">
      <c r="C169" s="32" t="s">
        <v>102</v>
      </c>
      <c r="D169" s="213"/>
      <c r="E169" s="224"/>
      <c r="F169" s="234"/>
      <c r="G169" s="245"/>
      <c r="H169" s="255"/>
      <c r="I169" s="285"/>
      <c r="J169" s="42">
        <f t="shared" si="23"/>
        <v>0</v>
      </c>
    </row>
    <row r="170" spans="3:10" ht="15.75" hidden="1" customHeight="1" thickBot="1" x14ac:dyDescent="0.4">
      <c r="C170" s="36" t="s">
        <v>103</v>
      </c>
      <c r="D170" s="214">
        <f>SUM(D163:D169)</f>
        <v>0</v>
      </c>
      <c r="E170" s="225">
        <f>SUM(E163:E169)</f>
        <v>0</v>
      </c>
      <c r="F170" s="235">
        <f>SUM(F163:F169)</f>
        <v>0</v>
      </c>
      <c r="G170" s="246">
        <f t="shared" ref="G170:H170" si="24">SUM(G163:G169)</f>
        <v>0</v>
      </c>
      <c r="H170" s="256">
        <f t="shared" si="24"/>
        <v>0</v>
      </c>
      <c r="I170" s="257"/>
      <c r="J170" s="42">
        <f t="shared" si="23"/>
        <v>0</v>
      </c>
    </row>
    <row r="171" spans="3:10" s="35" customFormat="1" ht="15.75" hidden="1" customHeight="1" x14ac:dyDescent="0.35">
      <c r="C171" s="43"/>
      <c r="D171" s="44"/>
      <c r="E171" s="44"/>
      <c r="F171" s="44"/>
      <c r="G171" s="44"/>
      <c r="H171" s="44"/>
      <c r="I171" s="44"/>
      <c r="J171" s="45"/>
    </row>
    <row r="172" spans="3:10" ht="15.75" hidden="1" customHeight="1" x14ac:dyDescent="0.35">
      <c r="C172" s="342" t="s">
        <v>129</v>
      </c>
      <c r="D172" s="343"/>
      <c r="E172" s="343"/>
      <c r="F172" s="343"/>
      <c r="G172" s="343"/>
      <c r="H172" s="343"/>
      <c r="I172" s="343"/>
      <c r="J172" s="344"/>
    </row>
    <row r="173" spans="3:10" ht="19.5" hidden="1" customHeight="1" thickBot="1" x14ac:dyDescent="0.4">
      <c r="C173" s="41" t="s">
        <v>130</v>
      </c>
      <c r="D173" s="211" t="e">
        <f>'1) Tableau budgétaire 1'!#REF!</f>
        <v>#REF!</v>
      </c>
      <c r="E173" s="222" t="e">
        <f>'1) Tableau budgétaire 1'!#REF!</f>
        <v>#REF!</v>
      </c>
      <c r="F173" s="232" t="e">
        <f>'1) Tableau budgétaire 1'!#REF!</f>
        <v>#REF!</v>
      </c>
      <c r="G173" s="243" t="e">
        <f>'1) Tableau budgétaire 1'!#REF!</f>
        <v>#REF!</v>
      </c>
      <c r="H173" s="253" t="e">
        <f>'1) Tableau budgétaire 1'!#REF!</f>
        <v>#REF!</v>
      </c>
      <c r="I173" s="253"/>
      <c r="J173" s="42" t="e">
        <f>SUM(D173:H173)</f>
        <v>#REF!</v>
      </c>
    </row>
    <row r="174" spans="3:10" ht="15.75" hidden="1" customHeight="1" thickBot="1" x14ac:dyDescent="0.4">
      <c r="C174" s="40" t="s">
        <v>96</v>
      </c>
      <c r="D174" s="212"/>
      <c r="E174" s="223"/>
      <c r="F174" s="233"/>
      <c r="G174" s="244"/>
      <c r="H174" s="254"/>
      <c r="I174" s="283"/>
      <c r="J174" s="42">
        <f t="shared" ref="J174:J181" si="25">SUM(D174:H174)</f>
        <v>0</v>
      </c>
    </row>
    <row r="175" spans="3:10" ht="15.75" hidden="1" customHeight="1" thickBot="1" x14ac:dyDescent="0.4">
      <c r="C175" s="32" t="s">
        <v>97</v>
      </c>
      <c r="D175" s="213"/>
      <c r="E175" s="153"/>
      <c r="F175" s="165"/>
      <c r="G175" s="176"/>
      <c r="H175" s="186"/>
      <c r="I175" s="284"/>
      <c r="J175" s="42">
        <f>SUM(D175:H175)</f>
        <v>0</v>
      </c>
    </row>
    <row r="176" spans="3:10" ht="15.75" hidden="1" customHeight="1" thickBot="1" x14ac:dyDescent="0.4">
      <c r="C176" s="32" t="s">
        <v>98</v>
      </c>
      <c r="D176" s="213"/>
      <c r="E176" s="224"/>
      <c r="F176" s="234"/>
      <c r="G176" s="245"/>
      <c r="H176" s="255"/>
      <c r="I176" s="285"/>
      <c r="J176" s="42">
        <f t="shared" si="25"/>
        <v>0</v>
      </c>
    </row>
    <row r="177" spans="3:10" ht="15.75" hidden="1" customHeight="1" thickBot="1" x14ac:dyDescent="0.4">
      <c r="C177" s="33" t="s">
        <v>99</v>
      </c>
      <c r="D177" s="213"/>
      <c r="E177" s="224"/>
      <c r="F177" s="234"/>
      <c r="G177" s="245"/>
      <c r="H177" s="255"/>
      <c r="I177" s="285"/>
      <c r="J177" s="42">
        <f t="shared" si="25"/>
        <v>0</v>
      </c>
    </row>
    <row r="178" spans="3:10" ht="15.75" hidden="1" customHeight="1" thickBot="1" x14ac:dyDescent="0.4">
      <c r="C178" s="32" t="s">
        <v>100</v>
      </c>
      <c r="D178" s="213"/>
      <c r="E178" s="224"/>
      <c r="F178" s="234"/>
      <c r="G178" s="245"/>
      <c r="H178" s="255"/>
      <c r="I178" s="285"/>
      <c r="J178" s="42">
        <f t="shared" si="25"/>
        <v>0</v>
      </c>
    </row>
    <row r="179" spans="3:10" ht="15.75" hidden="1" customHeight="1" thickBot="1" x14ac:dyDescent="0.4">
      <c r="C179" s="32" t="s">
        <v>101</v>
      </c>
      <c r="D179" s="213"/>
      <c r="E179" s="224"/>
      <c r="F179" s="234"/>
      <c r="G179" s="245"/>
      <c r="H179" s="255"/>
      <c r="I179" s="285"/>
      <c r="J179" s="42">
        <f t="shared" si="25"/>
        <v>0</v>
      </c>
    </row>
    <row r="180" spans="3:10" ht="15.75" hidden="1" customHeight="1" thickBot="1" x14ac:dyDescent="0.4">
      <c r="C180" s="32" t="s">
        <v>102</v>
      </c>
      <c r="D180" s="213"/>
      <c r="E180" s="224"/>
      <c r="F180" s="234"/>
      <c r="G180" s="245"/>
      <c r="H180" s="255"/>
      <c r="I180" s="285"/>
      <c r="J180" s="42">
        <f t="shared" si="25"/>
        <v>0</v>
      </c>
    </row>
    <row r="181" spans="3:10" ht="15.75" hidden="1" customHeight="1" thickBot="1" x14ac:dyDescent="0.4">
      <c r="C181" s="36" t="s">
        <v>103</v>
      </c>
      <c r="D181" s="214">
        <f>SUM(D174:D180)</f>
        <v>0</v>
      </c>
      <c r="E181" s="225">
        <f>SUM(E174:E180)</f>
        <v>0</v>
      </c>
      <c r="F181" s="235">
        <f>SUM(F174:F180)</f>
        <v>0</v>
      </c>
      <c r="G181" s="246">
        <f t="shared" ref="G181:H181" si="26">SUM(G174:G180)</f>
        <v>0</v>
      </c>
      <c r="H181" s="256">
        <f t="shared" si="26"/>
        <v>0</v>
      </c>
      <c r="I181" s="257"/>
      <c r="J181" s="42">
        <f t="shared" si="25"/>
        <v>0</v>
      </c>
    </row>
    <row r="182" spans="3:10" s="35" customFormat="1" ht="15.75" hidden="1" customHeight="1" x14ac:dyDescent="0.35">
      <c r="C182" s="43"/>
      <c r="D182" s="44"/>
      <c r="E182" s="44"/>
      <c r="F182" s="44"/>
      <c r="G182" s="44"/>
      <c r="H182" s="44"/>
      <c r="I182" s="44"/>
      <c r="J182" s="45"/>
    </row>
    <row r="183" spans="3:10" ht="15.75" hidden="1" customHeight="1" x14ac:dyDescent="0.35">
      <c r="C183" s="342" t="s">
        <v>131</v>
      </c>
      <c r="D183" s="343"/>
      <c r="E183" s="343"/>
      <c r="F183" s="343"/>
      <c r="G183" s="343"/>
      <c r="H183" s="343"/>
      <c r="I183" s="343"/>
      <c r="J183" s="344"/>
    </row>
    <row r="184" spans="3:10" ht="22.5" hidden="1" customHeight="1" thickBot="1" x14ac:dyDescent="0.4">
      <c r="C184" s="41" t="s">
        <v>132</v>
      </c>
      <c r="D184" s="211" t="e">
        <f>'1) Tableau budgétaire 1'!#REF!</f>
        <v>#REF!</v>
      </c>
      <c r="E184" s="222" t="e">
        <f>'1) Tableau budgétaire 1'!#REF!</f>
        <v>#REF!</v>
      </c>
      <c r="F184" s="232" t="e">
        <f>'1) Tableau budgétaire 1'!#REF!</f>
        <v>#REF!</v>
      </c>
      <c r="G184" s="243" t="e">
        <f>'1) Tableau budgétaire 1'!#REF!</f>
        <v>#REF!</v>
      </c>
      <c r="H184" s="253" t="e">
        <f>'1) Tableau budgétaire 1'!#REF!</f>
        <v>#REF!</v>
      </c>
      <c r="I184" s="253"/>
      <c r="J184" s="42" t="e">
        <f>SUM(D184:H184)</f>
        <v>#REF!</v>
      </c>
    </row>
    <row r="185" spans="3:10" ht="15.75" hidden="1" customHeight="1" thickBot="1" x14ac:dyDescent="0.4">
      <c r="C185" s="40" t="s">
        <v>96</v>
      </c>
      <c r="D185" s="212"/>
      <c r="E185" s="223"/>
      <c r="F185" s="233"/>
      <c r="G185" s="244"/>
      <c r="H185" s="254"/>
      <c r="I185" s="283"/>
      <c r="J185" s="42">
        <f t="shared" ref="J185:J192" si="27">SUM(D185:H185)</f>
        <v>0</v>
      </c>
    </row>
    <row r="186" spans="3:10" ht="15.75" hidden="1" customHeight="1" thickBot="1" x14ac:dyDescent="0.4">
      <c r="C186" s="32" t="s">
        <v>97</v>
      </c>
      <c r="D186" s="213"/>
      <c r="E186" s="153"/>
      <c r="F186" s="165"/>
      <c r="G186" s="176"/>
      <c r="H186" s="186"/>
      <c r="I186" s="284"/>
      <c r="J186" s="42">
        <f t="shared" si="27"/>
        <v>0</v>
      </c>
    </row>
    <row r="187" spans="3:10" ht="15.75" hidden="1" customHeight="1" thickBot="1" x14ac:dyDescent="0.4">
      <c r="C187" s="32" t="s">
        <v>98</v>
      </c>
      <c r="D187" s="213"/>
      <c r="E187" s="224"/>
      <c r="F187" s="234"/>
      <c r="G187" s="245"/>
      <c r="H187" s="255"/>
      <c r="I187" s="285"/>
      <c r="J187" s="42">
        <f t="shared" si="27"/>
        <v>0</v>
      </c>
    </row>
    <row r="188" spans="3:10" ht="15.75" hidden="1" customHeight="1" thickBot="1" x14ac:dyDescent="0.4">
      <c r="C188" s="33" t="s">
        <v>99</v>
      </c>
      <c r="D188" s="213"/>
      <c r="E188" s="224"/>
      <c r="F188" s="234"/>
      <c r="G188" s="245"/>
      <c r="H188" s="255"/>
      <c r="I188" s="285"/>
      <c r="J188" s="42">
        <f t="shared" si="27"/>
        <v>0</v>
      </c>
    </row>
    <row r="189" spans="3:10" ht="15.75" hidden="1" customHeight="1" thickBot="1" x14ac:dyDescent="0.4">
      <c r="C189" s="32" t="s">
        <v>100</v>
      </c>
      <c r="D189" s="213"/>
      <c r="E189" s="224"/>
      <c r="F189" s="234"/>
      <c r="G189" s="245"/>
      <c r="H189" s="255"/>
      <c r="I189" s="285"/>
      <c r="J189" s="42">
        <f t="shared" si="27"/>
        <v>0</v>
      </c>
    </row>
    <row r="190" spans="3:10" ht="15.75" hidden="1" customHeight="1" thickBot="1" x14ac:dyDescent="0.4">
      <c r="C190" s="32" t="s">
        <v>101</v>
      </c>
      <c r="D190" s="213"/>
      <c r="E190" s="224"/>
      <c r="F190" s="234"/>
      <c r="G190" s="245"/>
      <c r="H190" s="255"/>
      <c r="I190" s="285"/>
      <c r="J190" s="42">
        <f t="shared" si="27"/>
        <v>0</v>
      </c>
    </row>
    <row r="191" spans="3:10" ht="15.75" hidden="1" customHeight="1" thickBot="1" x14ac:dyDescent="0.4">
      <c r="C191" s="32" t="s">
        <v>102</v>
      </c>
      <c r="D191" s="213"/>
      <c r="E191" s="224"/>
      <c r="F191" s="234"/>
      <c r="G191" s="245"/>
      <c r="H191" s="255"/>
      <c r="I191" s="285"/>
      <c r="J191" s="42">
        <f>SUM(D191:H191)</f>
        <v>0</v>
      </c>
    </row>
    <row r="192" spans="3:10" ht="15.75" hidden="1" customHeight="1" thickBot="1" x14ac:dyDescent="0.4">
      <c r="C192" s="36" t="s">
        <v>103</v>
      </c>
      <c r="D192" s="214">
        <f>SUM(D185:D191)</f>
        <v>0</v>
      </c>
      <c r="E192" s="225">
        <f>SUM(E185:E191)</f>
        <v>0</v>
      </c>
      <c r="F192" s="235">
        <f>SUM(F185:F191)</f>
        <v>0</v>
      </c>
      <c r="G192" s="246">
        <f>SUM(G185:G191)</f>
        <v>0</v>
      </c>
      <c r="H192" s="256">
        <f>SUM(H185:H191)</f>
        <v>0</v>
      </c>
      <c r="I192" s="257"/>
      <c r="J192" s="42">
        <f t="shared" si="27"/>
        <v>0</v>
      </c>
    </row>
    <row r="193" spans="3:10" ht="15.75" customHeight="1" x14ac:dyDescent="0.35">
      <c r="C193" s="130"/>
      <c r="D193" s="131"/>
      <c r="E193" s="131"/>
      <c r="F193" s="131"/>
      <c r="G193" s="131"/>
      <c r="H193" s="131"/>
      <c r="I193" s="131"/>
      <c r="J193" s="130"/>
    </row>
    <row r="194" spans="3:10" ht="15.75" customHeight="1" x14ac:dyDescent="0.35">
      <c r="C194" s="342" t="s">
        <v>133</v>
      </c>
      <c r="D194" s="343"/>
      <c r="E194" s="343"/>
      <c r="F194" s="343"/>
      <c r="G194" s="343"/>
      <c r="H194" s="343"/>
      <c r="I194" s="343"/>
      <c r="J194" s="344"/>
    </row>
    <row r="195" spans="3:10" ht="22" customHeight="1" thickBot="1" x14ac:dyDescent="0.4">
      <c r="C195" s="41" t="s">
        <v>134</v>
      </c>
      <c r="D195" s="211">
        <f>'1) Tableau budgétaire 1'!D72</f>
        <v>450000</v>
      </c>
      <c r="E195" s="222">
        <f>'1) Tableau budgétaire 1'!E72</f>
        <v>205000</v>
      </c>
      <c r="F195" s="232">
        <f>'1) Tableau budgétaire 1'!F72</f>
        <v>137000</v>
      </c>
      <c r="G195" s="243">
        <f>'1) Tableau budgétaire 1'!G72</f>
        <v>137000</v>
      </c>
      <c r="H195" s="253">
        <f>'1) Tableau budgétaire 1'!H72</f>
        <v>64300</v>
      </c>
      <c r="I195" s="253">
        <f>'1) Tableau budgétaire 1'!I72</f>
        <v>46700</v>
      </c>
      <c r="J195" s="42">
        <f>SUM(D195:I195)</f>
        <v>1040000</v>
      </c>
    </row>
    <row r="196" spans="3:10" ht="18" customHeight="1" thickBot="1" x14ac:dyDescent="0.4">
      <c r="C196" s="40" t="s">
        <v>96</v>
      </c>
      <c r="D196" s="212">
        <f>'1) Tableau budgétaire 1'!D59</f>
        <v>206000</v>
      </c>
      <c r="E196" s="223">
        <v>135000</v>
      </c>
      <c r="F196" s="233">
        <f>'1) Tableau budgétaire 1'!F61</f>
        <v>70000</v>
      </c>
      <c r="G196" s="244">
        <v>70000</v>
      </c>
      <c r="H196" s="254">
        <f>'1) Tableau budgétaire 1'!H63</f>
        <v>36400</v>
      </c>
      <c r="I196" s="254">
        <f>'1) Tableau budgétaire 1'!I63</f>
        <v>28600</v>
      </c>
      <c r="J196" s="42">
        <f t="shared" ref="J196:J203" si="28">SUM(D196:I196)</f>
        <v>546000</v>
      </c>
    </row>
    <row r="197" spans="3:10" ht="20.25" customHeight="1" thickBot="1" x14ac:dyDescent="0.4">
      <c r="C197" s="32" t="s">
        <v>97</v>
      </c>
      <c r="D197" s="213">
        <f>'1) Tableau budgétaire 1'!D67</f>
        <v>12000</v>
      </c>
      <c r="E197" s="153"/>
      <c r="F197" s="165">
        <f>'1) Tableau budgétaire 1'!F67</f>
        <v>9000</v>
      </c>
      <c r="G197" s="176">
        <v>9000</v>
      </c>
      <c r="H197" s="186">
        <f>'1) Tableau budgétaire 1'!H67</f>
        <v>2800.0000000000005</v>
      </c>
      <c r="I197" s="186">
        <f>'1) Tableau budgétaire 1'!I67</f>
        <v>2200</v>
      </c>
      <c r="J197" s="42">
        <f t="shared" si="28"/>
        <v>35000</v>
      </c>
    </row>
    <row r="198" spans="3:10" ht="39.75" customHeight="1" thickBot="1" x14ac:dyDescent="0.4">
      <c r="C198" s="32" t="s">
        <v>98</v>
      </c>
      <c r="D198" s="213">
        <f>'1) Tableau budgétaire 1'!D64+'1) Tableau budgétaire 1'!D68</f>
        <v>25000</v>
      </c>
      <c r="E198" s="224"/>
      <c r="F198" s="234">
        <f>'1) Tableau budgétaire 1'!F64+'1) Tableau budgétaire 1'!G68</f>
        <v>15000</v>
      </c>
      <c r="G198" s="245">
        <v>15000</v>
      </c>
      <c r="H198" s="255">
        <f>'1) Tableau budgétaire 1'!H64</f>
        <v>5600.0000000000009</v>
      </c>
      <c r="I198" s="255">
        <f>'1) Tableau budgétaire 1'!I64</f>
        <v>4400</v>
      </c>
      <c r="J198" s="42">
        <f t="shared" si="28"/>
        <v>65000</v>
      </c>
    </row>
    <row r="199" spans="3:10" ht="18" customHeight="1" thickBot="1" x14ac:dyDescent="0.4">
      <c r="C199" s="33" t="s">
        <v>99</v>
      </c>
      <c r="D199" s="213">
        <f>'1) Tableau budgétaire 1'!D69+'1) Tableau budgétaire 1'!D71</f>
        <v>130000</v>
      </c>
      <c r="E199" s="224"/>
      <c r="F199" s="234"/>
      <c r="G199" s="245"/>
      <c r="H199" s="255"/>
      <c r="I199" s="285"/>
      <c r="J199" s="42">
        <f t="shared" si="28"/>
        <v>130000</v>
      </c>
    </row>
    <row r="200" spans="3:10" ht="19.5" customHeight="1" thickBot="1" x14ac:dyDescent="0.4">
      <c r="C200" s="32" t="s">
        <v>100</v>
      </c>
      <c r="D200" s="213">
        <f>'1) Tableau budgétaire 1'!D70</f>
        <v>55000</v>
      </c>
      <c r="E200" s="224">
        <v>30000</v>
      </c>
      <c r="F200" s="234">
        <f>'1) Tableau budgétaire 1'!F70</f>
        <v>25000</v>
      </c>
      <c r="G200" s="245">
        <v>25000</v>
      </c>
      <c r="H200" s="255">
        <f>'1) Tableau budgétaire 1'!H70</f>
        <v>8400</v>
      </c>
      <c r="I200" s="255">
        <f>'1) Tableau budgétaire 1'!I70</f>
        <v>6600</v>
      </c>
      <c r="J200" s="42">
        <f t="shared" si="28"/>
        <v>150000</v>
      </c>
    </row>
    <row r="201" spans="3:10" ht="18" customHeight="1" thickBot="1" x14ac:dyDescent="0.4">
      <c r="C201" s="32" t="s">
        <v>101</v>
      </c>
      <c r="D201" s="213"/>
      <c r="E201" s="224"/>
      <c r="F201" s="234"/>
      <c r="G201" s="245"/>
      <c r="H201" s="255"/>
      <c r="I201" s="285"/>
      <c r="J201" s="42">
        <f t="shared" si="28"/>
        <v>0</v>
      </c>
    </row>
    <row r="202" spans="3:10" ht="19.5" customHeight="1" thickBot="1" x14ac:dyDescent="0.4">
      <c r="C202" s="32" t="s">
        <v>102</v>
      </c>
      <c r="D202" s="213">
        <f>'1) Tableau budgétaire 1'!D65+'1) Tableau budgétaire 1'!D66</f>
        <v>22000</v>
      </c>
      <c r="E202" s="224">
        <v>40000</v>
      </c>
      <c r="F202" s="234">
        <f>'1) Tableau budgétaire 1'!F65+'1) Tableau budgétaire 1'!F66</f>
        <v>18000</v>
      </c>
      <c r="G202" s="245">
        <v>18000</v>
      </c>
      <c r="H202" s="255">
        <v>11100</v>
      </c>
      <c r="I202" s="255">
        <v>4900</v>
      </c>
      <c r="J202" s="42">
        <f>SUM(D202:I202)</f>
        <v>114000</v>
      </c>
    </row>
    <row r="203" spans="3:10" ht="23.25" customHeight="1" thickBot="1" x14ac:dyDescent="0.4">
      <c r="C203" s="36" t="s">
        <v>103</v>
      </c>
      <c r="D203" s="214">
        <f t="shared" ref="D203:I203" si="29">SUM(D196:D202)</f>
        <v>450000</v>
      </c>
      <c r="E203" s="225">
        <f t="shared" si="29"/>
        <v>205000</v>
      </c>
      <c r="F203" s="235">
        <f t="shared" si="29"/>
        <v>137000</v>
      </c>
      <c r="G203" s="246">
        <f t="shared" si="29"/>
        <v>137000</v>
      </c>
      <c r="H203" s="256">
        <f t="shared" si="29"/>
        <v>64300</v>
      </c>
      <c r="I203" s="256">
        <f t="shared" si="29"/>
        <v>46700</v>
      </c>
      <c r="J203" s="42">
        <f t="shared" si="28"/>
        <v>1040000</v>
      </c>
    </row>
    <row r="204" spans="3:10" ht="15.75" customHeight="1" thickBot="1" x14ac:dyDescent="0.4">
      <c r="C204" s="130"/>
      <c r="D204" s="131"/>
      <c r="E204" s="131"/>
      <c r="F204" s="131"/>
      <c r="G204" s="131"/>
      <c r="H204" s="131"/>
      <c r="I204" s="131"/>
      <c r="J204" s="130"/>
    </row>
    <row r="205" spans="3:10" ht="19.5" customHeight="1" thickBot="1" x14ac:dyDescent="0.4">
      <c r="C205" s="352" t="s">
        <v>71</v>
      </c>
      <c r="D205" s="353"/>
      <c r="E205" s="353"/>
      <c r="F205" s="353"/>
      <c r="G205" s="353"/>
      <c r="H205" s="353"/>
      <c r="I205" s="353"/>
      <c r="J205" s="354"/>
    </row>
    <row r="206" spans="3:10" ht="42.75" customHeight="1" x14ac:dyDescent="0.35">
      <c r="C206" s="48"/>
      <c r="D206" s="216" t="s">
        <v>72</v>
      </c>
      <c r="E206" s="155" t="s">
        <v>73</v>
      </c>
      <c r="F206" s="166" t="s">
        <v>74</v>
      </c>
      <c r="G206" s="177" t="s">
        <v>75</v>
      </c>
      <c r="H206" s="259" t="s">
        <v>552</v>
      </c>
      <c r="I206" s="259" t="s">
        <v>553</v>
      </c>
      <c r="J206" s="345" t="s">
        <v>71</v>
      </c>
    </row>
    <row r="207" spans="3:10" ht="19.5" customHeight="1" x14ac:dyDescent="0.35">
      <c r="C207" s="83"/>
      <c r="D207" s="217" t="str">
        <f>'1) Tableau budgétaire 1'!D13</f>
        <v>PNUD GUINEE</v>
      </c>
      <c r="E207" s="227" t="str">
        <f>'1) Tableau budgétaire 1'!E13</f>
        <v>PNUD MALI</v>
      </c>
      <c r="F207" s="238" t="str">
        <f>'1) Tableau budgétaire 1'!F13</f>
        <v>UNFPA GUINEE</v>
      </c>
      <c r="G207" s="248" t="str">
        <f>'1) Tableau budgétaire 1'!G13</f>
        <v>UNFPA MALI</v>
      </c>
      <c r="H207" s="259" t="str">
        <f>'1) Tableau budgétaire 1'!H13</f>
        <v>UNODC GUINEE</v>
      </c>
      <c r="I207" s="259" t="str">
        <f>'1) Tableau budgétaire 1'!I13</f>
        <v>UNODC MALI</v>
      </c>
      <c r="J207" s="320"/>
    </row>
    <row r="208" spans="3:10" ht="19.5" customHeight="1" x14ac:dyDescent="0.35">
      <c r="C208" s="80" t="s">
        <v>96</v>
      </c>
      <c r="D208" s="218">
        <f>SUM(D185,D174,D163,D152,D140,D129,D118,D107,D95,D84,D73,D62,D50,D39,D28,D17,D196)</f>
        <v>206000</v>
      </c>
      <c r="E208" s="228">
        <f t="shared" ref="E208:I208" si="30">SUM(E185,E174,E163,E152,E140,E129,E118,E107,E95,E84,E73,E62,E50,E39,E28,E17,E196)</f>
        <v>135000</v>
      </c>
      <c r="F208" s="239">
        <f t="shared" si="30"/>
        <v>70000</v>
      </c>
      <c r="G208" s="249">
        <f t="shared" si="30"/>
        <v>70000</v>
      </c>
      <c r="H208" s="260">
        <f>SUM(H185,H174,H163,H152,H140,H129,H118,H107,H95,H84,H73,H62,H50,H39,H28,H17,H196)</f>
        <v>36400</v>
      </c>
      <c r="I208" s="260">
        <f t="shared" si="30"/>
        <v>28600</v>
      </c>
      <c r="J208" s="47">
        <f>SUM(D208:I208)</f>
        <v>546000</v>
      </c>
    </row>
    <row r="209" spans="3:17" ht="19" customHeight="1" x14ac:dyDescent="0.35">
      <c r="C209" s="81" t="s">
        <v>97</v>
      </c>
      <c r="D209" s="218">
        <f>SUM(D186,D175,D164,D153,D141,D130,D119,D108,D96,D85,D74,D63,D51,D40,D29,D18,D197)</f>
        <v>22000</v>
      </c>
      <c r="E209" s="228">
        <f t="shared" ref="E209:G209" si="31">SUM(E186,E175,E164,E153,E141,E130,E119,E108,E96,E85,E74,E63,E51,E40,E29,E18,E197)</f>
        <v>46800</v>
      </c>
      <c r="F209" s="239">
        <f t="shared" si="31"/>
        <v>9000</v>
      </c>
      <c r="G209" s="249">
        <f t="shared" si="31"/>
        <v>9000</v>
      </c>
      <c r="H209" s="260">
        <f t="shared" ref="H209:I214" si="32">SUM(H186,H175,H164,H153,H141,H130,H119,H108,H96,H85,H74,H63,H51,H40,H29,H18,H197)</f>
        <v>8400.0000000000018</v>
      </c>
      <c r="I209" s="260">
        <f t="shared" si="32"/>
        <v>6600</v>
      </c>
      <c r="J209" s="47">
        <f t="shared" ref="J209:J216" si="33">SUM(D209:I209)</f>
        <v>101800</v>
      </c>
      <c r="K209" s="130"/>
      <c r="L209" s="130"/>
      <c r="M209" s="130"/>
      <c r="N209" s="130"/>
      <c r="O209" s="130"/>
      <c r="P209" s="130"/>
      <c r="Q209" s="130"/>
    </row>
    <row r="210" spans="3:17" ht="36.65" customHeight="1" x14ac:dyDescent="0.35">
      <c r="C210" s="81" t="s">
        <v>98</v>
      </c>
      <c r="D210" s="218">
        <f t="shared" ref="D210:G214" si="34">SUM(D187,D176,D165,D154,D142,D131,D120,D109,D97,D86,D75,D64,D52,D41,D30,D19,D198)</f>
        <v>25000</v>
      </c>
      <c r="E210" s="228">
        <f t="shared" si="34"/>
        <v>0</v>
      </c>
      <c r="F210" s="239">
        <f t="shared" si="34"/>
        <v>15000</v>
      </c>
      <c r="G210" s="249">
        <f t="shared" si="34"/>
        <v>15000</v>
      </c>
      <c r="H210" s="260">
        <f>SUM(H187,H176,H165,H154,H142,H131,H120,H109,H97,H86,H75,H64,H52,H41,H30,H19,H198)</f>
        <v>22400</v>
      </c>
      <c r="I210" s="260">
        <f>SUM(I187,I176,I165,I154,I142,I131,I120,I109,I97,I86,I75,I64,I52,I41,I30,I19,I198)</f>
        <v>17600</v>
      </c>
      <c r="J210" s="47">
        <f t="shared" si="33"/>
        <v>95000</v>
      </c>
      <c r="K210" s="130"/>
      <c r="L210" s="130"/>
      <c r="M210" s="130"/>
      <c r="N210" s="130"/>
      <c r="O210" s="130"/>
      <c r="P210" s="130"/>
      <c r="Q210" s="130"/>
    </row>
    <row r="211" spans="3:17" ht="24" customHeight="1" x14ac:dyDescent="0.35">
      <c r="C211" s="82" t="s">
        <v>99</v>
      </c>
      <c r="D211" s="218">
        <f t="shared" si="34"/>
        <v>265000</v>
      </c>
      <c r="E211" s="228">
        <f t="shared" si="34"/>
        <v>110773.83199999999</v>
      </c>
      <c r="F211" s="239">
        <f t="shared" si="34"/>
        <v>130000</v>
      </c>
      <c r="G211" s="249">
        <f t="shared" si="34"/>
        <v>130000</v>
      </c>
      <c r="H211" s="260">
        <f t="shared" si="32"/>
        <v>96124.000000000015</v>
      </c>
      <c r="I211" s="260">
        <f t="shared" si="32"/>
        <v>75526</v>
      </c>
      <c r="J211" s="47">
        <f t="shared" si="33"/>
        <v>807423.83199999994</v>
      </c>
      <c r="K211" s="130"/>
      <c r="L211" s="130"/>
      <c r="M211" s="130"/>
      <c r="N211" s="130"/>
      <c r="O211" s="130"/>
      <c r="P211" s="130"/>
      <c r="Q211" s="130"/>
    </row>
    <row r="212" spans="3:17" ht="21" customHeight="1" x14ac:dyDescent="0.35">
      <c r="C212" s="81" t="s">
        <v>100</v>
      </c>
      <c r="D212" s="218">
        <f t="shared" si="34"/>
        <v>155000</v>
      </c>
      <c r="E212" s="228">
        <f t="shared" si="34"/>
        <v>196715.88800000001</v>
      </c>
      <c r="F212" s="239">
        <f t="shared" si="34"/>
        <v>43000</v>
      </c>
      <c r="G212" s="249">
        <f t="shared" si="34"/>
        <v>51000</v>
      </c>
      <c r="H212" s="260">
        <f t="shared" si="32"/>
        <v>67592</v>
      </c>
      <c r="I212" s="260">
        <f t="shared" si="32"/>
        <v>53108</v>
      </c>
      <c r="J212" s="47">
        <f t="shared" si="33"/>
        <v>566415.88800000004</v>
      </c>
      <c r="K212" s="120"/>
      <c r="L212" s="120"/>
      <c r="M212" s="120"/>
      <c r="N212" s="120"/>
      <c r="O212" s="120"/>
      <c r="P212" s="135"/>
      <c r="Q212" s="130"/>
    </row>
    <row r="213" spans="3:17" ht="24.65" customHeight="1" x14ac:dyDescent="0.35">
      <c r="C213" s="81" t="s">
        <v>101</v>
      </c>
      <c r="D213" s="218">
        <f t="shared" si="34"/>
        <v>491000</v>
      </c>
      <c r="E213" s="228">
        <f t="shared" si="34"/>
        <v>410289.72</v>
      </c>
      <c r="F213" s="239">
        <f t="shared" si="34"/>
        <v>370000</v>
      </c>
      <c r="G213" s="249">
        <f t="shared" si="34"/>
        <v>370000</v>
      </c>
      <c r="H213" s="260">
        <f t="shared" si="32"/>
        <v>28000.000000000004</v>
      </c>
      <c r="I213" s="260">
        <f t="shared" si="32"/>
        <v>22000</v>
      </c>
      <c r="J213" s="47">
        <f t="shared" si="33"/>
        <v>1691289.72</v>
      </c>
      <c r="K213" s="120"/>
      <c r="L213" s="120"/>
      <c r="M213" s="120"/>
      <c r="N213" s="120"/>
      <c r="O213" s="120"/>
      <c r="P213" s="135"/>
      <c r="Q213" s="130"/>
    </row>
    <row r="214" spans="3:17" ht="39.75" customHeight="1" x14ac:dyDescent="0.35">
      <c r="C214" s="81" t="s">
        <v>102</v>
      </c>
      <c r="D214" s="219">
        <f t="shared" si="34"/>
        <v>22000</v>
      </c>
      <c r="E214" s="229">
        <f t="shared" si="34"/>
        <v>40000</v>
      </c>
      <c r="F214" s="240">
        <f t="shared" si="34"/>
        <v>18000</v>
      </c>
      <c r="G214" s="250">
        <f t="shared" si="34"/>
        <v>18000</v>
      </c>
      <c r="H214" s="261">
        <f t="shared" si="32"/>
        <v>26584</v>
      </c>
      <c r="I214" s="261">
        <f t="shared" si="32"/>
        <v>17066</v>
      </c>
      <c r="J214" s="47">
        <f t="shared" si="33"/>
        <v>141650</v>
      </c>
      <c r="K214" s="120"/>
      <c r="L214" s="120"/>
      <c r="M214" s="120"/>
      <c r="N214" s="120"/>
      <c r="O214" s="120"/>
      <c r="P214" s="135"/>
      <c r="Q214" s="130"/>
    </row>
    <row r="215" spans="3:17" ht="22.5" customHeight="1" x14ac:dyDescent="0.35">
      <c r="C215" s="101" t="s">
        <v>76</v>
      </c>
      <c r="D215" s="214">
        <f t="shared" ref="D215:G215" si="35">SUM(D208:D214)</f>
        <v>1186000</v>
      </c>
      <c r="E215" s="225">
        <f t="shared" si="35"/>
        <v>939579.44</v>
      </c>
      <c r="F215" s="235">
        <f t="shared" si="35"/>
        <v>655000</v>
      </c>
      <c r="G215" s="246">
        <f t="shared" si="35"/>
        <v>663000</v>
      </c>
      <c r="H215" s="256">
        <f>SUM(H208:H214)</f>
        <v>285500</v>
      </c>
      <c r="I215" s="256">
        <f>SUM(I208:I214)</f>
        <v>220500</v>
      </c>
      <c r="J215" s="47">
        <f t="shared" si="33"/>
        <v>3949579.44</v>
      </c>
      <c r="K215" s="120"/>
      <c r="L215" s="120"/>
      <c r="M215" s="120"/>
      <c r="N215" s="120"/>
      <c r="O215" s="120"/>
      <c r="P215" s="135"/>
      <c r="Q215" s="130"/>
    </row>
    <row r="216" spans="3:17" ht="23.5" customHeight="1" thickBot="1" x14ac:dyDescent="0.4">
      <c r="C216" s="101" t="s">
        <v>77</v>
      </c>
      <c r="D216" s="220">
        <f>D215*0.07</f>
        <v>83020.000000000015</v>
      </c>
      <c r="E216" s="230">
        <f t="shared" ref="E216:G216" si="36">E215*0.07</f>
        <v>65770.560800000007</v>
      </c>
      <c r="F216" s="241">
        <f t="shared" si="36"/>
        <v>45850.000000000007</v>
      </c>
      <c r="G216" s="251">
        <f t="shared" si="36"/>
        <v>46410.000000000007</v>
      </c>
      <c r="H216" s="262">
        <f>H215*0.07</f>
        <v>19985.000000000004</v>
      </c>
      <c r="I216" s="262">
        <f>I215*0.07</f>
        <v>15435.000000000002</v>
      </c>
      <c r="J216" s="47">
        <f t="shared" si="33"/>
        <v>276470.56080000004</v>
      </c>
      <c r="K216" s="18"/>
      <c r="L216" s="18"/>
      <c r="M216" s="18"/>
      <c r="N216" s="18"/>
      <c r="O216" s="136"/>
      <c r="P216" s="131"/>
      <c r="Q216" s="130"/>
    </row>
    <row r="217" spans="3:17" ht="23.25" customHeight="1" thickBot="1" x14ac:dyDescent="0.5">
      <c r="C217" s="73" t="s">
        <v>135</v>
      </c>
      <c r="D217" s="221">
        <f>SUM(D215:D216)</f>
        <v>1269020</v>
      </c>
      <c r="E217" s="231">
        <f t="shared" ref="E217:I217" si="37">SUM(E215:E216)</f>
        <v>1005350.0007999999</v>
      </c>
      <c r="F217" s="242">
        <f>SUM(F215:F216)</f>
        <v>700850</v>
      </c>
      <c r="G217" s="252">
        <f t="shared" si="37"/>
        <v>709410</v>
      </c>
      <c r="H217" s="263">
        <f>SUM(H215:H216)</f>
        <v>305485</v>
      </c>
      <c r="I217" s="263">
        <f t="shared" si="37"/>
        <v>235935</v>
      </c>
      <c r="J217" s="209">
        <f>SUM(J215:J216)</f>
        <v>4226050.0007999996</v>
      </c>
      <c r="K217" s="18"/>
      <c r="L217" s="18"/>
      <c r="M217" s="18"/>
      <c r="N217" s="18"/>
      <c r="O217" s="136"/>
      <c r="P217" s="131"/>
      <c r="Q217" s="130"/>
    </row>
    <row r="218" spans="3:17" ht="15.75" customHeight="1" x14ac:dyDescent="0.35">
      <c r="C218" s="130"/>
      <c r="D218" s="131"/>
      <c r="E218" s="131"/>
      <c r="F218" s="131"/>
      <c r="G218" s="131"/>
      <c r="H218" s="131"/>
      <c r="I218" s="131"/>
      <c r="J218" s="130"/>
      <c r="K218" s="130"/>
      <c r="L218" s="130"/>
      <c r="M218" s="130"/>
      <c r="N218" s="130"/>
      <c r="O218" s="37"/>
      <c r="P218" s="130"/>
      <c r="Q218" s="130"/>
    </row>
    <row r="219" spans="3:17" ht="15.75" customHeight="1" x14ac:dyDescent="0.35">
      <c r="C219" s="130"/>
      <c r="D219" s="131"/>
      <c r="E219" s="131"/>
      <c r="F219" s="131"/>
      <c r="G219" s="131"/>
      <c r="H219" s="131"/>
      <c r="I219" s="131"/>
      <c r="J219" s="130"/>
      <c r="K219" s="27"/>
      <c r="L219" s="27"/>
      <c r="M219" s="130"/>
      <c r="N219" s="130"/>
      <c r="O219" s="37"/>
      <c r="P219" s="130"/>
      <c r="Q219" s="130"/>
    </row>
    <row r="220" spans="3:17" ht="15.75" customHeight="1" x14ac:dyDescent="0.35">
      <c r="C220" s="130"/>
      <c r="D220" s="131"/>
      <c r="E220" s="131"/>
      <c r="F220" s="131"/>
      <c r="G220" s="131"/>
      <c r="H220" s="293"/>
      <c r="I220" s="293"/>
      <c r="J220" s="130"/>
      <c r="K220" s="27"/>
      <c r="L220" s="27"/>
      <c r="M220" s="130"/>
      <c r="N220" s="130"/>
      <c r="O220" s="130"/>
      <c r="P220" s="130"/>
      <c r="Q220" s="130"/>
    </row>
    <row r="221" spans="3:17" ht="24.75" customHeight="1" x14ac:dyDescent="0.35">
      <c r="C221" s="130"/>
      <c r="D221" s="131"/>
      <c r="E221" s="131"/>
      <c r="F221" s="131"/>
      <c r="G221" s="131"/>
      <c r="H221" s="131"/>
      <c r="I221" s="131"/>
      <c r="J221" s="130"/>
      <c r="K221" s="27"/>
      <c r="L221" s="27"/>
      <c r="M221" s="130"/>
      <c r="N221" s="130"/>
      <c r="O221" s="38"/>
      <c r="P221" s="130"/>
      <c r="Q221" s="130"/>
    </row>
    <row r="222" spans="3:17" ht="41.25" customHeight="1" x14ac:dyDescent="0.35">
      <c r="C222" s="130"/>
      <c r="D222" s="131"/>
      <c r="E222" s="131"/>
      <c r="F222" s="131"/>
      <c r="G222" s="131"/>
      <c r="H222" s="131"/>
      <c r="I222" s="131"/>
      <c r="J222" s="130"/>
      <c r="K222" s="137"/>
      <c r="L222" s="27"/>
      <c r="M222" s="130"/>
      <c r="N222" s="130"/>
      <c r="O222" s="38"/>
      <c r="P222" s="130"/>
      <c r="Q222" s="130"/>
    </row>
    <row r="223" spans="3:17" s="35" customFormat="1" ht="42" customHeight="1" x14ac:dyDescent="0.35">
      <c r="C223" s="130"/>
      <c r="D223" s="131"/>
      <c r="E223" s="131"/>
      <c r="F223" s="131"/>
      <c r="G223" s="131"/>
      <c r="H223" s="131"/>
      <c r="I223" s="131"/>
      <c r="J223" s="130"/>
      <c r="K223" s="130"/>
      <c r="L223" s="130"/>
      <c r="M223" s="130"/>
      <c r="N223" s="130"/>
      <c r="O223" s="130"/>
      <c r="P223" s="37"/>
      <c r="Q223" s="131"/>
    </row>
    <row r="224" spans="3:17" ht="23.25" customHeight="1" x14ac:dyDescent="0.35">
      <c r="C224" s="130"/>
      <c r="D224" s="131"/>
      <c r="E224" s="131"/>
      <c r="F224" s="131"/>
      <c r="G224" s="131"/>
      <c r="H224" s="131"/>
      <c r="I224" s="131"/>
      <c r="J224" s="130"/>
      <c r="K224" s="130"/>
      <c r="L224" s="130"/>
      <c r="M224" s="130"/>
      <c r="N224" s="130"/>
      <c r="O224" s="130"/>
      <c r="P224" s="130"/>
      <c r="Q224" s="130"/>
    </row>
    <row r="225" spans="3:17" ht="27.75" customHeight="1" x14ac:dyDescent="0.35">
      <c r="C225" s="130"/>
      <c r="D225" s="131"/>
      <c r="E225" s="131"/>
      <c r="F225" s="131"/>
      <c r="G225" s="131"/>
      <c r="H225" s="131"/>
      <c r="I225" s="131"/>
      <c r="J225" s="130"/>
      <c r="K225" s="130"/>
      <c r="L225" s="130"/>
      <c r="M225" s="130"/>
      <c r="N225" s="130"/>
      <c r="O225" s="130"/>
      <c r="P225" s="130"/>
      <c r="Q225" s="130"/>
    </row>
    <row r="226" spans="3:17" ht="55.5" customHeight="1" x14ac:dyDescent="0.35">
      <c r="C226" s="130"/>
      <c r="D226" s="131"/>
      <c r="E226" s="131"/>
      <c r="F226" s="131"/>
      <c r="G226" s="131"/>
      <c r="H226" s="131"/>
      <c r="I226" s="131"/>
      <c r="J226" s="130"/>
      <c r="K226" s="130"/>
      <c r="L226" s="130"/>
      <c r="M226" s="130"/>
      <c r="N226" s="130"/>
      <c r="O226" s="130"/>
      <c r="P226" s="130"/>
      <c r="Q226" s="130"/>
    </row>
    <row r="227" spans="3:17" ht="57.75" customHeight="1" x14ac:dyDescent="0.35">
      <c r="C227" s="130"/>
      <c r="D227" s="131"/>
      <c r="E227" s="131"/>
      <c r="F227" s="131"/>
      <c r="G227" s="131"/>
      <c r="H227" s="131"/>
      <c r="I227" s="131"/>
      <c r="J227" s="130"/>
      <c r="K227" s="130"/>
      <c r="L227" s="130"/>
      <c r="M227" s="130"/>
      <c r="N227" s="130"/>
      <c r="O227" s="130"/>
      <c r="P227" s="130"/>
      <c r="Q227" s="130"/>
    </row>
    <row r="228" spans="3:17" ht="21.75" customHeight="1" x14ac:dyDescent="0.35">
      <c r="C228" s="130"/>
      <c r="D228" s="131"/>
      <c r="E228" s="131"/>
      <c r="F228" s="131"/>
      <c r="G228" s="131"/>
      <c r="H228" s="131"/>
      <c r="I228" s="131"/>
      <c r="J228" s="130"/>
      <c r="K228" s="130"/>
      <c r="L228" s="130"/>
      <c r="M228" s="130"/>
      <c r="N228" s="130"/>
      <c r="O228" s="130"/>
      <c r="P228" s="130"/>
      <c r="Q228" s="130"/>
    </row>
    <row r="229" spans="3:17" ht="49.5" customHeight="1" x14ac:dyDescent="0.35">
      <c r="C229" s="130"/>
      <c r="D229" s="131"/>
      <c r="E229" s="131"/>
      <c r="F229" s="131"/>
      <c r="G229" s="131"/>
      <c r="H229" s="131"/>
      <c r="I229" s="131"/>
      <c r="J229" s="130"/>
      <c r="K229" s="130"/>
      <c r="L229" s="130"/>
      <c r="M229" s="130"/>
      <c r="N229" s="130"/>
      <c r="O229" s="130"/>
      <c r="P229" s="130"/>
      <c r="Q229" s="130"/>
    </row>
    <row r="230" spans="3:17" ht="28.5" customHeight="1" x14ac:dyDescent="0.35">
      <c r="C230" s="130"/>
      <c r="D230" s="131"/>
      <c r="E230" s="131"/>
      <c r="F230" s="131"/>
      <c r="G230" s="131"/>
      <c r="H230" s="131"/>
      <c r="I230" s="131"/>
      <c r="J230" s="130"/>
      <c r="K230" s="130"/>
      <c r="L230" s="130"/>
      <c r="M230" s="130"/>
      <c r="N230" s="130"/>
      <c r="O230" s="130"/>
      <c r="P230" s="130"/>
      <c r="Q230" s="130"/>
    </row>
    <row r="231" spans="3:17" ht="28.5" customHeight="1" x14ac:dyDescent="0.35">
      <c r="C231" s="130"/>
      <c r="D231" s="131"/>
      <c r="E231" s="131"/>
      <c r="F231" s="131"/>
      <c r="G231" s="131"/>
      <c r="H231" s="131"/>
      <c r="I231" s="131"/>
      <c r="J231" s="130"/>
      <c r="K231" s="130"/>
      <c r="L231" s="130"/>
      <c r="M231" s="130"/>
      <c r="N231" s="130"/>
      <c r="O231" s="130"/>
      <c r="P231" s="130"/>
      <c r="Q231" s="130"/>
    </row>
    <row r="232" spans="3:17" ht="28.5" customHeight="1" x14ac:dyDescent="0.35">
      <c r="C232" s="130"/>
      <c r="D232" s="131"/>
      <c r="E232" s="131"/>
      <c r="F232" s="131"/>
      <c r="G232" s="131"/>
      <c r="H232" s="131"/>
      <c r="I232" s="131"/>
      <c r="J232" s="130"/>
      <c r="K232" s="130"/>
      <c r="L232" s="130"/>
      <c r="M232" s="130"/>
      <c r="N232" s="130"/>
      <c r="O232" s="130"/>
      <c r="P232" s="130"/>
      <c r="Q232" s="130"/>
    </row>
    <row r="233" spans="3:17" ht="23.25" customHeight="1" x14ac:dyDescent="0.35">
      <c r="C233" s="130"/>
      <c r="D233" s="131"/>
      <c r="E233" s="131"/>
      <c r="F233" s="131"/>
      <c r="G233" s="131"/>
      <c r="H233" s="131"/>
      <c r="I233" s="131"/>
      <c r="J233" s="130"/>
      <c r="K233" s="130"/>
      <c r="L233" s="130"/>
      <c r="M233" s="130"/>
      <c r="N233" s="130"/>
      <c r="O233" s="130"/>
      <c r="P233" s="130"/>
      <c r="Q233" s="37"/>
    </row>
    <row r="234" spans="3:17" ht="43.5" customHeight="1" x14ac:dyDescent="0.35">
      <c r="C234" s="130"/>
      <c r="D234" s="131"/>
      <c r="E234" s="131"/>
      <c r="F234" s="131"/>
      <c r="G234" s="131"/>
      <c r="H234" s="131"/>
      <c r="I234" s="131"/>
      <c r="J234" s="130"/>
      <c r="K234" s="130"/>
      <c r="L234" s="130"/>
      <c r="M234" s="130"/>
      <c r="N234" s="130"/>
      <c r="O234" s="130"/>
      <c r="P234" s="130"/>
      <c r="Q234" s="37"/>
    </row>
    <row r="235" spans="3:17" ht="55.5" customHeight="1" x14ac:dyDescent="0.35">
      <c r="C235" s="130"/>
      <c r="D235" s="131"/>
      <c r="E235" s="131"/>
      <c r="F235" s="131"/>
      <c r="G235" s="131"/>
      <c r="H235" s="131"/>
      <c r="I235" s="131"/>
      <c r="J235" s="130"/>
      <c r="K235" s="130"/>
      <c r="L235" s="130"/>
      <c r="M235" s="130"/>
      <c r="N235" s="130"/>
      <c r="O235" s="130"/>
      <c r="P235" s="130"/>
      <c r="Q235" s="130"/>
    </row>
    <row r="236" spans="3:17" ht="42.75" customHeight="1" x14ac:dyDescent="0.35">
      <c r="C236" s="130"/>
      <c r="D236" s="131"/>
      <c r="E236" s="131"/>
      <c r="F236" s="131"/>
      <c r="G236" s="131"/>
      <c r="H236" s="131"/>
      <c r="I236" s="131"/>
      <c r="J236" s="130"/>
      <c r="K236" s="130"/>
      <c r="L236" s="130"/>
      <c r="M236" s="130"/>
      <c r="N236" s="130"/>
      <c r="O236" s="130"/>
      <c r="P236" s="130"/>
      <c r="Q236" s="37"/>
    </row>
    <row r="237" spans="3:17" ht="21.75" customHeight="1" x14ac:dyDescent="0.35">
      <c r="C237" s="130"/>
      <c r="D237" s="131"/>
      <c r="E237" s="131"/>
      <c r="F237" s="131"/>
      <c r="G237" s="131"/>
      <c r="H237" s="131"/>
      <c r="I237" s="131"/>
      <c r="J237" s="130"/>
      <c r="K237" s="130"/>
      <c r="L237" s="130"/>
      <c r="M237" s="130"/>
      <c r="N237" s="130"/>
      <c r="O237" s="130"/>
      <c r="P237" s="130"/>
      <c r="Q237" s="37"/>
    </row>
    <row r="238" spans="3:17" ht="21.75" customHeight="1" x14ac:dyDescent="0.35">
      <c r="C238" s="130"/>
      <c r="D238" s="131"/>
      <c r="E238" s="131"/>
      <c r="F238" s="131"/>
      <c r="G238" s="131"/>
      <c r="H238" s="131"/>
      <c r="I238" s="131"/>
      <c r="J238" s="130"/>
      <c r="K238" s="130"/>
      <c r="L238" s="130"/>
      <c r="M238" s="130"/>
      <c r="N238" s="130"/>
      <c r="O238" s="130"/>
      <c r="P238" s="130"/>
      <c r="Q238" s="37"/>
    </row>
    <row r="239" spans="3:17" ht="23.25" customHeight="1" x14ac:dyDescent="0.35">
      <c r="C239" s="130"/>
      <c r="D239" s="131"/>
      <c r="E239" s="131"/>
      <c r="F239" s="131"/>
      <c r="G239" s="131"/>
      <c r="H239" s="131"/>
      <c r="I239" s="131"/>
      <c r="J239" s="130"/>
      <c r="K239" s="130"/>
      <c r="L239" s="130"/>
      <c r="M239" s="130"/>
      <c r="N239" s="130"/>
      <c r="O239" s="130"/>
      <c r="P239" s="130"/>
      <c r="Q239" s="130"/>
    </row>
    <row r="240" spans="3:17" ht="23.25" customHeight="1" x14ac:dyDescent="0.35">
      <c r="C240" s="130"/>
      <c r="D240" s="131"/>
      <c r="E240" s="131"/>
      <c r="F240" s="131"/>
      <c r="G240" s="131"/>
      <c r="H240" s="131"/>
      <c r="I240" s="131"/>
      <c r="J240" s="130"/>
      <c r="K240" s="130"/>
      <c r="L240" s="130"/>
      <c r="M240" s="130"/>
      <c r="N240" s="130"/>
      <c r="O240" s="130"/>
      <c r="P240" s="130"/>
      <c r="Q240" s="130"/>
    </row>
    <row r="241" spans="3:17" ht="21.75" customHeight="1" x14ac:dyDescent="0.35">
      <c r="C241" s="130"/>
      <c r="D241" s="131"/>
      <c r="E241" s="131"/>
      <c r="F241" s="131"/>
      <c r="G241" s="131"/>
      <c r="H241" s="131"/>
      <c r="I241" s="131"/>
      <c r="J241" s="130"/>
      <c r="K241" s="130"/>
      <c r="L241" s="130"/>
      <c r="M241" s="130"/>
      <c r="N241" s="130"/>
      <c r="O241" s="130"/>
      <c r="P241" s="130"/>
      <c r="Q241" s="130"/>
    </row>
    <row r="242" spans="3:17" ht="16.5" customHeight="1" x14ac:dyDescent="0.35">
      <c r="C242" s="130"/>
      <c r="D242" s="131"/>
      <c r="E242" s="131"/>
      <c r="F242" s="131"/>
      <c r="G242" s="131"/>
      <c r="H242" s="131"/>
      <c r="I242" s="131"/>
      <c r="J242" s="130"/>
      <c r="K242" s="130"/>
      <c r="L242" s="130"/>
      <c r="M242" s="130"/>
      <c r="N242" s="130"/>
      <c r="O242" s="130"/>
      <c r="P242" s="130"/>
      <c r="Q242" s="130"/>
    </row>
    <row r="243" spans="3:17" ht="29.25" customHeight="1" x14ac:dyDescent="0.35">
      <c r="C243" s="130"/>
      <c r="D243" s="131"/>
      <c r="E243" s="131"/>
      <c r="F243" s="131"/>
      <c r="G243" s="131"/>
      <c r="H243" s="131"/>
      <c r="I243" s="131"/>
      <c r="J243" s="130"/>
      <c r="K243" s="130"/>
      <c r="L243" s="130"/>
      <c r="M243" s="130"/>
      <c r="N243" s="130"/>
      <c r="O243" s="130"/>
      <c r="P243" s="130"/>
      <c r="Q243" s="130"/>
    </row>
    <row r="244" spans="3:17" ht="24.75" customHeight="1" x14ac:dyDescent="0.35">
      <c r="C244" s="130"/>
      <c r="D244" s="131"/>
      <c r="E244" s="131"/>
      <c r="F244" s="131"/>
      <c r="G244" s="131"/>
      <c r="H244" s="131"/>
      <c r="I244" s="131"/>
      <c r="J244" s="130"/>
      <c r="K244" s="130"/>
      <c r="L244" s="130"/>
      <c r="M244" s="130"/>
      <c r="N244" s="130"/>
      <c r="O244" s="130"/>
      <c r="P244" s="130"/>
      <c r="Q244" s="130"/>
    </row>
    <row r="245" spans="3:17" ht="33" customHeight="1" x14ac:dyDescent="0.35">
      <c r="C245" s="130"/>
      <c r="D245" s="131"/>
      <c r="E245" s="131"/>
      <c r="F245" s="131"/>
      <c r="G245" s="131"/>
      <c r="H245" s="131"/>
      <c r="I245" s="131"/>
      <c r="J245" s="130"/>
      <c r="K245" s="130"/>
      <c r="L245" s="130"/>
      <c r="M245" s="130"/>
      <c r="N245" s="130"/>
      <c r="O245" s="130"/>
      <c r="P245" s="130"/>
      <c r="Q245" s="130"/>
    </row>
    <row r="247" spans="3:17" ht="15" customHeight="1" x14ac:dyDescent="0.35">
      <c r="C247" s="130"/>
      <c r="D247" s="131"/>
      <c r="E247" s="131"/>
      <c r="F247" s="131"/>
      <c r="G247" s="131"/>
      <c r="H247" s="131"/>
      <c r="I247" s="131"/>
      <c r="J247" s="130"/>
      <c r="K247" s="130"/>
      <c r="L247" s="130"/>
      <c r="M247" s="130"/>
      <c r="N247" s="130"/>
      <c r="O247" s="130"/>
      <c r="P247" s="130"/>
      <c r="Q247" s="130"/>
    </row>
    <row r="248" spans="3:17" ht="25.5" customHeight="1" x14ac:dyDescent="0.35">
      <c r="C248" s="130"/>
      <c r="D248" s="131"/>
      <c r="E248" s="131"/>
      <c r="F248" s="131"/>
      <c r="G248" s="131"/>
      <c r="H248" s="131"/>
      <c r="I248" s="131"/>
      <c r="J248" s="130"/>
      <c r="K248" s="130"/>
      <c r="L248" s="130"/>
      <c r="M248" s="130"/>
      <c r="N248" s="130"/>
      <c r="O248" s="130"/>
      <c r="P248" s="130"/>
      <c r="Q248" s="130"/>
    </row>
  </sheetData>
  <sheetProtection insertColumns="0" insertRows="0" deleteRows="0"/>
  <mergeCells count="28">
    <mergeCell ref="C93:J93"/>
    <mergeCell ref="B104:J104"/>
    <mergeCell ref="C2:F2"/>
    <mergeCell ref="B14:J14"/>
    <mergeCell ref="C15:J15"/>
    <mergeCell ref="B59:J59"/>
    <mergeCell ref="J12:J13"/>
    <mergeCell ref="C5:J5"/>
    <mergeCell ref="C26:J26"/>
    <mergeCell ref="C37:J37"/>
    <mergeCell ref="C48:J48"/>
    <mergeCell ref="C10:G10"/>
    <mergeCell ref="C194:J194"/>
    <mergeCell ref="J206:J207"/>
    <mergeCell ref="C172:J172"/>
    <mergeCell ref="C183:J183"/>
    <mergeCell ref="C6:J8"/>
    <mergeCell ref="C161:J161"/>
    <mergeCell ref="C60:J60"/>
    <mergeCell ref="C105:J105"/>
    <mergeCell ref="C116:J116"/>
    <mergeCell ref="C127:J127"/>
    <mergeCell ref="C205:J205"/>
    <mergeCell ref="C138:J138"/>
    <mergeCell ref="B149:J149"/>
    <mergeCell ref="C150:J150"/>
    <mergeCell ref="C71:J71"/>
    <mergeCell ref="C82:J82"/>
  </mergeCells>
  <phoneticPr fontId="24" type="noConversion"/>
  <conditionalFormatting sqref="J57">
    <cfRule type="cellIs" dxfId="17" priority="15" operator="notEqual">
      <formula>$J$49</formula>
    </cfRule>
  </conditionalFormatting>
  <conditionalFormatting sqref="J69">
    <cfRule type="cellIs" dxfId="16" priority="14" operator="notEqual">
      <formula>$J$61</formula>
    </cfRule>
  </conditionalFormatting>
  <conditionalFormatting sqref="J102">
    <cfRule type="cellIs" dxfId="15" priority="11" operator="notEqual">
      <formula>$J$94</formula>
    </cfRule>
  </conditionalFormatting>
  <conditionalFormatting sqref="J114">
    <cfRule type="cellIs" dxfId="14" priority="10" operator="notEqual">
      <formula>$J$106</formula>
    </cfRule>
  </conditionalFormatting>
  <conditionalFormatting sqref="J125">
    <cfRule type="cellIs" dxfId="13" priority="9" operator="notEqual">
      <formula>$J$117</formula>
    </cfRule>
  </conditionalFormatting>
  <conditionalFormatting sqref="J136">
    <cfRule type="cellIs" dxfId="12" priority="8" operator="notEqual">
      <formula>$J$128</formula>
    </cfRule>
  </conditionalFormatting>
  <conditionalFormatting sqref="J147">
    <cfRule type="cellIs" dxfId="11" priority="7" operator="notEqual">
      <formula>$J$139</formula>
    </cfRule>
  </conditionalFormatting>
  <conditionalFormatting sqref="J159">
    <cfRule type="cellIs" dxfId="10" priority="6" operator="notEqual">
      <formula>$J$151</formula>
    </cfRule>
  </conditionalFormatting>
  <conditionalFormatting sqref="J170">
    <cfRule type="cellIs" dxfId="9" priority="5" operator="notEqual">
      <formula>$J$162</formula>
    </cfRule>
  </conditionalFormatting>
  <conditionalFormatting sqref="J181">
    <cfRule type="cellIs" dxfId="8" priority="4" operator="notEqual">
      <formula>$J$173</formula>
    </cfRule>
  </conditionalFormatting>
  <conditionalFormatting sqref="J192">
    <cfRule type="cellIs" dxfId="7" priority="3" operator="notEqual">
      <formula>$J$184</formula>
    </cfRule>
  </conditionalFormatting>
  <dataValidations count="7">
    <dataValidation allowBlank="1" showInputMessage="1" showErrorMessage="1" prompt=" Includes all general operating costs for running an office. Examples include telecommunication, rents, finance charges and other costs which cannot be mapped to other expense categories." sqref="C191 C23 C34 C45 C56 C68 C79 C90 C101 C113 C124 C135 C146 C158 C169 C180 C202 C214"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90 C22 C33 C44 C55 C67 C78 C89 C100 C112 C123 C134 C145 C157 C168 C179 C201 C213" xr:uid="{9DD30DAD-252C-43C8-B2D2-D70E24558917}"/>
    <dataValidation allowBlank="1" showInputMessage="1" showErrorMessage="1" prompt="Services contracted by an organization which follow the normal procurement processes." sqref="C188 C20 C31 C42 C53 C65 C76 C87 C98 C110 C121 C132 C143 C155 C166 C177 C199 C211" xr:uid="{D2D4883A-DF6E-4599-89E1-C25704DD6B71}"/>
    <dataValidation allowBlank="1" showInputMessage="1" showErrorMessage="1" prompt="Includes staff and non-staff travel paid for by the organization directly related to a project." sqref="C189 C21 C32 C43 C54 C66 C77 C88 C99 C111 C122 C133 C144 C156 C167 C178 C200 C212"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87 C19 C30 C41 C52 C64 C75 C86 C97 C109 C120 C131 C142 C154 C165 C176 C198 C210"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86 C18 C29 C40 C51 C63 C74 C85 C96 C108 C119 C130 C141 C153 C164 C175 C197 C209" xr:uid="{F098AF50-6738-49DD-B927-47F3EEE74261}"/>
    <dataValidation allowBlank="1" showInputMessage="1" showErrorMessage="1" prompt="Includes all related staff and temporary staff costs including base salary, post adjustment and all staff entitlements." sqref="C185 C17 C28 C39 C50 C62 C73 C84 C95 C107 C118 C129 C140 C152 C163 C174 C196 C208" xr:uid="{340B5EBB-3C3E-458C-BC5F-57C720FFB61A}"/>
  </dataValidations>
  <pageMargins left="0.7" right="0.7" top="0.75" bottom="0.75" header="0.3" footer="0.3"/>
  <pageSetup scale="47" orientation="landscape" r:id="rId1"/>
  <rowBreaks count="1" manualBreakCount="1">
    <brk id="70" max="16383" man="1"/>
  </rowBreaks>
  <colBreaks count="1" manualBreakCount="1">
    <brk id="10" max="1048575" man="1"/>
  </colBreaks>
  <extLst>
    <ext xmlns:x14="http://schemas.microsoft.com/office/spreadsheetml/2009/9/main" uri="{78C0D931-6437-407d-A8EE-F0AAD7539E65}">
      <x14:conditionalFormattings>
        <x14:conditionalFormatting xmlns:xm="http://schemas.microsoft.com/office/excel/2006/main">
          <x14:cfRule type="cellIs" priority="1" operator="notEqual" id="{6259D438-6EBB-49DE-A9F4-2D28ACA38D2E}">
            <xm:f>'1) Tableau budgétaire 1'!$J$84</xm:f>
            <x14:dxf>
              <font>
                <color rgb="FF9C0006"/>
              </font>
              <fill>
                <patternFill>
                  <bgColor rgb="FFFFC7CE"/>
                </patternFill>
              </fill>
            </x14:dxf>
          </x14:cfRule>
          <xm:sqref>J217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4"/>
  <sheetViews>
    <sheetView showGridLines="0" workbookViewId="0"/>
  </sheetViews>
  <sheetFormatPr baseColWidth="10" defaultColWidth="8.81640625" defaultRowHeight="14.5" x14ac:dyDescent="0.35"/>
  <cols>
    <col min="2" max="2" width="73.26953125" customWidth="1"/>
  </cols>
  <sheetData>
    <row r="1" spans="2:2" ht="15" thickBot="1" x14ac:dyDescent="0.4"/>
    <row r="2" spans="2:2" ht="15" thickBot="1" x14ac:dyDescent="0.4">
      <c r="B2" s="87" t="s">
        <v>136</v>
      </c>
    </row>
    <row r="3" spans="2:2" ht="70.5" customHeight="1" x14ac:dyDescent="0.35">
      <c r="B3" s="88" t="s">
        <v>137</v>
      </c>
    </row>
    <row r="4" spans="2:2" ht="58" x14ac:dyDescent="0.35">
      <c r="B4" s="85" t="s">
        <v>138</v>
      </c>
    </row>
    <row r="5" spans="2:2" x14ac:dyDescent="0.35">
      <c r="B5" s="85"/>
    </row>
    <row r="6" spans="2:2" ht="58" x14ac:dyDescent="0.35">
      <c r="B6" s="84" t="s">
        <v>139</v>
      </c>
    </row>
    <row r="7" spans="2:2" x14ac:dyDescent="0.35">
      <c r="B7" s="85"/>
    </row>
    <row r="8" spans="2:2" ht="72.5" x14ac:dyDescent="0.35">
      <c r="B8" s="84" t="s">
        <v>140</v>
      </c>
    </row>
    <row r="9" spans="2:2" x14ac:dyDescent="0.35">
      <c r="B9" s="85"/>
    </row>
    <row r="10" spans="2:2" ht="29" x14ac:dyDescent="0.35">
      <c r="B10" s="85" t="s">
        <v>141</v>
      </c>
    </row>
    <row r="11" spans="2:2" x14ac:dyDescent="0.35">
      <c r="B11" s="85"/>
    </row>
    <row r="12" spans="2:2" ht="72.5" x14ac:dyDescent="0.35">
      <c r="B12" s="84" t="s">
        <v>142</v>
      </c>
    </row>
    <row r="13" spans="2:2" x14ac:dyDescent="0.35">
      <c r="B13" s="85"/>
    </row>
    <row r="14" spans="2:2" ht="58.5" thickBot="1" x14ac:dyDescent="0.4">
      <c r="B14" s="86" t="s">
        <v>143</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2:D31"/>
  <sheetViews>
    <sheetView showGridLines="0" showZeros="0" zoomScale="80" zoomScaleNormal="80" zoomScaleSheetLayoutView="70" workbookViewId="0">
      <selection activeCell="B10" sqref="B10"/>
    </sheetView>
  </sheetViews>
  <sheetFormatPr baseColWidth="10" defaultColWidth="8.81640625" defaultRowHeight="14.5" x14ac:dyDescent="0.35"/>
  <cols>
    <col min="2" max="2" width="60.7265625" customWidth="1"/>
    <col min="3" max="3" width="19.453125" customWidth="1"/>
    <col min="4" max="4" width="27.453125" customWidth="1"/>
  </cols>
  <sheetData>
    <row r="2" spans="2:4" x14ac:dyDescent="0.35">
      <c r="B2" s="364" t="s">
        <v>144</v>
      </c>
      <c r="C2" s="364"/>
      <c r="D2" s="364"/>
    </row>
    <row r="3" spans="2:4" x14ac:dyDescent="0.35">
      <c r="B3" s="364"/>
      <c r="C3" s="364"/>
      <c r="D3" s="364"/>
    </row>
    <row r="4" spans="2:4" x14ac:dyDescent="0.35">
      <c r="B4" s="268"/>
      <c r="C4" s="268"/>
      <c r="D4" s="268"/>
    </row>
    <row r="5" spans="2:4" x14ac:dyDescent="0.35">
      <c r="B5" s="367" t="s">
        <v>145</v>
      </c>
      <c r="C5" s="367"/>
      <c r="D5" s="367"/>
    </row>
    <row r="6" spans="2:4" x14ac:dyDescent="0.35">
      <c r="B6" s="366"/>
      <c r="C6" s="366"/>
      <c r="D6" s="366"/>
    </row>
    <row r="7" spans="2:4" x14ac:dyDescent="0.35">
      <c r="B7" s="55" t="s">
        <v>146</v>
      </c>
      <c r="C7" s="365" t="e">
        <f>SUM('1) Tableau budgétaire 1'!D22:F22,'1) Tableau budgétaire 1'!D27:F27,'1) Tableau budgétaire 1'!D32:F32,'1) Tableau budgétaire 1'!#REF!)</f>
        <v>#REF!</v>
      </c>
      <c r="D7" s="365"/>
    </row>
    <row r="8" spans="2:4" x14ac:dyDescent="0.35">
      <c r="B8" s="55" t="s">
        <v>147</v>
      </c>
      <c r="C8" s="365" t="e">
        <f>SUM(D10:D10)</f>
        <v>#REF!</v>
      </c>
      <c r="D8" s="365"/>
    </row>
    <row r="9" spans="2:4" x14ac:dyDescent="0.35">
      <c r="B9" s="55" t="s">
        <v>148</v>
      </c>
      <c r="C9" s="55" t="s">
        <v>149</v>
      </c>
      <c r="D9" s="55" t="s">
        <v>150</v>
      </c>
    </row>
    <row r="10" spans="2:4" ht="18" customHeight="1" x14ac:dyDescent="0.35">
      <c r="B10" s="269"/>
      <c r="C10" s="56"/>
      <c r="D10" s="270" t="e">
        <f>$C$7*C10</f>
        <v>#REF!</v>
      </c>
    </row>
    <row r="11" spans="2:4" x14ac:dyDescent="0.35">
      <c r="B11" s="268"/>
      <c r="C11" s="268"/>
      <c r="D11" s="268"/>
    </row>
    <row r="12" spans="2:4" x14ac:dyDescent="0.35">
      <c r="B12" s="367" t="s">
        <v>151</v>
      </c>
      <c r="C12" s="367"/>
      <c r="D12" s="367"/>
    </row>
    <row r="13" spans="2:4" x14ac:dyDescent="0.35">
      <c r="B13" s="368"/>
      <c r="C13" s="368"/>
      <c r="D13" s="368"/>
    </row>
    <row r="14" spans="2:4" x14ac:dyDescent="0.35">
      <c r="B14" s="55" t="s">
        <v>146</v>
      </c>
      <c r="C14" s="365" t="e">
        <f>SUM('1) Tableau budgétaire 1'!D37:F37,'1) Tableau budgétaire 1'!D46:F46,'1) Tableau budgétaire 1'!#REF!,'1) Tableau budgétaire 1'!#REF!)</f>
        <v>#REF!</v>
      </c>
      <c r="D14" s="365"/>
    </row>
    <row r="15" spans="2:4" x14ac:dyDescent="0.35">
      <c r="B15" s="55" t="s">
        <v>147</v>
      </c>
      <c r="C15" s="365" t="e">
        <f>SUM(D17:D17)</f>
        <v>#REF!</v>
      </c>
      <c r="D15" s="365"/>
    </row>
    <row r="16" spans="2:4" x14ac:dyDescent="0.35">
      <c r="B16" s="55" t="s">
        <v>148</v>
      </c>
      <c r="C16" s="55" t="s">
        <v>149</v>
      </c>
      <c r="D16" s="55" t="s">
        <v>150</v>
      </c>
    </row>
    <row r="17" spans="2:4" ht="18.649999999999999" customHeight="1" x14ac:dyDescent="0.35">
      <c r="B17" s="271"/>
      <c r="C17" s="56"/>
      <c r="D17" s="270" t="e">
        <f>$C$14*C17</f>
        <v>#REF!</v>
      </c>
    </row>
    <row r="18" spans="2:4" x14ac:dyDescent="0.35">
      <c r="B18" s="268"/>
      <c r="C18" s="268"/>
      <c r="D18" s="268"/>
    </row>
    <row r="19" spans="2:4" x14ac:dyDescent="0.35">
      <c r="B19" s="367" t="s">
        <v>152</v>
      </c>
      <c r="C19" s="367"/>
      <c r="D19" s="367"/>
    </row>
    <row r="20" spans="2:4" x14ac:dyDescent="0.35">
      <c r="B20" s="366"/>
      <c r="C20" s="366"/>
      <c r="D20" s="366"/>
    </row>
    <row r="21" spans="2:4" x14ac:dyDescent="0.35">
      <c r="B21" s="55" t="s">
        <v>146</v>
      </c>
      <c r="C21" s="365" t="e">
        <f>SUM('1) Tableau budgétaire 1'!D51:F51,'1) Tableau budgétaire 1'!D57:F57,'1) Tableau budgétaire 1'!#REF!,'1) Tableau budgétaire 1'!#REF!)</f>
        <v>#REF!</v>
      </c>
      <c r="D21" s="365"/>
    </row>
    <row r="22" spans="2:4" x14ac:dyDescent="0.35">
      <c r="B22" s="55" t="s">
        <v>147</v>
      </c>
      <c r="C22" s="365" t="e">
        <f>SUM(D24:D24)</f>
        <v>#REF!</v>
      </c>
      <c r="D22" s="365"/>
    </row>
    <row r="23" spans="2:4" x14ac:dyDescent="0.35">
      <c r="B23" s="55" t="s">
        <v>148</v>
      </c>
      <c r="C23" s="55" t="s">
        <v>149</v>
      </c>
      <c r="D23" s="55" t="s">
        <v>150</v>
      </c>
    </row>
    <row r="24" spans="2:4" ht="17.5" customHeight="1" x14ac:dyDescent="0.35">
      <c r="B24" s="271"/>
      <c r="C24" s="56"/>
      <c r="D24" s="270" t="e">
        <f>$C$21*C24</f>
        <v>#REF!</v>
      </c>
    </row>
    <row r="25" spans="2:4" x14ac:dyDescent="0.35">
      <c r="B25" s="268"/>
      <c r="C25" s="268"/>
      <c r="D25" s="268"/>
    </row>
    <row r="26" spans="2:4" x14ac:dyDescent="0.35">
      <c r="B26" s="367" t="s">
        <v>153</v>
      </c>
      <c r="C26" s="367"/>
      <c r="D26" s="367"/>
    </row>
    <row r="27" spans="2:4" x14ac:dyDescent="0.35">
      <c r="B27" s="366"/>
      <c r="C27" s="366"/>
      <c r="D27" s="366"/>
    </row>
    <row r="28" spans="2:4" x14ac:dyDescent="0.35">
      <c r="B28" s="55" t="s">
        <v>146</v>
      </c>
      <c r="C28" s="365" t="e">
        <f>SUM('1) Tableau budgétaire 1'!#REF!,'1) Tableau budgétaire 1'!#REF!,'1) Tableau budgétaire 1'!#REF!,'1) Tableau budgétaire 1'!#REF!)</f>
        <v>#REF!</v>
      </c>
      <c r="D28" s="365"/>
    </row>
    <row r="29" spans="2:4" x14ac:dyDescent="0.35">
      <c r="B29" s="55" t="s">
        <v>147</v>
      </c>
      <c r="C29" s="365" t="e">
        <f>SUM(D31:D31)</f>
        <v>#REF!</v>
      </c>
      <c r="D29" s="365"/>
    </row>
    <row r="30" spans="2:4" x14ac:dyDescent="0.35">
      <c r="B30" s="55" t="s">
        <v>148</v>
      </c>
      <c r="C30" s="55" t="s">
        <v>149</v>
      </c>
      <c r="D30" s="55" t="s">
        <v>150</v>
      </c>
    </row>
    <row r="31" spans="2:4" ht="13.5" customHeight="1" x14ac:dyDescent="0.35">
      <c r="B31" s="271"/>
      <c r="C31" s="56"/>
      <c r="D31" s="270" t="e">
        <f>$C$28*C31</f>
        <v>#REF!</v>
      </c>
    </row>
  </sheetData>
  <mergeCells count="17">
    <mergeCell ref="C29:D29"/>
    <mergeCell ref="C21:D21"/>
    <mergeCell ref="B26:D26"/>
    <mergeCell ref="B27:D27"/>
    <mergeCell ref="C28:D28"/>
    <mergeCell ref="C15:D15"/>
    <mergeCell ref="C22:D22"/>
    <mergeCell ref="B12:D12"/>
    <mergeCell ref="B13:D13"/>
    <mergeCell ref="C14:D14"/>
    <mergeCell ref="B19:D19"/>
    <mergeCell ref="B20:D20"/>
    <mergeCell ref="B2:D3"/>
    <mergeCell ref="C7:D7"/>
    <mergeCell ref="B6:D6"/>
    <mergeCell ref="B5:D5"/>
    <mergeCell ref="C8:D8"/>
  </mergeCells>
  <conditionalFormatting sqref="C22:D22">
    <cfRule type="cellIs" dxfId="5" priority="2" operator="greaterThan">
      <formula>$C$21</formula>
    </cfRule>
    <cfRule type="cellIs" dxfId="4" priority="5" operator="greaterThan">
      <formula>$C$21</formula>
    </cfRule>
  </conditionalFormatting>
  <conditionalFormatting sqref="C8:D8">
    <cfRule type="cellIs" dxfId="3" priority="4" operator="greaterThan">
      <formula>$C$7</formula>
    </cfRule>
  </conditionalFormatting>
  <conditionalFormatting sqref="C15:D15">
    <cfRule type="cellIs" dxfId="2" priority="3" operator="greaterThan">
      <formula>$C$14</formula>
    </cfRule>
  </conditionalFormatting>
  <conditionalFormatting sqref="C29:D29">
    <cfRule type="cellIs" dxfId="1" priority="1" operator="greaterThan">
      <formula>$C$28</formula>
    </cfRule>
  </conditionalFormatting>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 B17 B24 B31</xm:sqref>
        </x14:dataValidation>
        <x14:dataValidation type="list" allowBlank="1" showInputMessage="1" showErrorMessage="1" xr:uid="{0777CB22-5B10-42BE-9A12-0810C4C8B0D2}">
          <x14:formula1>
            <xm:f>Dropdowns!$A$1:$A$6</xm:f>
          </x14:formula1>
          <xm:sqref>C10 C17 C24 C31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L25"/>
  <sheetViews>
    <sheetView showGridLines="0" zoomScale="80" zoomScaleNormal="80" workbookViewId="0">
      <selection activeCell="L9" sqref="L9"/>
    </sheetView>
  </sheetViews>
  <sheetFormatPr baseColWidth="10" defaultColWidth="8.81640625" defaultRowHeight="14.5" x14ac:dyDescent="0.35"/>
  <cols>
    <col min="1" max="1" width="1.1796875" customWidth="1"/>
    <col min="2" max="2" width="13.81640625" customWidth="1"/>
    <col min="3" max="3" width="15.453125" customWidth="1"/>
    <col min="4" max="5" width="15.7265625" customWidth="1"/>
    <col min="6" max="6" width="15.1796875" customWidth="1"/>
    <col min="7" max="8" width="16" customWidth="1"/>
    <col min="9" max="9" width="15.54296875" customWidth="1"/>
    <col min="10" max="10" width="8.54296875" customWidth="1"/>
    <col min="11" max="11" width="21.7265625" customWidth="1"/>
    <col min="12" max="13" width="15.81640625" bestFit="1" customWidth="1"/>
    <col min="14" max="14" width="11.1796875" bestFit="1" customWidth="1"/>
  </cols>
  <sheetData>
    <row r="1" spans="2:9" ht="15" thickBot="1" x14ac:dyDescent="0.4"/>
    <row r="2" spans="2:9" s="49" customFormat="1" ht="15.5" x14ac:dyDescent="0.35">
      <c r="B2" s="369" t="s">
        <v>154</v>
      </c>
      <c r="C2" s="370"/>
      <c r="D2" s="370"/>
      <c r="E2" s="370"/>
      <c r="F2" s="370"/>
      <c r="G2" s="370"/>
      <c r="H2" s="370"/>
      <c r="I2" s="371"/>
    </row>
    <row r="3" spans="2:9" s="49" customFormat="1" ht="16" thickBot="1" x14ac:dyDescent="0.4">
      <c r="B3" s="372"/>
      <c r="C3" s="373"/>
      <c r="D3" s="373"/>
      <c r="E3" s="373"/>
      <c r="F3" s="373"/>
      <c r="G3" s="373"/>
      <c r="H3" s="373"/>
      <c r="I3" s="374"/>
    </row>
    <row r="4" spans="2:9" s="49" customFormat="1" ht="15.5" x14ac:dyDescent="0.35">
      <c r="B4" s="267"/>
      <c r="C4" s="267"/>
      <c r="D4" s="267"/>
      <c r="E4" s="267"/>
      <c r="F4" s="267"/>
      <c r="G4" s="267"/>
      <c r="H4" s="267"/>
      <c r="I4" s="267"/>
    </row>
    <row r="5" spans="2:9" s="49" customFormat="1" ht="16" thickBot="1" x14ac:dyDescent="0.4">
      <c r="B5" s="267"/>
      <c r="C5" s="267"/>
      <c r="D5" s="267"/>
      <c r="E5" s="267"/>
      <c r="F5" s="267"/>
      <c r="G5" s="267"/>
      <c r="H5" s="267"/>
      <c r="I5" s="267"/>
    </row>
    <row r="6" spans="2:9" s="49" customFormat="1" ht="16" thickBot="1" x14ac:dyDescent="0.4">
      <c r="B6" s="352" t="s">
        <v>155</v>
      </c>
      <c r="C6" s="353"/>
      <c r="D6" s="353"/>
      <c r="E6" s="353"/>
      <c r="F6" s="353"/>
      <c r="G6" s="353"/>
      <c r="H6" s="353"/>
      <c r="I6" s="354"/>
    </row>
    <row r="7" spans="2:9" s="49" customFormat="1" ht="31" x14ac:dyDescent="0.35">
      <c r="B7" s="48"/>
      <c r="C7" s="8" t="s">
        <v>72</v>
      </c>
      <c r="D7" s="8" t="s">
        <v>73</v>
      </c>
      <c r="E7" s="8" t="s">
        <v>74</v>
      </c>
      <c r="F7" s="8" t="s">
        <v>75</v>
      </c>
      <c r="G7" s="8" t="s">
        <v>75</v>
      </c>
      <c r="H7" s="8" t="s">
        <v>552</v>
      </c>
      <c r="I7" s="345" t="s">
        <v>155</v>
      </c>
    </row>
    <row r="8" spans="2:9" s="49" customFormat="1" ht="15.5" x14ac:dyDescent="0.35">
      <c r="B8" s="48"/>
      <c r="C8" s="149" t="str">
        <f>'1) Tableau budgétaire 1'!D81</f>
        <v>PNUD GUINEE</v>
      </c>
      <c r="D8" s="158" t="str">
        <f>'1) Tableau budgétaire 1'!E81</f>
        <v>PNUD MALI</v>
      </c>
      <c r="E8" s="170" t="str">
        <f>'1) Tableau budgétaire 1'!F81</f>
        <v>UNFPA GUINEE</v>
      </c>
      <c r="F8" s="180" t="str">
        <f>'1) Tableau budgétaire 1'!G81</f>
        <v>UNFPA MALI</v>
      </c>
      <c r="G8" s="191" t="str">
        <f>'1) Tableau budgétaire 1'!H81</f>
        <v>UNODC GUINEE</v>
      </c>
      <c r="H8" s="191" t="str">
        <f>'1) Tableau budgétaire 1'!I81</f>
        <v>UNODC MALI</v>
      </c>
      <c r="I8" s="320"/>
    </row>
    <row r="9" spans="2:9" s="49" customFormat="1" ht="46.5" x14ac:dyDescent="0.35">
      <c r="B9" s="9" t="s">
        <v>157</v>
      </c>
      <c r="C9" s="272">
        <f>'2) Tableau budgétaire 2'!D208</f>
        <v>206000</v>
      </c>
      <c r="D9" s="272">
        <f>'2) Tableau budgétaire 2'!E208</f>
        <v>135000</v>
      </c>
      <c r="E9" s="272">
        <f>'2) Tableau budgétaire 2'!F208</f>
        <v>70000</v>
      </c>
      <c r="F9" s="272">
        <f>'2) Tableau budgétaire 2'!G208</f>
        <v>70000</v>
      </c>
      <c r="G9" s="272">
        <f>'2) Tableau budgétaire 2'!H208</f>
        <v>36400</v>
      </c>
      <c r="H9" s="272">
        <f>'2) Tableau budgétaire 2'!I208</f>
        <v>28600</v>
      </c>
      <c r="I9" s="273">
        <f>SUM(C9:H9)</f>
        <v>546000</v>
      </c>
    </row>
    <row r="10" spans="2:9" s="49" customFormat="1" ht="46.5" x14ac:dyDescent="0.35">
      <c r="B10" s="9" t="s">
        <v>158</v>
      </c>
      <c r="C10" s="272">
        <f>'2) Tableau budgétaire 2'!D209</f>
        <v>22000</v>
      </c>
      <c r="D10" s="272">
        <f>'2) Tableau budgétaire 2'!E209</f>
        <v>46800</v>
      </c>
      <c r="E10" s="272">
        <f>'2) Tableau budgétaire 2'!F209</f>
        <v>9000</v>
      </c>
      <c r="F10" s="272">
        <f>'2) Tableau budgétaire 2'!G209</f>
        <v>9000</v>
      </c>
      <c r="G10" s="272">
        <f>'2) Tableau budgétaire 2'!H209</f>
        <v>8400.0000000000018</v>
      </c>
      <c r="H10" s="272">
        <f>'2) Tableau budgétaire 2'!I209</f>
        <v>6600</v>
      </c>
      <c r="I10" s="273">
        <f t="shared" ref="I10:I15" si="0">SUM(C10:H10)</f>
        <v>101800</v>
      </c>
    </row>
    <row r="11" spans="2:9" s="49" customFormat="1" ht="77.5" customHeight="1" x14ac:dyDescent="0.35">
      <c r="B11" s="9" t="s">
        <v>159</v>
      </c>
      <c r="C11" s="272">
        <f>'2) Tableau budgétaire 2'!D210</f>
        <v>25000</v>
      </c>
      <c r="D11" s="272">
        <f>'2) Tableau budgétaire 2'!E210</f>
        <v>0</v>
      </c>
      <c r="E11" s="272">
        <f>'2) Tableau budgétaire 2'!F210</f>
        <v>15000</v>
      </c>
      <c r="F11" s="272">
        <f>'2) Tableau budgétaire 2'!G210</f>
        <v>15000</v>
      </c>
      <c r="G11" s="272">
        <f>'2) Tableau budgétaire 2'!H210</f>
        <v>22400</v>
      </c>
      <c r="H11" s="272">
        <f>'2) Tableau budgétaire 2'!I210</f>
        <v>17600</v>
      </c>
      <c r="I11" s="273">
        <f t="shared" si="0"/>
        <v>95000</v>
      </c>
    </row>
    <row r="12" spans="2:9" s="49" customFormat="1" ht="46.5" x14ac:dyDescent="0.35">
      <c r="B12" s="17" t="s">
        <v>160</v>
      </c>
      <c r="C12" s="272">
        <f>'2) Tableau budgétaire 2'!D211</f>
        <v>265000</v>
      </c>
      <c r="D12" s="272">
        <f>'2) Tableau budgétaire 2'!E211</f>
        <v>110773.83199999999</v>
      </c>
      <c r="E12" s="272">
        <f>'2) Tableau budgétaire 2'!F211</f>
        <v>130000</v>
      </c>
      <c r="F12" s="272">
        <f>'2) Tableau budgétaire 2'!G211</f>
        <v>130000</v>
      </c>
      <c r="G12" s="272">
        <f>'2) Tableau budgétaire 2'!H211</f>
        <v>96124.000000000015</v>
      </c>
      <c r="H12" s="272">
        <f>'2) Tableau budgétaire 2'!I211</f>
        <v>75526</v>
      </c>
      <c r="I12" s="273">
        <f t="shared" si="0"/>
        <v>807423.83199999994</v>
      </c>
    </row>
    <row r="13" spans="2:9" s="49" customFormat="1" ht="15.5" x14ac:dyDescent="0.35">
      <c r="B13" s="9" t="s">
        <v>161</v>
      </c>
      <c r="C13" s="272">
        <f>'2) Tableau budgétaire 2'!D212</f>
        <v>155000</v>
      </c>
      <c r="D13" s="272">
        <f>'2) Tableau budgétaire 2'!E212</f>
        <v>196715.88800000001</v>
      </c>
      <c r="E13" s="272">
        <f>'2) Tableau budgétaire 2'!F212</f>
        <v>43000</v>
      </c>
      <c r="F13" s="272">
        <f>'2) Tableau budgétaire 2'!G212</f>
        <v>51000</v>
      </c>
      <c r="G13" s="272">
        <f>'2) Tableau budgétaire 2'!H212</f>
        <v>67592</v>
      </c>
      <c r="H13" s="272">
        <f>'2) Tableau budgétaire 2'!I212</f>
        <v>53108</v>
      </c>
      <c r="I13" s="273">
        <f t="shared" si="0"/>
        <v>566415.88800000004</v>
      </c>
    </row>
    <row r="14" spans="2:9" s="49" customFormat="1" ht="49" customHeight="1" x14ac:dyDescent="0.35">
      <c r="B14" s="9" t="s">
        <v>162</v>
      </c>
      <c r="C14" s="272">
        <f>'2) Tableau budgétaire 2'!D213</f>
        <v>491000</v>
      </c>
      <c r="D14" s="272">
        <f>'2) Tableau budgétaire 2'!E213</f>
        <v>410289.72</v>
      </c>
      <c r="E14" s="272">
        <f>'2) Tableau budgétaire 2'!F213</f>
        <v>370000</v>
      </c>
      <c r="F14" s="272">
        <f>'2) Tableau budgétaire 2'!G213</f>
        <v>370000</v>
      </c>
      <c r="G14" s="272">
        <f>'2) Tableau budgétaire 2'!H213</f>
        <v>28000.000000000004</v>
      </c>
      <c r="H14" s="272">
        <f>'2) Tableau budgétaire 2'!I213</f>
        <v>22000</v>
      </c>
      <c r="I14" s="273">
        <f t="shared" si="0"/>
        <v>1691289.72</v>
      </c>
    </row>
    <row r="15" spans="2:9" s="49" customFormat="1" ht="46" customHeight="1" thickBot="1" x14ac:dyDescent="0.4">
      <c r="B15" s="90" t="s">
        <v>163</v>
      </c>
      <c r="C15" s="274">
        <f>'2) Tableau budgétaire 2'!D214</f>
        <v>22000</v>
      </c>
      <c r="D15" s="274">
        <f>'2) Tableau budgétaire 2'!E214</f>
        <v>40000</v>
      </c>
      <c r="E15" s="274">
        <f>'2) Tableau budgétaire 2'!F214</f>
        <v>18000</v>
      </c>
      <c r="F15" s="274">
        <f>'2) Tableau budgétaire 2'!G214</f>
        <v>18000</v>
      </c>
      <c r="G15" s="274">
        <f>'2) Tableau budgétaire 2'!H214</f>
        <v>26584</v>
      </c>
      <c r="H15" s="274">
        <f>'2) Tableau budgétaire 2'!I214</f>
        <v>17066</v>
      </c>
      <c r="I15" s="273">
        <f t="shared" si="0"/>
        <v>141650</v>
      </c>
    </row>
    <row r="16" spans="2:9" s="49" customFormat="1" ht="18.649999999999999" customHeight="1" x14ac:dyDescent="0.35">
      <c r="B16" s="139" t="s">
        <v>164</v>
      </c>
      <c r="C16" s="275">
        <f>SUM(C9:C15)</f>
        <v>1186000</v>
      </c>
      <c r="D16" s="275">
        <f t="shared" ref="D16:H16" si="1">SUM(D9:D15)</f>
        <v>939579.44</v>
      </c>
      <c r="E16" s="275">
        <f t="shared" si="1"/>
        <v>655000</v>
      </c>
      <c r="F16" s="275">
        <f t="shared" si="1"/>
        <v>663000</v>
      </c>
      <c r="G16" s="275">
        <f t="shared" si="1"/>
        <v>285500</v>
      </c>
      <c r="H16" s="275">
        <f t="shared" si="1"/>
        <v>220500</v>
      </c>
      <c r="I16" s="276">
        <f>SUM(I9:I15)</f>
        <v>3949579.4399999995</v>
      </c>
    </row>
    <row r="17" spans="2:12" s="49" customFormat="1" ht="17.5" customHeight="1" x14ac:dyDescent="0.35">
      <c r="B17" s="140" t="s">
        <v>165</v>
      </c>
      <c r="C17" s="12">
        <f>C16*0.07</f>
        <v>83020.000000000015</v>
      </c>
      <c r="D17" s="12">
        <f t="shared" ref="D17:H17" si="2">D16*0.07</f>
        <v>65770.560800000007</v>
      </c>
      <c r="E17" s="12">
        <f t="shared" si="2"/>
        <v>45850.000000000007</v>
      </c>
      <c r="F17" s="12">
        <f t="shared" si="2"/>
        <v>46410.000000000007</v>
      </c>
      <c r="G17" s="12">
        <f t="shared" si="2"/>
        <v>19985.000000000004</v>
      </c>
      <c r="H17" s="12">
        <f t="shared" si="2"/>
        <v>15435.000000000002</v>
      </c>
      <c r="I17" s="277">
        <f>I16*0.07</f>
        <v>276470.56079999998</v>
      </c>
    </row>
    <row r="18" spans="2:12" s="49" customFormat="1" ht="18.649999999999999" customHeight="1" thickBot="1" x14ac:dyDescent="0.4">
      <c r="B18" s="89" t="s">
        <v>9</v>
      </c>
      <c r="C18" s="278">
        <f>C16+C17</f>
        <v>1269020</v>
      </c>
      <c r="D18" s="278">
        <f t="shared" ref="D18:H18" si="3">D16+D17</f>
        <v>1005350.0007999999</v>
      </c>
      <c r="E18" s="278">
        <f t="shared" si="3"/>
        <v>700850</v>
      </c>
      <c r="F18" s="278">
        <f t="shared" si="3"/>
        <v>709410</v>
      </c>
      <c r="G18" s="278">
        <f t="shared" si="3"/>
        <v>305485</v>
      </c>
      <c r="H18" s="278">
        <f t="shared" si="3"/>
        <v>235935</v>
      </c>
      <c r="I18" s="279">
        <f>I16+I17</f>
        <v>4226050.0007999996</v>
      </c>
      <c r="J18" s="138"/>
    </row>
    <row r="19" spans="2:12" s="49" customFormat="1" ht="16" thickBot="1" x14ac:dyDescent="0.4">
      <c r="B19" s="138"/>
      <c r="C19" s="138"/>
      <c r="D19" s="138"/>
      <c r="E19" s="138"/>
      <c r="F19" s="138"/>
      <c r="G19" s="138"/>
      <c r="H19" s="138"/>
      <c r="I19" s="138"/>
      <c r="J19" s="138"/>
    </row>
    <row r="20" spans="2:12" s="49" customFormat="1" ht="15.5" x14ac:dyDescent="0.35">
      <c r="B20" s="308" t="s">
        <v>166</v>
      </c>
      <c r="C20" s="309"/>
      <c r="D20" s="309"/>
      <c r="E20" s="309"/>
      <c r="F20" s="310"/>
      <c r="G20" s="310"/>
      <c r="H20" s="310"/>
      <c r="I20" s="311"/>
      <c r="J20" s="138"/>
    </row>
    <row r="21" spans="2:12" ht="31" x14ac:dyDescent="0.35">
      <c r="B21" s="15"/>
      <c r="C21" s="13" t="s">
        <v>167</v>
      </c>
      <c r="D21" s="13" t="s">
        <v>168</v>
      </c>
      <c r="E21" s="13" t="s">
        <v>169</v>
      </c>
      <c r="F21" s="39" t="s">
        <v>156</v>
      </c>
      <c r="G21" s="39" t="s">
        <v>547</v>
      </c>
      <c r="H21" s="39" t="s">
        <v>554</v>
      </c>
      <c r="I21" s="16" t="s">
        <v>135</v>
      </c>
      <c r="J21" s="107" t="s">
        <v>79</v>
      </c>
      <c r="L21" s="77"/>
    </row>
    <row r="22" spans="2:12" ht="15.5" x14ac:dyDescent="0.35">
      <c r="B22" s="15"/>
      <c r="C22" s="149" t="str">
        <f>'1) Tableau budgétaire 1'!D13</f>
        <v>PNUD GUINEE</v>
      </c>
      <c r="D22" s="158" t="str">
        <f>'1) Tableau budgétaire 1'!E13</f>
        <v>PNUD MALI</v>
      </c>
      <c r="E22" s="170" t="str">
        <f>'1) Tableau budgétaire 1'!F13</f>
        <v>UNFPA GUINEE</v>
      </c>
      <c r="F22" s="180" t="str">
        <f>'1) Tableau budgétaire 1'!G13</f>
        <v>UNFPA MALI</v>
      </c>
      <c r="G22" s="191" t="str">
        <f>'1) Tableau budgétaire 1'!H13</f>
        <v>UNODC GUINEE</v>
      </c>
      <c r="H22" s="191" t="str">
        <f>'1) Tableau budgétaire 1'!I13</f>
        <v>UNODC MALI</v>
      </c>
      <c r="I22" s="16"/>
      <c r="J22" s="107"/>
    </row>
    <row r="23" spans="2:12" ht="20.149999999999999" customHeight="1" x14ac:dyDescent="0.35">
      <c r="B23" s="14" t="s">
        <v>170</v>
      </c>
      <c r="C23" s="12">
        <f>'1) Tableau budgétaire 1'!D90</f>
        <v>888314</v>
      </c>
      <c r="D23" s="12">
        <f>'1) Tableau budgétaire 1'!E90</f>
        <v>703745.00055999996</v>
      </c>
      <c r="E23" s="12">
        <f>'1) Tableau budgétaire 1'!F90</f>
        <v>490594.99999999994</v>
      </c>
      <c r="F23" s="12">
        <f>'1) Tableau budgétaire 1'!G90</f>
        <v>496586.99999999994</v>
      </c>
      <c r="G23" s="12">
        <f>'1) Tableau budgétaire 1'!H90</f>
        <v>213839.5</v>
      </c>
      <c r="H23" s="12">
        <f>'1) Tableau budgétaire 1'!I90</f>
        <v>165154.5</v>
      </c>
      <c r="I23" s="106">
        <f>I18*70%</f>
        <v>2958235.0005599996</v>
      </c>
      <c r="J23" s="108">
        <f>'1) Tableau budgétaire 1'!K90</f>
        <v>0.7</v>
      </c>
    </row>
    <row r="24" spans="2:12" ht="26.5" customHeight="1" x14ac:dyDescent="0.35">
      <c r="B24" s="14" t="s">
        <v>171</v>
      </c>
      <c r="C24" s="12">
        <f>'1) Tableau budgétaire 1'!D91</f>
        <v>380706</v>
      </c>
      <c r="D24" s="12">
        <f>'1) Tableau budgétaire 1'!E91</f>
        <v>301605.00023999996</v>
      </c>
      <c r="E24" s="12">
        <f>'1) Tableau budgétaire 1'!F91</f>
        <v>210255</v>
      </c>
      <c r="F24" s="12">
        <f>'1) Tableau budgétaire 1'!G91</f>
        <v>212823</v>
      </c>
      <c r="G24" s="12">
        <f>'1) Tableau budgétaire 1'!H91</f>
        <v>91645.5</v>
      </c>
      <c r="H24" s="12">
        <f>'1) Tableau budgétaire 1'!I91</f>
        <v>70780.5</v>
      </c>
      <c r="I24" s="106">
        <f>I18*30%</f>
        <v>1267815.0002399997</v>
      </c>
      <c r="J24" s="108">
        <f>'1) Tableau budgétaire 1'!K91</f>
        <v>0.3</v>
      </c>
    </row>
    <row r="25" spans="2:12" ht="16" thickBot="1" x14ac:dyDescent="0.4">
      <c r="B25" s="6" t="s">
        <v>135</v>
      </c>
      <c r="C25" s="109">
        <f t="shared" ref="C25:I25" si="4">SUM(C23:C24)</f>
        <v>1269020</v>
      </c>
      <c r="D25" s="109">
        <f t="shared" si="4"/>
        <v>1005350.0007999999</v>
      </c>
      <c r="E25" s="109">
        <f t="shared" si="4"/>
        <v>700850</v>
      </c>
      <c r="F25" s="109">
        <f t="shared" si="4"/>
        <v>709410</v>
      </c>
      <c r="G25" s="109">
        <f t="shared" si="4"/>
        <v>305485</v>
      </c>
      <c r="H25" s="109">
        <f t="shared" si="4"/>
        <v>235935</v>
      </c>
      <c r="I25" s="109">
        <f t="shared" si="4"/>
        <v>4226050.0007999996</v>
      </c>
    </row>
  </sheetData>
  <sheetProtection formatCells="0" formatColumns="0" formatRows="0"/>
  <mergeCells count="4">
    <mergeCell ref="B20:I20"/>
    <mergeCell ref="B6:I6"/>
    <mergeCell ref="I7:I8"/>
    <mergeCell ref="B2:I3"/>
  </mergeCells>
  <phoneticPr fontId="24" type="noConversion"/>
  <dataValidations count="7">
    <dataValidation allowBlank="1" showInputMessage="1" showErrorMessage="1" prompt="Includes all related staff and temporary staff costs including base salary, post adjustment and all staff entitlements." sqref="B9"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10"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1" xr:uid="{77711502-57BE-4DB4-AF61-EF9806395508}"/>
    <dataValidation allowBlank="1" showInputMessage="1" showErrorMessage="1" prompt="Includes staff and non-staff travel paid for by the organization directly related to a project." sqref="B13" xr:uid="{7599ADEE-72AD-45B4-93A0-EDFAEB4D5077}"/>
    <dataValidation allowBlank="1" showInputMessage="1" showErrorMessage="1" prompt="Services contracted by an organization which follow the normal procurement processes." sqref="B12"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4"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5" xr:uid="{D281C19F-1EF8-4A9D-BA14-51718AA1EA2B}"/>
  </dataValidations>
  <pageMargins left="0.7" right="0.7" top="0.75" bottom="0.75" header="0.3" footer="0.3"/>
  <pageSetup orientation="landscape"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1'!$J$84</xm:f>
            <x14:dxf>
              <font>
                <color rgb="FF9C0006"/>
              </font>
              <fill>
                <patternFill>
                  <bgColor rgb="FFFFC7CE"/>
                </patternFill>
              </fill>
            </x14:dxf>
          </x14:cfRule>
          <xm:sqref>I18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A9" sqref="A9"/>
    </sheetView>
  </sheetViews>
  <sheetFormatPr baseColWidth="10" defaultColWidth="8.81640625" defaultRowHeight="14.5" x14ac:dyDescent="0.35"/>
  <sheetData>
    <row r="1" spans="1:1" x14ac:dyDescent="0.35">
      <c r="A1" s="77">
        <v>0</v>
      </c>
    </row>
    <row r="2" spans="1:1" x14ac:dyDescent="0.35">
      <c r="A2" s="77">
        <v>0.2</v>
      </c>
    </row>
    <row r="3" spans="1:1" x14ac:dyDescent="0.35">
      <c r="A3" s="77">
        <v>0.4</v>
      </c>
    </row>
    <row r="4" spans="1:1" x14ac:dyDescent="0.35">
      <c r="A4" s="77">
        <v>0.6</v>
      </c>
    </row>
    <row r="5" spans="1:1" x14ac:dyDescent="0.35">
      <c r="A5" s="77">
        <v>0.8</v>
      </c>
    </row>
    <row r="6" spans="1:1" x14ac:dyDescent="0.35">
      <c r="A6" s="77">
        <v>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baseColWidth="10" defaultColWidth="8.81640625" defaultRowHeight="14.5" x14ac:dyDescent="0.35"/>
  <sheetData>
    <row r="1" spans="1:2" x14ac:dyDescent="0.35">
      <c r="A1" s="50" t="s">
        <v>172</v>
      </c>
      <c r="B1" s="51" t="s">
        <v>173</v>
      </c>
    </row>
    <row r="2" spans="1:2" x14ac:dyDescent="0.35">
      <c r="A2" s="52" t="s">
        <v>174</v>
      </c>
      <c r="B2" s="53" t="s">
        <v>175</v>
      </c>
    </row>
    <row r="3" spans="1:2" x14ac:dyDescent="0.35">
      <c r="A3" s="52" t="s">
        <v>176</v>
      </c>
      <c r="B3" s="53" t="s">
        <v>177</v>
      </c>
    </row>
    <row r="4" spans="1:2" x14ac:dyDescent="0.35">
      <c r="A4" s="52" t="s">
        <v>178</v>
      </c>
      <c r="B4" s="53" t="s">
        <v>179</v>
      </c>
    </row>
    <row r="5" spans="1:2" x14ac:dyDescent="0.35">
      <c r="A5" s="52" t="s">
        <v>180</v>
      </c>
      <c r="B5" s="53" t="s">
        <v>181</v>
      </c>
    </row>
    <row r="6" spans="1:2" x14ac:dyDescent="0.35">
      <c r="A6" s="52" t="s">
        <v>182</v>
      </c>
      <c r="B6" s="53" t="s">
        <v>183</v>
      </c>
    </row>
    <row r="7" spans="1:2" x14ac:dyDescent="0.35">
      <c r="A7" s="52" t="s">
        <v>184</v>
      </c>
      <c r="B7" s="53" t="s">
        <v>185</v>
      </c>
    </row>
    <row r="8" spans="1:2" x14ac:dyDescent="0.35">
      <c r="A8" s="52" t="s">
        <v>186</v>
      </c>
      <c r="B8" s="53" t="s">
        <v>187</v>
      </c>
    </row>
    <row r="9" spans="1:2" x14ac:dyDescent="0.35">
      <c r="A9" s="52" t="s">
        <v>188</v>
      </c>
      <c r="B9" s="53" t="s">
        <v>189</v>
      </c>
    </row>
    <row r="10" spans="1:2" x14ac:dyDescent="0.35">
      <c r="A10" s="52" t="s">
        <v>190</v>
      </c>
      <c r="B10" s="53" t="s">
        <v>191</v>
      </c>
    </row>
    <row r="11" spans="1:2" x14ac:dyDescent="0.35">
      <c r="A11" s="52" t="s">
        <v>192</v>
      </c>
      <c r="B11" s="53" t="s">
        <v>193</v>
      </c>
    </row>
    <row r="12" spans="1:2" x14ac:dyDescent="0.35">
      <c r="A12" s="52" t="s">
        <v>194</v>
      </c>
      <c r="B12" s="53" t="s">
        <v>195</v>
      </c>
    </row>
    <row r="13" spans="1:2" x14ac:dyDescent="0.35">
      <c r="A13" s="52" t="s">
        <v>196</v>
      </c>
      <c r="B13" s="53" t="s">
        <v>197</v>
      </c>
    </row>
    <row r="14" spans="1:2" x14ac:dyDescent="0.35">
      <c r="A14" s="52" t="s">
        <v>198</v>
      </c>
      <c r="B14" s="53" t="s">
        <v>199</v>
      </c>
    </row>
    <row r="15" spans="1:2" x14ac:dyDescent="0.35">
      <c r="A15" s="52" t="s">
        <v>200</v>
      </c>
      <c r="B15" s="53" t="s">
        <v>201</v>
      </c>
    </row>
    <row r="16" spans="1:2" x14ac:dyDescent="0.35">
      <c r="A16" s="52" t="s">
        <v>202</v>
      </c>
      <c r="B16" s="53" t="s">
        <v>203</v>
      </c>
    </row>
    <row r="17" spans="1:2" x14ac:dyDescent="0.35">
      <c r="A17" s="52" t="s">
        <v>204</v>
      </c>
      <c r="B17" s="53" t="s">
        <v>205</v>
      </c>
    </row>
    <row r="18" spans="1:2" x14ac:dyDescent="0.35">
      <c r="A18" s="52" t="s">
        <v>206</v>
      </c>
      <c r="B18" s="53" t="s">
        <v>207</v>
      </c>
    </row>
    <row r="19" spans="1:2" x14ac:dyDescent="0.35">
      <c r="A19" s="52" t="s">
        <v>208</v>
      </c>
      <c r="B19" s="53" t="s">
        <v>209</v>
      </c>
    </row>
    <row r="20" spans="1:2" x14ac:dyDescent="0.35">
      <c r="A20" s="52" t="s">
        <v>210</v>
      </c>
      <c r="B20" s="53" t="s">
        <v>211</v>
      </c>
    </row>
    <row r="21" spans="1:2" x14ac:dyDescent="0.35">
      <c r="A21" s="52" t="s">
        <v>212</v>
      </c>
      <c r="B21" s="53" t="s">
        <v>213</v>
      </c>
    </row>
    <row r="22" spans="1:2" x14ac:dyDescent="0.35">
      <c r="A22" s="52" t="s">
        <v>214</v>
      </c>
      <c r="B22" s="53" t="s">
        <v>215</v>
      </c>
    </row>
    <row r="23" spans="1:2" x14ac:dyDescent="0.35">
      <c r="A23" s="52" t="s">
        <v>216</v>
      </c>
      <c r="B23" s="53" t="s">
        <v>217</v>
      </c>
    </row>
    <row r="24" spans="1:2" x14ac:dyDescent="0.35">
      <c r="A24" s="52" t="s">
        <v>218</v>
      </c>
      <c r="B24" s="53" t="s">
        <v>219</v>
      </c>
    </row>
    <row r="25" spans="1:2" x14ac:dyDescent="0.35">
      <c r="A25" s="52" t="s">
        <v>220</v>
      </c>
      <c r="B25" s="53" t="s">
        <v>221</v>
      </c>
    </row>
    <row r="26" spans="1:2" x14ac:dyDescent="0.35">
      <c r="A26" s="52" t="s">
        <v>222</v>
      </c>
      <c r="B26" s="53" t="s">
        <v>223</v>
      </c>
    </row>
    <row r="27" spans="1:2" x14ac:dyDescent="0.35">
      <c r="A27" s="52" t="s">
        <v>224</v>
      </c>
      <c r="B27" s="53" t="s">
        <v>225</v>
      </c>
    </row>
    <row r="28" spans="1:2" x14ac:dyDescent="0.35">
      <c r="A28" s="52" t="s">
        <v>226</v>
      </c>
      <c r="B28" s="53" t="s">
        <v>227</v>
      </c>
    </row>
    <row r="29" spans="1:2" x14ac:dyDescent="0.35">
      <c r="A29" s="52" t="s">
        <v>228</v>
      </c>
      <c r="B29" s="53" t="s">
        <v>229</v>
      </c>
    </row>
    <row r="30" spans="1:2" x14ac:dyDescent="0.35">
      <c r="A30" s="52" t="s">
        <v>230</v>
      </c>
      <c r="B30" s="53" t="s">
        <v>231</v>
      </c>
    </row>
    <row r="31" spans="1:2" x14ac:dyDescent="0.35">
      <c r="A31" s="52" t="s">
        <v>232</v>
      </c>
      <c r="B31" s="53" t="s">
        <v>233</v>
      </c>
    </row>
    <row r="32" spans="1:2" x14ac:dyDescent="0.35">
      <c r="A32" s="52" t="s">
        <v>234</v>
      </c>
      <c r="B32" s="53" t="s">
        <v>235</v>
      </c>
    </row>
    <row r="33" spans="1:2" x14ac:dyDescent="0.35">
      <c r="A33" s="52" t="s">
        <v>236</v>
      </c>
      <c r="B33" s="53" t="s">
        <v>237</v>
      </c>
    </row>
    <row r="34" spans="1:2" x14ac:dyDescent="0.35">
      <c r="A34" s="52" t="s">
        <v>238</v>
      </c>
      <c r="B34" s="53" t="s">
        <v>239</v>
      </c>
    </row>
    <row r="35" spans="1:2" x14ac:dyDescent="0.35">
      <c r="A35" s="52" t="s">
        <v>240</v>
      </c>
      <c r="B35" s="53" t="s">
        <v>241</v>
      </c>
    </row>
    <row r="36" spans="1:2" x14ac:dyDescent="0.35">
      <c r="A36" s="52" t="s">
        <v>242</v>
      </c>
      <c r="B36" s="53" t="s">
        <v>243</v>
      </c>
    </row>
    <row r="37" spans="1:2" x14ac:dyDescent="0.35">
      <c r="A37" s="52" t="s">
        <v>244</v>
      </c>
      <c r="B37" s="53" t="s">
        <v>245</v>
      </c>
    </row>
    <row r="38" spans="1:2" x14ac:dyDescent="0.35">
      <c r="A38" s="52" t="s">
        <v>246</v>
      </c>
      <c r="B38" s="53" t="s">
        <v>247</v>
      </c>
    </row>
    <row r="39" spans="1:2" x14ac:dyDescent="0.35">
      <c r="A39" s="52" t="s">
        <v>248</v>
      </c>
      <c r="B39" s="53" t="s">
        <v>249</v>
      </c>
    </row>
    <row r="40" spans="1:2" x14ac:dyDescent="0.35">
      <c r="A40" s="52" t="s">
        <v>250</v>
      </c>
      <c r="B40" s="53" t="s">
        <v>251</v>
      </c>
    </row>
    <row r="41" spans="1:2" x14ac:dyDescent="0.35">
      <c r="A41" s="52" t="s">
        <v>252</v>
      </c>
      <c r="B41" s="53" t="s">
        <v>253</v>
      </c>
    </row>
    <row r="42" spans="1:2" x14ac:dyDescent="0.35">
      <c r="A42" s="52" t="s">
        <v>254</v>
      </c>
      <c r="B42" s="53" t="s">
        <v>255</v>
      </c>
    </row>
    <row r="43" spans="1:2" x14ac:dyDescent="0.35">
      <c r="A43" s="52" t="s">
        <v>256</v>
      </c>
      <c r="B43" s="53" t="s">
        <v>257</v>
      </c>
    </row>
    <row r="44" spans="1:2" x14ac:dyDescent="0.35">
      <c r="A44" s="52" t="s">
        <v>258</v>
      </c>
      <c r="B44" s="53" t="s">
        <v>259</v>
      </c>
    </row>
    <row r="45" spans="1:2" x14ac:dyDescent="0.35">
      <c r="A45" s="52" t="s">
        <v>260</v>
      </c>
      <c r="B45" s="53" t="s">
        <v>261</v>
      </c>
    </row>
    <row r="46" spans="1:2" x14ac:dyDescent="0.35">
      <c r="A46" s="52" t="s">
        <v>262</v>
      </c>
      <c r="B46" s="53" t="s">
        <v>263</v>
      </c>
    </row>
    <row r="47" spans="1:2" x14ac:dyDescent="0.35">
      <c r="A47" s="52" t="s">
        <v>264</v>
      </c>
      <c r="B47" s="53" t="s">
        <v>265</v>
      </c>
    </row>
    <row r="48" spans="1:2" x14ac:dyDescent="0.35">
      <c r="A48" s="52" t="s">
        <v>266</v>
      </c>
      <c r="B48" s="53" t="s">
        <v>267</v>
      </c>
    </row>
    <row r="49" spans="1:2" x14ac:dyDescent="0.35">
      <c r="A49" s="52" t="s">
        <v>268</v>
      </c>
      <c r="B49" s="53" t="s">
        <v>269</v>
      </c>
    </row>
    <row r="50" spans="1:2" x14ac:dyDescent="0.35">
      <c r="A50" s="52" t="s">
        <v>270</v>
      </c>
      <c r="B50" s="53" t="s">
        <v>271</v>
      </c>
    </row>
    <row r="51" spans="1:2" x14ac:dyDescent="0.35">
      <c r="A51" s="52" t="s">
        <v>272</v>
      </c>
      <c r="B51" s="53" t="s">
        <v>273</v>
      </c>
    </row>
    <row r="52" spans="1:2" x14ac:dyDescent="0.35">
      <c r="A52" s="52" t="s">
        <v>274</v>
      </c>
      <c r="B52" s="53" t="s">
        <v>275</v>
      </c>
    </row>
    <row r="53" spans="1:2" x14ac:dyDescent="0.35">
      <c r="A53" s="52" t="s">
        <v>276</v>
      </c>
      <c r="B53" s="53" t="s">
        <v>277</v>
      </c>
    </row>
    <row r="54" spans="1:2" x14ac:dyDescent="0.35">
      <c r="A54" s="52" t="s">
        <v>278</v>
      </c>
      <c r="B54" s="53" t="s">
        <v>279</v>
      </c>
    </row>
    <row r="55" spans="1:2" x14ac:dyDescent="0.35">
      <c r="A55" s="52" t="s">
        <v>280</v>
      </c>
      <c r="B55" s="53" t="s">
        <v>281</v>
      </c>
    </row>
    <row r="56" spans="1:2" x14ac:dyDescent="0.35">
      <c r="A56" s="52" t="s">
        <v>282</v>
      </c>
      <c r="B56" s="53" t="s">
        <v>283</v>
      </c>
    </row>
    <row r="57" spans="1:2" x14ac:dyDescent="0.35">
      <c r="A57" s="52" t="s">
        <v>284</v>
      </c>
      <c r="B57" s="53" t="s">
        <v>285</v>
      </c>
    </row>
    <row r="58" spans="1:2" x14ac:dyDescent="0.35">
      <c r="A58" s="52" t="s">
        <v>286</v>
      </c>
      <c r="B58" s="53" t="s">
        <v>287</v>
      </c>
    </row>
    <row r="59" spans="1:2" x14ac:dyDescent="0.35">
      <c r="A59" s="52" t="s">
        <v>288</v>
      </c>
      <c r="B59" s="53" t="s">
        <v>289</v>
      </c>
    </row>
    <row r="60" spans="1:2" x14ac:dyDescent="0.35">
      <c r="A60" s="52" t="s">
        <v>290</v>
      </c>
      <c r="B60" s="53" t="s">
        <v>291</v>
      </c>
    </row>
    <row r="61" spans="1:2" x14ac:dyDescent="0.35">
      <c r="A61" s="52" t="s">
        <v>292</v>
      </c>
      <c r="B61" s="53" t="s">
        <v>293</v>
      </c>
    </row>
    <row r="62" spans="1:2" x14ac:dyDescent="0.35">
      <c r="A62" s="52" t="s">
        <v>294</v>
      </c>
      <c r="B62" s="53" t="s">
        <v>295</v>
      </c>
    </row>
    <row r="63" spans="1:2" x14ac:dyDescent="0.35">
      <c r="A63" s="52" t="s">
        <v>296</v>
      </c>
      <c r="B63" s="53" t="s">
        <v>297</v>
      </c>
    </row>
    <row r="64" spans="1:2" x14ac:dyDescent="0.35">
      <c r="A64" s="52" t="s">
        <v>298</v>
      </c>
      <c r="B64" s="53" t="s">
        <v>299</v>
      </c>
    </row>
    <row r="65" spans="1:2" x14ac:dyDescent="0.35">
      <c r="A65" s="52" t="s">
        <v>300</v>
      </c>
      <c r="B65" s="53" t="s">
        <v>301</v>
      </c>
    </row>
    <row r="66" spans="1:2" x14ac:dyDescent="0.35">
      <c r="A66" s="52" t="s">
        <v>302</v>
      </c>
      <c r="B66" s="53" t="s">
        <v>303</v>
      </c>
    </row>
    <row r="67" spans="1:2" x14ac:dyDescent="0.35">
      <c r="A67" s="52" t="s">
        <v>304</v>
      </c>
      <c r="B67" s="53" t="s">
        <v>305</v>
      </c>
    </row>
    <row r="68" spans="1:2" x14ac:dyDescent="0.35">
      <c r="A68" s="52" t="s">
        <v>306</v>
      </c>
      <c r="B68" s="53" t="s">
        <v>307</v>
      </c>
    </row>
    <row r="69" spans="1:2" x14ac:dyDescent="0.35">
      <c r="A69" s="52" t="s">
        <v>308</v>
      </c>
      <c r="B69" s="53" t="s">
        <v>309</v>
      </c>
    </row>
    <row r="70" spans="1:2" x14ac:dyDescent="0.35">
      <c r="A70" s="52" t="s">
        <v>310</v>
      </c>
      <c r="B70" s="53" t="s">
        <v>311</v>
      </c>
    </row>
    <row r="71" spans="1:2" x14ac:dyDescent="0.35">
      <c r="A71" s="52" t="s">
        <v>312</v>
      </c>
      <c r="B71" s="53" t="s">
        <v>313</v>
      </c>
    </row>
    <row r="72" spans="1:2" x14ac:dyDescent="0.35">
      <c r="A72" s="52" t="s">
        <v>314</v>
      </c>
      <c r="B72" s="53" t="s">
        <v>315</v>
      </c>
    </row>
    <row r="73" spans="1:2" x14ac:dyDescent="0.35">
      <c r="A73" s="52" t="s">
        <v>316</v>
      </c>
      <c r="B73" s="53" t="s">
        <v>317</v>
      </c>
    </row>
    <row r="74" spans="1:2" x14ac:dyDescent="0.35">
      <c r="A74" s="52" t="s">
        <v>318</v>
      </c>
      <c r="B74" s="53" t="s">
        <v>319</v>
      </c>
    </row>
    <row r="75" spans="1:2" x14ac:dyDescent="0.35">
      <c r="A75" s="52" t="s">
        <v>320</v>
      </c>
      <c r="B75" s="54" t="s">
        <v>321</v>
      </c>
    </row>
    <row r="76" spans="1:2" x14ac:dyDescent="0.35">
      <c r="A76" s="52" t="s">
        <v>322</v>
      </c>
      <c r="B76" s="54" t="s">
        <v>323</v>
      </c>
    </row>
    <row r="77" spans="1:2" x14ac:dyDescent="0.35">
      <c r="A77" s="52" t="s">
        <v>324</v>
      </c>
      <c r="B77" s="54" t="s">
        <v>325</v>
      </c>
    </row>
    <row r="78" spans="1:2" x14ac:dyDescent="0.35">
      <c r="A78" s="52" t="s">
        <v>326</v>
      </c>
      <c r="B78" s="54" t="s">
        <v>327</v>
      </c>
    </row>
    <row r="79" spans="1:2" x14ac:dyDescent="0.35">
      <c r="A79" s="52" t="s">
        <v>328</v>
      </c>
      <c r="B79" s="54" t="s">
        <v>329</v>
      </c>
    </row>
    <row r="80" spans="1:2" x14ac:dyDescent="0.35">
      <c r="A80" s="52" t="s">
        <v>330</v>
      </c>
      <c r="B80" s="54" t="s">
        <v>331</v>
      </c>
    </row>
    <row r="81" spans="1:2" x14ac:dyDescent="0.35">
      <c r="A81" s="52" t="s">
        <v>332</v>
      </c>
      <c r="B81" s="54" t="s">
        <v>333</v>
      </c>
    </row>
    <row r="82" spans="1:2" x14ac:dyDescent="0.35">
      <c r="A82" s="52" t="s">
        <v>334</v>
      </c>
      <c r="B82" s="54" t="s">
        <v>335</v>
      </c>
    </row>
    <row r="83" spans="1:2" x14ac:dyDescent="0.35">
      <c r="A83" s="52" t="s">
        <v>336</v>
      </c>
      <c r="B83" s="54" t="s">
        <v>337</v>
      </c>
    </row>
    <row r="84" spans="1:2" x14ac:dyDescent="0.35">
      <c r="A84" s="52" t="s">
        <v>338</v>
      </c>
      <c r="B84" s="54" t="s">
        <v>339</v>
      </c>
    </row>
    <row r="85" spans="1:2" x14ac:dyDescent="0.35">
      <c r="A85" s="52" t="s">
        <v>340</v>
      </c>
      <c r="B85" s="54" t="s">
        <v>341</v>
      </c>
    </row>
    <row r="86" spans="1:2" x14ac:dyDescent="0.35">
      <c r="A86" s="52" t="s">
        <v>342</v>
      </c>
      <c r="B86" s="54" t="s">
        <v>343</v>
      </c>
    </row>
    <row r="87" spans="1:2" x14ac:dyDescent="0.35">
      <c r="A87" s="52" t="s">
        <v>344</v>
      </c>
      <c r="B87" s="54" t="s">
        <v>345</v>
      </c>
    </row>
    <row r="88" spans="1:2" x14ac:dyDescent="0.35">
      <c r="A88" s="52" t="s">
        <v>346</v>
      </c>
      <c r="B88" s="54" t="s">
        <v>347</v>
      </c>
    </row>
    <row r="89" spans="1:2" x14ac:dyDescent="0.35">
      <c r="A89" s="52" t="s">
        <v>348</v>
      </c>
      <c r="B89" s="54" t="s">
        <v>349</v>
      </c>
    </row>
    <row r="90" spans="1:2" x14ac:dyDescent="0.35">
      <c r="A90" s="52" t="s">
        <v>350</v>
      </c>
      <c r="B90" s="54" t="s">
        <v>351</v>
      </c>
    </row>
    <row r="91" spans="1:2" x14ac:dyDescent="0.35">
      <c r="A91" s="52" t="s">
        <v>352</v>
      </c>
      <c r="B91" s="54" t="s">
        <v>353</v>
      </c>
    </row>
    <row r="92" spans="1:2" x14ac:dyDescent="0.35">
      <c r="A92" s="52" t="s">
        <v>354</v>
      </c>
      <c r="B92" s="54" t="s">
        <v>355</v>
      </c>
    </row>
    <row r="93" spans="1:2" x14ac:dyDescent="0.35">
      <c r="A93" s="52" t="s">
        <v>356</v>
      </c>
      <c r="B93" s="54" t="s">
        <v>357</v>
      </c>
    </row>
    <row r="94" spans="1:2" x14ac:dyDescent="0.35">
      <c r="A94" s="52" t="s">
        <v>358</v>
      </c>
      <c r="B94" s="54" t="s">
        <v>359</v>
      </c>
    </row>
    <row r="95" spans="1:2" x14ac:dyDescent="0.35">
      <c r="A95" s="52" t="s">
        <v>360</v>
      </c>
      <c r="B95" s="54" t="s">
        <v>361</v>
      </c>
    </row>
    <row r="96" spans="1:2" x14ac:dyDescent="0.35">
      <c r="A96" s="52" t="s">
        <v>362</v>
      </c>
      <c r="B96" s="54" t="s">
        <v>363</v>
      </c>
    </row>
    <row r="97" spans="1:2" x14ac:dyDescent="0.35">
      <c r="A97" s="52" t="s">
        <v>364</v>
      </c>
      <c r="B97" s="54" t="s">
        <v>365</v>
      </c>
    </row>
    <row r="98" spans="1:2" x14ac:dyDescent="0.35">
      <c r="A98" s="52" t="s">
        <v>366</v>
      </c>
      <c r="B98" s="54" t="s">
        <v>367</v>
      </c>
    </row>
    <row r="99" spans="1:2" x14ac:dyDescent="0.35">
      <c r="A99" s="52" t="s">
        <v>368</v>
      </c>
      <c r="B99" s="54" t="s">
        <v>369</v>
      </c>
    </row>
    <row r="100" spans="1:2" x14ac:dyDescent="0.35">
      <c r="A100" s="52" t="s">
        <v>370</v>
      </c>
      <c r="B100" s="54" t="s">
        <v>371</v>
      </c>
    </row>
    <row r="101" spans="1:2" x14ac:dyDescent="0.35">
      <c r="A101" s="52" t="s">
        <v>372</v>
      </c>
      <c r="B101" s="54" t="s">
        <v>373</v>
      </c>
    </row>
    <row r="102" spans="1:2" x14ac:dyDescent="0.35">
      <c r="A102" s="52" t="s">
        <v>374</v>
      </c>
      <c r="B102" s="54" t="s">
        <v>375</v>
      </c>
    </row>
    <row r="103" spans="1:2" x14ac:dyDescent="0.35">
      <c r="A103" s="52" t="s">
        <v>376</v>
      </c>
      <c r="B103" s="54" t="s">
        <v>377</v>
      </c>
    </row>
    <row r="104" spans="1:2" x14ac:dyDescent="0.35">
      <c r="A104" s="52" t="s">
        <v>378</v>
      </c>
      <c r="B104" s="54" t="s">
        <v>379</v>
      </c>
    </row>
    <row r="105" spans="1:2" x14ac:dyDescent="0.35">
      <c r="A105" s="52" t="s">
        <v>380</v>
      </c>
      <c r="B105" s="54" t="s">
        <v>381</v>
      </c>
    </row>
    <row r="106" spans="1:2" x14ac:dyDescent="0.35">
      <c r="A106" s="52" t="s">
        <v>382</v>
      </c>
      <c r="B106" s="54" t="s">
        <v>383</v>
      </c>
    </row>
    <row r="107" spans="1:2" x14ac:dyDescent="0.35">
      <c r="A107" s="52" t="s">
        <v>384</v>
      </c>
      <c r="B107" s="54" t="s">
        <v>385</v>
      </c>
    </row>
    <row r="108" spans="1:2" x14ac:dyDescent="0.35">
      <c r="A108" s="52" t="s">
        <v>386</v>
      </c>
      <c r="B108" s="54" t="s">
        <v>387</v>
      </c>
    </row>
    <row r="109" spans="1:2" x14ac:dyDescent="0.35">
      <c r="A109" s="52" t="s">
        <v>388</v>
      </c>
      <c r="B109" s="54" t="s">
        <v>389</v>
      </c>
    </row>
    <row r="110" spans="1:2" x14ac:dyDescent="0.35">
      <c r="A110" s="52" t="s">
        <v>390</v>
      </c>
      <c r="B110" s="54" t="s">
        <v>391</v>
      </c>
    </row>
    <row r="111" spans="1:2" x14ac:dyDescent="0.35">
      <c r="A111" s="52" t="s">
        <v>392</v>
      </c>
      <c r="B111" s="54" t="s">
        <v>393</v>
      </c>
    </row>
    <row r="112" spans="1:2" x14ac:dyDescent="0.35">
      <c r="A112" s="52" t="s">
        <v>394</v>
      </c>
      <c r="B112" s="54" t="s">
        <v>395</v>
      </c>
    </row>
    <row r="113" spans="1:2" x14ac:dyDescent="0.35">
      <c r="A113" s="52" t="s">
        <v>396</v>
      </c>
      <c r="B113" s="54" t="s">
        <v>397</v>
      </c>
    </row>
    <row r="114" spans="1:2" x14ac:dyDescent="0.35">
      <c r="A114" s="52" t="s">
        <v>398</v>
      </c>
      <c r="B114" s="54" t="s">
        <v>399</v>
      </c>
    </row>
    <row r="115" spans="1:2" x14ac:dyDescent="0.35">
      <c r="A115" s="52" t="s">
        <v>400</v>
      </c>
      <c r="B115" s="54" t="s">
        <v>401</v>
      </c>
    </row>
    <row r="116" spans="1:2" x14ac:dyDescent="0.35">
      <c r="A116" s="52" t="s">
        <v>402</v>
      </c>
      <c r="B116" s="54" t="s">
        <v>403</v>
      </c>
    </row>
    <row r="117" spans="1:2" x14ac:dyDescent="0.35">
      <c r="A117" s="52" t="s">
        <v>404</v>
      </c>
      <c r="B117" s="54" t="s">
        <v>405</v>
      </c>
    </row>
    <row r="118" spans="1:2" x14ac:dyDescent="0.35">
      <c r="A118" s="52" t="s">
        <v>406</v>
      </c>
      <c r="B118" s="54" t="s">
        <v>407</v>
      </c>
    </row>
    <row r="119" spans="1:2" x14ac:dyDescent="0.35">
      <c r="A119" s="52" t="s">
        <v>408</v>
      </c>
      <c r="B119" s="54" t="s">
        <v>409</v>
      </c>
    </row>
    <row r="120" spans="1:2" x14ac:dyDescent="0.35">
      <c r="A120" s="52" t="s">
        <v>410</v>
      </c>
      <c r="B120" s="54" t="s">
        <v>411</v>
      </c>
    </row>
    <row r="121" spans="1:2" x14ac:dyDescent="0.35">
      <c r="A121" s="52" t="s">
        <v>412</v>
      </c>
      <c r="B121" s="54" t="s">
        <v>413</v>
      </c>
    </row>
    <row r="122" spans="1:2" x14ac:dyDescent="0.35">
      <c r="A122" s="52" t="s">
        <v>414</v>
      </c>
      <c r="B122" s="54" t="s">
        <v>415</v>
      </c>
    </row>
    <row r="123" spans="1:2" x14ac:dyDescent="0.35">
      <c r="A123" s="52" t="s">
        <v>416</v>
      </c>
      <c r="B123" s="54" t="s">
        <v>417</v>
      </c>
    </row>
    <row r="124" spans="1:2" x14ac:dyDescent="0.35">
      <c r="A124" s="52" t="s">
        <v>418</v>
      </c>
      <c r="B124" s="54" t="s">
        <v>419</v>
      </c>
    </row>
    <row r="125" spans="1:2" x14ac:dyDescent="0.35">
      <c r="A125" s="52" t="s">
        <v>420</v>
      </c>
      <c r="B125" s="54" t="s">
        <v>421</v>
      </c>
    </row>
    <row r="126" spans="1:2" x14ac:dyDescent="0.35">
      <c r="A126" s="52" t="s">
        <v>422</v>
      </c>
      <c r="B126" s="54" t="s">
        <v>423</v>
      </c>
    </row>
    <row r="127" spans="1:2" x14ac:dyDescent="0.35">
      <c r="A127" s="52" t="s">
        <v>424</v>
      </c>
      <c r="B127" s="54" t="s">
        <v>425</v>
      </c>
    </row>
    <row r="128" spans="1:2" x14ac:dyDescent="0.35">
      <c r="A128" s="52" t="s">
        <v>426</v>
      </c>
      <c r="B128" s="54" t="s">
        <v>427</v>
      </c>
    </row>
    <row r="129" spans="1:2" x14ac:dyDescent="0.35">
      <c r="A129" s="52" t="s">
        <v>428</v>
      </c>
      <c r="B129" s="54" t="s">
        <v>429</v>
      </c>
    </row>
    <row r="130" spans="1:2" x14ac:dyDescent="0.35">
      <c r="A130" s="52" t="s">
        <v>430</v>
      </c>
      <c r="B130" s="54" t="s">
        <v>431</v>
      </c>
    </row>
    <row r="131" spans="1:2" x14ac:dyDescent="0.35">
      <c r="A131" s="52" t="s">
        <v>432</v>
      </c>
      <c r="B131" s="54" t="s">
        <v>433</v>
      </c>
    </row>
    <row r="132" spans="1:2" x14ac:dyDescent="0.35">
      <c r="A132" s="52" t="s">
        <v>434</v>
      </c>
      <c r="B132" s="54" t="s">
        <v>435</v>
      </c>
    </row>
    <row r="133" spans="1:2" x14ac:dyDescent="0.35">
      <c r="A133" s="52" t="s">
        <v>436</v>
      </c>
      <c r="B133" s="54" t="s">
        <v>437</v>
      </c>
    </row>
    <row r="134" spans="1:2" x14ac:dyDescent="0.35">
      <c r="A134" s="52" t="s">
        <v>438</v>
      </c>
      <c r="B134" s="54" t="s">
        <v>439</v>
      </c>
    </row>
    <row r="135" spans="1:2" x14ac:dyDescent="0.35">
      <c r="A135" s="52" t="s">
        <v>440</v>
      </c>
      <c r="B135" s="54" t="s">
        <v>441</v>
      </c>
    </row>
    <row r="136" spans="1:2" x14ac:dyDescent="0.35">
      <c r="A136" s="52" t="s">
        <v>442</v>
      </c>
      <c r="B136" s="54" t="s">
        <v>443</v>
      </c>
    </row>
    <row r="137" spans="1:2" x14ac:dyDescent="0.35">
      <c r="A137" s="52" t="s">
        <v>444</v>
      </c>
      <c r="B137" s="54" t="s">
        <v>445</v>
      </c>
    </row>
    <row r="138" spans="1:2" x14ac:dyDescent="0.35">
      <c r="A138" s="52" t="s">
        <v>446</v>
      </c>
      <c r="B138" s="54" t="s">
        <v>447</v>
      </c>
    </row>
    <row r="139" spans="1:2" x14ac:dyDescent="0.35">
      <c r="A139" s="52" t="s">
        <v>448</v>
      </c>
      <c r="B139" s="54" t="s">
        <v>449</v>
      </c>
    </row>
    <row r="140" spans="1:2" x14ac:dyDescent="0.35">
      <c r="A140" s="52" t="s">
        <v>450</v>
      </c>
      <c r="B140" s="54" t="s">
        <v>451</v>
      </c>
    </row>
    <row r="141" spans="1:2" x14ac:dyDescent="0.35">
      <c r="A141" s="52" t="s">
        <v>452</v>
      </c>
      <c r="B141" s="54" t="s">
        <v>453</v>
      </c>
    </row>
    <row r="142" spans="1:2" x14ac:dyDescent="0.35">
      <c r="A142" s="52" t="s">
        <v>454</v>
      </c>
      <c r="B142" s="54" t="s">
        <v>455</v>
      </c>
    </row>
    <row r="143" spans="1:2" x14ac:dyDescent="0.35">
      <c r="A143" s="52" t="s">
        <v>456</v>
      </c>
      <c r="B143" s="54" t="s">
        <v>457</v>
      </c>
    </row>
    <row r="144" spans="1:2" x14ac:dyDescent="0.35">
      <c r="A144" s="52" t="s">
        <v>458</v>
      </c>
      <c r="B144" s="54" t="s">
        <v>459</v>
      </c>
    </row>
    <row r="145" spans="1:2" x14ac:dyDescent="0.35">
      <c r="A145" s="52" t="s">
        <v>460</v>
      </c>
      <c r="B145" s="54" t="s">
        <v>461</v>
      </c>
    </row>
    <row r="146" spans="1:2" x14ac:dyDescent="0.35">
      <c r="A146" s="52" t="s">
        <v>462</v>
      </c>
      <c r="B146" s="54" t="s">
        <v>463</v>
      </c>
    </row>
    <row r="147" spans="1:2" x14ac:dyDescent="0.35">
      <c r="A147" s="52" t="s">
        <v>464</v>
      </c>
      <c r="B147" s="54" t="s">
        <v>465</v>
      </c>
    </row>
    <row r="148" spans="1:2" x14ac:dyDescent="0.35">
      <c r="A148" s="52" t="s">
        <v>466</v>
      </c>
      <c r="B148" s="54" t="s">
        <v>467</v>
      </c>
    </row>
    <row r="149" spans="1:2" x14ac:dyDescent="0.35">
      <c r="A149" s="52" t="s">
        <v>468</v>
      </c>
      <c r="B149" s="54" t="s">
        <v>469</v>
      </c>
    </row>
    <row r="150" spans="1:2" x14ac:dyDescent="0.35">
      <c r="A150" s="52" t="s">
        <v>470</v>
      </c>
      <c r="B150" s="54" t="s">
        <v>471</v>
      </c>
    </row>
    <row r="151" spans="1:2" x14ac:dyDescent="0.35">
      <c r="A151" s="52" t="s">
        <v>472</v>
      </c>
      <c r="B151" s="54" t="s">
        <v>473</v>
      </c>
    </row>
    <row r="152" spans="1:2" x14ac:dyDescent="0.35">
      <c r="A152" s="52" t="s">
        <v>474</v>
      </c>
      <c r="B152" s="54" t="s">
        <v>475</v>
      </c>
    </row>
    <row r="153" spans="1:2" x14ac:dyDescent="0.35">
      <c r="A153" s="52" t="s">
        <v>476</v>
      </c>
      <c r="B153" s="54" t="s">
        <v>477</v>
      </c>
    </row>
    <row r="154" spans="1:2" x14ac:dyDescent="0.35">
      <c r="A154" s="52" t="s">
        <v>478</v>
      </c>
      <c r="B154" s="54" t="s">
        <v>479</v>
      </c>
    </row>
    <row r="155" spans="1:2" x14ac:dyDescent="0.35">
      <c r="A155" s="52" t="s">
        <v>480</v>
      </c>
      <c r="B155" s="54" t="s">
        <v>481</v>
      </c>
    </row>
    <row r="156" spans="1:2" x14ac:dyDescent="0.35">
      <c r="A156" s="52" t="s">
        <v>482</v>
      </c>
      <c r="B156" s="54" t="s">
        <v>483</v>
      </c>
    </row>
    <row r="157" spans="1:2" x14ac:dyDescent="0.35">
      <c r="A157" s="52" t="s">
        <v>484</v>
      </c>
      <c r="B157" s="54" t="s">
        <v>485</v>
      </c>
    </row>
    <row r="158" spans="1:2" x14ac:dyDescent="0.35">
      <c r="A158" s="52" t="s">
        <v>486</v>
      </c>
      <c r="B158" s="54" t="s">
        <v>487</v>
      </c>
    </row>
    <row r="159" spans="1:2" x14ac:dyDescent="0.35">
      <c r="A159" s="52" t="s">
        <v>488</v>
      </c>
      <c r="B159" s="54" t="s">
        <v>489</v>
      </c>
    </row>
    <row r="160" spans="1:2" x14ac:dyDescent="0.35">
      <c r="A160" s="52" t="s">
        <v>490</v>
      </c>
      <c r="B160" s="54" t="s">
        <v>491</v>
      </c>
    </row>
    <row r="161" spans="1:2" x14ac:dyDescent="0.35">
      <c r="A161" s="52" t="s">
        <v>492</v>
      </c>
      <c r="B161" s="54" t="s">
        <v>493</v>
      </c>
    </row>
    <row r="162" spans="1:2" x14ac:dyDescent="0.35">
      <c r="A162" s="52" t="s">
        <v>494</v>
      </c>
      <c r="B162" s="54" t="s">
        <v>495</v>
      </c>
    </row>
    <row r="163" spans="1:2" x14ac:dyDescent="0.35">
      <c r="A163" s="52" t="s">
        <v>496</v>
      </c>
      <c r="B163" s="54" t="s">
        <v>497</v>
      </c>
    </row>
    <row r="164" spans="1:2" x14ac:dyDescent="0.35">
      <c r="A164" s="52" t="s">
        <v>498</v>
      </c>
      <c r="B164" s="54" t="s">
        <v>499</v>
      </c>
    </row>
    <row r="165" spans="1:2" x14ac:dyDescent="0.35">
      <c r="A165" s="52" t="s">
        <v>500</v>
      </c>
      <c r="B165" s="54" t="s">
        <v>501</v>
      </c>
    </row>
    <row r="166" spans="1:2" x14ac:dyDescent="0.35">
      <c r="A166" s="52" t="s">
        <v>502</v>
      </c>
      <c r="B166" s="54" t="s">
        <v>503</v>
      </c>
    </row>
    <row r="167" spans="1:2" x14ac:dyDescent="0.35">
      <c r="A167" s="52" t="s">
        <v>504</v>
      </c>
      <c r="B167" s="54" t="s">
        <v>505</v>
      </c>
    </row>
    <row r="168" spans="1:2" x14ac:dyDescent="0.35">
      <c r="A168" s="52" t="s">
        <v>506</v>
      </c>
      <c r="B168" s="54" t="s">
        <v>507</v>
      </c>
    </row>
    <row r="169" spans="1:2" x14ac:dyDescent="0.35">
      <c r="A169" s="52" t="s">
        <v>508</v>
      </c>
      <c r="B169" s="54" t="s">
        <v>509</v>
      </c>
    </row>
    <row r="170" spans="1:2" x14ac:dyDescent="0.35">
      <c r="A170" s="52" t="s">
        <v>510</v>
      </c>
      <c r="B170" s="54" t="s">
        <v>511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29a5dad6912fcefd8fe82790b8ba102a">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8158acc1eb5a52197291101a5dc7d945"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kissima.sylla@undp.org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MPTF_00006_01035</ProjectId>
    <FundCode xmlns="f9695bc1-6109-4dcd-a27a-f8a0370b00e2">MPTF_00006</FundCode>
    <Comments xmlns="f9695bc1-6109-4dcd-a27a-f8a0370b00e2">Rapport financier semestriel</Comments>
    <Active xmlns="f9695bc1-6109-4dcd-a27a-f8a0370b00e2">Yes</Active>
    <DocumentDate xmlns="b1528a4b-5ccb-40f7-a09e-43427183cd95">2024-06-14T07:00:00+00:00</DocumentDate>
    <Featured xmlns="b1528a4b-5ccb-40f7-a09e-43427183cd95">1</Featured>
    <FormTypeCode xmlns="b1528a4b-5ccb-40f7-a09e-43427183cd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383D6B-8EC3-4672-A53B-B0F025DA9A54}"/>
</file>

<file path=customXml/itemProps2.xml><?xml version="1.0" encoding="utf-8"?>
<ds:datastoreItem xmlns:ds="http://schemas.openxmlformats.org/officeDocument/2006/customXml" ds:itemID="{1DA2A1D0-ED4F-43E9-A85C-7DB0793B499E}">
  <ds:schemaRefs>
    <ds:schemaRef ds:uri="http://schemas.microsoft.com/office/2006/documentManagement/types"/>
    <ds:schemaRef ds:uri="http://purl.org/dc/terms/"/>
    <ds:schemaRef ds:uri="http://purl.org/dc/dcmitype/"/>
    <ds:schemaRef ds:uri="http://schemas.microsoft.com/office/infopath/2007/PartnerControls"/>
    <ds:schemaRef ds:uri="http://purl.org/dc/elements/1.1/"/>
    <ds:schemaRef ds:uri="http://schemas.microsoft.com/office/2006/metadata/properties"/>
    <ds:schemaRef ds:uri="1982c8dc-7257-4c05-a2af-4f58398b4e1f"/>
    <ds:schemaRef ds:uri="http://schemas.openxmlformats.org/package/2006/metadata/core-properties"/>
    <ds:schemaRef ds:uri="9ff829f7-ecbb-4735-8693-58729151bd61"/>
    <ds:schemaRef ds:uri="http://www.w3.org/XML/1998/namespace"/>
    <ds:schemaRef ds:uri="985ec44e-1bab-4c0b-9df0-6ba128686fc9"/>
    <ds:schemaRef ds:uri="9dc44b34-9e2b-42ea-86f7-9ee7f71036fc"/>
  </ds:schemaRefs>
</ds:datastoreItem>
</file>

<file path=customXml/itemProps3.xml><?xml version="1.0" encoding="utf-8"?>
<ds:datastoreItem xmlns:ds="http://schemas.openxmlformats.org/officeDocument/2006/customXml" ds:itemID="{38D9DA6C-FA8D-47C9-80AF-FA43E873A8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1) Tableau budgétaire 1</vt:lpstr>
      <vt:lpstr>2) Tableau budgétaire 2</vt:lpstr>
      <vt:lpstr>3) Notes d'explication</vt:lpstr>
      <vt:lpstr>4) Pour utilisation par PBSO</vt:lpstr>
      <vt:lpstr>5) Pour utilisation par MPTFO</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semestriel Guinee et Mali_vf.xlsx</dc:title>
  <dc:subject/>
  <dc:creator>Jelena Zelenovic</dc:creator>
  <cp:keywords/>
  <dc:description/>
  <cp:lastModifiedBy>Boubacar BAH</cp:lastModifiedBy>
  <cp:revision/>
  <cp:lastPrinted>2023-10-12T10:54:17Z</cp:lastPrinted>
  <dcterms:created xsi:type="dcterms:W3CDTF">2017-11-15T21:17:43Z</dcterms:created>
  <dcterms:modified xsi:type="dcterms:W3CDTF">2024-06-14T13:16:16Z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