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C:\Users\boubacar.bah\Desktop\Guinée &amp; Mali\Documents cadres du projet\Rapports\2024\"/>
    </mc:Choice>
  </mc:AlternateContent>
  <xr:revisionPtr revIDLastSave="0" documentId="8_{2A8C873C-51D3-4D9C-89BF-5F9F28336142}" xr6:coauthVersionLast="47" xr6:coauthVersionMax="47" xr10:uidLastSave="{00000000-0000-0000-0000-000000000000}"/>
  <bookViews>
    <workbookView xWindow="-110" yWindow="-110" windowWidth="19420" windowHeight="11500" tabRatio="722" xr2:uid="{00000000-000D-0000-FFFF-FFFF00000000}"/>
  </bookViews>
  <sheets>
    <sheet name="1) Tableau budgétaire 1" sheetId="1" r:id="rId1"/>
    <sheet name="2) Tableau budgétaire 2" sheetId="5" r:id="rId2"/>
    <sheet name="3) Notes d'explication" sheetId="3" r:id="rId3"/>
    <sheet name="4) Pour utilisation par PBSO" sheetId="6" r:id="rId4"/>
    <sheet name="5) Pour utilisation par MPTFO" sheetId="4" r:id="rId5"/>
    <sheet name="Dropdowns" sheetId="8" state="hidden" r:id="rId6"/>
    <sheet name="Sheet2" sheetId="7" state="hidden" r:id="rId7"/>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68" i="1" l="1"/>
  <c r="L67" i="1"/>
  <c r="L65" i="1"/>
  <c r="L64" i="1"/>
  <c r="L66" i="1" l="1"/>
  <c r="L70" i="1"/>
  <c r="L54" i="1"/>
  <c r="L53" i="1"/>
  <c r="L50" i="1"/>
  <c r="L59" i="1" l="1"/>
  <c r="L18" i="1" l="1"/>
  <c r="L31" i="1"/>
  <c r="L29" i="1"/>
  <c r="L19" i="1"/>
  <c r="L57" i="1"/>
  <c r="L72" i="1"/>
  <c r="L51" i="1"/>
  <c r="L27" i="1"/>
  <c r="L22" i="1"/>
  <c r="J91" i="5" l="1"/>
  <c r="J85" i="5"/>
  <c r="J86" i="5"/>
  <c r="J87" i="5"/>
  <c r="J88" i="5"/>
  <c r="J89" i="5"/>
  <c r="J90" i="5"/>
  <c r="J84" i="5"/>
  <c r="I91" i="5"/>
  <c r="H90" i="5"/>
  <c r="I90" i="5"/>
  <c r="H88" i="5"/>
  <c r="I88" i="5"/>
  <c r="H87" i="5"/>
  <c r="I87" i="5"/>
  <c r="I86" i="5"/>
  <c r="H86" i="5"/>
  <c r="H22" i="4"/>
  <c r="E72" i="1"/>
  <c r="D72" i="1"/>
  <c r="I213" i="5"/>
  <c r="H14" i="4" s="1"/>
  <c r="I207" i="5"/>
  <c r="J201" i="5"/>
  <c r="J118" i="5"/>
  <c r="J119" i="5"/>
  <c r="J120" i="5"/>
  <c r="J122" i="5"/>
  <c r="J124" i="5"/>
  <c r="I125" i="5"/>
  <c r="J107" i="5"/>
  <c r="J108" i="5"/>
  <c r="J109" i="5"/>
  <c r="J111" i="5"/>
  <c r="J112" i="5"/>
  <c r="J113" i="5"/>
  <c r="I114" i="5"/>
  <c r="I79" i="5"/>
  <c r="I214" i="5" s="1"/>
  <c r="H79" i="5"/>
  <c r="J79" i="5" s="1"/>
  <c r="I77" i="5"/>
  <c r="I80" i="5" s="1"/>
  <c r="H77" i="5"/>
  <c r="I76" i="5"/>
  <c r="H76" i="5"/>
  <c r="J76" i="5" s="1"/>
  <c r="I74" i="5"/>
  <c r="H74" i="5"/>
  <c r="J73" i="5"/>
  <c r="J75" i="5"/>
  <c r="J78" i="5"/>
  <c r="J62" i="5"/>
  <c r="J63" i="5"/>
  <c r="J64" i="5"/>
  <c r="I68" i="5"/>
  <c r="H68" i="5"/>
  <c r="J68" i="5" s="1"/>
  <c r="I67" i="5"/>
  <c r="H67" i="5"/>
  <c r="J67" i="5" s="1"/>
  <c r="I66" i="5"/>
  <c r="H66" i="5"/>
  <c r="J66" i="5" s="1"/>
  <c r="I65" i="5"/>
  <c r="I69" i="5" s="1"/>
  <c r="H65" i="5"/>
  <c r="J65" i="5" s="1"/>
  <c r="I46" i="5"/>
  <c r="J39" i="5"/>
  <c r="J40" i="5"/>
  <c r="J41" i="5"/>
  <c r="J42" i="5"/>
  <c r="J43" i="5"/>
  <c r="J44" i="5"/>
  <c r="J45" i="5"/>
  <c r="I35" i="5"/>
  <c r="J34" i="5"/>
  <c r="J28" i="5"/>
  <c r="J29" i="5"/>
  <c r="J30" i="5"/>
  <c r="J31" i="5"/>
  <c r="J32" i="5"/>
  <c r="J33" i="5"/>
  <c r="I24" i="5"/>
  <c r="J22" i="5"/>
  <c r="J17" i="5"/>
  <c r="J18" i="5"/>
  <c r="J19" i="5"/>
  <c r="J20" i="5"/>
  <c r="J21" i="5"/>
  <c r="J23" i="5"/>
  <c r="I89" i="1"/>
  <c r="J68" i="1"/>
  <c r="H65" i="1"/>
  <c r="I36" i="1"/>
  <c r="J59" i="1"/>
  <c r="J60" i="1"/>
  <c r="J62" i="1"/>
  <c r="J66" i="1"/>
  <c r="J69" i="1"/>
  <c r="J71" i="1"/>
  <c r="G72" i="1"/>
  <c r="J24" i="1"/>
  <c r="I70" i="1"/>
  <c r="I200" i="5" s="1"/>
  <c r="H70" i="1"/>
  <c r="I67" i="1"/>
  <c r="I197" i="5" s="1"/>
  <c r="I209" i="5" s="1"/>
  <c r="H10" i="4" s="1"/>
  <c r="H67" i="1"/>
  <c r="I66" i="1"/>
  <c r="H66" i="1"/>
  <c r="I64" i="1"/>
  <c r="I198" i="5" s="1"/>
  <c r="H64" i="1"/>
  <c r="J64" i="1" s="1"/>
  <c r="I63" i="1"/>
  <c r="I196" i="5" s="1"/>
  <c r="I208" i="5" s="1"/>
  <c r="H9" i="4" s="1"/>
  <c r="H63" i="1"/>
  <c r="H196" i="5" s="1"/>
  <c r="I45" i="1"/>
  <c r="H45" i="1"/>
  <c r="I44" i="1"/>
  <c r="H44" i="1"/>
  <c r="I43" i="1"/>
  <c r="H43" i="1"/>
  <c r="I40" i="1"/>
  <c r="H40" i="1"/>
  <c r="I39" i="1"/>
  <c r="H39" i="1"/>
  <c r="H36" i="1"/>
  <c r="I35" i="1"/>
  <c r="H35" i="1"/>
  <c r="I13" i="5"/>
  <c r="I81" i="1"/>
  <c r="H8" i="4" s="1"/>
  <c r="J61" i="1"/>
  <c r="I57" i="1"/>
  <c r="I117" i="5" s="1"/>
  <c r="J54" i="1"/>
  <c r="J55" i="1"/>
  <c r="J56" i="1"/>
  <c r="I51" i="1"/>
  <c r="I106" i="5" s="1"/>
  <c r="J50" i="1"/>
  <c r="J49" i="1"/>
  <c r="I203" i="5" l="1"/>
  <c r="J70" i="1"/>
  <c r="I46" i="1"/>
  <c r="I83" i="5" s="1"/>
  <c r="J63" i="1"/>
  <c r="H72" i="1"/>
  <c r="J67" i="1"/>
  <c r="J72" i="1" s="1"/>
  <c r="H208" i="5"/>
  <c r="G9" i="4" s="1"/>
  <c r="H15" i="4"/>
  <c r="I212" i="5"/>
  <c r="H13" i="4" s="1"/>
  <c r="I210" i="5"/>
  <c r="I211" i="5"/>
  <c r="J74" i="5"/>
  <c r="H12" i="4"/>
  <c r="J77" i="5"/>
  <c r="J65" i="1"/>
  <c r="I72" i="1"/>
  <c r="I195" i="5" s="1"/>
  <c r="J44" i="1"/>
  <c r="J45" i="1"/>
  <c r="J43" i="1"/>
  <c r="I41" i="1"/>
  <c r="I72" i="5" s="1"/>
  <c r="J40" i="1"/>
  <c r="J39" i="1"/>
  <c r="I37" i="1"/>
  <c r="I61" i="5" s="1"/>
  <c r="J36" i="1"/>
  <c r="J35" i="1"/>
  <c r="J31" i="1"/>
  <c r="I32" i="1"/>
  <c r="I38" i="5" s="1"/>
  <c r="I27" i="1"/>
  <c r="I27" i="5" s="1"/>
  <c r="J25" i="1"/>
  <c r="J26" i="1"/>
  <c r="I22" i="1"/>
  <c r="I16" i="5" s="1"/>
  <c r="J21" i="1"/>
  <c r="J17" i="1"/>
  <c r="J18" i="1"/>
  <c r="J19" i="1"/>
  <c r="J20" i="1"/>
  <c r="J16" i="1"/>
  <c r="H81" i="1"/>
  <c r="I215" i="5" l="1"/>
  <c r="H11" i="4"/>
  <c r="I216" i="5"/>
  <c r="I217" i="5" s="1"/>
  <c r="H16" i="4"/>
  <c r="H17" i="4" s="1"/>
  <c r="H18" i="4" s="1"/>
  <c r="I82" i="1"/>
  <c r="I83" i="1" s="1"/>
  <c r="I84" i="1" s="1"/>
  <c r="J27" i="1"/>
  <c r="J51" i="1"/>
  <c r="J37" i="1"/>
  <c r="I91" i="1" l="1"/>
  <c r="H24" i="4" s="1"/>
  <c r="I90" i="1"/>
  <c r="H23" i="4" s="1"/>
  <c r="H25" i="4" s="1"/>
  <c r="D22" i="4"/>
  <c r="E22" i="4"/>
  <c r="F22" i="4"/>
  <c r="G22" i="4"/>
  <c r="C22" i="4"/>
  <c r="F15" i="4"/>
  <c r="F13" i="4"/>
  <c r="F10" i="4"/>
  <c r="F9" i="4"/>
  <c r="F8" i="4"/>
  <c r="G123" i="5"/>
  <c r="G213" i="5" s="1"/>
  <c r="F14" i="4" s="1"/>
  <c r="F123" i="5"/>
  <c r="J123" i="5" s="1"/>
  <c r="G121" i="5"/>
  <c r="F121" i="5"/>
  <c r="G214" i="5"/>
  <c r="G212" i="5"/>
  <c r="G210" i="5"/>
  <c r="F11" i="4" s="1"/>
  <c r="G209" i="5"/>
  <c r="G208" i="5"/>
  <c r="G203" i="5"/>
  <c r="G110" i="5"/>
  <c r="G114" i="5" s="1"/>
  <c r="G207" i="5"/>
  <c r="G192" i="5"/>
  <c r="G184" i="5"/>
  <c r="G181" i="5"/>
  <c r="H181" i="5"/>
  <c r="G173" i="5"/>
  <c r="H173" i="5"/>
  <c r="G170" i="5"/>
  <c r="H170" i="5"/>
  <c r="G162" i="5"/>
  <c r="H162" i="5"/>
  <c r="G159" i="5"/>
  <c r="G151" i="5"/>
  <c r="G147" i="5"/>
  <c r="H147" i="5"/>
  <c r="G139" i="5"/>
  <c r="H139" i="5"/>
  <c r="G136" i="5"/>
  <c r="H136" i="5"/>
  <c r="G128" i="5"/>
  <c r="H128" i="5"/>
  <c r="H125" i="5"/>
  <c r="G102" i="5"/>
  <c r="G94" i="5"/>
  <c r="H94" i="5"/>
  <c r="G91" i="5"/>
  <c r="G80" i="5"/>
  <c r="G69" i="5"/>
  <c r="G57" i="5"/>
  <c r="G49" i="5"/>
  <c r="H49" i="5"/>
  <c r="G46" i="5"/>
  <c r="G35" i="5"/>
  <c r="G24" i="5"/>
  <c r="G13" i="5"/>
  <c r="H200" i="5"/>
  <c r="H198" i="5"/>
  <c r="H197" i="5"/>
  <c r="F202" i="5"/>
  <c r="F200" i="5"/>
  <c r="F212" i="5" s="1"/>
  <c r="F198" i="5"/>
  <c r="F197" i="5"/>
  <c r="F196" i="5"/>
  <c r="F208" i="5" s="1"/>
  <c r="E9" i="4" s="1"/>
  <c r="F110" i="5"/>
  <c r="D196" i="5"/>
  <c r="D208" i="5" s="1"/>
  <c r="J208" i="5" s="1"/>
  <c r="D199" i="5"/>
  <c r="J199" i="5" s="1"/>
  <c r="D200" i="5"/>
  <c r="D198" i="5"/>
  <c r="D197" i="5"/>
  <c r="D202" i="5"/>
  <c r="F72" i="1"/>
  <c r="G195" i="5"/>
  <c r="E46" i="1"/>
  <c r="F46" i="1"/>
  <c r="G46" i="1"/>
  <c r="G72" i="5" s="1"/>
  <c r="H46" i="1"/>
  <c r="H83" i="5" s="1"/>
  <c r="J83" i="5" s="1"/>
  <c r="D46" i="1"/>
  <c r="H37" i="1"/>
  <c r="H61" i="5" s="1"/>
  <c r="H89" i="1"/>
  <c r="H13" i="5"/>
  <c r="E41" i="1"/>
  <c r="F41" i="1"/>
  <c r="G41" i="1"/>
  <c r="H41" i="1"/>
  <c r="H72" i="5" s="1"/>
  <c r="D41" i="1"/>
  <c r="J202" i="5" l="1"/>
  <c r="J197" i="5"/>
  <c r="J198" i="5"/>
  <c r="J200" i="5"/>
  <c r="J196" i="5"/>
  <c r="J110" i="5"/>
  <c r="J121" i="5"/>
  <c r="G125" i="5"/>
  <c r="G211" i="5"/>
  <c r="E29" i="1"/>
  <c r="D29" i="1"/>
  <c r="J29" i="1" l="1"/>
  <c r="C9" i="4"/>
  <c r="G215" i="5"/>
  <c r="F12" i="4"/>
  <c r="F16" i="4" s="1"/>
  <c r="G216" i="5"/>
  <c r="G217" i="5" s="1"/>
  <c r="E30" i="1"/>
  <c r="D30" i="1"/>
  <c r="J30" i="1" s="1"/>
  <c r="G53" i="1"/>
  <c r="F53" i="1"/>
  <c r="J53" i="1" s="1"/>
  <c r="J57" i="1" s="1"/>
  <c r="D98" i="1"/>
  <c r="F17" i="4" l="1"/>
  <c r="F18" i="4" s="1"/>
  <c r="E57" i="1"/>
  <c r="E117" i="5" s="1"/>
  <c r="F57" i="1"/>
  <c r="G57" i="1"/>
  <c r="G117" i="5" s="1"/>
  <c r="H57" i="1"/>
  <c r="H117" i="5" s="1"/>
  <c r="D57" i="1"/>
  <c r="E51" i="1"/>
  <c r="D106" i="5" s="1"/>
  <c r="F51" i="1"/>
  <c r="G51" i="1"/>
  <c r="G106" i="5" s="1"/>
  <c r="H51" i="1"/>
  <c r="D51" i="1"/>
  <c r="L46" i="1"/>
  <c r="E37" i="1"/>
  <c r="F37" i="1"/>
  <c r="G37" i="1"/>
  <c r="G61" i="5" s="1"/>
  <c r="D37" i="1"/>
  <c r="E27" i="1"/>
  <c r="F27" i="1"/>
  <c r="G27" i="1"/>
  <c r="G27" i="5" s="1"/>
  <c r="H27" i="1"/>
  <c r="D27" i="1"/>
  <c r="E32" i="1"/>
  <c r="F32" i="1"/>
  <c r="G32" i="1"/>
  <c r="G38" i="5" s="1"/>
  <c r="H32" i="1"/>
  <c r="L32" i="1"/>
  <c r="D32" i="1"/>
  <c r="E22" i="1"/>
  <c r="F22" i="1"/>
  <c r="G22" i="1"/>
  <c r="H22" i="1"/>
  <c r="D22" i="1"/>
  <c r="H214" i="5"/>
  <c r="H213" i="5"/>
  <c r="G14" i="4" s="1"/>
  <c r="H212" i="5"/>
  <c r="H211" i="5"/>
  <c r="H210" i="5"/>
  <c r="H209" i="5"/>
  <c r="G10" i="4" s="1"/>
  <c r="H82" i="1" l="1"/>
  <c r="F82" i="1"/>
  <c r="D82" i="1"/>
  <c r="H215" i="5"/>
  <c r="G82" i="1"/>
  <c r="E82" i="1"/>
  <c r="G15" i="4"/>
  <c r="G13" i="4"/>
  <c r="G12" i="4"/>
  <c r="G11" i="4"/>
  <c r="G16" i="5"/>
  <c r="F16" i="5"/>
  <c r="H16" i="5"/>
  <c r="J191" i="5"/>
  <c r="J175" i="5"/>
  <c r="J156" i="5"/>
  <c r="G16" i="4" l="1"/>
  <c r="G17" i="4" s="1"/>
  <c r="G18" i="4" s="1"/>
  <c r="K72" i="1"/>
  <c r="G83" i="1"/>
  <c r="G84" i="1" s="1"/>
  <c r="G90" i="1" s="1"/>
  <c r="F23" i="4" s="1"/>
  <c r="H216" i="5"/>
  <c r="H217" i="5" s="1"/>
  <c r="E207" i="5"/>
  <c r="F207" i="5"/>
  <c r="H207" i="5"/>
  <c r="D207" i="5"/>
  <c r="J185" i="5"/>
  <c r="J186" i="5"/>
  <c r="J187" i="5"/>
  <c r="J188" i="5"/>
  <c r="J189" i="5"/>
  <c r="J190" i="5"/>
  <c r="J174" i="5"/>
  <c r="J176" i="5"/>
  <c r="J177" i="5"/>
  <c r="J178" i="5"/>
  <c r="J179" i="5"/>
  <c r="J180" i="5"/>
  <c r="J163" i="5"/>
  <c r="J164" i="5"/>
  <c r="J165" i="5"/>
  <c r="J166" i="5"/>
  <c r="J167" i="5"/>
  <c r="J168" i="5"/>
  <c r="J169" i="5"/>
  <c r="J152" i="5"/>
  <c r="J153" i="5"/>
  <c r="J154" i="5"/>
  <c r="J155" i="5"/>
  <c r="J157" i="5"/>
  <c r="J158" i="5"/>
  <c r="J140" i="5"/>
  <c r="J141" i="5"/>
  <c r="J142" i="5"/>
  <c r="J143" i="5"/>
  <c r="J144" i="5"/>
  <c r="J145" i="5"/>
  <c r="J146" i="5"/>
  <c r="J129" i="5"/>
  <c r="J130" i="5"/>
  <c r="J131" i="5"/>
  <c r="J132" i="5"/>
  <c r="J133" i="5"/>
  <c r="J134" i="5"/>
  <c r="J135" i="5"/>
  <c r="J95" i="5"/>
  <c r="J96" i="5"/>
  <c r="J97" i="5"/>
  <c r="J98" i="5"/>
  <c r="J99" i="5"/>
  <c r="J100" i="5"/>
  <c r="J101" i="5"/>
  <c r="J50" i="5"/>
  <c r="J51" i="5"/>
  <c r="J52" i="5"/>
  <c r="J53" i="5"/>
  <c r="J54" i="5"/>
  <c r="J55" i="5"/>
  <c r="J56" i="5"/>
  <c r="H35" i="5"/>
  <c r="K41" i="1"/>
  <c r="H203" i="5"/>
  <c r="H192" i="5"/>
  <c r="H159" i="5"/>
  <c r="H114" i="5"/>
  <c r="H102" i="5"/>
  <c r="H91" i="5"/>
  <c r="H80" i="5"/>
  <c r="H69" i="5"/>
  <c r="H57" i="5"/>
  <c r="H46" i="5"/>
  <c r="H24" i="5"/>
  <c r="G8" i="4"/>
  <c r="H184" i="5"/>
  <c r="H151" i="5"/>
  <c r="H106" i="5"/>
  <c r="H38" i="5"/>
  <c r="H27" i="5"/>
  <c r="K22" i="1" l="1"/>
  <c r="J46" i="1"/>
  <c r="K46" i="1"/>
  <c r="G91" i="1"/>
  <c r="F24" i="4" s="1"/>
  <c r="J41" i="1"/>
  <c r="H195" i="5"/>
  <c r="K32" i="1"/>
  <c r="K57" i="1"/>
  <c r="K51" i="1"/>
  <c r="K37" i="1"/>
  <c r="K27" i="1"/>
  <c r="J32" i="1"/>
  <c r="J22" i="1"/>
  <c r="J24" i="4"/>
  <c r="J23" i="4"/>
  <c r="J82" i="1" l="1"/>
  <c r="D95" i="1"/>
  <c r="H83" i="1"/>
  <c r="H84" i="1" s="1"/>
  <c r="H90" i="1" l="1"/>
  <c r="G23" i="4" s="1"/>
  <c r="I92" i="1"/>
  <c r="I93" i="1" s="1"/>
  <c r="H91" i="1"/>
  <c r="G24" i="4" s="1"/>
  <c r="H92" i="1"/>
  <c r="L95" i="1"/>
  <c r="G25" i="4" l="1"/>
  <c r="H93" i="1"/>
  <c r="K93" i="1"/>
  <c r="E214" i="5" l="1"/>
  <c r="D15" i="4" s="1"/>
  <c r="F214" i="5"/>
  <c r="E15" i="4" s="1"/>
  <c r="E213" i="5"/>
  <c r="D14" i="4" s="1"/>
  <c r="F213" i="5"/>
  <c r="E14" i="4" s="1"/>
  <c r="E212" i="5"/>
  <c r="D13" i="4" s="1"/>
  <c r="E13" i="4"/>
  <c r="E211" i="5"/>
  <c r="D12" i="4" s="1"/>
  <c r="F211" i="5"/>
  <c r="E12" i="4" s="1"/>
  <c r="E210" i="5"/>
  <c r="D11" i="4" s="1"/>
  <c r="F210" i="5"/>
  <c r="E11" i="4" s="1"/>
  <c r="E209" i="5"/>
  <c r="D10" i="4" s="1"/>
  <c r="F209" i="5"/>
  <c r="E10" i="4" s="1"/>
  <c r="D210" i="5"/>
  <c r="D211" i="5"/>
  <c r="D212" i="5"/>
  <c r="J212" i="5" s="1"/>
  <c r="D213" i="5"/>
  <c r="D214" i="5"/>
  <c r="D209" i="5"/>
  <c r="E208" i="5"/>
  <c r="C10" i="4" l="1"/>
  <c r="J209" i="5"/>
  <c r="J214" i="5"/>
  <c r="J213" i="5"/>
  <c r="J211" i="5"/>
  <c r="J210" i="5"/>
  <c r="I10" i="4"/>
  <c r="D9" i="4"/>
  <c r="I9" i="4" s="1"/>
  <c r="E16" i="4"/>
  <c r="F215" i="5"/>
  <c r="D215" i="5"/>
  <c r="D16" i="4" l="1"/>
  <c r="D17" i="4" s="1"/>
  <c r="D18" i="4" s="1"/>
  <c r="E17" i="4"/>
  <c r="E18" i="4" s="1"/>
  <c r="D216" i="5"/>
  <c r="D13" i="5"/>
  <c r="E89" i="1"/>
  <c r="F89" i="1"/>
  <c r="D89" i="1"/>
  <c r="E81" i="1"/>
  <c r="D8" i="4" s="1"/>
  <c r="F81" i="1"/>
  <c r="E8" i="4" s="1"/>
  <c r="D81" i="1"/>
  <c r="C8" i="4" s="1"/>
  <c r="F203" i="5"/>
  <c r="E203" i="5"/>
  <c r="D203" i="5"/>
  <c r="D195" i="5"/>
  <c r="J203" i="5" l="1"/>
  <c r="D217" i="5"/>
  <c r="E195" i="5"/>
  <c r="F195" i="5"/>
  <c r="C15" i="4"/>
  <c r="I15" i="4" s="1"/>
  <c r="C11" i="4"/>
  <c r="I11" i="4" s="1"/>
  <c r="C12" i="4"/>
  <c r="I12" i="4" s="1"/>
  <c r="C13" i="4"/>
  <c r="I13" i="4" s="1"/>
  <c r="C14" i="4"/>
  <c r="I14" i="4" s="1"/>
  <c r="F13" i="5"/>
  <c r="E13" i="5"/>
  <c r="D170" i="5"/>
  <c r="E170" i="5"/>
  <c r="F170" i="5"/>
  <c r="D181" i="5"/>
  <c r="E181" i="5"/>
  <c r="F181" i="5"/>
  <c r="D192" i="5"/>
  <c r="E192" i="5"/>
  <c r="F192" i="5"/>
  <c r="F159" i="5"/>
  <c r="E159" i="5"/>
  <c r="D159" i="5"/>
  <c r="D125" i="5"/>
  <c r="J125" i="5" s="1"/>
  <c r="E125" i="5"/>
  <c r="F125" i="5"/>
  <c r="D136" i="5"/>
  <c r="E136" i="5"/>
  <c r="F136" i="5"/>
  <c r="D147" i="5"/>
  <c r="E147" i="5"/>
  <c r="F147" i="5"/>
  <c r="F114" i="5"/>
  <c r="E114" i="5"/>
  <c r="D114" i="5"/>
  <c r="J114" i="5" s="1"/>
  <c r="D80" i="5"/>
  <c r="J80" i="5" s="1"/>
  <c r="E80" i="5"/>
  <c r="F80" i="5"/>
  <c r="D91" i="5"/>
  <c r="E91" i="5"/>
  <c r="F91" i="5"/>
  <c r="D102" i="5"/>
  <c r="E102" i="5"/>
  <c r="F102" i="5"/>
  <c r="D69" i="5"/>
  <c r="E69" i="5"/>
  <c r="F69" i="5"/>
  <c r="D35" i="5"/>
  <c r="E35" i="5"/>
  <c r="F35" i="5"/>
  <c r="D46" i="5"/>
  <c r="E46" i="5"/>
  <c r="F46" i="5"/>
  <c r="D57" i="5"/>
  <c r="E57" i="5"/>
  <c r="F57" i="5"/>
  <c r="E24" i="5"/>
  <c r="F24" i="5"/>
  <c r="D24" i="5"/>
  <c r="J24" i="5" s="1"/>
  <c r="J69" i="5" l="1"/>
  <c r="J195" i="5"/>
  <c r="I16" i="4"/>
  <c r="J35" i="5"/>
  <c r="J46" i="5"/>
  <c r="C16" i="4"/>
  <c r="J159" i="5"/>
  <c r="J181" i="5"/>
  <c r="J147" i="5"/>
  <c r="J57" i="5"/>
  <c r="J170" i="5"/>
  <c r="J136" i="5"/>
  <c r="J192" i="5"/>
  <c r="J102" i="5"/>
  <c r="E215" i="5"/>
  <c r="J215" i="5" s="1"/>
  <c r="E184" i="5"/>
  <c r="F184" i="5"/>
  <c r="E173" i="5"/>
  <c r="F173" i="5"/>
  <c r="E162" i="5"/>
  <c r="F162" i="5"/>
  <c r="E151" i="5"/>
  <c r="F151" i="5"/>
  <c r="E139" i="5"/>
  <c r="F139" i="5"/>
  <c r="E128" i="5"/>
  <c r="F128" i="5"/>
  <c r="F117" i="5"/>
  <c r="F106" i="5"/>
  <c r="J106" i="5" s="1"/>
  <c r="E94" i="5"/>
  <c r="E72" i="5"/>
  <c r="F72" i="5"/>
  <c r="E61" i="5"/>
  <c r="F61" i="5"/>
  <c r="E49" i="5"/>
  <c r="F49" i="5"/>
  <c r="F38" i="5"/>
  <c r="E27" i="5"/>
  <c r="F27" i="5"/>
  <c r="D27" i="5"/>
  <c r="J27" i="5" s="1"/>
  <c r="I17" i="4" l="1"/>
  <c r="I18" i="4" s="1"/>
  <c r="E83" i="1"/>
  <c r="F83" i="1"/>
  <c r="C17" i="4"/>
  <c r="C18" i="4" s="1"/>
  <c r="E216" i="5"/>
  <c r="F216" i="5"/>
  <c r="F217" i="5" s="1"/>
  <c r="E16" i="5"/>
  <c r="F94" i="5"/>
  <c r="E38" i="5"/>
  <c r="E217" i="5" l="1"/>
  <c r="J216" i="5"/>
  <c r="J217" i="5" s="1"/>
  <c r="I24" i="4"/>
  <c r="I23" i="4"/>
  <c r="E84" i="1"/>
  <c r="E90" i="1" s="1"/>
  <c r="D23" i="4" s="1"/>
  <c r="F84" i="1"/>
  <c r="F90" i="1" s="1"/>
  <c r="E23" i="4" s="1"/>
  <c r="D184" i="5"/>
  <c r="J184" i="5" s="1"/>
  <c r="D173" i="5"/>
  <c r="J173" i="5" s="1"/>
  <c r="D162" i="5"/>
  <c r="J162" i="5" s="1"/>
  <c r="D139" i="5"/>
  <c r="J139" i="5" s="1"/>
  <c r="D128" i="5"/>
  <c r="J128" i="5" s="1"/>
  <c r="D117" i="5"/>
  <c r="J117" i="5" s="1"/>
  <c r="D94" i="5"/>
  <c r="J94" i="5" s="1"/>
  <c r="D72" i="5"/>
  <c r="J72" i="5" s="1"/>
  <c r="D49" i="5"/>
  <c r="J49" i="5" s="1"/>
  <c r="F91" i="1" l="1"/>
  <c r="E24" i="4" s="1"/>
  <c r="E92" i="1"/>
  <c r="E91" i="1"/>
  <c r="D24" i="4" s="1"/>
  <c r="G92" i="1"/>
  <c r="F92" i="1"/>
  <c r="D16" i="5"/>
  <c r="J16" i="5" s="1"/>
  <c r="C21" i="6"/>
  <c r="D151" i="5"/>
  <c r="J151" i="5" s="1"/>
  <c r="C28" i="6"/>
  <c r="D61" i="5"/>
  <c r="J61" i="5" s="1"/>
  <c r="C14" i="6"/>
  <c r="D38" i="5"/>
  <c r="J38" i="5" s="1"/>
  <c r="C7" i="6"/>
  <c r="D10" i="6" s="1"/>
  <c r="G93" i="1" l="1"/>
  <c r="F93" i="1"/>
  <c r="E93" i="1"/>
  <c r="D83" i="1"/>
  <c r="D84" i="1" s="1"/>
  <c r="D90" i="1" s="1"/>
  <c r="C23" i="4" s="1"/>
  <c r="F25" i="4"/>
  <c r="D25" i="4"/>
  <c r="E25" i="4"/>
  <c r="D31" i="6"/>
  <c r="D24" i="6"/>
  <c r="D17" i="6"/>
  <c r="D91" i="1" l="1"/>
  <c r="D92" i="1"/>
  <c r="J92" i="1" s="1"/>
  <c r="J83" i="1"/>
  <c r="J84" i="1" s="1"/>
  <c r="D99" i="1" s="1"/>
  <c r="L96" i="1"/>
  <c r="C22" i="6"/>
  <c r="C29" i="6"/>
  <c r="C15" i="6"/>
  <c r="C8" i="6"/>
  <c r="J91" i="1" l="1"/>
  <c r="J90" i="1"/>
  <c r="D96" i="1"/>
  <c r="D93" i="1"/>
  <c r="J93" i="1" l="1"/>
  <c r="I25" i="4"/>
  <c r="C24" i="4"/>
  <c r="C25" i="4" l="1"/>
</calcChain>
</file>

<file path=xl/sharedStrings.xml><?xml version="1.0" encoding="utf-8"?>
<sst xmlns="http://schemas.openxmlformats.org/spreadsheetml/2006/main" count="763" uniqueCount="559">
  <si>
    <t>Annexe D - Budget du projet PBF</t>
  </si>
  <si>
    <t>Instructions:</t>
  </si>
  <si>
    <r>
      <t xml:space="preserve">1. Ne remplissez que les cellules blanches. Les cellules grises sont verrouillées et / ou contiennent des formules de feuille de calcul.
2. Remplissez les feuilles 1 et 2.
a) </t>
    </r>
    <r>
      <rPr>
        <sz val="16"/>
        <color theme="1"/>
        <rFont val="Calibri"/>
        <family val="2"/>
        <scheme val="minor"/>
      </rPr>
      <t>Premièrement, préparez un budget organisé par</t>
    </r>
    <r>
      <rPr>
        <b/>
        <sz val="16"/>
        <color theme="1"/>
        <rFont val="Calibri"/>
        <family val="2"/>
        <scheme val="minor"/>
      </rPr>
      <t xml:space="preserve"> activité / produit / résultat dans la feuille 1</t>
    </r>
    <r>
      <rPr>
        <sz val="16"/>
        <color theme="1"/>
        <rFont val="Calibri"/>
        <family val="2"/>
        <scheme val="minor"/>
      </rPr>
      <t>. (Les montants des activités peuvent être estimations indicatives.)</t>
    </r>
    <r>
      <rPr>
        <b/>
        <sz val="16"/>
        <color theme="1"/>
        <rFont val="Calibri"/>
        <family val="2"/>
        <scheme val="minor"/>
      </rPr>
      <t xml:space="preserve">
b) </t>
    </r>
    <r>
      <rPr>
        <sz val="16"/>
        <color theme="1"/>
        <rFont val="Calibri"/>
        <family val="2"/>
        <scheme val="minor"/>
      </rPr>
      <t xml:space="preserve">Ensuite, divisez chaque budget en fonction </t>
    </r>
    <r>
      <rPr>
        <b/>
        <sz val="16"/>
        <color theme="1"/>
        <rFont val="Calibri"/>
        <family val="2"/>
        <scheme val="minor"/>
      </rPr>
      <t xml:space="preserve">des catégories de budget des Nations Unies dans la feuille 2.
3. </t>
    </r>
    <r>
      <rPr>
        <sz val="16"/>
        <color theme="1"/>
        <rFont val="Calibri"/>
        <family val="2"/>
        <scheme val="minor"/>
      </rPr>
      <t xml:space="preserve">Assurez-vous d’inclure </t>
    </r>
    <r>
      <rPr>
        <b/>
        <sz val="16"/>
        <color theme="1"/>
        <rFont val="Calibri"/>
        <family val="2"/>
        <scheme val="minor"/>
      </rPr>
      <t>% en faveur de l’égalité des sexes et de l’autonomisation des femmes (GEWE).
4. N'utilisez pas les feuilles 4 ou 5</t>
    </r>
    <r>
      <rPr>
        <sz val="16"/>
        <color theme="1"/>
        <rFont val="Calibri"/>
        <family val="2"/>
        <scheme val="minor"/>
      </rPr>
      <t>, qui sont destinées au MPTF et au PBSO.</t>
    </r>
    <r>
      <rPr>
        <b/>
        <sz val="16"/>
        <color theme="1"/>
        <rFont val="Calibri"/>
        <family val="2"/>
        <scheme val="minor"/>
      </rPr>
      <t xml:space="preserve">
5. Laissez  en blanc </t>
    </r>
    <r>
      <rPr>
        <sz val="16"/>
        <color theme="1"/>
        <rFont val="Calibri"/>
        <family val="2"/>
        <scheme val="minor"/>
      </rPr>
      <t>toutes les organisations / résultats / réalisations / activités qui ne sont pas nécessaires. NE PAS supprimer les cellules.</t>
    </r>
    <r>
      <rPr>
        <b/>
        <sz val="16"/>
        <color theme="1"/>
        <rFont val="Calibri"/>
        <family val="2"/>
        <scheme val="minor"/>
      </rPr>
      <t xml:space="preserve">
6. Ne pas ajuster les montants des tranches </t>
    </r>
    <r>
      <rPr>
        <sz val="16"/>
        <color theme="1"/>
        <rFont val="Calibri"/>
        <family val="2"/>
        <scheme val="minor"/>
      </rPr>
      <t>sans consulter PBSO.</t>
    </r>
  </si>
  <si>
    <t>Nombre de resultat/ produit</t>
  </si>
  <si>
    <t>Formulation du resultat/ produit/activite</t>
  </si>
  <si>
    <t>Organisation recipiendiaire 1 (budget en USD)</t>
  </si>
  <si>
    <t>Organisation recipiendiaire 2 (budget en USD)</t>
  </si>
  <si>
    <t>Organisation recipiendiaire 3 (budget en USD)</t>
  </si>
  <si>
    <t>Organisation recipiendiaire 4 (budget en USD)</t>
  </si>
  <si>
    <t>Total</t>
  </si>
  <si>
    <t xml:space="preserve">Pourcentage du budget pour chaque produit ou activite reserve pour action directe sur égalité des sexes et autonomisation des femmes (GEWE) (cas echeant) </t>
  </si>
  <si>
    <t>Niveau de depense/ engagement actuel 
(a remplir au moment des rapports de projet)</t>
  </si>
  <si>
    <t>Notes quelconque le cas echeant (.e.g sur types des entrants ou justification du budget)</t>
  </si>
  <si>
    <t>PNUD GUINEE</t>
  </si>
  <si>
    <t>PNUD MALI</t>
  </si>
  <si>
    <t>UNFPA GUINEE</t>
  </si>
  <si>
    <t>UNFPA MALI</t>
  </si>
  <si>
    <t xml:space="preserve">RESULTAT 1: </t>
  </si>
  <si>
    <t>Résultat I : Les institutions nationales et locales de gestion des conflits transfrontaliers entre la Guinée et le Mali promeuvent un dialogue pacifique et inclusif permettant la prévention et la gestion des conflits transfrontaliers</t>
  </si>
  <si>
    <t>Produit 1.1:</t>
  </si>
  <si>
    <t>Activite 1.1.1:</t>
  </si>
  <si>
    <t>Activite 1.1.2:</t>
  </si>
  <si>
    <t>Activite 1.1.3:</t>
  </si>
  <si>
    <t>Activite 1.1.4</t>
  </si>
  <si>
    <t>Activite 1.1.5</t>
  </si>
  <si>
    <t>Soutenir un processus d’élaboration ou de revue des chartes foncières ainsi que leur vulgarisation et appropriation par toutes les parties prenantes</t>
  </si>
  <si>
    <t>Activite 1.1.6</t>
  </si>
  <si>
    <t>Produit total</t>
  </si>
  <si>
    <t>Produit 1.2:</t>
  </si>
  <si>
    <t>Activite 1.2.1</t>
  </si>
  <si>
    <t>Activite 1.2.2</t>
  </si>
  <si>
    <t>Activite 1.2.3</t>
  </si>
  <si>
    <t>Produit 1.3:</t>
  </si>
  <si>
    <t>Activite 1.3.1</t>
  </si>
  <si>
    <t>Activite 1.3.2</t>
  </si>
  <si>
    <t>Activite 1.3.3</t>
  </si>
  <si>
    <t xml:space="preserve">RESULTAT 2: </t>
  </si>
  <si>
    <t>Produit 2.1</t>
  </si>
  <si>
    <t>Activite 2.1.1</t>
  </si>
  <si>
    <t>Activite 2.1.2</t>
  </si>
  <si>
    <t>Produit 2.2</t>
  </si>
  <si>
    <t>Activite 2.2.1</t>
  </si>
  <si>
    <t>Activité 2.2.2</t>
  </si>
  <si>
    <t>Produit 2.3</t>
  </si>
  <si>
    <t xml:space="preserve">RESULTAT 3: </t>
  </si>
  <si>
    <t>La résilience des jeunes et des femmes face aux diverses formes de marginalisations et d’exclusions est renforcées et contribue à la paix et à la stabilité transfrontalières</t>
  </si>
  <si>
    <t>Produit 3.1</t>
  </si>
  <si>
    <t>Activite 3.1.1</t>
  </si>
  <si>
    <t>Activite 3.1.2</t>
  </si>
  <si>
    <t>Produit 3.2:</t>
  </si>
  <si>
    <t>Activite 3.2.1</t>
  </si>
  <si>
    <t>Activite 3.2.2</t>
  </si>
  <si>
    <t>Faire une étude sur la création d' une coopérative de crédit communautaire transfrontalière (en consultation avec les institutions financières) afin d’améliorer l’inclusion économique dans la région</t>
  </si>
  <si>
    <t>Activite 3.2.3</t>
  </si>
  <si>
    <t>Cout de personnel du projet si pas inclus dans les activites si-dessus</t>
  </si>
  <si>
    <t xml:space="preserve">PNUD GUINEE : Un Cordonateur NPSA11 + un Expert National Chargé du S&amp;E NPSA 9 et un agent de zone NPSA 6 pour 24 mois </t>
  </si>
  <si>
    <t xml:space="preserve">PNUD Mali : Chargé du Projet NPSA 11 et agent de zone VNU communautaires pour 24 mois </t>
  </si>
  <si>
    <t xml:space="preserve">UNFPA GUINEE : Chargé du Projet SB4 pour 24 mois </t>
  </si>
  <si>
    <t xml:space="preserve">UNFPA Mali  : Chargé du Projet NOB pour 24 mois </t>
  </si>
  <si>
    <t>UNODC  : Chargé du Projet NOA pour 24 mois (Guinée) 50 %</t>
  </si>
  <si>
    <t>Couts operationnels si pas inclus dans les activites si-dessus</t>
  </si>
  <si>
    <t>Fonctionnement 1 véhicule</t>
  </si>
  <si>
    <t>Locations bureaux et charges locatives</t>
  </si>
  <si>
    <t>Communication</t>
  </si>
  <si>
    <t>Fournitures et consommables  bureau</t>
  </si>
  <si>
    <t>Equipements de bureau</t>
  </si>
  <si>
    <t xml:space="preserve">Etude de perception initiale et finale </t>
  </si>
  <si>
    <t xml:space="preserve">Suivi et évaluation </t>
  </si>
  <si>
    <t>Budget pour l'évaluation finale indépendante</t>
  </si>
  <si>
    <t>Evaluation finale Independante du projet</t>
  </si>
  <si>
    <t>Coûts supplémentaires total</t>
  </si>
  <si>
    <t>Totaux</t>
  </si>
  <si>
    <t>Organisation recipiendiaire 1</t>
  </si>
  <si>
    <t>Organisation recipiendiaire 2</t>
  </si>
  <si>
    <t>Organisation recipiendiaire 3</t>
  </si>
  <si>
    <t>Organisation recipiendiaire 4</t>
  </si>
  <si>
    <t>Sous-budget total du projet</t>
  </si>
  <si>
    <t>Coûts indirects (7%):</t>
  </si>
  <si>
    <t>Répartition des tranches basée sur la performance</t>
  </si>
  <si>
    <t>Tranche %</t>
  </si>
  <si>
    <t>Première tranche</t>
  </si>
  <si>
    <t>Deuxième tranche</t>
  </si>
  <si>
    <t>Troisième tranche (le cas échéant)</t>
  </si>
  <si>
    <r>
      <t xml:space="preserve">$ alloué à GEWE </t>
    </r>
    <r>
      <rPr>
        <sz val="11"/>
        <color theme="1"/>
        <rFont val="Calibri"/>
        <family val="2"/>
        <scheme val="minor"/>
      </rPr>
      <t>(inclut coûts indirects)</t>
    </r>
  </si>
  <si>
    <t>Total des dépenses</t>
  </si>
  <si>
    <t>% alloué à GEWE</t>
  </si>
  <si>
    <t>Taux d'exécution</t>
  </si>
  <si>
    <r>
      <t xml:space="preserve">$ alloué à S&amp;E </t>
    </r>
    <r>
      <rPr>
        <sz val="11"/>
        <color theme="1"/>
        <rFont val="Calibri"/>
        <family val="2"/>
        <scheme val="minor"/>
      </rPr>
      <t>(inclut coûts indirects)</t>
    </r>
  </si>
  <si>
    <t>% alloué à S&amp;E</t>
  </si>
  <si>
    <r>
      <t xml:space="preserve">Note: Le PBF n'accepte pas les projets avec moins de 5% pour le S&amp;E et moins 15% pour le GEWE. Ces chiffres apparaîtront </t>
    </r>
    <r>
      <rPr>
        <sz val="11"/>
        <color rgb="FFFF0000"/>
        <rFont val="Calibri"/>
        <family val="2"/>
        <scheme val="minor"/>
      </rPr>
      <t>en</t>
    </r>
    <r>
      <rPr>
        <sz val="11"/>
        <color theme="1"/>
        <rFont val="Calibri"/>
        <family val="2"/>
        <scheme val="minor"/>
      </rPr>
      <t xml:space="preserve"> </t>
    </r>
    <r>
      <rPr>
        <sz val="11"/>
        <color rgb="FFFF0000"/>
        <rFont val="Calibri"/>
        <family val="2"/>
        <scheme val="minor"/>
      </rPr>
      <t>rouge</t>
    </r>
    <r>
      <rPr>
        <sz val="11"/>
        <color theme="1"/>
        <rFont val="Calibri"/>
        <family val="2"/>
        <scheme val="minor"/>
      </rPr>
      <t xml:space="preserve"> si ce seuil minimum n'est pas atteint.</t>
    </r>
  </si>
  <si>
    <t>-</t>
  </si>
  <si>
    <r>
      <t>1. Divisez le total de chaque budget entre les catégories de budget des Nations Unies concernées.
2. À titre de référence, les totaux des produits ont été transférés du tableau 1.
3. Les totaux des produits doivent correspondre et seront sinon affichés</t>
    </r>
    <r>
      <rPr>
        <b/>
        <sz val="16"/>
        <color rgb="FFFF0000"/>
        <rFont val="Calibri"/>
        <family val="2"/>
        <scheme val="minor"/>
      </rPr>
      <t xml:space="preserve"> en rouge</t>
    </r>
    <r>
      <rPr>
        <b/>
        <sz val="16"/>
        <color theme="1"/>
        <rFont val="Calibri"/>
        <family val="2"/>
        <scheme val="minor"/>
      </rPr>
      <t>.</t>
    </r>
  </si>
  <si>
    <t>Tableau 2 - Répartition des produits par catégories de budget de l’ONU</t>
  </si>
  <si>
    <t>RESULTAT 1</t>
  </si>
  <si>
    <t>Produit 1.1</t>
  </si>
  <si>
    <t>Total pour produit 1.1 (du tableau 1)</t>
  </si>
  <si>
    <t>1. Personnel et autres employés</t>
  </si>
  <si>
    <t>2. Fournitures, produits de base, matériels</t>
  </si>
  <si>
    <t>3. Équipement, véhicules et mobilier (compte tenu de la dépréciation)</t>
  </si>
  <si>
    <t>4. Services contractuels</t>
  </si>
  <si>
    <t>5. Frais de déplacement</t>
  </si>
  <si>
    <t>6. Transferts et subventions aux homologues</t>
  </si>
  <si>
    <t>7. Frais généraux de fonctionnement et autres coûts directs</t>
  </si>
  <si>
    <t xml:space="preserve">Total </t>
  </si>
  <si>
    <t>Produit 1.2</t>
  </si>
  <si>
    <t>Total pour produit 1.2 (du tableau 1)</t>
  </si>
  <si>
    <t>Produit 1.3</t>
  </si>
  <si>
    <t>Total pour produit 1.3 (du tableau 1)</t>
  </si>
  <si>
    <t>Produit 1.4</t>
  </si>
  <si>
    <t>Total pour produit 1.4 (du tableau 1)</t>
  </si>
  <si>
    <t>RESULTAT 2</t>
  </si>
  <si>
    <t>Total pour produit 2.1 (du tableau 1)</t>
  </si>
  <si>
    <t>Total pour produit 2.2 (du tableau 1)</t>
  </si>
  <si>
    <t>Total pour produit 2.3 (du tableau 1)</t>
  </si>
  <si>
    <t>Produit 2.4</t>
  </si>
  <si>
    <t>Total pour produit 2.4 (du tableau 1)</t>
  </si>
  <si>
    <t>RESULTAT 3</t>
  </si>
  <si>
    <t>Total pour produit 3.1 (du tableau 1)</t>
  </si>
  <si>
    <t>Produit 3.2</t>
  </si>
  <si>
    <t>Total pour produit 3.2 (du tableau 1)</t>
  </si>
  <si>
    <t>Produit 3.3</t>
  </si>
  <si>
    <t>Total pour produit 3.3 (du tableau 1)</t>
  </si>
  <si>
    <t>Produit 3.4</t>
  </si>
  <si>
    <t>Total pour produit 3.4 (du tableau 1)</t>
  </si>
  <si>
    <t>RESULTAT 4</t>
  </si>
  <si>
    <t>Produit 4.1</t>
  </si>
  <si>
    <t>Total pour produit 4.1 (du tableau 1)</t>
  </si>
  <si>
    <t>Produit 4.2</t>
  </si>
  <si>
    <t>Total pour produit 4.2 (du tableau 1)</t>
  </si>
  <si>
    <t>Produit 4.3</t>
  </si>
  <si>
    <t>Total pour produit 4.3 (du tableau 1)</t>
  </si>
  <si>
    <t>Produit 4.4</t>
  </si>
  <si>
    <t>Total pour produit 4.4 (du tableau 1)</t>
  </si>
  <si>
    <t xml:space="preserve">Coûts supplémentaires </t>
  </si>
  <si>
    <t>Total des coûts supplémentaires (du tableau 1)</t>
  </si>
  <si>
    <t>TOTAL</t>
  </si>
  <si>
    <t>Annex 1 : Guide de MPTFO sur les catégories de frais de l’ONU</t>
  </si>
  <si>
    <r>
      <t xml:space="preserve">1. Frais d’équipe et dépenses du personnel : </t>
    </r>
    <r>
      <rPr>
        <sz val="11"/>
        <color theme="1"/>
        <rFont val="Calibri"/>
        <family val="2"/>
        <scheme val="minor"/>
      </rPr>
      <t>inclus tout frais liés aux dépenses de l’équipe, comprenant les salaires, les ajustements et les droits de l’équipe</t>
    </r>
    <r>
      <rPr>
        <b/>
        <sz val="11"/>
        <color theme="1"/>
        <rFont val="Calibri"/>
        <family val="2"/>
        <scheme val="minor"/>
      </rPr>
      <t>.</t>
    </r>
  </si>
  <si>
    <r>
      <rPr>
        <b/>
        <sz val="11"/>
        <color theme="1"/>
        <rFont val="Calibri"/>
        <family val="2"/>
        <scheme val="minor"/>
      </rPr>
      <t>2. Provisions, produits de base, matériaux :</t>
    </r>
    <r>
      <rPr>
        <sz val="11"/>
        <color theme="1"/>
        <rFont val="Calibri"/>
        <family val="2"/>
        <scheme val="minor"/>
      </rPr>
      <t xml:space="preserve"> inclus tout frais directs et indirects (ex : cargaison, transports, livraison, distribution) associés à l’approvisionnement des provisions, produits de base et les matériaux. Les fournitures de bureaux seront désignées comme « fonctionnement général ».</t>
    </r>
  </si>
  <si>
    <r>
      <t xml:space="preserve">3. L’équipement, véhicules et fournitures incluant leur perte de valeur : </t>
    </r>
    <r>
      <rPr>
        <sz val="11"/>
        <color theme="1"/>
        <rFont val="Calibri"/>
        <family val="2"/>
        <scheme val="minor"/>
      </rPr>
      <t>pour ceux déclarant sur UNSAS ou UNSAS de base modifié (ex : les dépenses directes), cela se rapporterait à tous les coûts de mise en service. Pour ceux qui font les normes des donateurs selon les normes IPSAS , cela équivaudrait à une dépréciation par période.</t>
    </r>
  </si>
  <si>
    <r>
      <t xml:space="preserve">4. Services contractuels : </t>
    </r>
    <r>
      <rPr>
        <sz val="11"/>
        <color theme="1"/>
        <rFont val="Calibri"/>
        <family val="2"/>
        <scheme val="minor"/>
      </rPr>
      <t>services sous-traités par une organisation qui suit le processus normal d'approvisionnement . Dans la terminologie IPSAS, cela serait similaire aux transactions d'échange. Cela pourrait inclure contrats passés avec des ONG s’ils ressemblent davantage à des marchés de services qu’à un transfert de subvention.</t>
    </r>
  </si>
  <si>
    <r>
      <rPr>
        <b/>
        <sz val="11"/>
        <color theme="1"/>
        <rFont val="Calibri"/>
        <family val="2"/>
        <scheme val="minor"/>
      </rPr>
      <t>5. Déplacements :</t>
    </r>
    <r>
      <rPr>
        <sz val="11"/>
        <color theme="1"/>
        <rFont val="Calibri"/>
        <family val="2"/>
        <scheme val="minor"/>
      </rPr>
      <t xml:space="preserve"> comprend les déplacements du personnel et des autres agents payés par l’organisation directement liée au projet.</t>
    </r>
  </si>
  <si>
    <r>
      <t xml:space="preserve">6. Transferts et subventions aux homologues : </t>
    </r>
    <r>
      <rPr>
        <sz val="11"/>
        <color theme="1"/>
        <rFont val="Calibri"/>
        <family val="2"/>
        <scheme val="minor"/>
      </rPr>
      <t>comprend les transferts aux homologues nationaux et tout autre transfert effectué à un partenaire de mise-en-oeuvre (par exemple une ONG) qui ne ressemble pas à un contrat de service commercial comme ci-dessus. En termes IPSAS, cela ressemblerait davantage à des transactions sans échange.</t>
    </r>
  </si>
  <si>
    <r>
      <t>7. Frais généraux de fonctionnement et autres coûts directs :</t>
    </r>
    <r>
      <rPr>
        <sz val="11"/>
        <color theme="1"/>
        <rFont val="Calibri"/>
        <family val="2"/>
        <scheme val="minor"/>
      </rPr>
      <t xml:space="preserve"> inclut tous les frais généraux de fonctionnement d’un bureau. Les exemples comprennent les télécommunications, les loyers, les charges financières et d’autres coûts qui ne peuvent pas être associés à d’autres catégories de dépenses.</t>
    </r>
  </si>
  <si>
    <t>For PBSO Use</t>
  </si>
  <si>
    <t>Outcome 1</t>
  </si>
  <si>
    <t>Outcome Budget</t>
  </si>
  <si>
    <t>Total Outcome Budget Towards SDGs</t>
  </si>
  <si>
    <t>SDG</t>
  </si>
  <si>
    <t>SDG %</t>
  </si>
  <si>
    <t>Total Towards SDG</t>
  </si>
  <si>
    <t>Outcome 2</t>
  </si>
  <si>
    <t>Outcome 3</t>
  </si>
  <si>
    <t>Outcome 4</t>
  </si>
  <si>
    <t>For MPTFO Use</t>
  </si>
  <si>
    <t>Totals</t>
  </si>
  <si>
    <t>Recipient Agency 4</t>
  </si>
  <si>
    <t>1. Staff and other personnel</t>
  </si>
  <si>
    <t>2. Supplies, Commodities, Materials</t>
  </si>
  <si>
    <t>3. Equipment, Vehicles, and Furniture (including Depreciation)</t>
  </si>
  <si>
    <t>4. Contractual services</t>
  </si>
  <si>
    <t>5. Travel</t>
  </si>
  <si>
    <t>6. Transfers and Grants to Counterparts</t>
  </si>
  <si>
    <t>7. General Operating and other Costs</t>
  </si>
  <si>
    <t xml:space="preserve">Sub-Total </t>
  </si>
  <si>
    <t>7% Indirect Costs</t>
  </si>
  <si>
    <t>Performance-Based Tranche Breakdown</t>
  </si>
  <si>
    <t>Recip Agency 1</t>
  </si>
  <si>
    <t>Recip Agency 2</t>
  </si>
  <si>
    <t>Recip Agency 3</t>
  </si>
  <si>
    <t>First Tranche:</t>
  </si>
  <si>
    <t>Second Tranche:</t>
  </si>
  <si>
    <t>Other peacebuilding objectives not related to specific SDG target</t>
  </si>
  <si>
    <t>Other</t>
  </si>
  <si>
    <t>1.1 By 2030, eradicate extreme poverty for all people everywhere, currently measured as people living on less than $1.25 a day</t>
  </si>
  <si>
    <t>1.1</t>
  </si>
  <si>
    <t>1.2 By 2030, reduce at least by half the proportion of men, women and children of all ages living in poverty in all its dimensions according to national definitions</t>
  </si>
  <si>
    <t>1.2</t>
  </si>
  <si>
    <t>1.3 Implement nationally appropriate social protection systems and measures for all, including floors, and by 2030 achieve substantial coverage of the poor and the vulnerable</t>
  </si>
  <si>
    <t>1.3</t>
  </si>
  <si>
    <t>1.4 By 2030, ensure that all men and women, in particular the poor and the vulnerable, have equal rights to economic resources, as well as access to basic services, ownership and control over land and other forms of property, inheritance, natural resources, appropriate new technology and financial services, including microfinance</t>
  </si>
  <si>
    <t>1.4</t>
  </si>
  <si>
    <t>1.5 By 2030, build the resilience of the poor and those in vulnerable situations and reduce their exposure and vulnerability to climate-related extreme events and other economic, social and environmental shocks and disasters</t>
  </si>
  <si>
    <t>1.5</t>
  </si>
  <si>
    <t>1.a Ensure significant mobilization of resources from a variety of sources, including through enhanced development cooperation, in order to provide adequate and predictable means for developing countries, in particular least developed countries, to implement programmes and policies to end poverty in all its dimensions</t>
  </si>
  <si>
    <t xml:space="preserve">1.a </t>
  </si>
  <si>
    <t>1.b Create sound policy frameworks at the national, regional and international levels, based on pro-poor and gender-sensitive development strategies, to support accelerated investment in poverty eradication actions</t>
  </si>
  <si>
    <t>1.b</t>
  </si>
  <si>
    <t>2.1 By 2030, end hunger and ensure access by all people, in particular the poor and people in vulnerable situations, including infants, to safe, nutritious and sufficient food all year round</t>
  </si>
  <si>
    <t>2.1</t>
  </si>
  <si>
    <t>2.2 By 2030, end all forms of malnutrition, including achieving, by 2025, the internationally agreed targets on stunting and wasting in children under 5 years of age, and address the nutritional needs of adolescent girls, pregnant and lactating women and older persons</t>
  </si>
  <si>
    <t>2.2</t>
  </si>
  <si>
    <t>2.3 By 2030, double the agricultural productivity and incomes of small-scale food producers, in particular women, indigenous peoples, family farmers, pastoralists and fishers, including through secure and equal access to land, other productive resources and inputs, knowledge, financial services, markets and opportunities for value addition and non-farm employment</t>
  </si>
  <si>
    <t>2.3</t>
  </si>
  <si>
    <t>2.4 By 2030, ensure sustainable food production systems and implement resilient agricultural practices that increase productivity and production, that help maintain ecosystems, that strengthen capacity for adaptation to climate change, extreme weather, drought, flooding and other disasters and that progressively improve land and soil quality</t>
  </si>
  <si>
    <t>2.4</t>
  </si>
  <si>
    <t>2.5 By 2020, maintain the genetic diversity of seeds, cultivated plants and farmed and domesticated animals and their related wild species, including through soundly managed and diversified seed and plant banks at the national, regional and international levels, and promote access to and fair and equitable sharing of benefits arising from the utilization of genetic resources and associated traditional knowledge, as internationally agreed</t>
  </si>
  <si>
    <t>2.5</t>
  </si>
  <si>
    <t>2.a Increase investment, including through enhanced international cooperation, in rural infrastructure, agricultural research and extension services, technology development and plant and livestock gene banks in order to enhance agricultural productive capacity in developing countries, in particular least developed countries</t>
  </si>
  <si>
    <t>2.a</t>
  </si>
  <si>
    <t>2.b Correct and prevent trade restrictions and distortions in world agricultural markets, including through the parallel elimination of all forms of agricultural export subsidies and all export measures with equivalent effect, in accordance with the mandate of the Doha Development Round</t>
  </si>
  <si>
    <t>2.b</t>
  </si>
  <si>
    <t>2.c Adopt measures to ensure the proper functioning of food commodity markets and their derivatives and facilitate timely access to market information, including on food reserves, in order to help limit extreme food price volatility</t>
  </si>
  <si>
    <t>2.c</t>
  </si>
  <si>
    <t>3.1 By 2030, reduce the global maternal mortality ratio to less than 70 per 100,000 live births</t>
  </si>
  <si>
    <t>3.1</t>
  </si>
  <si>
    <t>3.2 By 2030, end preventable deaths of newborns and children under 5 years of age, with all countries aiming to reduce neonatal mortality to at least as low as 12 per 1,000 live births and under-5 mortality to at least as low as 25 per 1,000 live births</t>
  </si>
  <si>
    <t>3.2</t>
  </si>
  <si>
    <t>3.3 By 2030, end the epidemics of AIDS, tuberculosis, malaria and neglected tropical diseases and combat hepatitis, water-borne diseases and other communicable diseases</t>
  </si>
  <si>
    <t>3.3</t>
  </si>
  <si>
    <t>3.4  By 2030, reduce by one third premature mortality from non-communicable diseases through prevention and treatment and promote mental health and well-being</t>
  </si>
  <si>
    <t>3.4</t>
  </si>
  <si>
    <t>3.5 Strengthen the prevention and treatment of substance abuse, including narcotic drug abuse and harmful use of alcohol</t>
  </si>
  <si>
    <t>3.5</t>
  </si>
  <si>
    <t>3.6 By 2020, halve the number of global deaths and injuries from road traffic accidents</t>
  </si>
  <si>
    <t>3.6</t>
  </si>
  <si>
    <t>3.7 By 2030, ensure universal access to sexual and reproductive health-care services, including for family planning, information and education, and the integration of reproductive health into national strategies and programmes</t>
  </si>
  <si>
    <t>3.7</t>
  </si>
  <si>
    <t>3.8 Achieve universal health coverage, including financial risk protection, access to quality essential health-care services and access to safe, effective, quality and affordable essential medicines and vaccines for all</t>
  </si>
  <si>
    <t>3.8</t>
  </si>
  <si>
    <t>3.9 By 2030, substantially reduce the number of deaths and illnesses from hazardous chemicals and air, water and soil pollution and contamination</t>
  </si>
  <si>
    <t>3.9</t>
  </si>
  <si>
    <t>3.a Strengthen the implementation of the World Health Organization Framework Convention on Tobacco Control in all countries, as appropriate</t>
  </si>
  <si>
    <t>3.a</t>
  </si>
  <si>
    <t>3.b Support the research and development of vaccines and medicines for the communicable and non‑communicable diseases that primarily affect developing countries, provide access to affordable essential medicines and vaccines, in accordance with the Doha Declaration on the TRIPS Agreement and Public Health, which affirms the right of developing countries to use to the full the provisions in the Agreement on Trade-Related Aspects of Intellectual Property Rights regarding flexibilities to protect public health, and, in particular, provide access to medicines for all</t>
  </si>
  <si>
    <t>3.b</t>
  </si>
  <si>
    <t>3.c Substantially increase health financing and the recruitment, development, training and retention of the health workforce in developing countries, especially in least developed countries and small island developing States</t>
  </si>
  <si>
    <t>3.c</t>
  </si>
  <si>
    <t>3.d Strengthen the capacity of all countries, in particular developing countries, for early warning, risk reduction and management of national and global health risks</t>
  </si>
  <si>
    <t>3.d</t>
  </si>
  <si>
    <t>4.1 By 2030, ensure that all girls and boys complete free, equitable and quality primary and secondary education leading to relevant and effective learning outcomes</t>
  </si>
  <si>
    <t>4.1</t>
  </si>
  <si>
    <t>4.2 By 2030, ensure that all girls and boys have access to quality early childhood development, care and pre-primary education so that they are ready for primary education</t>
  </si>
  <si>
    <t>4.2</t>
  </si>
  <si>
    <t>4.3 By 2030, ensure equal access for all women and men to affordable and quality technical, vocational and tertiary education, including university</t>
  </si>
  <si>
    <t>4.3</t>
  </si>
  <si>
    <t>4.4 By 2030, substantially increase the number of youth and adults who have relevant skills, including technical and vocational skills, for employment, decent jobs and entrepreneurship</t>
  </si>
  <si>
    <t>4.4</t>
  </si>
  <si>
    <t>4.5 By 2030, eliminate gender disparities in education and ensure equal access to all levels of education and vocational training for the vulnerable, including persons with disabilities, indigenous peoples and children in vulnerable situations</t>
  </si>
  <si>
    <t>4.5</t>
  </si>
  <si>
    <t>4.6 By 2030, ensure that all youth and a substantial proportion of adults, both men and women, achieve literacy and numeracy</t>
  </si>
  <si>
    <t>4.6</t>
  </si>
  <si>
    <t>4.7 By 2030, ensure that all learners acquire the knowledge and skills needed to promote sustainable development, including, among others, through education for sustainable development and sustainable lifestyles, human rights, gender equality, promotion of a culture of peace and non-violence, global citizenship and appreciation of cultural diversity and of culture’s contribution to sustainable development</t>
  </si>
  <si>
    <t>4.7</t>
  </si>
  <si>
    <t>4.a Build and upgrade education facilities that are child, disability and gender sensitive and provide safe, non-violent, inclusive and effective learning environments for all</t>
  </si>
  <si>
    <t>4.a</t>
  </si>
  <si>
    <t>4.b By 2020, substantially expand globally the number of scholarships available to developing countries, in particular least developed countries, small island developing States and African countries, for enrolment in higher education, including vocational training and information and communications technology, technical, engineering and scientific programmes, in developed countries and other developing countries</t>
  </si>
  <si>
    <t>4.b</t>
  </si>
  <si>
    <t>4.c By 2030, substantially increase the supply of qualified teachers, including through international cooperation for teacher training in developing countries, especially least developed countries and small island developing States</t>
  </si>
  <si>
    <t>4.c</t>
  </si>
  <si>
    <t>5.1 End all forms of discrimination against all women and girls everywhere</t>
  </si>
  <si>
    <t>5.1</t>
  </si>
  <si>
    <t>5.2 Eliminate all forms of violence against all women and girls in the public and private spheres, including trafficking and sexual and other types of exploitation</t>
  </si>
  <si>
    <t>5.2</t>
  </si>
  <si>
    <t>5.3 Eliminate all harmful practices, such as child, early and forced marriage and female genital mutilation</t>
  </si>
  <si>
    <t>5.3</t>
  </si>
  <si>
    <t>5.4 Recognize and value unpaid care and domestic work through the provision of public services, infrastructure and social protection policies and the promotion of shared responsibility within the household and the family as nationally appropriate</t>
  </si>
  <si>
    <t>5.4</t>
  </si>
  <si>
    <t>5.5 Ensure women’s full and effective participation and equal opportunities for leadership at all levels of decision-making in political, economic and public life</t>
  </si>
  <si>
    <t>5.5</t>
  </si>
  <si>
    <t>5.6 Ensure universal access to sexual and reproductive health and reproductive rights as agreed in accordance with the Programme of Action of the International Conference on Population and Development and the Beijing Platform for Action and the outcome documents of their review conferences</t>
  </si>
  <si>
    <t>5.6</t>
  </si>
  <si>
    <t>5.a Undertake reforms to give women equal rights to economic resources, as well as access to ownership and control over land and other forms of property, financial services, inheritance and natural resources, in accordance with national laws</t>
  </si>
  <si>
    <t>5.a</t>
  </si>
  <si>
    <t>5.b Enhance the use of enabling technology, in particular information and communications technology, to promote the empowerment of women</t>
  </si>
  <si>
    <t>5.b</t>
  </si>
  <si>
    <t>5.c Adopt and strengthen sound policies and enforceable legislation for the promotion of gender equality and the empowerment of all women and girls at all levels</t>
  </si>
  <si>
    <t>5.c</t>
  </si>
  <si>
    <t>6.1 By 2030, achieve universal and equitable access to safe and affordable drinking water for all</t>
  </si>
  <si>
    <t>6.1</t>
  </si>
  <si>
    <t>6.2 By 2030, achieve access to adequate and equitable sanitation and hygiene for all and end open defecation, paying special attention to the needs of women and girls and those in vulnerable situations</t>
  </si>
  <si>
    <t>6.2</t>
  </si>
  <si>
    <t>6.3 By 2030, improve water quality by reducing pollution, eliminating dumping and minimizing release of hazardous chemicals and materials, halving the proportion of untreated wastewater and substantially increasing recycling and safe reuse globally</t>
  </si>
  <si>
    <t>6.3</t>
  </si>
  <si>
    <t>6.4 By 2030, substantially increase water-use efficiency across all sectors and ensure sustainable withdrawals and supply of freshwater to address water scarcity and substantially reduce the number of people suffering from water scarcity</t>
  </si>
  <si>
    <t>6.4</t>
  </si>
  <si>
    <t>6.5 By 2030, implement integrated water resources management at all levels, including through transboundary cooperation as appropriate</t>
  </si>
  <si>
    <t>6.5</t>
  </si>
  <si>
    <t>6.6 By 2020, protect and restore water-related ecosystems, including mountains, forests, wetlands, rivers, aquifers and lakes</t>
  </si>
  <si>
    <t>6.6</t>
  </si>
  <si>
    <t>6.a By 2030, expand international cooperation and capacity-building support to developing countries in water- and sanitation-related activities and programmes, including water harvesting, desalination, water efficiency, wastewater treatment, recycling and reuse technologies</t>
  </si>
  <si>
    <t>6.a</t>
  </si>
  <si>
    <t>6.b Support and strengthen the participation of local communities in improving water and sanitation management</t>
  </si>
  <si>
    <t>6.b</t>
  </si>
  <si>
    <t>7.1 By 2030, ensure universal access to affordable, reliable and modern energy services</t>
  </si>
  <si>
    <t>7.1</t>
  </si>
  <si>
    <t>7.2 By 2030, increase substantially the share of renewable energy in the global energy mix</t>
  </si>
  <si>
    <t>7.2</t>
  </si>
  <si>
    <t>7.3 By 2030, double the global rate of improvement in energy efficiency</t>
  </si>
  <si>
    <t>7.3</t>
  </si>
  <si>
    <t>7.a By 2030, enhance international cooperation to facilitate access to clean energy research and technology, including renewable energy, energy efficiency and advanced and cleaner fossil-fuel technology, and promote investment in energy infrastructure and clean energy technology</t>
  </si>
  <si>
    <t>7.a</t>
  </si>
  <si>
    <t>7.b By 2030, expand infrastructure and upgrade technology for supplying modern and sustainable energy services for all in developing countries, in particular least developed countries, small island developing States and landlocked developing countries, in accordance with their respective programmes of support</t>
  </si>
  <si>
    <t>7.b</t>
  </si>
  <si>
    <t>8.1 Sustain per capita economic growth in accordance with national circumstances and, in particular, at least 7 per cent gross domestic product growth per annum in the least developed countries</t>
  </si>
  <si>
    <t>8.1</t>
  </si>
  <si>
    <t>8.2 Achieve higher levels of economic productivity through diversification, technological upgrading and innovation, including through a focus on high-value added and labour-intensive sectors</t>
  </si>
  <si>
    <t>8.2</t>
  </si>
  <si>
    <t>8.3 Promote development-oriented policies that support productive activities, decent job creation, entrepreneurship, creativity and innovation, and encourage the formalization and growth of micro-, small- and medium-sized enterprises, including through access to financial services</t>
  </si>
  <si>
    <t>8.3</t>
  </si>
  <si>
    <t>8.4 Improve progressively, through 2030, global resource efficiency in consumption and production and endeavour to decouple economic growth from environmental degradation, in accordance with the 10‑Year Framework of Programmes on Sustainable Consumption and Production, with developed countries taking the lead</t>
  </si>
  <si>
    <t>8.4</t>
  </si>
  <si>
    <t>8.5 By 2030, achieve full and productive employment and decent work for all women and men, including for young people and persons with disabilities, and equal pay for work of equal value</t>
  </si>
  <si>
    <t>8.5</t>
  </si>
  <si>
    <t>8.6 By 2020, substantially reduce the proportion of youth not in employment, education or training</t>
  </si>
  <si>
    <t>8.6</t>
  </si>
  <si>
    <t>8.7 Take immediate and effective measures to eradicate forced labour, end modern slavery and human trafficking and secure the prohibition and elimination of the worst forms of child labour, including recruitment and use of child soldiers, and by 2025 end child labour in all its forms</t>
  </si>
  <si>
    <t>8.7</t>
  </si>
  <si>
    <t>8.8  Protect labour rights and promote safe and secure working environments for all workers, including migrant workers, in particular women migrants, and those in precarious employment</t>
  </si>
  <si>
    <t>8.8</t>
  </si>
  <si>
    <t>8.9 By 2030, devise and implement policies to promote sustainable tourism that creates jobs and promotes local culture and products</t>
  </si>
  <si>
    <t>8.9</t>
  </si>
  <si>
    <t>8.10 Strengthen the capacity of domestic financial institutions to encourage and expand access to banking, insurance and financial services for all</t>
  </si>
  <si>
    <t>8.10</t>
  </si>
  <si>
    <t>8.a Increase Aid for Trade support for developing countries, in particular least developed countries, including through the Enhanced Integrated Framework for Trade-related Technical Assistance to Least Developed Countries</t>
  </si>
  <si>
    <t>8.a</t>
  </si>
  <si>
    <t>8.b By 2020, develop and operationalize a global strategy for youth employment and implement the Global Jobs Pact of the International Labour Organization</t>
  </si>
  <si>
    <t>8.b</t>
  </si>
  <si>
    <t>9.1 Develop quality, reliable, sustainable and resilient infrastructure, including regional and trans-border infrastructure, to support economic development and human well-being, with a focus on affordable and equitable access for all</t>
  </si>
  <si>
    <t>9.1</t>
  </si>
  <si>
    <t>9.2 Promote inclusive and sustainable industrialization and, by 2030, significantly raise industry’s share of employment and gross domestic product, in line with national circumstances, and double its share in least developed countries</t>
  </si>
  <si>
    <t>9.2</t>
  </si>
  <si>
    <t>9.3 Increase the access of small-scale industrial and other enterprises, in particular in developing countries, to financial services, including affordable credit, and their integration into value chains and markets</t>
  </si>
  <si>
    <t>9.3</t>
  </si>
  <si>
    <t>9.4 By 2030, upgrade infrastructure and retrofit industries to make them sustainable, with increased resource-use efficiency and greater adoption of clean and environmentally sound technologies and industrial processes, with all countries taking action in accordance with their respective capabilities</t>
  </si>
  <si>
    <t>9.4</t>
  </si>
  <si>
    <t>9.5 Enhance scientific research, upgrade the technological capabilities of industrial sectors in all countries, in particular developing countries, including, by 2030, encouraging innovation and substantially increasing the number of research and development workers per 1 million people and public and private research and development spending</t>
  </si>
  <si>
    <t>9.5</t>
  </si>
  <si>
    <t>9.a Facilitate sustainable and resilient infrastructure development in developing countries through enhanced financial, technological and technical support to African countries, least developed countries, landlocked developing countries and small island developing States</t>
  </si>
  <si>
    <t>9.a</t>
  </si>
  <si>
    <t>9.b Support domestic technology development, research and innovation in developing countries, including by ensuring a conducive policy environment for, inter alia, industrial diversification and value addition to commodities</t>
  </si>
  <si>
    <t>9.b</t>
  </si>
  <si>
    <t>9.c Significantly increase access to information and communications technology and strive to provide universal and affordable access to the Internet in least developed countries by 2020</t>
  </si>
  <si>
    <t>9.c</t>
  </si>
  <si>
    <t>10.1 By 2030, progressively achieve and sustain income growth of the bottom 40 per cent of the population at a rate higher than the national average</t>
  </si>
  <si>
    <t>10.1</t>
  </si>
  <si>
    <t>10.2 By 2030, empower and promote the social, economic and political inclusion of all, irrespective of age, sex, disability, race, ethnicity, origin, religion or economic or other status</t>
  </si>
  <si>
    <t>10.2</t>
  </si>
  <si>
    <t>10.3 Ensure equal opportunity and reduce inequalities of outcome, including by eliminating discriminatory laws, policies and practices and promoting appropriate legislation, policies and action in this regard</t>
  </si>
  <si>
    <t>10.3</t>
  </si>
  <si>
    <t>10.4 Adopt policies, especially fiscal, wage and social protection policies, and progressively achieve greater equality</t>
  </si>
  <si>
    <t>10.4</t>
  </si>
  <si>
    <t>10.5 Improve the regulation and monitoring of global financial markets and institutions and strengthen the implementation of such regulations</t>
  </si>
  <si>
    <t>10.5</t>
  </si>
  <si>
    <t>10.6 Ensure enhanced representation and voice for developing countries in decision-making in global international economic and financial institutions in order to deliver more effective, credible, accountable and legitimate institutions</t>
  </si>
  <si>
    <t>10.6</t>
  </si>
  <si>
    <t>10.7 Facilitate orderly, safe, regular and responsible migration and mobility of people, including through the implementation of planned and well-managed migration policies</t>
  </si>
  <si>
    <t>10.7</t>
  </si>
  <si>
    <t>10.a Implement the principle of special and differential treatment for developing countries, in particular least developed countries, in accordance with World Trade Organization agreements</t>
  </si>
  <si>
    <t>10.a</t>
  </si>
  <si>
    <t>10.b Encourage official development assistance and financial flows, including foreign direct investment, to States where the need is greatest, in particular least developed countries, African countries, small island developing States and landlocked developing countries, in accordance with their national plans and programmes</t>
  </si>
  <si>
    <t>10.b</t>
  </si>
  <si>
    <t>10.c By 2030, reduce to less than 3 per cent the transaction costs of migrant remittances and eliminate remittance corridors with costs higher than 5 per cent</t>
  </si>
  <si>
    <t>10.c</t>
  </si>
  <si>
    <t>11.1 By 2030, ensure access for all to adequate, safe and affordable housing and basic services and upgrade slums</t>
  </si>
  <si>
    <t>11.1</t>
  </si>
  <si>
    <t>11.2 By 2030, provide access to safe, affordable, accessible and sustainable transport systems for all, improving road safety, notably by expanding public transport, with special attention to the needs of those in vulnerable situations, women, children, persons with disabilities and older persons</t>
  </si>
  <si>
    <t>11.2</t>
  </si>
  <si>
    <t>11.3 By 2030, enhance inclusive and sustainable urbanization and capacity for participatory, integrated and sustainable human settlement planning and management in all countries</t>
  </si>
  <si>
    <t>11.3</t>
  </si>
  <si>
    <t>11.4 Strengthen efforts to protect and safeguard the world’s cultural and natural heritage</t>
  </si>
  <si>
    <t>11.4</t>
  </si>
  <si>
    <t>11.5 By 2030, significantly reduce the number of deaths and the number of people affected and substantially decrease the direct economic losses relative to global gross domestic product caused by disasters, including water-related disasters, with a focus on protecting the poor and people in vulnerable situations</t>
  </si>
  <si>
    <t>11.5</t>
  </si>
  <si>
    <t>11.6 By 2030, reduce the adverse per capita environmental impact of cities, including by paying special attention to air quality and municipal and other waste management</t>
  </si>
  <si>
    <t>11.6</t>
  </si>
  <si>
    <t>11.7 By 2030, provide universal access to safe, inclusive and accessible, green and public spaces, in particular for women and children, older persons and persons with disabilities</t>
  </si>
  <si>
    <t>11.7</t>
  </si>
  <si>
    <t>11.a Support positive economic, social and environmental links between urban, peri-urban and rural areas by strengthening national and regional development planning</t>
  </si>
  <si>
    <t>11.a</t>
  </si>
  <si>
    <t>11.b By 2020, substantially increase the number of cities and human settlements adopting and implementing integrated policies and plans towards inclusion, resource efficiency, mitigation and adaptation to climate change, resilience to disasters, and develop and implement, in line with the Sendai Framework for Disaster Risk Reduction 2015-2030, holistic disaster risk management at all levels</t>
  </si>
  <si>
    <t>11.b</t>
  </si>
  <si>
    <t>11.c Support least developed countries, including through financial and technical assistance, in building sustainable and resilient buildings utilizing local materials</t>
  </si>
  <si>
    <t>11.c</t>
  </si>
  <si>
    <t>12.1 Implement the 10-Year Framework of Programmes on Sustainable Consumption and Production Patterns, all countries taking action, with developed countries taking the lead, taking into account the development and capabilities of developing countries</t>
  </si>
  <si>
    <t>12.1</t>
  </si>
  <si>
    <t>12.2 By 2030, achieve the sustainable management and efficient use of natural resources</t>
  </si>
  <si>
    <t>12.2</t>
  </si>
  <si>
    <t>12.3 By 2030, halve per capita global food waste at the retail and consumer levels and reduce food losses along production and supply chains, including post-harvest losses</t>
  </si>
  <si>
    <t>12.3</t>
  </si>
  <si>
    <t>12.4 By 2020, achieve the environmentally sound management of chemicals and all wastes throughout their life cycle, in accordance with agreed international frameworks, and significantly reduce their release to air, water and soil in order to minimize their adverse impacts on human health and the environment</t>
  </si>
  <si>
    <t>12.4</t>
  </si>
  <si>
    <t>12.5 By 2030, substantially reduce waste generation through prevention, reduction, recycling and reuse</t>
  </si>
  <si>
    <t>12.5</t>
  </si>
  <si>
    <t>12.6 Encourage companies, especially large and transnational companies, to adopt sustainable practices and to integrate sustainability information into their reporting cycle</t>
  </si>
  <si>
    <t>12.6</t>
  </si>
  <si>
    <t>12.7 Promote public procurement practices that are sustainable, in accordance with national policies and priorities</t>
  </si>
  <si>
    <t>12.7</t>
  </si>
  <si>
    <t>12.8 By 2030, ensure that people everywhere have the relevant information and awareness for sustainable development and lifestyles in harmony with nature</t>
  </si>
  <si>
    <t>12.8</t>
  </si>
  <si>
    <t>12.a Support developing countries to strengthen their scientific and technological capacity to move towards more sustainable patterns of consumption and production</t>
  </si>
  <si>
    <t>12.a</t>
  </si>
  <si>
    <t>12.b Develop and implement tools to monitor sustainable development impacts for sustainable tourism that creates jobs and promotes local culture and products</t>
  </si>
  <si>
    <t>12.b</t>
  </si>
  <si>
    <t>12.c Rationalize inefficient fossil-fuel subsidies that encourage wasteful consumption by removing market distortions, in accordance with national circumstances, including by restructuring taxation and phasing out those harmful subsidies, where they exist, to reflect their environmental impacts, taking fully into account the specific needs and conditions of developing countries and minimizing the possible adverse impacts on their development in a manner that protects the poor and the affected communities</t>
  </si>
  <si>
    <t>12.c</t>
  </si>
  <si>
    <t>13.1 Strengthen resilience and adaptive capacity to climate-related hazards and natural disasters in all countries</t>
  </si>
  <si>
    <t>13.1</t>
  </si>
  <si>
    <t>13.2 Integrate climate change measures into national policies, strategies and planning</t>
  </si>
  <si>
    <t>13.2</t>
  </si>
  <si>
    <t>13.3 Improve education, awareness-raising and human and institutional capacity on climate change mitigation, adaptation, impact reduction and early warning</t>
  </si>
  <si>
    <t>13.3</t>
  </si>
  <si>
    <t>13.a Implement the commitment undertaken by developed-country parties to the United Nations Framework Convention on Climate Change to a goal of mobilizing jointly $100 billion annually by 2020 from all sources to address the needs of developing countries in the context of meaningful mitigation actions and transparency on implementation and fully operationalize the Green Climate Fund through its capitalization as soon as possible</t>
  </si>
  <si>
    <t>13.a</t>
  </si>
  <si>
    <t>13.b Promote mechanisms for raising capacity for effective climate change-related planning and management in least developed countries and small island developing States, including focusing on women, youth and local and marginalized communities</t>
  </si>
  <si>
    <t>13.b</t>
  </si>
  <si>
    <t>14.1 By 2025, prevent and significantly reduce marine pollution of all kinds, in particular from land-based activities, including marine debris and nutrient pollution</t>
  </si>
  <si>
    <t>14.1</t>
  </si>
  <si>
    <t>14.2 By 2020, sustainably manage and protect marine and coastal ecosystems to avoid significant adverse impacts, including by strengthening their resilience, and take action for their restoration in order to achieve healthy and productive oceans</t>
  </si>
  <si>
    <t>14.2</t>
  </si>
  <si>
    <t>14.3 Minimize and address the impacts of ocean acidification, including through enhanced scientific cooperation at all levels</t>
  </si>
  <si>
    <t>14.3</t>
  </si>
  <si>
    <t>14.4 By 2020, effectively regulate harvesting and end overfishing, illegal, unreported and unregulated fishing and destructive fishing practices and implement science-based management plans, in order to restore fish stocks in the shortest time feasible, at least to levels that can produce maximum sustainable yield as determined by their biological characteristics</t>
  </si>
  <si>
    <t>14.4</t>
  </si>
  <si>
    <t>14.5 By 2020, conserve at least 10 per cent of coastal and marine areas, consistent with national and international law and based on the best available scientific information</t>
  </si>
  <si>
    <t>14.5</t>
  </si>
  <si>
    <t>14.6 By 2020, prohibit certain forms of fisheries subsidies which contribute to overcapacity and overfishing, eliminate subsidies that contribute to illegal, unreported and unregulated fishing and refrain from introducing new such subsidies, recognizing that appropriate and effective special and differential treatment for developing and least developed countries should be an integral part of the World Trade Organization fisheries subsidies negotiation[c]</t>
  </si>
  <si>
    <t>14.6</t>
  </si>
  <si>
    <t>14.7 By 2030, increase the economic benefits to small island developing States and least developed countries from the sustainable use of marine resources, including through sustainable management of fisheries, aquaculture and tourism</t>
  </si>
  <si>
    <t>14.7</t>
  </si>
  <si>
    <t>14.a Increase scientific knowledge, develop research capacity and transfer marine technology, taking into account the Intergovernmental Oceanographic Commission Criteria and Guidelines on the Transfer of Marine Technology, in order to improve ocean health and to enhance the contribution of marine biodiversity to the development of developing countries, in particular small island developing States and least developed countries</t>
  </si>
  <si>
    <t>14.a</t>
  </si>
  <si>
    <t>14.b Provide access for small-scale artisanal fishers to marine resources and markets</t>
  </si>
  <si>
    <t>14.b</t>
  </si>
  <si>
    <t>14.c Enhance the conservation and sustainable use of oceans and their resources by implementing international law as reflected in the United Nations Convention on the Law of the Sea, which provides the legal framework for the conservation and sustainable use of oceans and their resources, as recalled in paragraph 158 of “The future we want”</t>
  </si>
  <si>
    <t>14.c</t>
  </si>
  <si>
    <t>15.1 By 2020, ensure the conservation, restoration and sustainable use of terrestrial and inland freshwater ecosystems and their services, in particular forests, wetlands, mountains and drylands, in line with obligations under international agreements</t>
  </si>
  <si>
    <t>15.1</t>
  </si>
  <si>
    <t>15.2 By 2020, promote the implementation of sustainable management of all types of forests, halt deforestation, restore degraded forests and substantially increase afforestation and reforestation globally</t>
  </si>
  <si>
    <t>15.2</t>
  </si>
  <si>
    <t>15.3 By 2030, combat desertification, restore degraded land and soil, including land affected by desertification, drought and floods, and strive to achieve a land degradation-neutral world</t>
  </si>
  <si>
    <t>15.3</t>
  </si>
  <si>
    <t>15.4 By 2030, ensure the conservation of mountain ecosystems, including their biodiversity, in order to enhance their capacity to provide benefits that are essential for sustainable development</t>
  </si>
  <si>
    <t>15.4</t>
  </si>
  <si>
    <t>15.5 Take urgent and significant action to reduce the degradation of natural habitats, halt the loss of biodiversity and, by 2020, protect and prevent the extinction of threatened species</t>
  </si>
  <si>
    <t>15.5</t>
  </si>
  <si>
    <t>15.6 Promote fair and equitable sharing of the benefits arising from the utilization of genetic resources and promote appropriate access to such resources, as internationally agreed</t>
  </si>
  <si>
    <t>15.6</t>
  </si>
  <si>
    <t>15.7 Take urgent action to end poaching and trafficking of protected species of flora and fauna and address both demand and supply of illegal wildlife products</t>
  </si>
  <si>
    <t>15.7</t>
  </si>
  <si>
    <t>15.8 By 2020, introduce measures to prevent the introduction and significantly reduce the impact of invasive alien species on land and water ecosystems and control or eradicate the priority species</t>
  </si>
  <si>
    <t>15.8</t>
  </si>
  <si>
    <t>15.9 By 2020, integrate ecosystem and biodiversity values into national and local planning, development processes, poverty reduction strategies and accounts</t>
  </si>
  <si>
    <t>15.9</t>
  </si>
  <si>
    <t>15.a Mobilize and significantly increase financial resources from all sources to conserve and sustainably use biodiversity and ecosystems</t>
  </si>
  <si>
    <t>15.a</t>
  </si>
  <si>
    <t>15.b Mobilize significant resources from all sources and at all levels to finance sustainable forest management and provide adequate incentives to developing countries to advance such management, including for conservation and reforestation</t>
  </si>
  <si>
    <t>15.b</t>
  </si>
  <si>
    <t>15.c Enhance global support for efforts to combat poaching and trafficking of protected species, including by increasing the capacity of local communities to pursue sustainable livelihood opportunities</t>
  </si>
  <si>
    <t>15.c</t>
  </si>
  <si>
    <t>16.1 Significantly reduce all forms of violence and related death rates everywhere</t>
  </si>
  <si>
    <t>16.1</t>
  </si>
  <si>
    <t>16.2 End abuse, exploitation, trafficking and all forms of violence against and torture of children</t>
  </si>
  <si>
    <t>16.2</t>
  </si>
  <si>
    <t>16.3 Promote the rule of law at the national and international levels and ensure equal access to justice for all</t>
  </si>
  <si>
    <t>16.3</t>
  </si>
  <si>
    <t>16.4 By 2030, significantly reduce illicit financial and arms flows, strengthen the recovery and return of stolen assets and combat all forms of organized crime</t>
  </si>
  <si>
    <t>16.4</t>
  </si>
  <si>
    <t>16.5 Substantially reduce corruption and bribery in all their forms</t>
  </si>
  <si>
    <t>16.5</t>
  </si>
  <si>
    <t>16.6 Develop effective, accountable and transparent institutions at all levels</t>
  </si>
  <si>
    <t>16.6</t>
  </si>
  <si>
    <t>16.7 Ensure responsive, inclusive, participatory and representative decision-making at all levels</t>
  </si>
  <si>
    <t>16.7</t>
  </si>
  <si>
    <t>16.8 Broaden and strengthen the participation of developing countries in the institutions of global governance</t>
  </si>
  <si>
    <t>16.8</t>
  </si>
  <si>
    <t>16.9 By 2030, provide legal identity for all, including birth registration</t>
  </si>
  <si>
    <t>16.9</t>
  </si>
  <si>
    <t>16.10 Ensure public access to information and protect fundamental freedoms, in accordance with national legislation and international agreements</t>
  </si>
  <si>
    <t>16.10</t>
  </si>
  <si>
    <t>16.a Strengthen relevant national institutions, including through international cooperation, for building capacity at all levels, in particular in developing countries, to prevent violence and combat terrorism and crime</t>
  </si>
  <si>
    <t>16.a</t>
  </si>
  <si>
    <t>16.b Promote and enforce non-discriminatory laws and policies for sustainable development</t>
  </si>
  <si>
    <t>16.b</t>
  </si>
  <si>
    <t>17.1 Strengthen domestic resource mobilization, including through international support to developing countries, to improve domestic capacity for tax and other revenue collection</t>
  </si>
  <si>
    <t>17.1</t>
  </si>
  <si>
    <t>17.2 Developed countries to implement fully their official development assistance commitments, including the commitment by many developed countries to achieve the target of 0.7 per cent of gross national income for official development assistance (ODA/GNI) to developing countries and 0.15 to 0.20 per cent of ODA/GNI to least developed countries; ODA providers are encouraged to consider setting a target to provide at least 0.20 per cent of ODA/GNI to least developed countries</t>
  </si>
  <si>
    <t>17.2</t>
  </si>
  <si>
    <t>17.3 Mobilize additional financial resources for developing countries from multiple sources</t>
  </si>
  <si>
    <t>17.3</t>
  </si>
  <si>
    <t>17.4 Assist developing countries in attaining long-term debt sustainability through coordinated policies aimed at fostering debt financing, debt relief and debt restructuring, as appropriate, and address the external debt of highly indebted poor countries to reduce debt distress</t>
  </si>
  <si>
    <t>17.4</t>
  </si>
  <si>
    <t>17.5 Adopt and implement investment promotion regimes for least developed countries</t>
  </si>
  <si>
    <t>17.5</t>
  </si>
  <si>
    <t>17.6 Enhance North-South, South-South and triangular regional and international cooperation on and access to science, technology and innovation and enhance knowledge-sharing on mutually agreed terms, including through improved coordination among existing mechanisms, in particular at the United Nations level, and through a global technology facilitation mechanism</t>
  </si>
  <si>
    <t>17.6</t>
  </si>
  <si>
    <t>17.7 Promote the development, transfer, dissemination and diffusion of environmentally sound technologies to developing countries on favourable terms, including on concessional and preferential terms, as mutually agreed</t>
  </si>
  <si>
    <t>17.7</t>
  </si>
  <si>
    <t>17.8 Fully operationalize the technology bank and science, technology and innovation capacity-building mechanism for least developed countries by 2017 and enhance the use of enabling technology, in particular information and communications technology</t>
  </si>
  <si>
    <t>17.8</t>
  </si>
  <si>
    <t>17.9 Enhance international support for implementing effective and targeted capacity-building in developing countries to support national plans to implement all the Sustainable Development Goals, including through North-South, South-South and triangular cooperation</t>
  </si>
  <si>
    <t>17.9</t>
  </si>
  <si>
    <t>17.10 Promote a universal, rules-based, open, non‑discriminatory and equitable multilateral trading system under the World Trade Organization, including through the conclusion of negotiations under its Doha Development Agenda</t>
  </si>
  <si>
    <t>17.10</t>
  </si>
  <si>
    <t>17.11 Significantly increase the exports of developing countries, in particular with a view to doubling the least developed countries’ share of global exports by 2020</t>
  </si>
  <si>
    <t>17.11</t>
  </si>
  <si>
    <t>17.12 Realize timely implementation of duty-free and quota-free market access on a lasting basis for all least developed countries, consistent with World Trade Organization decisions, including by ensuring that preferential rules of origin applicable to imports from least developed countries are transparent and simple, and contribute to facilitating market access</t>
  </si>
  <si>
    <t>17.12</t>
  </si>
  <si>
    <t>17.13 Enhance global macroeconomic stability, including through policy coordination and policy coherence</t>
  </si>
  <si>
    <t>17.13</t>
  </si>
  <si>
    <t>17.14 Enhance policy coherence for sustainable development</t>
  </si>
  <si>
    <t>17.14</t>
  </si>
  <si>
    <t>17.15 Respect each country’s policy space and leadership to establish and implement policies for poverty eradication and sustainable development</t>
  </si>
  <si>
    <t>17.15</t>
  </si>
  <si>
    <t>17.16 Enhance the Global Partnership for Sustainable Development, complemented by multi-stakeholder partnerships that mobilize and share knowledge, expertise, technology and financial resources, to support the achievement of the Sustainable Development Goals in all countries, in particular developing countries</t>
  </si>
  <si>
    <t>17.16</t>
  </si>
  <si>
    <t>17.17 Encourage and promote effective public, public-private and civil society partnerships, building on the experience and resourcing strategies of partnerships</t>
  </si>
  <si>
    <t>17.17</t>
  </si>
  <si>
    <t>17.18 By 2020, enhance capacity-building support to developing countries, including for least developed countries and small island developing States, to increase significantly the availability of high-quality, timely and reliable data disaggregated by income, gender, age, race, ethnicity, migratory status, disability, geographic location and other characteristics relevant in national contexts</t>
  </si>
  <si>
    <t>17.18</t>
  </si>
  <si>
    <t>17.19 By 2030, build on existing initiatives to develop measurements of progress on sustainable development that complement gross domestic product, and support statistical capacity-building in developing countries</t>
  </si>
  <si>
    <t>17.19</t>
  </si>
  <si>
    <t>Activite 3.2.4</t>
  </si>
  <si>
    <t>Tableau 1 - Budget du projet PBF par résultat, produit et activité - Projet d'appui à la prévention et gestion des conflits transfrontaliers Guinée - Mali</t>
  </si>
  <si>
    <t xml:space="preserve">  Produit 1.1: Les instances de coopération transfrontalières (les groupements locaux mixtes transfrontaliers, les autorités locales et traditionnelles) ainsi que les forces de défense et de sécurité sont engagées dans un dialogue inclusif soutenu et dans des actions conjointes de prévention des conflits transfrontaliers</t>
  </si>
  <si>
    <t>Appuyer une étude diagnostic sur les capacités nationales et locales transfrontalières de gestion des conflits, incluant des femmes et des jeunes avec l’outil DSEL (diagnostic sécuritaire économique local) et son plan d’actions intégré</t>
  </si>
  <si>
    <t>Appuyer l’élaboration et l’adoption d’une Politique intégrée de gestion des frontières en Guinée, à travers la dynamisation du dialogue avec la direction de gestion des frontières (des deux côtés) pour cette politique</t>
  </si>
  <si>
    <t xml:space="preserve">Faire la revue conjointe du Plan transfrontalier mixte de développement afin de renforcer     la composante sur la prévention des crises transfrontalières et appuyer une initiative pilote conjointe sur la prévention et le développement de mécanismes d’alerte communautaire </t>
  </si>
  <si>
    <t xml:space="preserve">Tenir 6 séances de formation sur la gestion des conflits liés aux ressources naturelles dédiées aux membres des instances de coopération transfrontalières et cadre locaux de gestion des conflits transfrontaliers (définis dans le contexte) et les rendre sensibles au genre </t>
  </si>
  <si>
    <t xml:space="preserve">Renforcer les capacités opérationnelles des membres des mécanismes nationaux et locaux de gestion des conflits pour bien assumer leurs rôles </t>
  </si>
  <si>
    <t>Produit 1.2: Les mécanismes institutionnels et communautaires de prévention et de gestion des conflits transfrontaliers sont rendus inclusifs avec une participation accrue des jeunes et des femmes</t>
  </si>
  <si>
    <t>Réactiver et faciliter la tenue de 18 cadres d’échanges incluant tous les mécanismes de coopération transfrontalière entre la Guinée et le Mali (y compris les acteurs de la société civile, les forces de défense et de sécurité, les OSCs des jeunes et des femmes) pour développer les recommandations d’interventions immédiates conjointes pour adresser les problèmes liés aux moteurs de conflits</t>
  </si>
  <si>
    <t>Mise en réseau et mobilisation des groupements des femmes et des associations des jeunes travaillant dans les secteurs de l’orpaillage et extraction minière des deux côtés de la frontière pour le développement de modes opératoires conjoints de gestion pacifique des conflits et d’alerte, en collaboration avec les mécanismes institutionnels et communautaires existants</t>
  </si>
  <si>
    <t>Organiser des activités de rapprochement communautaires et socio-culturelles en vue de renforcer la cohabitation pacifique entre les communautés transfrontalières avec une implication particulière des jeunes et des femmes : appuyer la semaine artistique, culturelle et touristique, organiser 2 tournois sportifs</t>
  </si>
  <si>
    <t>Produit 1.3 Les collectivités cibles du projet sont renforcées pour intégrer et mettre en œuvre les questions de sécurité et de cohésion sociale dans leurs actions de développement</t>
  </si>
  <si>
    <t xml:space="preserve">Effectuer un diagnostic de sécurité locale et accompagner les collectivités ciblées par le projet à prendre en compte les questions de sécurité, de cohésion sociale ainsi que de genre dans leurs PDL / PDSEC. </t>
  </si>
  <si>
    <t>Fédérer les besoins et préoccupations des jeunes et des femmes à travers les espaces socio communautaires d’échange et de dialogue en vue de leurs prises en compte dans les PDL / PDSEC des communes cibles du projet.</t>
  </si>
  <si>
    <t>Renforcer le fonctionnement des groupements locaux de coopération transfrontalière (GLCT) entre Siguiri- Kangaba et entre Yanfolila – Mandiana (formation, équipement des GLCT, renforcement des PTDL ou tout autres outils de coopération).</t>
  </si>
  <si>
    <t xml:space="preserve">Résultat 2 :  La gestion efficace et commune des frontières entre la Guinée et le Mali favorise la paix et la sécurité à travers la lutte contre la criminalité transfrontalière et les trafics illicites </t>
  </si>
  <si>
    <t xml:space="preserve"> Produit 2.1. :  La lutte contre la prolifération des armes légères et de petit calibre est portée par les acteurs locaux par le biais du renforcement du dialogue et une prise de conscience du phénomène</t>
  </si>
  <si>
    <t>Former et sensibiliser les groupements locaux de coopération transfrontalières, les autorités au niveau local, les associations de jeunes et de femmes, les leaders communautaires et les organisations de la société civile sur les dangers de la prolifération et la détention des armes légères et de petit calibre</t>
  </si>
  <si>
    <t>Appuyer les services locaux chargés de lutter contre la prolifération des armes légères et de petit calibre (dotation en équipement des antennes déconcentrées des COMNAT ALPC de part et d’autre de la frontière, mise en place d’une plate-forme TIC pour le partage d’information sur les ALPC, formations des acteurs de la chaîne pénale et autres agents chargés de la gestion des frontières sur la détection, l’investigation, la poursuite et le jugement des infractions liées aux armes à feu et infractions connexes).</t>
  </si>
  <si>
    <t xml:space="preserve">Produit 2.2: La lutte contre la traite des personnes et plus particulièrement des femmes et des enfants est assurée au niveau de la frontière Guinée - Mali </t>
  </si>
  <si>
    <t xml:space="preserve">Faire un état des lieux de la coopération transfrontalière (aspects normatif, sécuritaire, etc..) entre la Guinée et le Mali en matière de criminalité transnationale organisée et plus particulièrement de trafic illicite de migrants, d traite des personnes et de trafic d’armes, et évaluation des besoins des postes frontaliers en matière de lutte contre la criminalité transnationale organisée  </t>
  </si>
  <si>
    <t xml:space="preserve">Appuyer les Etats dans l'élaboration et l'adoption d'instruments (e.g accords bilatéraux, SoPs) pour l'opérationnalisation du cadre juridique relatif à la coopération transfrontalière entre le Mali et la Guinée concernant la traite des personnes </t>
  </si>
  <si>
    <t>Produit 2.3: Les acteurs de la chaîne pénale de la zone d'intervention gèrent efficacement la criminalité transfrontalière</t>
  </si>
  <si>
    <t>Réaliser des études, recherches et analyses sur le phénomène de la criminalité organisée entre les deux pays relativement à la traite des personnes, trafic de migrants, les formes de traite dans les mines aurifères, - ainsi que sur les routes utilisées et les modes opératoires – les acteurs - y compris sous un angle sensible au genre et aux droits humains.</t>
  </si>
  <si>
    <t>Equiper les postes de contrôle frontaliers des forces de défense et de sécurité sur les frontières, selon les besoins identifiés dans l’évaluation afin de renforcer la coopération, l’échange d’informations et l’inter-opérabilité entre les postes frontaliers de chaque côté de la frontière</t>
  </si>
  <si>
    <t>Activité 2.3.1</t>
  </si>
  <si>
    <t>Activité 2.3.2</t>
  </si>
  <si>
    <t>2.3.3	Organiser des sessions de formations conjointe (des acteurs en charge de la gestion des frontières (agences d’application de la loi: douane, police, gendarmerie, forces de défense et+ magistrats) de la Guinée et du Mali à des fins de lutte contre la criminalité transnationale organisée avec un accent mis sur la traite des personnes et le trafic d’armes (incluant une réflexion sur des manuels conjoints sur la traite des personnes, le trafic illicite de migrants et le trafic d'armes), et certains composants de la gestion intégrée de frontières (sensibilisation aux droits de mobilité des instruments de la CEDEAO sur la libre circulation des biens et des personnes et aux droits de l’homme), tenant compte également de la dimension genre, des droits humains et du respect de l’éthique et de l’intégrité.</t>
  </si>
  <si>
    <t>Activite 2.3.3</t>
  </si>
  <si>
    <t xml:space="preserve">Produit 3.1 : Le leadership et la participation des jeunes et des femmes aux mécanismes d’alerte précoce pour la cohabitation pacifique transfrontalière, la prévention des conflits et la consolidation de la paix sont accrus </t>
  </si>
  <si>
    <t xml:space="preserve">Renforcer le leadership et les capacités en matière de prévention et gestion des conflits de 1 310 jeunes (Hommes /Femmes) et de 1310 femmes soit 2620 personnes dans les 131 villages frontaliers cibles du projet sur la base du diagnostic sécuritaire local (transversal, plan d’actions intégré) proposé au R1 </t>
  </si>
  <si>
    <t>3.1.2	Promouvoir, par le biais de l’information, de la sensibilisation et la mise en place des mécanismes d’alerte précoce la participation accrue des leaders jeunes et femmes dans les dispositifs locaux de prévention et de gestion des conflits et les cadres de coopération transfrontalières. A travers les canaux de communication existante et deux approches :  Un plaidoyer auprès des élus et leaders religieux et  traditionnels, aussi auprès des jeunes pour susciter leurs intérêts (radios locales, foras, réseaux sociaux, griots, parleurs publics…).</t>
  </si>
  <si>
    <t xml:space="preserve"> Produit 3.2 : Les opportunités agro-sylvo pastorales et économiques en faveur des jeunes et des femmes sont développées autour des zones d’orpaillages et permettent une participation accrue aux efforts de prévention et gestion des conflits</t>
  </si>
  <si>
    <t>Soutenir l’identification, la mise en place et le fonctionnement des groupements d’intérêts économiques (GIE) qui font partie des groupements et associations des jeunes ou femmes dans les zones transfrontalières couvertes par le projet avec les activités agro-sylvo-pastorales et économiques dans les zones d’exploitations d’orpaillages. Le diagnostic DSL élargi à l’économique, axé sur le développement économique local/DEL Focus pour les différents groupes économiques (PME locales, GIE, groupements de femmes) et aussi le renforcement des IMF locales. Assurer une intégration dans les PDL/PDSEC de la prise en compte dans la planification locale pour une pérennisation.</t>
  </si>
  <si>
    <t>Recipient Agency 5</t>
  </si>
  <si>
    <t>Organisation recipiendiaire 5 (budget en USD)</t>
  </si>
  <si>
    <t>UNODC GUINEE</t>
  </si>
  <si>
    <t>Organisation recipiendiaire 6 (budget en USD)</t>
  </si>
  <si>
    <t>UNODC MALI</t>
  </si>
  <si>
    <t>Organisation recipiendiaire 5</t>
  </si>
  <si>
    <t>Organisation recipiendiaire 6</t>
  </si>
  <si>
    <t>Recipient Agency 6</t>
  </si>
  <si>
    <t>Développer des activités génératrices de revenu (AGRs) en faveur des groupes de jeunes ou femmes avec les activités agro-sylvo-pastorales dans les zones d’exploitations d’orpaillages. Cela permet de réduire les conflits liés aux ressources et d’établir la paix à travers le tissu économique local (plus d’opportunités crées) et il y aura moins de pression sur lesdites ressources</t>
  </si>
  <si>
    <t xml:space="preserve">  Soutenir l’organisation d’un forum transfrontalier sur le contenu local et l’investissement en faveur des jeunes et des femmes. Cet évènement impliquera notamment les autorités administratives et locales, les sociétés minières, les Partenaires Techniques et Financiers (PTF) </t>
  </si>
  <si>
    <t>UNFPA</t>
  </si>
  <si>
    <t>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</si>
</sst>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1" formatCode="_-* #,##0_-;\-* #,##0_-;_-* &quot;-&quot;_-;_-@_-"/>
    <numFmt numFmtId="43" formatCode="_-* #,##0.00_-;\-* #,##0.00_-;_-* &quot;-&quot;??_-;_-@_-"/>
    <numFmt numFmtId="164" formatCode="&quot;$&quot;#,##0.00_);[Red]\(&quot;$&quot;#,##0.00\)"/>
    <numFmt numFmtId="165" formatCode="_(&quot;$&quot;* #,##0.00_);_(&quot;$&quot;* \(#,##0.00\);_(&quot;$&quot;* &quot;-&quot;??_);_(@_)"/>
    <numFmt numFmtId="166" formatCode="_-* #,##0.00\ _F_G_-;\-* #,##0.00\ _F_G_-;_-* &quot;-&quot;??\ _F_G_-;_-@_-"/>
    <numFmt numFmtId="167" formatCode="_-* #,##0.00\ _€_-;\-* #,##0.00\ _€_-;_-* &quot;-&quot;??\ _€_-;_-@_-"/>
  </numFmts>
  <fonts count="26" x14ac:knownFonts="1">
    <font>
      <sz val="11"/>
      <color theme="1"/>
      <name val="Calibri"/>
      <family val="2"/>
      <scheme val="minor"/>
    </font>
    <font>
      <sz val="12"/>
      <color theme="1"/>
      <name val="Calibri"/>
      <family val="2"/>
      <scheme val="minor"/>
    </font>
    <font>
      <b/>
      <sz val="12"/>
      <color theme="1"/>
      <name val="Calibri"/>
      <family val="2"/>
      <scheme val="minor"/>
    </font>
    <font>
      <b/>
      <sz val="11"/>
      <color theme="1"/>
      <name val="Calibri"/>
      <family val="2"/>
      <scheme val="minor"/>
    </font>
    <font>
      <b/>
      <sz val="16"/>
      <color theme="1"/>
      <name val="Calibri"/>
      <family val="2"/>
      <scheme val="minor"/>
    </font>
    <font>
      <sz val="11"/>
      <color theme="1"/>
      <name val="Calibri"/>
      <family val="2"/>
      <scheme val="minor"/>
    </font>
    <font>
      <sz val="12"/>
      <color theme="1"/>
      <name val="Calibri"/>
      <family val="2"/>
      <scheme val="minor"/>
    </font>
    <font>
      <sz val="12"/>
      <color theme="1"/>
      <name val="Calibri"/>
      <family val="2"/>
    </font>
    <font>
      <b/>
      <sz val="12"/>
      <color theme="1"/>
      <name val="Calibri"/>
      <family val="2"/>
    </font>
    <font>
      <sz val="11"/>
      <color rgb="FFFF0000"/>
      <name val="Calibri"/>
      <family val="2"/>
      <scheme val="minor"/>
    </font>
    <font>
      <b/>
      <sz val="28"/>
      <color theme="1"/>
      <name val="Calibri"/>
      <family val="2"/>
      <scheme val="minor"/>
    </font>
    <font>
      <sz val="16"/>
      <color theme="1"/>
      <name val="Calibri"/>
      <family val="2"/>
      <scheme val="minor"/>
    </font>
    <font>
      <b/>
      <sz val="20"/>
      <color theme="1"/>
      <name val="Calibri"/>
      <family val="2"/>
      <scheme val="minor"/>
    </font>
    <font>
      <b/>
      <sz val="36"/>
      <color theme="1"/>
      <name val="Calibri"/>
      <family val="2"/>
      <scheme val="minor"/>
    </font>
    <font>
      <sz val="36"/>
      <color theme="1"/>
      <name val="Calibri"/>
      <family val="2"/>
      <scheme val="minor"/>
    </font>
    <font>
      <sz val="9"/>
      <color theme="1"/>
      <name val="Calibri"/>
      <family val="2"/>
      <scheme val="minor"/>
    </font>
    <font>
      <sz val="11"/>
      <name val="Calibri"/>
      <family val="2"/>
      <scheme val="minor"/>
    </font>
    <font>
      <b/>
      <sz val="36"/>
      <color rgb="FF00B0F0"/>
      <name val="Calibri"/>
      <family val="2"/>
      <scheme val="minor"/>
    </font>
    <font>
      <b/>
      <sz val="16"/>
      <color rgb="FFFF0000"/>
      <name val="Calibri"/>
      <family val="2"/>
      <scheme val="minor"/>
    </font>
    <font>
      <b/>
      <sz val="12"/>
      <color rgb="FF00B0F0"/>
      <name val="Calibri"/>
      <family val="2"/>
      <scheme val="minor"/>
    </font>
    <font>
      <sz val="12"/>
      <name val="Calibri"/>
      <family val="2"/>
      <scheme val="minor"/>
    </font>
    <font>
      <b/>
      <sz val="26"/>
      <color theme="1"/>
      <name val="Calibri"/>
      <family val="2"/>
      <scheme val="minor"/>
    </font>
    <font>
      <sz val="12"/>
      <color rgb="FF000000"/>
      <name val="Calibri"/>
      <family val="2"/>
    </font>
    <font>
      <b/>
      <sz val="24"/>
      <color rgb="FF00B0F0"/>
      <name val="Calibri"/>
      <family val="2"/>
      <scheme val="minor"/>
    </font>
    <font>
      <sz val="8"/>
      <name val="Calibri"/>
      <family val="2"/>
      <scheme val="minor"/>
    </font>
    <font>
      <b/>
      <sz val="14"/>
      <color theme="1"/>
      <name val="Calibri"/>
      <family val="2"/>
      <scheme val="minor"/>
    </font>
  </fonts>
  <fills count="1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2" tint="-9.9978637043366805E-2"/>
        <bgColor indexed="64"/>
      </patternFill>
    </fill>
    <fill>
      <patternFill patternType="solid">
        <fgColor theme="7" tint="0.39997558519241921"/>
        <bgColor indexed="64"/>
      </patternFill>
    </fill>
    <fill>
      <patternFill patternType="solid">
        <fgColor theme="2"/>
        <bgColor indexed="64"/>
      </patternFill>
    </fill>
    <fill>
      <patternFill patternType="solid">
        <fgColor theme="8" tint="0.79998168889431442"/>
        <bgColor indexed="64"/>
      </patternFill>
    </fill>
    <fill>
      <patternFill patternType="solid">
        <fgColor theme="5" tint="0.59999389629810485"/>
        <bgColor indexed="64"/>
      </patternFill>
    </fill>
    <fill>
      <patternFill patternType="solid">
        <fgColor theme="4" tint="0.39997558519241921"/>
        <bgColor indexed="64"/>
      </patternFill>
    </fill>
    <fill>
      <patternFill patternType="solid">
        <fgColor theme="7" tint="0.59999389629810485"/>
        <bgColor indexed="64"/>
      </patternFill>
    </fill>
    <fill>
      <patternFill patternType="solid">
        <fgColor theme="9" tint="0.39997558519241921"/>
        <bgColor indexed="64"/>
      </patternFill>
    </fill>
    <fill>
      <patternFill patternType="solid">
        <fgColor rgb="FFFBB7E9"/>
        <bgColor indexed="64"/>
      </patternFill>
    </fill>
    <fill>
      <patternFill patternType="solid">
        <fgColor theme="5" tint="0.39997558519241921"/>
        <bgColor indexed="64"/>
      </patternFill>
    </fill>
    <fill>
      <patternFill patternType="solid">
        <fgColor rgb="FF00B0F0"/>
        <bgColor indexed="64"/>
      </patternFill>
    </fill>
  </fills>
  <borders count="56">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ck">
        <color indexed="64"/>
      </right>
      <top style="medium">
        <color indexed="64"/>
      </top>
      <bottom/>
      <diagonal/>
    </border>
    <border>
      <left/>
      <right style="thick">
        <color indexed="64"/>
      </right>
      <top/>
      <bottom/>
      <diagonal/>
    </border>
    <border>
      <left/>
      <right style="thick">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medium">
        <color indexed="64"/>
      </left>
      <right style="thin">
        <color indexed="64"/>
      </right>
      <top style="medium">
        <color indexed="64"/>
      </top>
      <bottom style="medium">
        <color indexed="64"/>
      </bottom>
      <diagonal/>
    </border>
  </borders>
  <cellStyleXfs count="5">
    <xf numFmtId="0" fontId="0" fillId="0" borderId="0"/>
    <xf numFmtId="165" fontId="5" fillId="0" borderId="0" applyFont="0" applyFill="0" applyBorder="0" applyAlignment="0" applyProtection="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cellStyleXfs>
  <cellXfs count="381">
    <xf numFmtId="0" fontId="0" fillId="0" borderId="0" xfId="0"/>
    <xf numFmtId="0" fontId="2" fillId="0" borderId="0" xfId="0" applyFont="1" applyAlignment="1">
      <alignment vertical="center" wrapText="1"/>
    </xf>
    <xf numFmtId="0" fontId="2" fillId="0" borderId="0" xfId="0" applyFont="1" applyAlignment="1" applyProtection="1">
      <alignment vertical="center" wrapText="1"/>
      <protection locked="0"/>
    </xf>
    <xf numFmtId="0" fontId="7" fillId="0" borderId="0" xfId="0" applyFont="1" applyAlignment="1">
      <alignment vertical="center" wrapText="1"/>
    </xf>
    <xf numFmtId="0" fontId="2" fillId="3" borderId="0" xfId="0" applyFont="1" applyFill="1" applyAlignment="1">
      <alignment vertical="center" wrapText="1"/>
    </xf>
    <xf numFmtId="165" fontId="2" fillId="0" borderId="0" xfId="0" applyNumberFormat="1" applyFont="1" applyAlignment="1">
      <alignment vertical="center" wrapText="1"/>
    </xf>
    <xf numFmtId="0" fontId="2" fillId="2" borderId="12" xfId="0" applyFont="1" applyFill="1" applyBorder="1" applyAlignment="1">
      <alignment vertical="center" wrapText="1"/>
    </xf>
    <xf numFmtId="0" fontId="2" fillId="3" borderId="0" xfId="0" applyFont="1" applyFill="1" applyAlignment="1" applyProtection="1">
      <alignment vertical="center" wrapText="1"/>
      <protection locked="0"/>
    </xf>
    <xf numFmtId="165" fontId="2" fillId="2" borderId="3" xfId="1" applyFont="1" applyFill="1" applyBorder="1" applyAlignment="1" applyProtection="1">
      <alignment horizontal="center" vertical="center" wrapText="1"/>
    </xf>
    <xf numFmtId="0" fontId="8" fillId="2" borderId="8" xfId="0" applyFont="1" applyFill="1" applyBorder="1" applyAlignment="1">
      <alignment vertical="center" wrapText="1"/>
    </xf>
    <xf numFmtId="165" fontId="8" fillId="3" borderId="0" xfId="1" applyFont="1" applyFill="1" applyBorder="1" applyAlignment="1" applyProtection="1">
      <alignment vertical="center" wrapText="1"/>
    </xf>
    <xf numFmtId="165" fontId="2" fillId="2" borderId="5" xfId="1" applyFont="1" applyFill="1" applyBorder="1" applyAlignment="1" applyProtection="1">
      <alignment horizontal="center" vertical="center" wrapText="1"/>
    </xf>
    <xf numFmtId="165" fontId="2" fillId="2" borderId="3" xfId="1" applyFont="1" applyFill="1" applyBorder="1" applyAlignment="1">
      <alignment vertical="center" wrapText="1"/>
    </xf>
    <xf numFmtId="0" fontId="2" fillId="2" borderId="3" xfId="0" applyFont="1" applyFill="1" applyBorder="1" applyAlignment="1">
      <alignment horizontal="center" vertical="center" wrapText="1"/>
    </xf>
    <xf numFmtId="0" fontId="2" fillId="2" borderId="8" xfId="0" applyFont="1" applyFill="1" applyBorder="1" applyAlignment="1">
      <alignment vertical="center" wrapText="1"/>
    </xf>
    <xf numFmtId="0" fontId="2" fillId="2" borderId="8"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8" fillId="2" borderId="8" xfId="0" applyFont="1" applyFill="1" applyBorder="1" applyAlignment="1" applyProtection="1">
      <alignment vertical="center" wrapText="1"/>
      <protection locked="0"/>
    </xf>
    <xf numFmtId="165" fontId="2" fillId="3" borderId="0" xfId="0" applyNumberFormat="1" applyFont="1" applyFill="1" applyAlignment="1">
      <alignment vertical="center" wrapText="1"/>
    </xf>
    <xf numFmtId="0" fontId="0" fillId="3" borderId="0" xfId="0" applyFill="1" applyAlignment="1">
      <alignment horizontal="center" vertical="center" wrapText="1"/>
    </xf>
    <xf numFmtId="0" fontId="13" fillId="0" borderId="0" xfId="0" applyFont="1" applyAlignment="1">
      <alignment wrapText="1"/>
    </xf>
    <xf numFmtId="0" fontId="14" fillId="0" borderId="0" xfId="0" applyFont="1" applyAlignment="1">
      <alignment wrapText="1"/>
    </xf>
    <xf numFmtId="0" fontId="0" fillId="0" borderId="0" xfId="0" applyAlignment="1">
      <alignment wrapText="1"/>
    </xf>
    <xf numFmtId="0" fontId="0" fillId="3" borderId="0" xfId="0" applyFill="1" applyAlignment="1">
      <alignment wrapText="1"/>
    </xf>
    <xf numFmtId="0" fontId="2" fillId="0" borderId="0" xfId="0" applyFont="1" applyAlignment="1">
      <alignment wrapText="1"/>
    </xf>
    <xf numFmtId="0" fontId="3" fillId="0" borderId="0" xfId="0" applyFont="1" applyAlignment="1">
      <alignment wrapText="1"/>
    </xf>
    <xf numFmtId="0" fontId="0" fillId="0" borderId="0" xfId="0" applyAlignment="1">
      <alignment horizontal="center" wrapText="1"/>
    </xf>
    <xf numFmtId="0" fontId="2" fillId="0" borderId="0" xfId="0" applyFont="1" applyAlignment="1">
      <alignment horizontal="center" vertical="center" wrapText="1"/>
    </xf>
    <xf numFmtId="9" fontId="2" fillId="3" borderId="0" xfId="2" applyFont="1" applyFill="1" applyBorder="1" applyAlignment="1">
      <alignment wrapText="1"/>
    </xf>
    <xf numFmtId="0" fontId="3" fillId="3" borderId="0" xfId="0" applyFont="1" applyFill="1" applyAlignment="1">
      <alignment horizontal="center" vertical="center" wrapText="1"/>
    </xf>
    <xf numFmtId="165" fontId="2" fillId="3" borderId="0" xfId="2" applyNumberFormat="1" applyFont="1" applyFill="1" applyBorder="1" applyAlignment="1">
      <alignment wrapText="1"/>
    </xf>
    <xf numFmtId="0" fontId="2" fillId="3" borderId="0" xfId="0" applyFont="1" applyFill="1" applyAlignment="1">
      <alignment horizontal="left" wrapText="1"/>
    </xf>
    <xf numFmtId="0" fontId="7" fillId="2" borderId="3" xfId="0" applyFont="1" applyFill="1" applyBorder="1" applyAlignment="1">
      <alignment vertical="center" wrapText="1"/>
    </xf>
    <xf numFmtId="0" fontId="7" fillId="2" borderId="3" xfId="0" applyFont="1" applyFill="1" applyBorder="1" applyAlignment="1" applyProtection="1">
      <alignment vertical="center" wrapText="1"/>
      <protection locked="0"/>
    </xf>
    <xf numFmtId="0" fontId="6" fillId="0" borderId="0" xfId="0" applyFont="1" applyAlignment="1">
      <alignment wrapText="1"/>
    </xf>
    <xf numFmtId="0" fontId="6" fillId="3" borderId="0" xfId="0" applyFont="1" applyFill="1" applyAlignment="1">
      <alignment wrapText="1"/>
    </xf>
    <xf numFmtId="165" fontId="2" fillId="4" borderId="3" xfId="1" applyFont="1" applyFill="1" applyBorder="1" applyAlignment="1" applyProtection="1">
      <alignment wrapText="1"/>
    </xf>
    <xf numFmtId="165" fontId="2" fillId="0" borderId="0" xfId="0" applyNumberFormat="1" applyFont="1" applyAlignment="1">
      <alignment wrapText="1"/>
    </xf>
    <xf numFmtId="165" fontId="7" fillId="0" borderId="0" xfId="1" applyFont="1" applyFill="1" applyBorder="1" applyAlignment="1">
      <alignment horizontal="right" vertical="center" wrapText="1"/>
    </xf>
    <xf numFmtId="0" fontId="2" fillId="2" borderId="38" xfId="0" applyFont="1" applyFill="1" applyBorder="1" applyAlignment="1">
      <alignment horizontal="center" wrapText="1"/>
    </xf>
    <xf numFmtId="0" fontId="7" fillId="2" borderId="38" xfId="0" applyFont="1" applyFill="1" applyBorder="1" applyAlignment="1">
      <alignment vertical="center" wrapText="1"/>
    </xf>
    <xf numFmtId="0" fontId="2" fillId="2" borderId="13" xfId="0" applyFont="1" applyFill="1" applyBorder="1" applyAlignment="1">
      <alignment horizontal="left" wrapText="1"/>
    </xf>
    <xf numFmtId="165" fontId="2" fillId="2" borderId="13" xfId="0" applyNumberFormat="1" applyFont="1" applyFill="1" applyBorder="1" applyAlignment="1">
      <alignment wrapText="1"/>
    </xf>
    <xf numFmtId="165" fontId="2" fillId="3" borderId="4" xfId="1" applyFont="1" applyFill="1" applyBorder="1" applyAlignment="1" applyProtection="1">
      <alignment wrapText="1"/>
    </xf>
    <xf numFmtId="165" fontId="2" fillId="3" borderId="1" xfId="1" applyFont="1" applyFill="1" applyBorder="1" applyAlignment="1">
      <alignment wrapText="1"/>
    </xf>
    <xf numFmtId="165" fontId="2" fillId="3" borderId="2" xfId="0" applyNumberFormat="1" applyFont="1" applyFill="1" applyBorder="1" applyAlignment="1">
      <alignment wrapText="1"/>
    </xf>
    <xf numFmtId="165" fontId="2" fillId="3" borderId="1" xfId="1" applyFont="1" applyFill="1" applyBorder="1" applyAlignment="1" applyProtection="1">
      <alignment wrapText="1"/>
    </xf>
    <xf numFmtId="165" fontId="2" fillId="2" borderId="37" xfId="0" applyNumberFormat="1" applyFont="1" applyFill="1" applyBorder="1" applyAlignment="1">
      <alignment wrapText="1"/>
    </xf>
    <xf numFmtId="0" fontId="2" fillId="2" borderId="11" xfId="0" applyFont="1" applyFill="1" applyBorder="1" applyAlignment="1">
      <alignment horizontal="center" wrapText="1"/>
    </xf>
    <xf numFmtId="0" fontId="6" fillId="0" borderId="0" xfId="0" applyFont="1"/>
    <xf numFmtId="0" fontId="15" fillId="0" borderId="0" xfId="0" applyFont="1"/>
    <xf numFmtId="49" fontId="0" fillId="0" borderId="0" xfId="0" applyNumberFormat="1"/>
    <xf numFmtId="0" fontId="15" fillId="0" borderId="0" xfId="0" applyFont="1" applyAlignment="1">
      <alignment vertical="center"/>
    </xf>
    <xf numFmtId="49" fontId="16" fillId="0" borderId="0" xfId="0" applyNumberFormat="1" applyFont="1" applyAlignment="1">
      <alignment horizontal="left"/>
    </xf>
    <xf numFmtId="49" fontId="16" fillId="0" borderId="0" xfId="0" applyNumberFormat="1" applyFont="1" applyAlignment="1">
      <alignment horizontal="left" wrapText="1"/>
    </xf>
    <xf numFmtId="0" fontId="3" fillId="2" borderId="3" xfId="0" applyFont="1" applyFill="1" applyBorder="1"/>
    <xf numFmtId="9" fontId="0" fillId="2" borderId="3" xfId="2" applyFont="1" applyFill="1" applyBorder="1" applyAlignment="1">
      <alignment vertical="center"/>
    </xf>
    <xf numFmtId="0" fontId="2" fillId="6" borderId="3" xfId="0" applyFont="1" applyFill="1" applyBorder="1" applyAlignment="1">
      <alignment vertical="center" wrapText="1"/>
    </xf>
    <xf numFmtId="0" fontId="2" fillId="2" borderId="3" xfId="0" applyFont="1" applyFill="1" applyBorder="1" applyAlignment="1">
      <alignment vertical="center" wrapText="1"/>
    </xf>
    <xf numFmtId="165" fontId="2" fillId="2" borderId="4" xfId="1" applyFont="1" applyFill="1" applyBorder="1" applyAlignment="1" applyProtection="1">
      <alignment vertical="center" wrapText="1"/>
    </xf>
    <xf numFmtId="165" fontId="2" fillId="2" borderId="13" xfId="1" applyFont="1" applyFill="1" applyBorder="1" applyAlignment="1" applyProtection="1">
      <alignment vertical="center" wrapText="1"/>
    </xf>
    <xf numFmtId="9" fontId="2" fillId="2" borderId="14" xfId="2" applyFont="1" applyFill="1" applyBorder="1" applyAlignment="1" applyProtection="1">
      <alignment vertical="center" wrapText="1"/>
    </xf>
    <xf numFmtId="0" fontId="3" fillId="2" borderId="27" xfId="0" applyFont="1" applyFill="1" applyBorder="1" applyAlignment="1">
      <alignment horizontal="left" vertical="center" wrapText="1"/>
    </xf>
    <xf numFmtId="165" fontId="2" fillId="2" borderId="16" xfId="0" applyNumberFormat="1" applyFont="1" applyFill="1" applyBorder="1" applyAlignment="1">
      <alignment vertical="center" wrapText="1"/>
    </xf>
    <xf numFmtId="0" fontId="3" fillId="2" borderId="8" xfId="0" applyFont="1" applyFill="1" applyBorder="1" applyAlignment="1">
      <alignment horizontal="left" vertical="center" wrapText="1"/>
    </xf>
    <xf numFmtId="165" fontId="2" fillId="2" borderId="9" xfId="2" applyNumberFormat="1" applyFont="1" applyFill="1" applyBorder="1" applyAlignment="1" applyProtection="1">
      <alignment wrapText="1"/>
    </xf>
    <xf numFmtId="165" fontId="2" fillId="2" borderId="14" xfId="1" applyFont="1" applyFill="1" applyBorder="1" applyAlignment="1" applyProtection="1">
      <alignment vertical="center" wrapText="1"/>
    </xf>
    <xf numFmtId="0" fontId="2" fillId="2" borderId="38" xfId="0" applyFont="1" applyFill="1" applyBorder="1" applyAlignment="1">
      <alignment vertical="center" wrapText="1"/>
    </xf>
    <xf numFmtId="0" fontId="2" fillId="4" borderId="3" xfId="0" applyFont="1" applyFill="1" applyBorder="1" applyAlignment="1" applyProtection="1">
      <alignment vertical="center" wrapText="1"/>
      <protection locked="0"/>
    </xf>
    <xf numFmtId="0" fontId="2" fillId="2" borderId="34" xfId="0" applyFont="1" applyFill="1" applyBorder="1" applyAlignment="1">
      <alignment vertical="center" wrapText="1"/>
    </xf>
    <xf numFmtId="165" fontId="2" fillId="2" borderId="39" xfId="1" applyFont="1" applyFill="1" applyBorder="1" applyAlignment="1" applyProtection="1">
      <alignment vertical="center" wrapText="1"/>
    </xf>
    <xf numFmtId="165" fontId="2" fillId="4" borderId="3" xfId="1" applyFont="1" applyFill="1" applyBorder="1" applyAlignment="1" applyProtection="1">
      <alignment vertical="center" wrapText="1"/>
    </xf>
    <xf numFmtId="165" fontId="2" fillId="3" borderId="1" xfId="0" applyNumberFormat="1" applyFont="1" applyFill="1" applyBorder="1" applyAlignment="1">
      <alignment wrapText="1"/>
    </xf>
    <xf numFmtId="0" fontId="2" fillId="2" borderId="31" xfId="0" applyFont="1" applyFill="1" applyBorder="1" applyAlignment="1">
      <alignment wrapText="1"/>
    </xf>
    <xf numFmtId="9" fontId="2" fillId="3" borderId="9" xfId="2" applyFont="1" applyFill="1" applyBorder="1" applyAlignment="1" applyProtection="1">
      <alignment vertical="center" wrapText="1"/>
      <protection locked="0"/>
    </xf>
    <xf numFmtId="9" fontId="2" fillId="3" borderId="30" xfId="2" applyFont="1" applyFill="1" applyBorder="1" applyAlignment="1" applyProtection="1">
      <alignment vertical="center" wrapText="1"/>
      <protection locked="0"/>
    </xf>
    <xf numFmtId="9" fontId="2" fillId="3" borderId="30" xfId="2" applyFont="1" applyFill="1" applyBorder="1" applyAlignment="1" applyProtection="1">
      <alignment horizontal="right" vertical="center" wrapText="1"/>
      <protection locked="0"/>
    </xf>
    <xf numFmtId="9" fontId="0" fillId="0" borderId="0" xfId="2" applyFont="1"/>
    <xf numFmtId="165" fontId="2" fillId="4" borderId="5" xfId="1" applyFont="1" applyFill="1" applyBorder="1" applyAlignment="1" applyProtection="1">
      <alignment wrapText="1"/>
    </xf>
    <xf numFmtId="0" fontId="19" fillId="0" borderId="0" xfId="0" applyFont="1" applyAlignment="1">
      <alignment wrapText="1"/>
    </xf>
    <xf numFmtId="0" fontId="8" fillId="2" borderId="49" xfId="0" applyFont="1" applyFill="1" applyBorder="1" applyAlignment="1">
      <alignment vertical="center" wrapText="1"/>
    </xf>
    <xf numFmtId="0" fontId="8" fillId="2" borderId="50" xfId="0" applyFont="1" applyFill="1" applyBorder="1" applyAlignment="1">
      <alignment vertical="center" wrapText="1"/>
    </xf>
    <xf numFmtId="0" fontId="8" fillId="2" borderId="50" xfId="0" applyFont="1" applyFill="1" applyBorder="1" applyAlignment="1" applyProtection="1">
      <alignment vertical="center" wrapText="1"/>
      <protection locked="0"/>
    </xf>
    <xf numFmtId="0" fontId="2" fillId="2" borderId="10" xfId="0" applyFont="1" applyFill="1" applyBorder="1" applyAlignment="1">
      <alignment horizontal="center" wrapText="1"/>
    </xf>
    <xf numFmtId="0" fontId="3" fillId="2" borderId="22" xfId="0" applyFont="1" applyFill="1" applyBorder="1" applyAlignment="1">
      <alignment wrapText="1"/>
    </xf>
    <xf numFmtId="0" fontId="0" fillId="2" borderId="22" xfId="0" applyFill="1" applyBorder="1" applyAlignment="1">
      <alignment wrapText="1"/>
    </xf>
    <xf numFmtId="0" fontId="3" fillId="2" borderId="23" xfId="0" applyFont="1" applyFill="1" applyBorder="1" applyAlignment="1">
      <alignment wrapText="1"/>
    </xf>
    <xf numFmtId="0" fontId="3" fillId="2" borderId="6" xfId="0" applyFont="1" applyFill="1" applyBorder="1" applyAlignment="1">
      <alignment horizontal="center" vertical="center"/>
    </xf>
    <xf numFmtId="0" fontId="3" fillId="2" borderId="22" xfId="0" applyFont="1" applyFill="1" applyBorder="1" applyAlignment="1">
      <alignment vertical="center" wrapText="1"/>
    </xf>
    <xf numFmtId="165" fontId="2" fillId="2" borderId="12" xfId="1" applyFont="1" applyFill="1" applyBorder="1" applyAlignment="1" applyProtection="1">
      <alignment wrapText="1"/>
    </xf>
    <xf numFmtId="0" fontId="8" fillId="2" borderId="34" xfId="0" applyFont="1" applyFill="1" applyBorder="1" applyAlignment="1">
      <alignment vertical="center" wrapText="1"/>
    </xf>
    <xf numFmtId="10" fontId="2" fillId="2" borderId="9" xfId="2" applyNumberFormat="1" applyFont="1" applyFill="1" applyBorder="1" applyAlignment="1" applyProtection="1">
      <alignment wrapText="1"/>
    </xf>
    <xf numFmtId="165" fontId="2" fillId="3" borderId="0" xfId="1" applyFont="1" applyFill="1" applyBorder="1" applyAlignment="1" applyProtection="1">
      <alignment vertical="center" wrapText="1"/>
      <protection locked="0"/>
    </xf>
    <xf numFmtId="165" fontId="0" fillId="0" borderId="0" xfId="1" applyFont="1" applyBorder="1" applyAlignment="1">
      <alignment wrapText="1"/>
    </xf>
    <xf numFmtId="165" fontId="2" fillId="3" borderId="0" xfId="1" applyFont="1" applyFill="1" applyBorder="1" applyAlignment="1">
      <alignment vertical="center" wrapText="1"/>
    </xf>
    <xf numFmtId="165" fontId="2" fillId="3" borderId="0" xfId="1" applyFont="1" applyFill="1" applyBorder="1" applyAlignment="1" applyProtection="1">
      <alignment horizontal="center" vertical="center" wrapText="1"/>
    </xf>
    <xf numFmtId="165" fontId="2" fillId="3" borderId="0" xfId="1" applyFont="1" applyFill="1" applyBorder="1" applyAlignment="1" applyProtection="1">
      <alignment horizontal="right" vertical="center" wrapText="1"/>
      <protection locked="0"/>
    </xf>
    <xf numFmtId="165" fontId="2" fillId="3" borderId="0" xfId="1" applyFont="1" applyFill="1" applyBorder="1" applyAlignment="1" applyProtection="1">
      <alignment vertical="center" wrapText="1"/>
    </xf>
    <xf numFmtId="165" fontId="2" fillId="0" borderId="0" xfId="1" applyFont="1" applyFill="1" applyBorder="1" applyAlignment="1">
      <alignment vertical="center" wrapText="1"/>
    </xf>
    <xf numFmtId="165" fontId="0" fillId="0" borderId="0" xfId="1" applyFont="1" applyFill="1" applyBorder="1" applyAlignment="1">
      <alignment wrapText="1"/>
    </xf>
    <xf numFmtId="165" fontId="14" fillId="0" borderId="0" xfId="1" applyFont="1" applyBorder="1" applyAlignment="1">
      <alignment wrapText="1"/>
    </xf>
    <xf numFmtId="0" fontId="1" fillId="2" borderId="8" xfId="0" applyFont="1" applyFill="1" applyBorder="1" applyAlignment="1">
      <alignment vertical="center" wrapText="1"/>
    </xf>
    <xf numFmtId="165" fontId="2" fillId="2" borderId="27" xfId="0" applyNumberFormat="1" applyFont="1" applyFill="1" applyBorder="1" applyAlignment="1">
      <alignment vertical="center" wrapText="1"/>
    </xf>
    <xf numFmtId="165" fontId="0" fillId="2" borderId="16" xfId="1" applyFont="1" applyFill="1" applyBorder="1" applyAlignment="1">
      <alignment vertical="center" wrapText="1"/>
    </xf>
    <xf numFmtId="0" fontId="0" fillId="2" borderId="12" xfId="0" applyFill="1" applyBorder="1" applyAlignment="1">
      <alignment wrapText="1"/>
    </xf>
    <xf numFmtId="0" fontId="17" fillId="0" borderId="0" xfId="0" applyFont="1" applyAlignment="1">
      <alignment horizontal="left" vertical="top" wrapText="1"/>
    </xf>
    <xf numFmtId="165" fontId="2" fillId="2" borderId="9" xfId="2" applyNumberFormat="1" applyFont="1" applyFill="1" applyBorder="1" applyAlignment="1">
      <alignment vertical="center" wrapText="1"/>
    </xf>
    <xf numFmtId="0" fontId="2" fillId="2" borderId="35" xfId="0" applyFont="1" applyFill="1" applyBorder="1" applyAlignment="1">
      <alignment horizontal="center" vertical="center" wrapText="1"/>
    </xf>
    <xf numFmtId="9" fontId="2" fillId="2" borderId="35" xfId="2" applyFont="1" applyFill="1" applyBorder="1" applyAlignment="1">
      <alignment vertical="center" wrapText="1"/>
    </xf>
    <xf numFmtId="165" fontId="3" fillId="2" borderId="13" xfId="0" applyNumberFormat="1" applyFont="1" applyFill="1" applyBorder="1"/>
    <xf numFmtId="0" fontId="12" fillId="3" borderId="0" xfId="0" applyFont="1" applyFill="1" applyAlignment="1">
      <alignment horizontal="left" wrapText="1"/>
    </xf>
    <xf numFmtId="0" fontId="1" fillId="2" borderId="3" xfId="0" applyFont="1" applyFill="1" applyBorder="1" applyAlignment="1">
      <alignment horizontal="center" vertical="center" wrapText="1"/>
    </xf>
    <xf numFmtId="165" fontId="1" fillId="2" borderId="3" xfId="1" applyFont="1" applyFill="1" applyBorder="1" applyAlignment="1" applyProtection="1">
      <alignment horizontal="center" vertical="center" wrapText="1"/>
    </xf>
    <xf numFmtId="0" fontId="1" fillId="0" borderId="3" xfId="0" applyFont="1" applyBorder="1" applyAlignment="1" applyProtection="1">
      <alignment horizontal="left" vertical="top" wrapText="1"/>
      <protection locked="0"/>
    </xf>
    <xf numFmtId="165" fontId="1" fillId="0" borderId="3" xfId="1" applyFont="1" applyBorder="1" applyAlignment="1" applyProtection="1">
      <alignment horizontal="center" vertical="center" wrapText="1"/>
      <protection locked="0"/>
    </xf>
    <xf numFmtId="9" fontId="1" fillId="0" borderId="3" xfId="2" applyFont="1" applyBorder="1" applyAlignment="1" applyProtection="1">
      <alignment horizontal="center" vertical="center" wrapText="1"/>
      <protection locked="0"/>
    </xf>
    <xf numFmtId="49" fontId="1" fillId="0" borderId="3" xfId="1" applyNumberFormat="1" applyFont="1" applyBorder="1" applyAlignment="1" applyProtection="1">
      <alignment horizontal="left" wrapText="1"/>
      <protection locked="0"/>
    </xf>
    <xf numFmtId="165" fontId="1" fillId="3" borderId="3" xfId="1" applyFont="1" applyFill="1" applyBorder="1" applyAlignment="1" applyProtection="1">
      <alignment horizontal="center" vertical="center" wrapText="1"/>
      <protection locked="0"/>
    </xf>
    <xf numFmtId="49" fontId="1" fillId="3" borderId="3" xfId="1" applyNumberFormat="1" applyFont="1" applyFill="1" applyBorder="1" applyAlignment="1" applyProtection="1">
      <alignment horizontal="left" wrapText="1"/>
      <protection locked="0"/>
    </xf>
    <xf numFmtId="0" fontId="1" fillId="3" borderId="0" xfId="0" applyFont="1" applyFill="1" applyAlignment="1" applyProtection="1">
      <alignment vertical="center" wrapText="1"/>
      <protection locked="0"/>
    </xf>
    <xf numFmtId="165" fontId="1" fillId="3" borderId="0" xfId="1" applyFont="1" applyFill="1" applyBorder="1" applyAlignment="1" applyProtection="1">
      <alignment vertical="center" wrapText="1"/>
      <protection locked="0"/>
    </xf>
    <xf numFmtId="0" fontId="1" fillId="3" borderId="3" xfId="0" applyFont="1" applyFill="1" applyBorder="1" applyAlignment="1" applyProtection="1">
      <alignment vertical="center" wrapText="1"/>
      <protection locked="0"/>
    </xf>
    <xf numFmtId="165" fontId="1" fillId="0" borderId="3" xfId="1" applyFont="1" applyBorder="1" applyAlignment="1" applyProtection="1">
      <alignment vertical="center" wrapText="1"/>
      <protection locked="0"/>
    </xf>
    <xf numFmtId="165" fontId="1" fillId="2" borderId="3" xfId="1" applyFont="1" applyFill="1" applyBorder="1" applyAlignment="1" applyProtection="1">
      <alignment vertical="center" wrapText="1"/>
    </xf>
    <xf numFmtId="49" fontId="1" fillId="0" borderId="3" xfId="0" applyNumberFormat="1" applyFont="1" applyBorder="1" applyAlignment="1" applyProtection="1">
      <alignment horizontal="left" wrapText="1"/>
      <protection locked="0"/>
    </xf>
    <xf numFmtId="0" fontId="1" fillId="3" borderId="0" xfId="0" applyFont="1" applyFill="1" applyAlignment="1">
      <alignment vertical="center" wrapText="1"/>
    </xf>
    <xf numFmtId="165" fontId="1" fillId="2" borderId="9" xfId="0" applyNumberFormat="1" applyFont="1" applyFill="1" applyBorder="1" applyAlignment="1">
      <alignment vertical="center" wrapText="1"/>
    </xf>
    <xf numFmtId="0" fontId="1" fillId="0" borderId="0" xfId="0" applyFont="1" applyAlignment="1" applyProtection="1">
      <alignment vertical="center" wrapText="1"/>
      <protection locked="0"/>
    </xf>
    <xf numFmtId="165" fontId="1" fillId="0" borderId="0" xfId="1" applyFont="1" applyFill="1" applyBorder="1" applyAlignment="1" applyProtection="1">
      <alignment vertical="center" wrapText="1"/>
      <protection locked="0"/>
    </xf>
    <xf numFmtId="0" fontId="1" fillId="0" borderId="0" xfId="0" applyFont="1" applyAlignment="1">
      <alignment vertical="center" wrapText="1"/>
    </xf>
    <xf numFmtId="0" fontId="1" fillId="0" borderId="0" xfId="0" applyFont="1" applyAlignment="1">
      <alignment wrapText="1"/>
    </xf>
    <xf numFmtId="0" fontId="1" fillId="3" borderId="0" xfId="0" applyFont="1" applyFill="1" applyAlignment="1">
      <alignment wrapText="1"/>
    </xf>
    <xf numFmtId="0" fontId="1" fillId="0" borderId="4" xfId="0" applyFont="1" applyBorder="1" applyAlignment="1">
      <alignment wrapText="1"/>
    </xf>
    <xf numFmtId="0" fontId="1" fillId="3" borderId="1" xfId="0" applyFont="1" applyFill="1" applyBorder="1" applyAlignment="1">
      <alignment wrapText="1"/>
    </xf>
    <xf numFmtId="0" fontId="1" fillId="0" borderId="2" xfId="0" applyFont="1" applyBorder="1" applyAlignment="1">
      <alignment wrapText="1"/>
    </xf>
    <xf numFmtId="165" fontId="1" fillId="3" borderId="0" xfId="1" applyFont="1" applyFill="1" applyBorder="1" applyAlignment="1" applyProtection="1">
      <alignment vertical="center" wrapText="1"/>
    </xf>
    <xf numFmtId="165" fontId="1" fillId="3" borderId="0" xfId="0" applyNumberFormat="1" applyFont="1" applyFill="1" applyAlignment="1">
      <alignment vertical="center" wrapText="1"/>
    </xf>
    <xf numFmtId="0" fontId="1" fillId="3" borderId="0" xfId="0" applyFont="1" applyFill="1" applyAlignment="1">
      <alignment horizontal="center" vertical="center" wrapText="1"/>
    </xf>
    <xf numFmtId="0" fontId="1" fillId="0" borderId="0" xfId="0" applyFont="1"/>
    <xf numFmtId="165" fontId="1" fillId="2" borderId="27" xfId="1" applyFont="1" applyFill="1" applyBorder="1" applyAlignment="1" applyProtection="1">
      <alignment wrapText="1"/>
    </xf>
    <xf numFmtId="165" fontId="1" fillId="2" borderId="8" xfId="1" applyFont="1" applyFill="1" applyBorder="1" applyAlignment="1" applyProtection="1">
      <alignment wrapText="1"/>
    </xf>
    <xf numFmtId="0" fontId="1" fillId="0" borderId="0" xfId="0" applyFont="1" applyAlignment="1">
      <alignment horizontal="justify" vertical="center"/>
    </xf>
    <xf numFmtId="0" fontId="7" fillId="0" borderId="0" xfId="0" applyFont="1" applyAlignment="1">
      <alignment horizontal="justify" vertical="center"/>
    </xf>
    <xf numFmtId="0" fontId="2" fillId="8" borderId="3" xfId="0" applyFont="1" applyFill="1" applyBorder="1" applyAlignment="1" applyProtection="1">
      <alignment horizontal="center" vertical="center" wrapText="1"/>
      <protection locked="0"/>
    </xf>
    <xf numFmtId="165" fontId="1" fillId="8" borderId="3" xfId="1" applyFont="1" applyFill="1" applyBorder="1" applyAlignment="1" applyProtection="1">
      <alignment horizontal="center" vertical="center" wrapText="1"/>
      <protection locked="0"/>
    </xf>
    <xf numFmtId="165" fontId="2" fillId="8" borderId="3" xfId="1" applyFont="1" applyFill="1" applyBorder="1" applyAlignment="1" applyProtection="1">
      <alignment horizontal="center" vertical="center" wrapText="1"/>
    </xf>
    <xf numFmtId="165" fontId="2" fillId="8" borderId="5" xfId="1" applyFont="1" applyFill="1" applyBorder="1" applyAlignment="1" applyProtection="1">
      <alignment horizontal="center" vertical="center" wrapText="1"/>
    </xf>
    <xf numFmtId="165" fontId="1" fillId="8" borderId="3" xfId="1" applyFont="1" applyFill="1" applyBorder="1" applyAlignment="1" applyProtection="1">
      <alignment vertical="center" wrapText="1"/>
      <protection locked="0"/>
    </xf>
    <xf numFmtId="165" fontId="2" fillId="8" borderId="3" xfId="1" applyFont="1" applyFill="1" applyBorder="1" applyAlignment="1" applyProtection="1">
      <alignment vertical="center" wrapText="1"/>
    </xf>
    <xf numFmtId="0" fontId="2" fillId="8" borderId="3" xfId="1" applyNumberFormat="1" applyFont="1" applyFill="1" applyBorder="1" applyAlignment="1" applyProtection="1">
      <alignment horizontal="center" vertical="center" wrapText="1"/>
    </xf>
    <xf numFmtId="165" fontId="1" fillId="8" borderId="3" xfId="0" applyNumberFormat="1" applyFont="1" applyFill="1" applyBorder="1" applyAlignment="1">
      <alignment vertical="center" wrapText="1"/>
    </xf>
    <xf numFmtId="165" fontId="2" fillId="8" borderId="13" xfId="1" applyFont="1" applyFill="1" applyBorder="1" applyAlignment="1" applyProtection="1">
      <alignment vertical="center" wrapText="1"/>
    </xf>
    <xf numFmtId="0" fontId="2" fillId="9" borderId="3" xfId="0" applyFont="1" applyFill="1" applyBorder="1" applyAlignment="1" applyProtection="1">
      <alignment horizontal="center" vertical="center" wrapText="1"/>
      <protection locked="0"/>
    </xf>
    <xf numFmtId="165" fontId="1" fillId="9" borderId="3" xfId="1" applyFont="1" applyFill="1" applyBorder="1" applyAlignment="1" applyProtection="1">
      <alignment horizontal="center" vertical="center" wrapText="1"/>
      <protection locked="0"/>
    </xf>
    <xf numFmtId="165" fontId="2" fillId="9" borderId="5" xfId="1" applyFont="1" applyFill="1" applyBorder="1" applyAlignment="1" applyProtection="1">
      <alignment horizontal="center" vertical="center" wrapText="1"/>
    </xf>
    <xf numFmtId="165" fontId="2" fillId="9" borderId="3" xfId="1" applyFont="1" applyFill="1" applyBorder="1" applyAlignment="1" applyProtection="1">
      <alignment horizontal="center" vertical="center" wrapText="1"/>
    </xf>
    <xf numFmtId="165" fontId="1" fillId="9" borderId="3" xfId="1" applyFont="1" applyFill="1" applyBorder="1" applyAlignment="1" applyProtection="1">
      <alignment vertical="center" wrapText="1"/>
      <protection locked="0"/>
    </xf>
    <xf numFmtId="165" fontId="2" fillId="9" borderId="3" xfId="1" applyFont="1" applyFill="1" applyBorder="1" applyAlignment="1" applyProtection="1">
      <alignment vertical="center" wrapText="1"/>
    </xf>
    <xf numFmtId="0" fontId="2" fillId="9" borderId="3" xfId="1" applyNumberFormat="1" applyFont="1" applyFill="1" applyBorder="1" applyAlignment="1" applyProtection="1">
      <alignment horizontal="center" vertical="center" wrapText="1"/>
    </xf>
    <xf numFmtId="165" fontId="1" fillId="9" borderId="3" xfId="0" applyNumberFormat="1" applyFont="1" applyFill="1" applyBorder="1" applyAlignment="1">
      <alignment vertical="center" wrapText="1"/>
    </xf>
    <xf numFmtId="165" fontId="2" fillId="9" borderId="13" xfId="1" applyFont="1" applyFill="1" applyBorder="1" applyAlignment="1" applyProtection="1">
      <alignment vertical="center" wrapText="1"/>
    </xf>
    <xf numFmtId="0" fontId="2" fillId="9" borderId="3" xfId="0" applyFont="1" applyFill="1" applyBorder="1" applyAlignment="1">
      <alignment horizontal="center" vertical="center" wrapText="1"/>
    </xf>
    <xf numFmtId="165" fontId="2" fillId="9" borderId="4" xfId="1" applyFont="1" applyFill="1" applyBorder="1" applyAlignment="1" applyProtection="1">
      <alignment vertical="center" wrapText="1"/>
    </xf>
    <xf numFmtId="0" fontId="2" fillId="8" borderId="3" xfId="0" applyFont="1" applyFill="1" applyBorder="1" applyAlignment="1">
      <alignment horizontal="center" vertical="center" wrapText="1"/>
    </xf>
    <xf numFmtId="0" fontId="2" fillId="10" borderId="3" xfId="0" applyFont="1" applyFill="1" applyBorder="1" applyAlignment="1" applyProtection="1">
      <alignment horizontal="center" vertical="center" wrapText="1"/>
      <protection locked="0"/>
    </xf>
    <xf numFmtId="165" fontId="1" fillId="10" borderId="3" xfId="1" applyFont="1" applyFill="1" applyBorder="1" applyAlignment="1" applyProtection="1">
      <alignment horizontal="center" vertical="center" wrapText="1"/>
      <protection locked="0"/>
    </xf>
    <xf numFmtId="165" fontId="2" fillId="10" borderId="3" xfId="1" applyFont="1" applyFill="1" applyBorder="1" applyAlignment="1" applyProtection="1">
      <alignment horizontal="center" vertical="center" wrapText="1"/>
    </xf>
    <xf numFmtId="165" fontId="2" fillId="10" borderId="5" xfId="1" applyFont="1" applyFill="1" applyBorder="1" applyAlignment="1" applyProtection="1">
      <alignment horizontal="center" vertical="center" wrapText="1"/>
    </xf>
    <xf numFmtId="165" fontId="1" fillId="10" borderId="3" xfId="1" applyFont="1" applyFill="1" applyBorder="1" applyAlignment="1" applyProtection="1">
      <alignment vertical="center" wrapText="1"/>
      <protection locked="0"/>
    </xf>
    <xf numFmtId="165" fontId="2" fillId="10" borderId="3" xfId="1" applyFont="1" applyFill="1" applyBorder="1" applyAlignment="1" applyProtection="1">
      <alignment vertical="center" wrapText="1"/>
    </xf>
    <xf numFmtId="0" fontId="2" fillId="10" borderId="3" xfId="1" applyNumberFormat="1" applyFont="1" applyFill="1" applyBorder="1" applyAlignment="1" applyProtection="1">
      <alignment horizontal="center" vertical="center" wrapText="1"/>
    </xf>
    <xf numFmtId="165" fontId="1" fillId="10" borderId="3" xfId="0" applyNumberFormat="1" applyFont="1" applyFill="1" applyBorder="1" applyAlignment="1">
      <alignment vertical="center" wrapText="1"/>
    </xf>
    <xf numFmtId="165" fontId="2" fillId="10" borderId="13" xfId="1" applyFont="1" applyFill="1" applyBorder="1" applyAlignment="1" applyProtection="1">
      <alignment vertical="center" wrapText="1"/>
    </xf>
    <xf numFmtId="0" fontId="2" fillId="10" borderId="3" xfId="0" applyFont="1" applyFill="1" applyBorder="1" applyAlignment="1">
      <alignment horizontal="center" vertical="center" wrapText="1"/>
    </xf>
    <xf numFmtId="165" fontId="2" fillId="10" borderId="4" xfId="1" applyFont="1" applyFill="1" applyBorder="1" applyAlignment="1" applyProtection="1">
      <alignment vertical="center" wrapText="1"/>
    </xf>
    <xf numFmtId="0" fontId="2" fillId="11" borderId="3" xfId="0" applyFont="1" applyFill="1" applyBorder="1" applyAlignment="1" applyProtection="1">
      <alignment horizontal="center" vertical="center" wrapText="1"/>
      <protection locked="0"/>
    </xf>
    <xf numFmtId="165" fontId="1" fillId="11" borderId="3" xfId="1" applyFont="1" applyFill="1" applyBorder="1" applyAlignment="1" applyProtection="1">
      <alignment horizontal="center" vertical="center" wrapText="1"/>
      <protection locked="0"/>
    </xf>
    <xf numFmtId="165" fontId="2" fillId="11" borderId="3" xfId="1" applyFont="1" applyFill="1" applyBorder="1" applyAlignment="1" applyProtection="1">
      <alignment horizontal="center" vertical="center" wrapText="1"/>
    </xf>
    <xf numFmtId="165" fontId="2" fillId="11" borderId="5" xfId="1" applyFont="1" applyFill="1" applyBorder="1" applyAlignment="1" applyProtection="1">
      <alignment horizontal="center" vertical="center" wrapText="1"/>
    </xf>
    <xf numFmtId="165" fontId="1" fillId="11" borderId="3" xfId="1" applyFont="1" applyFill="1" applyBorder="1" applyAlignment="1" applyProtection="1">
      <alignment vertical="center" wrapText="1"/>
      <protection locked="0"/>
    </xf>
    <xf numFmtId="0" fontId="2" fillId="11" borderId="3" xfId="1" applyNumberFormat="1" applyFont="1" applyFill="1" applyBorder="1" applyAlignment="1" applyProtection="1">
      <alignment horizontal="center" vertical="center" wrapText="1"/>
    </xf>
    <xf numFmtId="165" fontId="1" fillId="11" borderId="3" xfId="0" applyNumberFormat="1" applyFont="1" applyFill="1" applyBorder="1" applyAlignment="1">
      <alignment vertical="center" wrapText="1"/>
    </xf>
    <xf numFmtId="165" fontId="2" fillId="11" borderId="13" xfId="1" applyFont="1" applyFill="1" applyBorder="1" applyAlignment="1" applyProtection="1">
      <alignment vertical="center" wrapText="1"/>
    </xf>
    <xf numFmtId="0" fontId="2" fillId="11" borderId="3" xfId="0" applyFont="1" applyFill="1" applyBorder="1" applyAlignment="1">
      <alignment horizontal="center" vertical="center" wrapText="1"/>
    </xf>
    <xf numFmtId="165" fontId="2" fillId="11" borderId="4" xfId="1" applyFont="1" applyFill="1" applyBorder="1" applyAlignment="1" applyProtection="1">
      <alignment vertical="center" wrapText="1"/>
    </xf>
    <xf numFmtId="0" fontId="2" fillId="12" borderId="3" xfId="0" applyFont="1" applyFill="1" applyBorder="1" applyAlignment="1" applyProtection="1">
      <alignment horizontal="center" vertical="center" wrapText="1"/>
      <protection locked="0"/>
    </xf>
    <xf numFmtId="165" fontId="1" fillId="12" borderId="3" xfId="1" applyFont="1" applyFill="1" applyBorder="1" applyAlignment="1" applyProtection="1">
      <alignment horizontal="center" vertical="center" wrapText="1"/>
      <protection locked="0"/>
    </xf>
    <xf numFmtId="165" fontId="2" fillId="12" borderId="3" xfId="1" applyFont="1" applyFill="1" applyBorder="1" applyAlignment="1" applyProtection="1">
      <alignment horizontal="center" vertical="center" wrapText="1"/>
    </xf>
    <xf numFmtId="165" fontId="2" fillId="12" borderId="5" xfId="1" applyFont="1" applyFill="1" applyBorder="1" applyAlignment="1" applyProtection="1">
      <alignment horizontal="center" vertical="center" wrapText="1"/>
    </xf>
    <xf numFmtId="165" fontId="1" fillId="12" borderId="3" xfId="1" applyFont="1" applyFill="1" applyBorder="1" applyAlignment="1" applyProtection="1">
      <alignment vertical="center" wrapText="1"/>
      <protection locked="0"/>
    </xf>
    <xf numFmtId="165" fontId="2" fillId="12" borderId="3" xfId="1" applyFont="1" applyFill="1" applyBorder="1" applyAlignment="1" applyProtection="1">
      <alignment vertical="center" wrapText="1"/>
    </xf>
    <xf numFmtId="0" fontId="2" fillId="12" borderId="3" xfId="1" applyNumberFormat="1" applyFont="1" applyFill="1" applyBorder="1" applyAlignment="1" applyProtection="1">
      <alignment horizontal="center" vertical="center" wrapText="1"/>
    </xf>
    <xf numFmtId="165" fontId="1" fillId="12" borderId="3" xfId="0" applyNumberFormat="1" applyFont="1" applyFill="1" applyBorder="1" applyAlignment="1">
      <alignment vertical="center" wrapText="1"/>
    </xf>
    <xf numFmtId="165" fontId="2" fillId="12" borderId="13" xfId="1" applyFont="1" applyFill="1" applyBorder="1" applyAlignment="1" applyProtection="1">
      <alignment vertical="center" wrapText="1"/>
    </xf>
    <xf numFmtId="0" fontId="2" fillId="12" borderId="3" xfId="0" applyFont="1" applyFill="1" applyBorder="1" applyAlignment="1">
      <alignment horizontal="center" vertical="center" wrapText="1"/>
    </xf>
    <xf numFmtId="165" fontId="2" fillId="12" borderId="4" xfId="1" applyFont="1" applyFill="1" applyBorder="1" applyAlignment="1" applyProtection="1">
      <alignment vertical="center" wrapText="1"/>
    </xf>
    <xf numFmtId="0" fontId="1" fillId="3" borderId="5" xfId="0" applyFont="1" applyFill="1" applyBorder="1" applyAlignment="1" applyProtection="1">
      <alignment vertical="center" wrapText="1"/>
      <protection locked="0"/>
    </xf>
    <xf numFmtId="3" fontId="20" fillId="0" borderId="3" xfId="0" applyNumberFormat="1" applyFont="1" applyBorder="1" applyAlignment="1">
      <alignment vertical="center" wrapText="1"/>
    </xf>
    <xf numFmtId="0" fontId="1" fillId="3" borderId="55" xfId="0" applyFont="1" applyFill="1" applyBorder="1" applyAlignment="1" applyProtection="1">
      <alignment vertical="center" wrapText="1"/>
      <protection locked="0"/>
    </xf>
    <xf numFmtId="3" fontId="20" fillId="0" borderId="0" xfId="0" applyNumberFormat="1" applyFont="1" applyAlignment="1">
      <alignment vertical="center" wrapText="1"/>
    </xf>
    <xf numFmtId="0" fontId="2" fillId="3" borderId="3" xfId="0" applyFont="1" applyFill="1" applyBorder="1" applyAlignment="1">
      <alignment vertical="center" wrapText="1"/>
    </xf>
    <xf numFmtId="0" fontId="1" fillId="0" borderId="3" xfId="0" applyFont="1" applyBorder="1" applyAlignment="1">
      <alignment wrapText="1"/>
    </xf>
    <xf numFmtId="0" fontId="1" fillId="0" borderId="3" xfId="0" applyFont="1" applyBorder="1" applyAlignment="1">
      <alignment horizontal="left" vertical="top" wrapText="1"/>
    </xf>
    <xf numFmtId="166" fontId="1" fillId="3" borderId="0" xfId="0" applyNumberFormat="1" applyFont="1" applyFill="1" applyAlignment="1" applyProtection="1">
      <alignment vertical="center" wrapText="1"/>
      <protection locked="0"/>
    </xf>
    <xf numFmtId="166" fontId="0" fillId="0" borderId="0" xfId="0" applyNumberFormat="1" applyAlignment="1">
      <alignment wrapText="1"/>
    </xf>
    <xf numFmtId="165" fontId="2" fillId="3" borderId="3" xfId="1" applyFont="1" applyFill="1" applyBorder="1" applyAlignment="1" applyProtection="1">
      <alignment horizontal="center" vertical="center" wrapText="1"/>
    </xf>
    <xf numFmtId="0" fontId="0" fillId="0" borderId="2" xfId="0" applyBorder="1" applyAlignment="1">
      <alignment wrapText="1"/>
    </xf>
    <xf numFmtId="0" fontId="0" fillId="0" borderId="0" xfId="0" applyBorder="1" applyAlignment="1">
      <alignment wrapText="1"/>
    </xf>
    <xf numFmtId="0" fontId="17" fillId="0" borderId="0" xfId="0" applyFont="1" applyAlignment="1">
      <alignment horizontal="left" vertical="top" wrapText="1"/>
    </xf>
    <xf numFmtId="165" fontId="25" fillId="2" borderId="33" xfId="0" applyNumberFormat="1" applyFont="1" applyFill="1" applyBorder="1" applyAlignment="1">
      <alignment wrapText="1"/>
    </xf>
    <xf numFmtId="0" fontId="2" fillId="13" borderId="3" xfId="1" applyNumberFormat="1" applyFont="1" applyFill="1" applyBorder="1" applyAlignment="1" applyProtection="1">
      <alignment horizontal="center" vertical="center" wrapText="1"/>
    </xf>
    <xf numFmtId="165" fontId="2" fillId="13" borderId="13" xfId="0" applyNumberFormat="1" applyFont="1" applyFill="1" applyBorder="1" applyAlignment="1">
      <alignment horizontal="center" wrapText="1"/>
    </xf>
    <xf numFmtId="165" fontId="1" fillId="13" borderId="38" xfId="0" applyNumberFormat="1" applyFont="1" applyFill="1" applyBorder="1" applyAlignment="1" applyProtection="1">
      <alignment wrapText="1"/>
      <protection locked="0"/>
    </xf>
    <xf numFmtId="165" fontId="1" fillId="13" borderId="3" xfId="0" applyNumberFormat="1" applyFont="1" applyFill="1" applyBorder="1" applyAlignment="1" applyProtection="1">
      <alignment wrapText="1"/>
      <protection locked="0"/>
    </xf>
    <xf numFmtId="165" fontId="2" fillId="13" borderId="3" xfId="1" applyFont="1" applyFill="1" applyBorder="1" applyAlignment="1">
      <alignment wrapText="1"/>
    </xf>
    <xf numFmtId="165" fontId="2" fillId="13" borderId="5" xfId="1" applyFont="1" applyFill="1" applyBorder="1" applyAlignment="1">
      <alignment wrapText="1"/>
    </xf>
    <xf numFmtId="165" fontId="2" fillId="13" borderId="3" xfId="1" applyFont="1" applyFill="1" applyBorder="1" applyAlignment="1" applyProtection="1">
      <alignment horizontal="center" vertical="center" wrapText="1"/>
    </xf>
    <xf numFmtId="0" fontId="2" fillId="13" borderId="3" xfId="0" applyFont="1" applyFill="1" applyBorder="1" applyAlignment="1">
      <alignment horizontal="center" wrapText="1"/>
    </xf>
    <xf numFmtId="165" fontId="1" fillId="13" borderId="38" xfId="0" applyNumberFormat="1" applyFont="1" applyFill="1" applyBorder="1" applyAlignment="1">
      <alignment wrapText="1"/>
    </xf>
    <xf numFmtId="165" fontId="1" fillId="13" borderId="3" xfId="0" applyNumberFormat="1" applyFont="1" applyFill="1" applyBorder="1" applyAlignment="1">
      <alignment wrapText="1"/>
    </xf>
    <xf numFmtId="165" fontId="1" fillId="13" borderId="13" xfId="0" applyNumberFormat="1" applyFont="1" applyFill="1" applyBorder="1" applyAlignment="1">
      <alignment wrapText="1"/>
    </xf>
    <xf numFmtId="165" fontId="2" fillId="13" borderId="32" xfId="0" applyNumberFormat="1" applyFont="1" applyFill="1" applyBorder="1" applyAlignment="1">
      <alignment wrapText="1"/>
    </xf>
    <xf numFmtId="165" fontId="2" fillId="9" borderId="13" xfId="0" applyNumberFormat="1" applyFont="1" applyFill="1" applyBorder="1" applyAlignment="1">
      <alignment horizontal="center" wrapText="1"/>
    </xf>
    <xf numFmtId="165" fontId="1" fillId="9" borderId="38" xfId="1" applyFont="1" applyFill="1" applyBorder="1" applyAlignment="1" applyProtection="1">
      <alignment horizontal="center" vertical="center" wrapText="1"/>
      <protection locked="0"/>
    </xf>
    <xf numFmtId="165" fontId="1" fillId="9" borderId="3" xfId="0" applyNumberFormat="1" applyFont="1" applyFill="1" applyBorder="1" applyAlignment="1" applyProtection="1">
      <alignment wrapText="1"/>
      <protection locked="0"/>
    </xf>
    <xf numFmtId="165" fontId="2" fillId="9" borderId="3" xfId="1" applyFont="1" applyFill="1" applyBorder="1" applyAlignment="1">
      <alignment wrapText="1"/>
    </xf>
    <xf numFmtId="165" fontId="2" fillId="9" borderId="5" xfId="1" applyFont="1" applyFill="1" applyBorder="1" applyAlignment="1">
      <alignment wrapText="1"/>
    </xf>
    <xf numFmtId="0" fontId="2" fillId="9" borderId="3" xfId="0" applyFont="1" applyFill="1" applyBorder="1" applyAlignment="1">
      <alignment horizontal="center" wrapText="1"/>
    </xf>
    <xf numFmtId="165" fontId="1" fillId="9" borderId="38" xfId="0" applyNumberFormat="1" applyFont="1" applyFill="1" applyBorder="1" applyAlignment="1">
      <alignment wrapText="1"/>
    </xf>
    <xf numFmtId="165" fontId="1" fillId="9" borderId="3" xfId="0" applyNumberFormat="1" applyFont="1" applyFill="1" applyBorder="1" applyAlignment="1">
      <alignment wrapText="1"/>
    </xf>
    <xf numFmtId="165" fontId="1" fillId="9" borderId="13" xfId="0" applyNumberFormat="1" applyFont="1" applyFill="1" applyBorder="1" applyAlignment="1">
      <alignment wrapText="1"/>
    </xf>
    <xf numFmtId="165" fontId="2" fillId="9" borderId="32" xfId="0" applyNumberFormat="1" applyFont="1" applyFill="1" applyBorder="1" applyAlignment="1">
      <alignment wrapText="1"/>
    </xf>
    <xf numFmtId="165" fontId="2" fillId="10" borderId="13" xfId="0" applyNumberFormat="1" applyFont="1" applyFill="1" applyBorder="1" applyAlignment="1">
      <alignment horizontal="center" wrapText="1"/>
    </xf>
    <xf numFmtId="165" fontId="1" fillId="10" borderId="38" xfId="1" applyFont="1" applyFill="1" applyBorder="1" applyAlignment="1" applyProtection="1">
      <alignment horizontal="center" vertical="center" wrapText="1"/>
      <protection locked="0"/>
    </xf>
    <xf numFmtId="165" fontId="1" fillId="10" borderId="3" xfId="0" applyNumberFormat="1" applyFont="1" applyFill="1" applyBorder="1" applyAlignment="1" applyProtection="1">
      <alignment wrapText="1"/>
      <protection locked="0"/>
    </xf>
    <xf numFmtId="165" fontId="2" fillId="10" borderId="3" xfId="1" applyFont="1" applyFill="1" applyBorder="1" applyAlignment="1">
      <alignment wrapText="1"/>
    </xf>
    <xf numFmtId="165" fontId="2" fillId="10" borderId="5" xfId="1" applyFont="1" applyFill="1" applyBorder="1" applyAlignment="1">
      <alignment wrapText="1"/>
    </xf>
    <xf numFmtId="165" fontId="2" fillId="10" borderId="3" xfId="0" applyNumberFormat="1" applyFont="1" applyFill="1" applyBorder="1" applyAlignment="1" applyProtection="1">
      <alignment wrapText="1"/>
      <protection locked="0"/>
    </xf>
    <xf numFmtId="0" fontId="2" fillId="10" borderId="3" xfId="0" applyFont="1" applyFill="1" applyBorder="1" applyAlignment="1">
      <alignment horizontal="center" wrapText="1"/>
    </xf>
    <xf numFmtId="165" fontId="1" fillId="10" borderId="38" xfId="0" applyNumberFormat="1" applyFont="1" applyFill="1" applyBorder="1" applyAlignment="1">
      <alignment wrapText="1"/>
    </xf>
    <xf numFmtId="165" fontId="1" fillId="10" borderId="3" xfId="0" applyNumberFormat="1" applyFont="1" applyFill="1" applyBorder="1" applyAlignment="1">
      <alignment wrapText="1"/>
    </xf>
    <xf numFmtId="165" fontId="1" fillId="10" borderId="13" xfId="0" applyNumberFormat="1" applyFont="1" applyFill="1" applyBorder="1" applyAlignment="1">
      <alignment wrapText="1"/>
    </xf>
    <xf numFmtId="165" fontId="2" fillId="10" borderId="32" xfId="0" applyNumberFormat="1" applyFont="1" applyFill="1" applyBorder="1" applyAlignment="1">
      <alignment wrapText="1"/>
    </xf>
    <xf numFmtId="165" fontId="2" fillId="11" borderId="13" xfId="0" applyNumberFormat="1" applyFont="1" applyFill="1" applyBorder="1" applyAlignment="1">
      <alignment horizontal="center" wrapText="1"/>
    </xf>
    <xf numFmtId="165" fontId="1" fillId="11" borderId="38" xfId="1" applyFont="1" applyFill="1" applyBorder="1" applyAlignment="1" applyProtection="1">
      <alignment horizontal="center" vertical="center" wrapText="1"/>
      <protection locked="0"/>
    </xf>
    <xf numFmtId="165" fontId="1" fillId="11" borderId="3" xfId="0" applyNumberFormat="1" applyFont="1" applyFill="1" applyBorder="1" applyAlignment="1" applyProtection="1">
      <alignment wrapText="1"/>
      <protection locked="0"/>
    </xf>
    <xf numFmtId="165" fontId="2" fillId="11" borderId="3" xfId="1" applyFont="1" applyFill="1" applyBorder="1" applyAlignment="1">
      <alignment wrapText="1"/>
    </xf>
    <xf numFmtId="165" fontId="2" fillId="11" borderId="5" xfId="1" applyFont="1" applyFill="1" applyBorder="1" applyAlignment="1">
      <alignment wrapText="1"/>
    </xf>
    <xf numFmtId="0" fontId="2" fillId="11" borderId="3" xfId="0" applyFont="1" applyFill="1" applyBorder="1" applyAlignment="1">
      <alignment horizontal="center" wrapText="1"/>
    </xf>
    <xf numFmtId="165" fontId="1" fillId="11" borderId="38" xfId="0" applyNumberFormat="1" applyFont="1" applyFill="1" applyBorder="1" applyAlignment="1">
      <alignment wrapText="1"/>
    </xf>
    <xf numFmtId="165" fontId="1" fillId="11" borderId="3" xfId="0" applyNumberFormat="1" applyFont="1" applyFill="1" applyBorder="1" applyAlignment="1">
      <alignment wrapText="1"/>
    </xf>
    <xf numFmtId="165" fontId="1" fillId="11" borderId="13" xfId="0" applyNumberFormat="1" applyFont="1" applyFill="1" applyBorder="1" applyAlignment="1">
      <alignment wrapText="1"/>
    </xf>
    <xf numFmtId="165" fontId="2" fillId="11" borderId="32" xfId="0" applyNumberFormat="1" applyFont="1" applyFill="1" applyBorder="1" applyAlignment="1">
      <alignment wrapText="1"/>
    </xf>
    <xf numFmtId="165" fontId="2" fillId="12" borderId="13" xfId="0" applyNumberFormat="1" applyFont="1" applyFill="1" applyBorder="1" applyAlignment="1">
      <alignment horizontal="center" wrapText="1"/>
    </xf>
    <xf numFmtId="165" fontId="1" fillId="12" borderId="38" xfId="1" applyFont="1" applyFill="1" applyBorder="1" applyAlignment="1" applyProtection="1">
      <alignment horizontal="center" vertical="center" wrapText="1"/>
      <protection locked="0"/>
    </xf>
    <xf numFmtId="165" fontId="1" fillId="12" borderId="3" xfId="0" applyNumberFormat="1" applyFont="1" applyFill="1" applyBorder="1" applyAlignment="1" applyProtection="1">
      <alignment wrapText="1"/>
      <protection locked="0"/>
    </xf>
    <xf numFmtId="165" fontId="2" fillId="12" borderId="3" xfId="1" applyFont="1" applyFill="1" applyBorder="1" applyAlignment="1">
      <alignment wrapText="1"/>
    </xf>
    <xf numFmtId="165" fontId="2" fillId="12" borderId="5" xfId="1" applyFont="1" applyFill="1" applyBorder="1" applyAlignment="1">
      <alignment wrapText="1"/>
    </xf>
    <xf numFmtId="164" fontId="1" fillId="12" borderId="3" xfId="0" applyNumberFormat="1" applyFont="1" applyFill="1" applyBorder="1" applyAlignment="1" applyProtection="1">
      <alignment wrapText="1"/>
      <protection locked="0"/>
    </xf>
    <xf numFmtId="0" fontId="2" fillId="12" borderId="3" xfId="0" applyFont="1" applyFill="1" applyBorder="1" applyAlignment="1">
      <alignment horizontal="center" wrapText="1"/>
    </xf>
    <xf numFmtId="165" fontId="1" fillId="12" borderId="38" xfId="0" applyNumberFormat="1" applyFont="1" applyFill="1" applyBorder="1" applyAlignment="1">
      <alignment wrapText="1"/>
    </xf>
    <xf numFmtId="165" fontId="1" fillId="12" borderId="3" xfId="0" applyNumberFormat="1" applyFont="1" applyFill="1" applyBorder="1" applyAlignment="1">
      <alignment wrapText="1"/>
    </xf>
    <xf numFmtId="165" fontId="1" fillId="12" borderId="13" xfId="0" applyNumberFormat="1" applyFont="1" applyFill="1" applyBorder="1" applyAlignment="1">
      <alignment wrapText="1"/>
    </xf>
    <xf numFmtId="165" fontId="2" fillId="12" borderId="32" xfId="0" applyNumberFormat="1" applyFont="1" applyFill="1" applyBorder="1" applyAlignment="1">
      <alignment wrapText="1"/>
    </xf>
    <xf numFmtId="166" fontId="1" fillId="0" borderId="0" xfId="0" applyNumberFormat="1" applyFont="1" applyAlignment="1">
      <alignment wrapText="1"/>
    </xf>
    <xf numFmtId="166" fontId="1" fillId="3" borderId="0" xfId="0" applyNumberFormat="1" applyFont="1" applyFill="1" applyAlignment="1">
      <alignment wrapText="1"/>
    </xf>
    <xf numFmtId="0" fontId="22" fillId="0" borderId="3" xfId="0" applyFont="1" applyBorder="1" applyAlignment="1" applyProtection="1">
      <alignment horizontal="left" vertical="top" wrapText="1"/>
      <protection locked="0"/>
    </xf>
    <xf numFmtId="0" fontId="2" fillId="7" borderId="0" xfId="0" applyFont="1" applyFill="1" applyBorder="1" applyAlignment="1">
      <alignment horizontal="center" vertical="center"/>
    </xf>
    <xf numFmtId="0" fontId="0" fillId="0" borderId="3" xfId="0" applyBorder="1"/>
    <xf numFmtId="0" fontId="0" fillId="2" borderId="3" xfId="0" applyFill="1" applyBorder="1" applyAlignment="1">
      <alignment vertical="top" wrapText="1"/>
    </xf>
    <xf numFmtId="165" fontId="0" fillId="2" borderId="3" xfId="0" applyNumberFormat="1" applyFill="1" applyBorder="1" applyAlignment="1">
      <alignment vertical="center"/>
    </xf>
    <xf numFmtId="0" fontId="0" fillId="2" borderId="3" xfId="0" applyFill="1" applyBorder="1" applyAlignment="1">
      <alignment vertical="center" wrapText="1"/>
    </xf>
    <xf numFmtId="165" fontId="1" fillId="2" borderId="38" xfId="0" applyNumberFormat="1" applyFont="1" applyFill="1" applyBorder="1" applyAlignment="1">
      <alignment vertical="center" wrapText="1"/>
    </xf>
    <xf numFmtId="165" fontId="2" fillId="2" borderId="37" xfId="0" applyNumberFormat="1" applyFont="1" applyFill="1" applyBorder="1" applyAlignment="1">
      <alignment vertical="center" wrapText="1"/>
    </xf>
    <xf numFmtId="165" fontId="1" fillId="2" borderId="5" xfId="0" applyNumberFormat="1" applyFont="1" applyFill="1" applyBorder="1" applyAlignment="1">
      <alignment vertical="center" wrapText="1"/>
    </xf>
    <xf numFmtId="165" fontId="1" fillId="2" borderId="29" xfId="1" applyFont="1" applyFill="1" applyBorder="1" applyAlignment="1">
      <alignment vertical="center" wrapText="1"/>
    </xf>
    <xf numFmtId="165" fontId="1" fillId="2" borderId="16" xfId="0" applyNumberFormat="1" applyFont="1" applyFill="1" applyBorder="1" applyAlignment="1">
      <alignment vertical="center" wrapText="1"/>
    </xf>
    <xf numFmtId="165" fontId="2" fillId="2" borderId="9" xfId="1" applyFont="1" applyFill="1" applyBorder="1" applyAlignment="1">
      <alignment vertical="center" wrapText="1"/>
    </xf>
    <xf numFmtId="165" fontId="2" fillId="2" borderId="13" xfId="1" applyFont="1" applyFill="1" applyBorder="1" applyAlignment="1">
      <alignment vertical="center" wrapText="1"/>
    </xf>
    <xf numFmtId="165" fontId="2" fillId="2" borderId="14" xfId="1" applyFont="1" applyFill="1" applyBorder="1" applyAlignment="1">
      <alignment vertical="center" wrapText="1"/>
    </xf>
    <xf numFmtId="0" fontId="17" fillId="0" borderId="0" xfId="0" applyFont="1" applyAlignment="1">
      <alignment horizontal="left" vertical="top" wrapText="1"/>
    </xf>
    <xf numFmtId="41" fontId="2" fillId="3" borderId="0" xfId="3" applyFont="1" applyFill="1" applyBorder="1" applyAlignment="1">
      <alignment wrapText="1"/>
    </xf>
    <xf numFmtId="165" fontId="1" fillId="12" borderId="38" xfId="0" applyNumberFormat="1" applyFont="1" applyFill="1" applyBorder="1" applyAlignment="1" applyProtection="1">
      <alignment wrapText="1"/>
      <protection locked="0"/>
    </xf>
    <xf numFmtId="165" fontId="1" fillId="12" borderId="53" xfId="1" applyFont="1" applyFill="1" applyBorder="1" applyAlignment="1" applyProtection="1">
      <alignment horizontal="center" vertical="center" wrapText="1"/>
      <protection locked="0"/>
    </xf>
    <xf numFmtId="165" fontId="1" fillId="12" borderId="5" xfId="1" applyFont="1" applyFill="1" applyBorder="1" applyAlignment="1" applyProtection="1">
      <alignment horizontal="center" vertical="center" wrapText="1"/>
      <protection locked="0"/>
    </xf>
    <xf numFmtId="165" fontId="1" fillId="12" borderId="5" xfId="0" applyNumberFormat="1" applyFont="1" applyFill="1" applyBorder="1" applyAlignment="1" applyProtection="1">
      <alignment wrapText="1"/>
      <protection locked="0"/>
    </xf>
    <xf numFmtId="164" fontId="1" fillId="12" borderId="5" xfId="0" applyNumberFormat="1" applyFont="1" applyFill="1" applyBorder="1" applyAlignment="1" applyProtection="1">
      <alignment wrapText="1"/>
      <protection locked="0"/>
    </xf>
    <xf numFmtId="167" fontId="0" fillId="0" borderId="0" xfId="0" applyNumberFormat="1" applyAlignment="1">
      <alignment wrapText="1"/>
    </xf>
    <xf numFmtId="43" fontId="1" fillId="10" borderId="3" xfId="4" applyFont="1" applyFill="1" applyBorder="1" applyAlignment="1" applyProtection="1">
      <alignment horizontal="center" vertical="center" wrapText="1"/>
    </xf>
    <xf numFmtId="43" fontId="1" fillId="11" borderId="3" xfId="4" applyFont="1" applyFill="1" applyBorder="1" applyAlignment="1" applyProtection="1">
      <alignment horizontal="center" vertical="center" wrapText="1"/>
    </xf>
    <xf numFmtId="43" fontId="1" fillId="12" borderId="3" xfId="4" applyFont="1" applyFill="1" applyBorder="1" applyAlignment="1" applyProtection="1">
      <alignment horizontal="center" vertical="center" wrapText="1"/>
    </xf>
    <xf numFmtId="43" fontId="0" fillId="0" borderId="0" xfId="4" applyFont="1" applyAlignment="1">
      <alignment wrapText="1"/>
    </xf>
    <xf numFmtId="165" fontId="2" fillId="11" borderId="3" xfId="1" applyFont="1" applyFill="1" applyBorder="1" applyAlignment="1" applyProtection="1">
      <alignment vertical="center" wrapText="1"/>
    </xf>
    <xf numFmtId="167" fontId="1" fillId="3" borderId="0" xfId="0" applyNumberFormat="1" applyFont="1" applyFill="1" applyAlignment="1">
      <alignment wrapText="1"/>
    </xf>
    <xf numFmtId="165" fontId="1" fillId="14" borderId="3" xfId="1" applyFont="1" applyFill="1" applyBorder="1" applyAlignment="1" applyProtection="1">
      <alignment horizontal="center" vertical="center" wrapText="1"/>
      <protection locked="0"/>
    </xf>
    <xf numFmtId="165" fontId="2" fillId="14" borderId="3" xfId="1" applyFont="1" applyFill="1" applyBorder="1" applyAlignment="1" applyProtection="1">
      <alignment horizontal="center" vertical="center" wrapText="1"/>
    </xf>
    <xf numFmtId="165" fontId="1" fillId="14" borderId="3" xfId="1" applyFont="1" applyFill="1" applyBorder="1" applyAlignment="1" applyProtection="1">
      <alignment vertical="center" wrapText="1"/>
      <protection locked="0"/>
    </xf>
    <xf numFmtId="165" fontId="2" fillId="14" borderId="5" xfId="1" applyFont="1" applyFill="1" applyBorder="1" applyAlignment="1" applyProtection="1">
      <alignment horizontal="center" vertical="center" wrapText="1"/>
    </xf>
    <xf numFmtId="0" fontId="2" fillId="14" borderId="3" xfId="0" applyFont="1" applyFill="1" applyBorder="1" applyAlignment="1">
      <alignment horizontal="center" vertical="center" wrapText="1"/>
    </xf>
    <xf numFmtId="0" fontId="2" fillId="2" borderId="5" xfId="0" applyFont="1" applyFill="1" applyBorder="1" applyAlignment="1">
      <alignment horizontal="left" vertical="center" wrapText="1"/>
    </xf>
    <xf numFmtId="0" fontId="2" fillId="2" borderId="53" xfId="0" applyFont="1" applyFill="1" applyBorder="1" applyAlignment="1">
      <alignment horizontal="left" vertical="center" wrapText="1"/>
    </xf>
    <xf numFmtId="0" fontId="2" fillId="2" borderId="38" xfId="0" applyFont="1" applyFill="1" applyBorder="1" applyAlignment="1">
      <alignment horizontal="left" vertical="center" wrapText="1"/>
    </xf>
    <xf numFmtId="0" fontId="2" fillId="2" borderId="39" xfId="0" applyFont="1" applyFill="1" applyBorder="1" applyAlignment="1">
      <alignment horizontal="left" vertical="center" wrapText="1"/>
    </xf>
    <xf numFmtId="0" fontId="2" fillId="2" borderId="54" xfId="0" applyFont="1" applyFill="1" applyBorder="1" applyAlignment="1">
      <alignment horizontal="left" vertical="center" wrapText="1"/>
    </xf>
    <xf numFmtId="0" fontId="2" fillId="2" borderId="46" xfId="0" applyFont="1" applyFill="1" applyBorder="1" applyAlignment="1">
      <alignment horizontal="left" vertical="center" wrapText="1"/>
    </xf>
    <xf numFmtId="0" fontId="2" fillId="2" borderId="53" xfId="0" applyFont="1" applyFill="1" applyBorder="1" applyAlignment="1">
      <alignment horizontal="center" vertical="center" wrapText="1"/>
    </xf>
    <xf numFmtId="0" fontId="2" fillId="2" borderId="38" xfId="0" applyFont="1" applyFill="1" applyBorder="1" applyAlignment="1">
      <alignment horizontal="center" vertical="center" wrapText="1"/>
    </xf>
    <xf numFmtId="0" fontId="2" fillId="0" borderId="0" xfId="0" applyFont="1" applyAlignment="1">
      <alignment horizontal="center" vertical="center" wrapText="1"/>
    </xf>
    <xf numFmtId="0" fontId="2" fillId="2" borderId="27" xfId="0" applyFont="1" applyFill="1" applyBorder="1" applyAlignment="1">
      <alignment horizontal="center" vertical="center" wrapText="1"/>
    </xf>
    <xf numFmtId="0" fontId="2" fillId="2" borderId="29" xfId="0" applyFont="1" applyFill="1" applyBorder="1" applyAlignment="1">
      <alignment horizontal="center" vertical="center" wrapText="1"/>
    </xf>
    <xf numFmtId="0" fontId="2" fillId="2" borderId="36"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0" fillId="5" borderId="12" xfId="0" applyFill="1" applyBorder="1" applyAlignment="1">
      <alignment horizontal="center" vertical="center" wrapText="1"/>
    </xf>
    <xf numFmtId="0" fontId="0" fillId="5" borderId="14" xfId="0" applyFill="1" applyBorder="1" applyAlignment="1">
      <alignment horizontal="center" vertical="center" wrapText="1"/>
    </xf>
    <xf numFmtId="0" fontId="1" fillId="2" borderId="34" xfId="0" applyFont="1" applyFill="1" applyBorder="1" applyAlignment="1">
      <alignment horizontal="center" vertical="center" wrapText="1"/>
    </xf>
    <xf numFmtId="0" fontId="1" fillId="2" borderId="10" xfId="0" applyFont="1" applyFill="1" applyBorder="1" applyAlignment="1">
      <alignment horizontal="center" vertical="center" wrapText="1"/>
    </xf>
    <xf numFmtId="165" fontId="2" fillId="2" borderId="30" xfId="1" applyFont="1" applyFill="1" applyBorder="1" applyAlignment="1" applyProtection="1">
      <alignment horizontal="center" vertical="center" wrapText="1"/>
    </xf>
    <xf numFmtId="165" fontId="2" fillId="2" borderId="37" xfId="1" applyFont="1" applyFill="1" applyBorder="1" applyAlignment="1" applyProtection="1">
      <alignment horizontal="center" vertical="center" wrapText="1"/>
    </xf>
    <xf numFmtId="0" fontId="2" fillId="2" borderId="5" xfId="0" applyFont="1" applyFill="1" applyBorder="1" applyAlignment="1">
      <alignment horizontal="center" vertical="center" wrapText="1"/>
    </xf>
    <xf numFmtId="0" fontId="2" fillId="2" borderId="30"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35" xfId="0" applyFont="1" applyFill="1" applyBorder="1" applyAlignment="1">
      <alignment horizontal="center" vertical="center" wrapText="1"/>
    </xf>
    <xf numFmtId="0" fontId="2" fillId="4" borderId="43" xfId="0" applyFont="1" applyFill="1" applyBorder="1" applyAlignment="1">
      <alignment horizontal="center" vertical="center" wrapText="1"/>
    </xf>
    <xf numFmtId="0" fontId="2" fillId="4" borderId="44" xfId="0" applyFont="1" applyFill="1" applyBorder="1" applyAlignment="1">
      <alignment horizontal="center" vertical="center" wrapText="1"/>
    </xf>
    <xf numFmtId="0" fontId="2" fillId="4" borderId="45" xfId="0" applyFont="1" applyFill="1" applyBorder="1" applyAlignment="1">
      <alignment horizontal="center" vertical="center" wrapText="1"/>
    </xf>
    <xf numFmtId="0" fontId="23" fillId="0" borderId="0" xfId="0" applyFont="1" applyAlignment="1">
      <alignment horizontal="left" vertical="top" wrapText="1"/>
    </xf>
    <xf numFmtId="0" fontId="2" fillId="3" borderId="3" xfId="0" applyFont="1" applyFill="1" applyBorder="1" applyAlignment="1" applyProtection="1">
      <alignment horizontal="left" vertical="top" wrapText="1"/>
      <protection locked="0"/>
    </xf>
    <xf numFmtId="165" fontId="2" fillId="3" borderId="3" xfId="1" applyFont="1" applyFill="1" applyBorder="1" applyAlignment="1" applyProtection="1">
      <alignment horizontal="left" vertical="top" wrapText="1"/>
      <protection locked="0"/>
    </xf>
    <xf numFmtId="49" fontId="2" fillId="3" borderId="3" xfId="0" applyNumberFormat="1" applyFont="1" applyFill="1" applyBorder="1" applyAlignment="1" applyProtection="1">
      <alignment horizontal="left" vertical="top" wrapText="1"/>
      <protection locked="0"/>
    </xf>
    <xf numFmtId="0" fontId="12" fillId="7" borderId="4" xfId="0" applyFont="1" applyFill="1" applyBorder="1" applyAlignment="1">
      <alignment horizontal="center" wrapText="1"/>
    </xf>
    <xf numFmtId="0" fontId="12" fillId="7" borderId="1" xfId="0" applyFont="1" applyFill="1" applyBorder="1" applyAlignment="1">
      <alignment horizontal="center" wrapText="1"/>
    </xf>
    <xf numFmtId="0" fontId="12" fillId="7" borderId="2" xfId="0" applyFont="1" applyFill="1" applyBorder="1" applyAlignment="1">
      <alignment horizontal="center" wrapText="1"/>
    </xf>
    <xf numFmtId="0" fontId="21" fillId="7" borderId="39" xfId="0" applyFont="1" applyFill="1" applyBorder="1" applyAlignment="1">
      <alignment horizontal="left" wrapText="1"/>
    </xf>
    <xf numFmtId="0" fontId="21" fillId="7" borderId="51" xfId="0" applyFont="1" applyFill="1" applyBorder="1" applyAlignment="1">
      <alignment horizontal="left" wrapText="1"/>
    </xf>
    <xf numFmtId="0" fontId="21" fillId="7" borderId="52" xfId="0" applyFont="1" applyFill="1" applyBorder="1" applyAlignment="1">
      <alignment horizontal="left" wrapText="1"/>
    </xf>
    <xf numFmtId="0" fontId="1" fillId="3" borderId="3" xfId="0" applyFont="1" applyFill="1" applyBorder="1" applyAlignment="1" applyProtection="1">
      <alignment horizontal="left" vertical="top" wrapText="1"/>
      <protection locked="0"/>
    </xf>
    <xf numFmtId="165" fontId="1" fillId="3" borderId="3" xfId="1" applyFont="1" applyFill="1" applyBorder="1" applyAlignment="1" applyProtection="1">
      <alignment horizontal="left" vertical="top" wrapText="1"/>
      <protection locked="0"/>
    </xf>
    <xf numFmtId="0" fontId="4" fillId="7" borderId="46" xfId="0" applyFont="1" applyFill="1" applyBorder="1" applyAlignment="1">
      <alignment horizontal="left" wrapText="1"/>
    </xf>
    <xf numFmtId="0" fontId="4" fillId="7" borderId="47" xfId="0" applyFont="1" applyFill="1" applyBorder="1" applyAlignment="1">
      <alignment horizontal="left" wrapText="1"/>
    </xf>
    <xf numFmtId="165" fontId="4" fillId="7" borderId="47" xfId="1" applyFont="1" applyFill="1" applyBorder="1" applyAlignment="1">
      <alignment horizontal="left" wrapText="1"/>
    </xf>
    <xf numFmtId="0" fontId="4" fillId="7" borderId="48" xfId="0" applyFont="1" applyFill="1" applyBorder="1" applyAlignment="1">
      <alignment horizontal="left" wrapText="1"/>
    </xf>
    <xf numFmtId="0" fontId="2" fillId="2" borderId="4" xfId="0" applyFont="1" applyFill="1" applyBorder="1" applyAlignment="1">
      <alignment horizontal="left" wrapText="1"/>
    </xf>
    <xf numFmtId="0" fontId="2" fillId="2" borderId="1" xfId="0" applyFont="1" applyFill="1" applyBorder="1" applyAlignment="1">
      <alignment horizontal="left" wrapText="1"/>
    </xf>
    <xf numFmtId="0" fontId="2" fillId="2" borderId="2" xfId="0" applyFont="1" applyFill="1" applyBorder="1" applyAlignment="1">
      <alignment horizontal="left" wrapText="1"/>
    </xf>
    <xf numFmtId="0" fontId="2" fillId="2" borderId="28" xfId="0" applyFont="1" applyFill="1" applyBorder="1" applyAlignment="1">
      <alignment horizontal="center" vertical="center" wrapText="1"/>
    </xf>
    <xf numFmtId="0" fontId="4" fillId="7" borderId="11" xfId="0" applyFont="1" applyFill="1" applyBorder="1" applyAlignment="1">
      <alignment horizontal="left" vertical="center" wrapText="1"/>
    </xf>
    <xf numFmtId="0" fontId="4" fillId="7" borderId="0" xfId="0" applyFont="1" applyFill="1" applyAlignment="1">
      <alignment horizontal="left" vertical="center" wrapText="1"/>
    </xf>
    <xf numFmtId="0" fontId="4" fillId="7" borderId="41" xfId="0" applyFont="1" applyFill="1" applyBorder="1" applyAlignment="1">
      <alignment horizontal="left" vertical="center" wrapText="1"/>
    </xf>
    <xf numFmtId="0" fontId="4" fillId="7" borderId="19" xfId="0" applyFont="1" applyFill="1" applyBorder="1" applyAlignment="1">
      <alignment horizontal="left" vertical="center" wrapText="1"/>
    </xf>
    <xf numFmtId="0" fontId="4" fillId="7" borderId="24" xfId="0" applyFont="1" applyFill="1" applyBorder="1" applyAlignment="1">
      <alignment horizontal="left" vertical="center" wrapText="1"/>
    </xf>
    <xf numFmtId="0" fontId="4" fillId="7" borderId="42" xfId="0" applyFont="1" applyFill="1" applyBorder="1" applyAlignment="1">
      <alignment horizontal="left" vertical="center" wrapText="1"/>
    </xf>
    <xf numFmtId="0" fontId="2" fillId="2" borderId="25" xfId="0" applyFont="1" applyFill="1" applyBorder="1" applyAlignment="1">
      <alignment horizontal="center" wrapText="1"/>
    </xf>
    <xf numFmtId="0" fontId="2" fillId="2" borderId="26" xfId="0" applyFont="1" applyFill="1" applyBorder="1" applyAlignment="1">
      <alignment horizontal="center" wrapText="1"/>
    </xf>
    <xf numFmtId="0" fontId="2" fillId="2" borderId="21" xfId="0" applyFont="1" applyFill="1" applyBorder="1" applyAlignment="1">
      <alignment horizontal="center" wrapText="1"/>
    </xf>
    <xf numFmtId="0" fontId="17" fillId="0" borderId="0" xfId="0" applyFont="1" applyAlignment="1">
      <alignment horizontal="left" vertical="top" wrapText="1"/>
    </xf>
    <xf numFmtId="0" fontId="10" fillId="7" borderId="17" xfId="0" applyFont="1" applyFill="1" applyBorder="1" applyAlignment="1">
      <alignment horizontal="left" wrapText="1"/>
    </xf>
    <xf numFmtId="0" fontId="10" fillId="7" borderId="15" xfId="0" applyFont="1" applyFill="1" applyBorder="1" applyAlignment="1">
      <alignment horizontal="left" wrapText="1"/>
    </xf>
    <xf numFmtId="0" fontId="10" fillId="7" borderId="40" xfId="0" applyFont="1" applyFill="1" applyBorder="1" applyAlignment="1">
      <alignment horizontal="left" wrapText="1"/>
    </xf>
    <xf numFmtId="0" fontId="2" fillId="2" borderId="46" xfId="0" applyFont="1" applyFill="1" applyBorder="1" applyAlignment="1">
      <alignment horizontal="left" wrapText="1"/>
    </xf>
    <xf numFmtId="0" fontId="2" fillId="2" borderId="47" xfId="0" applyFont="1" applyFill="1" applyBorder="1" applyAlignment="1">
      <alignment horizontal="left" wrapText="1"/>
    </xf>
    <xf numFmtId="0" fontId="2" fillId="2" borderId="48" xfId="0" applyFont="1" applyFill="1" applyBorder="1" applyAlignment="1">
      <alignment horizontal="left" wrapText="1"/>
    </xf>
    <xf numFmtId="0" fontId="12" fillId="7" borderId="11" xfId="0" applyFont="1" applyFill="1" applyBorder="1" applyAlignment="1">
      <alignment horizontal="left" wrapText="1"/>
    </xf>
    <xf numFmtId="0" fontId="12" fillId="7" borderId="0" xfId="0" applyFont="1" applyFill="1" applyBorder="1" applyAlignment="1">
      <alignment horizontal="left" wrapText="1"/>
    </xf>
    <xf numFmtId="0" fontId="3" fillId="7" borderId="3" xfId="0" applyFont="1" applyFill="1" applyBorder="1" applyAlignment="1">
      <alignment horizontal="center" vertical="center"/>
    </xf>
    <xf numFmtId="165" fontId="3" fillId="2" borderId="3" xfId="0" applyNumberFormat="1" applyFont="1" applyFill="1" applyBorder="1" applyAlignment="1">
      <alignment horizontal="center"/>
    </xf>
    <xf numFmtId="49" fontId="0" fillId="2" borderId="3" xfId="0" applyNumberFormat="1" applyFill="1" applyBorder="1" applyAlignment="1">
      <alignment horizontal="center" wrapText="1"/>
    </xf>
    <xf numFmtId="0" fontId="3" fillId="2" borderId="3" xfId="0" applyFont="1" applyFill="1" applyBorder="1" applyAlignment="1">
      <alignment horizontal="left"/>
    </xf>
    <xf numFmtId="0" fontId="0" fillId="2" borderId="3" xfId="0" applyFill="1" applyBorder="1" applyAlignment="1">
      <alignment horizontal="center" wrapText="1"/>
    </xf>
    <xf numFmtId="0" fontId="2" fillId="7" borderId="17" xfId="0" applyFont="1" applyFill="1" applyBorder="1" applyAlignment="1">
      <alignment horizontal="center" vertical="center"/>
    </xf>
    <xf numFmtId="0" fontId="2" fillId="7" borderId="15" xfId="0" applyFont="1" applyFill="1" applyBorder="1" applyAlignment="1">
      <alignment horizontal="center" vertical="center"/>
    </xf>
    <xf numFmtId="0" fontId="2" fillId="7" borderId="18" xfId="0" applyFont="1" applyFill="1" applyBorder="1" applyAlignment="1">
      <alignment horizontal="center" vertical="center"/>
    </xf>
    <xf numFmtId="0" fontId="2" fillId="7" borderId="19" xfId="0" applyFont="1" applyFill="1" applyBorder="1" applyAlignment="1">
      <alignment horizontal="center" vertical="center"/>
    </xf>
    <xf numFmtId="0" fontId="2" fillId="7" borderId="24" xfId="0" applyFont="1" applyFill="1" applyBorder="1" applyAlignment="1">
      <alignment horizontal="center" vertical="center"/>
    </xf>
    <xf numFmtId="0" fontId="2" fillId="7" borderId="20" xfId="0" applyFont="1" applyFill="1" applyBorder="1" applyAlignment="1">
      <alignment horizontal="center" vertical="center"/>
    </xf>
    <xf numFmtId="0" fontId="2" fillId="14" borderId="3" xfId="0" applyFont="1" applyFill="1" applyBorder="1" applyAlignment="1">
      <alignment vertical="center" wrapText="1"/>
    </xf>
    <xf numFmtId="0" fontId="7" fillId="14" borderId="0" xfId="0" applyFont="1" applyFill="1" applyAlignment="1">
      <alignment horizontal="justify" vertical="center"/>
    </xf>
    <xf numFmtId="10" fontId="0" fillId="2" borderId="14" xfId="2" applyNumberFormat="1" applyFont="1" applyFill="1" applyBorder="1" applyAlignment="1">
      <alignment wrapText="1"/>
    </xf>
    <xf numFmtId="165" fontId="20" fillId="3" borderId="3" xfId="1" applyFont="1" applyFill="1" applyBorder="1" applyAlignment="1" applyProtection="1">
      <alignment horizontal="center" vertical="center" wrapText="1"/>
      <protection locked="0"/>
    </xf>
    <xf numFmtId="165" fontId="0" fillId="0" borderId="0" xfId="0" applyNumberFormat="1" applyAlignment="1">
      <alignment wrapText="1"/>
    </xf>
    <xf numFmtId="0" fontId="0" fillId="0" borderId="0" xfId="0" applyAlignment="1">
      <alignment horizontal="right" vertical="center" wrapText="1"/>
    </xf>
  </cellXfs>
  <cellStyles count="5">
    <cellStyle name="Milliers" xfId="4" builtinId="3"/>
    <cellStyle name="Milliers [0]" xfId="3" builtinId="6"/>
    <cellStyle name="Monétaire" xfId="1" builtinId="4"/>
    <cellStyle name="Normal" xfId="0" builtinId="0"/>
    <cellStyle name="Pourcentage" xfId="2" builtinId="5"/>
  </cellStyles>
  <dxfs count="2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B7E9"/>
      <color rgb="FFFF9797"/>
      <color rgb="FFFFA7A7"/>
      <color rgb="FFFF9B9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sheetPr>
  <dimension ref="A2:O165"/>
  <sheetViews>
    <sheetView showGridLines="0" showZeros="0" tabSelected="1" topLeftCell="B6" zoomScale="60" zoomScaleNormal="60" workbookViewId="0">
      <selection activeCell="N20" sqref="N20"/>
    </sheetView>
  </sheetViews>
  <sheetFormatPr baseColWidth="10" defaultColWidth="9.1796875" defaultRowHeight="14.5" x14ac:dyDescent="0.35"/>
  <cols>
    <col min="1" max="1" width="9.1796875" style="22"/>
    <col min="2" max="2" width="22.453125" style="22" customWidth="1"/>
    <col min="3" max="3" width="32.453125" style="22" customWidth="1"/>
    <col min="4" max="4" width="25" style="22" customWidth="1"/>
    <col min="5" max="5" width="25.7265625" style="22" customWidth="1"/>
    <col min="6" max="6" width="25.26953125" style="22" customWidth="1"/>
    <col min="7" max="7" width="25" style="22" customWidth="1"/>
    <col min="8" max="9" width="24.81640625" style="22" customWidth="1"/>
    <col min="10" max="10" width="23.1796875" style="22" customWidth="1"/>
    <col min="11" max="11" width="22.453125" style="22" customWidth="1"/>
    <col min="12" max="12" width="20.453125" style="93" customWidth="1"/>
    <col min="13" max="13" width="20.81640625" style="22" customWidth="1"/>
    <col min="14" max="14" width="29.7265625" style="22" customWidth="1"/>
    <col min="15" max="15" width="23.453125" style="22" customWidth="1"/>
    <col min="16" max="16" width="18.453125" style="22" customWidth="1"/>
    <col min="17" max="17" width="17.453125" style="22" customWidth="1"/>
    <col min="18" max="18" width="25.1796875" style="22" customWidth="1"/>
    <col min="19" max="16384" width="9.1796875" style="22"/>
  </cols>
  <sheetData>
    <row r="2" spans="2:13" ht="36" customHeight="1" x14ac:dyDescent="1">
      <c r="B2" s="326" t="s">
        <v>0</v>
      </c>
      <c r="C2" s="326"/>
      <c r="D2" s="326"/>
      <c r="E2" s="326"/>
      <c r="F2" s="20"/>
      <c r="G2" s="20"/>
      <c r="H2" s="20"/>
      <c r="I2" s="20"/>
      <c r="J2" s="20"/>
      <c r="K2" s="21"/>
      <c r="L2" s="100"/>
      <c r="M2" s="21"/>
    </row>
    <row r="3" spans="2:13" ht="15.5" x14ac:dyDescent="0.35">
      <c r="B3" s="79"/>
    </row>
    <row r="4" spans="2:13" ht="15.5" x14ac:dyDescent="0.35">
      <c r="B4" s="24"/>
    </row>
    <row r="5" spans="2:13" ht="36.75" customHeight="1" x14ac:dyDescent="0.75">
      <c r="B5" s="333" t="s">
        <v>1</v>
      </c>
      <c r="C5" s="334"/>
      <c r="D5" s="334"/>
      <c r="E5" s="334"/>
      <c r="F5" s="334"/>
      <c r="G5" s="334"/>
      <c r="H5" s="334"/>
      <c r="I5" s="334"/>
      <c r="J5" s="334"/>
      <c r="K5" s="334"/>
      <c r="L5" s="334"/>
      <c r="M5" s="335"/>
    </row>
    <row r="6" spans="2:13" ht="174" customHeight="1" x14ac:dyDescent="0.5">
      <c r="B6" s="338" t="s">
        <v>2</v>
      </c>
      <c r="C6" s="339"/>
      <c r="D6" s="339"/>
      <c r="E6" s="339"/>
      <c r="F6" s="339"/>
      <c r="G6" s="339"/>
      <c r="H6" s="339"/>
      <c r="I6" s="339"/>
      <c r="J6" s="339"/>
      <c r="K6" s="339"/>
      <c r="L6" s="340"/>
      <c r="M6" s="341"/>
    </row>
    <row r="7" spans="2:13" x14ac:dyDescent="0.35">
      <c r="B7" s="25"/>
    </row>
    <row r="9" spans="2:13" ht="27" customHeight="1" x14ac:dyDescent="0.6">
      <c r="B9" s="330" t="s">
        <v>513</v>
      </c>
      <c r="C9" s="331"/>
      <c r="D9" s="331"/>
      <c r="E9" s="331"/>
      <c r="F9" s="331"/>
      <c r="G9" s="331"/>
      <c r="H9" s="331"/>
      <c r="I9" s="331"/>
      <c r="J9" s="331"/>
      <c r="K9" s="331"/>
      <c r="L9" s="331"/>
      <c r="M9" s="332"/>
    </row>
    <row r="11" spans="2:13" ht="25.5" customHeight="1" x14ac:dyDescent="0.35">
      <c r="D11" s="26"/>
      <c r="E11" s="26"/>
      <c r="F11" s="26"/>
      <c r="G11" s="26"/>
      <c r="H11" s="26"/>
      <c r="I11" s="26"/>
      <c r="J11" s="26"/>
      <c r="L11" s="99"/>
      <c r="M11" s="23"/>
    </row>
    <row r="12" spans="2:13" ht="210" customHeight="1" x14ac:dyDescent="0.35">
      <c r="B12" s="13" t="s">
        <v>3</v>
      </c>
      <c r="C12" s="13" t="s">
        <v>4</v>
      </c>
      <c r="D12" s="13" t="s">
        <v>5</v>
      </c>
      <c r="E12" s="13" t="s">
        <v>6</v>
      </c>
      <c r="F12" s="13" t="s">
        <v>7</v>
      </c>
      <c r="G12" s="13" t="s">
        <v>8</v>
      </c>
      <c r="H12" s="13" t="s">
        <v>548</v>
      </c>
      <c r="I12" s="13" t="s">
        <v>550</v>
      </c>
      <c r="J12" s="13" t="s">
        <v>9</v>
      </c>
      <c r="K12" s="13" t="s">
        <v>10</v>
      </c>
      <c r="L12" s="298" t="s">
        <v>11</v>
      </c>
      <c r="M12" s="13" t="s">
        <v>12</v>
      </c>
    </row>
    <row r="13" spans="2:13" ht="18.75" customHeight="1" x14ac:dyDescent="0.35">
      <c r="B13" s="111"/>
      <c r="C13" s="111"/>
      <c r="D13" s="143" t="s">
        <v>13</v>
      </c>
      <c r="E13" s="152" t="s">
        <v>14</v>
      </c>
      <c r="F13" s="164" t="s">
        <v>15</v>
      </c>
      <c r="G13" s="175" t="s">
        <v>16</v>
      </c>
      <c r="H13" s="185" t="s">
        <v>549</v>
      </c>
      <c r="I13" s="185" t="s">
        <v>551</v>
      </c>
      <c r="J13" s="13"/>
      <c r="K13" s="111"/>
      <c r="L13" s="112"/>
      <c r="M13" s="111"/>
    </row>
    <row r="14" spans="2:13" ht="26.5" customHeight="1" x14ac:dyDescent="0.35">
      <c r="B14" s="57" t="s">
        <v>17</v>
      </c>
      <c r="C14" s="329" t="s">
        <v>18</v>
      </c>
      <c r="D14" s="329"/>
      <c r="E14" s="329"/>
      <c r="F14" s="329"/>
      <c r="G14" s="329"/>
      <c r="H14" s="329"/>
      <c r="I14" s="329"/>
      <c r="J14" s="329"/>
      <c r="K14" s="329"/>
      <c r="L14" s="328"/>
      <c r="M14" s="329"/>
    </row>
    <row r="15" spans="2:13" ht="37.5" customHeight="1" x14ac:dyDescent="0.35">
      <c r="B15" s="57" t="s">
        <v>19</v>
      </c>
      <c r="C15" s="329" t="s">
        <v>514</v>
      </c>
      <c r="D15" s="329"/>
      <c r="E15" s="329"/>
      <c r="F15" s="329"/>
      <c r="G15" s="329"/>
      <c r="H15" s="329"/>
      <c r="I15" s="329"/>
      <c r="J15" s="329"/>
      <c r="K15" s="329"/>
      <c r="L15" s="328"/>
      <c r="M15" s="329"/>
    </row>
    <row r="16" spans="2:13" ht="173.25" customHeight="1" x14ac:dyDescent="0.35">
      <c r="B16" s="57" t="s">
        <v>20</v>
      </c>
      <c r="C16" s="141" t="s">
        <v>515</v>
      </c>
      <c r="D16" s="144">
        <v>0</v>
      </c>
      <c r="E16" s="153">
        <v>80000</v>
      </c>
      <c r="F16" s="165">
        <v>0</v>
      </c>
      <c r="G16" s="176">
        <v>0</v>
      </c>
      <c r="H16" s="186">
        <v>0</v>
      </c>
      <c r="I16" s="186">
        <v>0</v>
      </c>
      <c r="J16" s="8">
        <f>SUM(D16:I16)</f>
        <v>80000</v>
      </c>
      <c r="K16" s="115">
        <v>0.5</v>
      </c>
      <c r="L16" s="294">
        <v>73098.78</v>
      </c>
      <c r="M16" s="117"/>
    </row>
    <row r="17" spans="1:13" ht="148.5" customHeight="1" x14ac:dyDescent="0.35">
      <c r="B17" s="57" t="s">
        <v>21</v>
      </c>
      <c r="C17" s="113" t="s">
        <v>516</v>
      </c>
      <c r="D17" s="144">
        <v>80000</v>
      </c>
      <c r="E17" s="153">
        <v>0</v>
      </c>
      <c r="F17" s="165">
        <v>0</v>
      </c>
      <c r="G17" s="176">
        <v>0</v>
      </c>
      <c r="H17" s="186">
        <v>0</v>
      </c>
      <c r="I17" s="186">
        <v>0</v>
      </c>
      <c r="J17" s="8">
        <f t="shared" ref="J17:J20" si="0">SUM(D17:I17)</f>
        <v>80000</v>
      </c>
      <c r="K17" s="115">
        <v>0.3</v>
      </c>
      <c r="L17" s="294">
        <v>30000</v>
      </c>
      <c r="M17" s="116"/>
    </row>
    <row r="18" spans="1:13" ht="186.75" customHeight="1" x14ac:dyDescent="0.35">
      <c r="B18" s="375" t="s">
        <v>22</v>
      </c>
      <c r="C18" s="113" t="s">
        <v>517</v>
      </c>
      <c r="D18" s="144">
        <v>25000</v>
      </c>
      <c r="E18" s="153">
        <v>25000</v>
      </c>
      <c r="F18" s="165">
        <v>0</v>
      </c>
      <c r="G18" s="176">
        <v>0</v>
      </c>
      <c r="H18" s="186">
        <v>0</v>
      </c>
      <c r="I18" s="186">
        <v>0</v>
      </c>
      <c r="J18" s="8">
        <f t="shared" si="0"/>
        <v>50000</v>
      </c>
      <c r="K18" s="115">
        <v>0.3</v>
      </c>
      <c r="L18" s="294">
        <f>537.84+26261.41</f>
        <v>26799.25</v>
      </c>
      <c r="M18" s="116"/>
    </row>
    <row r="19" spans="1:13" ht="204.75" customHeight="1" x14ac:dyDescent="0.35">
      <c r="B19" s="375" t="s">
        <v>23</v>
      </c>
      <c r="C19" s="141" t="s">
        <v>518</v>
      </c>
      <c r="D19" s="144">
        <v>60000</v>
      </c>
      <c r="E19" s="153">
        <v>60000</v>
      </c>
      <c r="F19" s="165">
        <v>0</v>
      </c>
      <c r="G19" s="176">
        <v>0</v>
      </c>
      <c r="H19" s="186">
        <v>0</v>
      </c>
      <c r="I19" s="186">
        <v>0</v>
      </c>
      <c r="J19" s="8">
        <f t="shared" si="0"/>
        <v>120000</v>
      </c>
      <c r="K19" s="115">
        <v>0.5</v>
      </c>
      <c r="L19" s="294">
        <f>1336.89</f>
        <v>1336.89</v>
      </c>
      <c r="M19" s="116"/>
    </row>
    <row r="20" spans="1:13" ht="101.25" customHeight="1" x14ac:dyDescent="0.35">
      <c r="B20" s="57" t="s">
        <v>24</v>
      </c>
      <c r="C20" s="113" t="s">
        <v>519</v>
      </c>
      <c r="D20" s="144">
        <v>0</v>
      </c>
      <c r="E20" s="153">
        <v>57579.44</v>
      </c>
      <c r="F20" s="165">
        <v>0</v>
      </c>
      <c r="G20" s="176">
        <v>0</v>
      </c>
      <c r="H20" s="186">
        <v>0</v>
      </c>
      <c r="I20" s="186">
        <v>0</v>
      </c>
      <c r="J20" s="8">
        <f t="shared" si="0"/>
        <v>57579.44</v>
      </c>
      <c r="K20" s="115">
        <v>0.5</v>
      </c>
      <c r="L20" s="294">
        <v>52705.04</v>
      </c>
      <c r="M20" s="116"/>
    </row>
    <row r="21" spans="1:13" ht="106.5" customHeight="1" x14ac:dyDescent="0.35">
      <c r="B21" s="57" t="s">
        <v>26</v>
      </c>
      <c r="C21" s="113" t="s">
        <v>25</v>
      </c>
      <c r="D21" s="144">
        <v>80000</v>
      </c>
      <c r="E21" s="153">
        <v>0</v>
      </c>
      <c r="F21" s="165">
        <v>0</v>
      </c>
      <c r="G21" s="176">
        <v>0</v>
      </c>
      <c r="H21" s="186">
        <v>0</v>
      </c>
      <c r="I21" s="186">
        <v>0</v>
      </c>
      <c r="J21" s="8">
        <f>SUM(D21:I21)</f>
        <v>80000</v>
      </c>
      <c r="K21" s="115">
        <v>0.3</v>
      </c>
      <c r="L21" s="294">
        <v>2376.46</v>
      </c>
      <c r="M21" s="116"/>
    </row>
    <row r="22" spans="1:13" ht="25.5" customHeight="1" x14ac:dyDescent="0.35">
      <c r="A22" s="23"/>
      <c r="C22" s="58" t="s">
        <v>27</v>
      </c>
      <c r="D22" s="145">
        <f>SUM(D16:D21)</f>
        <v>245000</v>
      </c>
      <c r="E22" s="155">
        <f t="shared" ref="E22:J22" si="1">SUM(E16:E21)</f>
        <v>222579.44</v>
      </c>
      <c r="F22" s="166">
        <f t="shared" si="1"/>
        <v>0</v>
      </c>
      <c r="G22" s="177">
        <f t="shared" si="1"/>
        <v>0</v>
      </c>
      <c r="H22" s="187">
        <f t="shared" si="1"/>
        <v>0</v>
      </c>
      <c r="I22" s="187">
        <f t="shared" si="1"/>
        <v>0</v>
      </c>
      <c r="J22" s="8">
        <f t="shared" si="1"/>
        <v>467579.44</v>
      </c>
      <c r="K22" s="205">
        <f>(J18*K18+J19*K19+J20*K20+J21*K21)</f>
        <v>127789.72</v>
      </c>
      <c r="L22" s="295">
        <f>SUM(L16:L21)</f>
        <v>186316.42</v>
      </c>
      <c r="M22" s="118"/>
    </row>
    <row r="23" spans="1:13" ht="33" customHeight="1" x14ac:dyDescent="0.35">
      <c r="A23" s="23"/>
      <c r="B23" s="57" t="s">
        <v>28</v>
      </c>
      <c r="C23" s="327" t="s">
        <v>520</v>
      </c>
      <c r="D23" s="327"/>
      <c r="E23" s="327"/>
      <c r="F23" s="327"/>
      <c r="G23" s="327"/>
      <c r="H23" s="327"/>
      <c r="I23" s="327"/>
      <c r="J23" s="327"/>
      <c r="K23" s="327"/>
      <c r="L23" s="328"/>
      <c r="M23" s="327"/>
    </row>
    <row r="24" spans="1:13" ht="267.75" customHeight="1" x14ac:dyDescent="0.35">
      <c r="A24" s="23"/>
      <c r="B24" s="57" t="s">
        <v>29</v>
      </c>
      <c r="C24" s="113" t="s">
        <v>521</v>
      </c>
      <c r="D24" s="144">
        <v>90000</v>
      </c>
      <c r="E24" s="153">
        <v>90000</v>
      </c>
      <c r="F24" s="165">
        <v>0</v>
      </c>
      <c r="G24" s="176">
        <v>0</v>
      </c>
      <c r="H24" s="186">
        <v>0</v>
      </c>
      <c r="I24" s="186">
        <v>0</v>
      </c>
      <c r="J24" s="112">
        <f>SUM(D24:I24)</f>
        <v>180000</v>
      </c>
      <c r="K24" s="115">
        <v>0.4</v>
      </c>
      <c r="L24" s="294">
        <v>1179.1199999999999</v>
      </c>
      <c r="M24" s="116"/>
    </row>
    <row r="25" spans="1:13" ht="251.25" customHeight="1" x14ac:dyDescent="0.35">
      <c r="A25" s="23"/>
      <c r="B25" s="57" t="s">
        <v>30</v>
      </c>
      <c r="C25" s="266" t="s">
        <v>522</v>
      </c>
      <c r="D25" s="144">
        <v>70000</v>
      </c>
      <c r="E25" s="153">
        <v>70000</v>
      </c>
      <c r="F25" s="165">
        <v>0</v>
      </c>
      <c r="G25" s="176">
        <v>0</v>
      </c>
      <c r="H25" s="186">
        <v>0</v>
      </c>
      <c r="I25" s="186">
        <v>0</v>
      </c>
      <c r="J25" s="112">
        <f t="shared" ref="J25:J26" si="2">SUM(D25:I25)</f>
        <v>140000</v>
      </c>
      <c r="K25" s="115">
        <v>0.8</v>
      </c>
      <c r="L25" s="378">
        <v>0</v>
      </c>
      <c r="M25" s="116"/>
    </row>
    <row r="26" spans="1:13" ht="230.25" customHeight="1" x14ac:dyDescent="0.35">
      <c r="A26" s="23"/>
      <c r="B26" s="57" t="s">
        <v>31</v>
      </c>
      <c r="C26" s="113" t="s">
        <v>523</v>
      </c>
      <c r="D26" s="144">
        <v>60000</v>
      </c>
      <c r="E26" s="153">
        <v>60000</v>
      </c>
      <c r="F26" s="165">
        <v>0</v>
      </c>
      <c r="G26" s="176">
        <v>0</v>
      </c>
      <c r="H26" s="186">
        <v>0</v>
      </c>
      <c r="I26" s="186">
        <v>0</v>
      </c>
      <c r="J26" s="112">
        <f t="shared" si="2"/>
        <v>120000</v>
      </c>
      <c r="K26" s="115">
        <v>0.5</v>
      </c>
      <c r="L26" s="294">
        <v>53275.39</v>
      </c>
      <c r="M26" s="116"/>
    </row>
    <row r="27" spans="1:13" ht="15.5" x14ac:dyDescent="0.35">
      <c r="A27" s="23"/>
      <c r="C27" s="58" t="s">
        <v>27</v>
      </c>
      <c r="D27" s="144">
        <f>SUM(D24:D26)</f>
        <v>220000</v>
      </c>
      <c r="E27" s="154">
        <f t="shared" ref="E27:H27" si="3">SUM(E24:E26)</f>
        <v>220000</v>
      </c>
      <c r="F27" s="167">
        <f t="shared" si="3"/>
        <v>0</v>
      </c>
      <c r="G27" s="178">
        <f t="shared" si="3"/>
        <v>0</v>
      </c>
      <c r="H27" s="188">
        <f t="shared" si="3"/>
        <v>0</v>
      </c>
      <c r="I27" s="188">
        <f>SUM(I24:I26)</f>
        <v>0</v>
      </c>
      <c r="J27" s="11">
        <f>SUM(J24:J26)</f>
        <v>440000</v>
      </c>
      <c r="K27" s="11">
        <f>J24*K24+J25*K25+J26*K26</f>
        <v>244000</v>
      </c>
      <c r="L27" s="295">
        <f>SUM(L24:L26)</f>
        <v>54454.51</v>
      </c>
      <c r="M27" s="118"/>
    </row>
    <row r="28" spans="1:13" ht="18.75" customHeight="1" x14ac:dyDescent="0.35">
      <c r="A28" s="23"/>
      <c r="B28" s="57" t="s">
        <v>32</v>
      </c>
      <c r="C28" s="327" t="s">
        <v>524</v>
      </c>
      <c r="D28" s="327"/>
      <c r="E28" s="327"/>
      <c r="F28" s="327"/>
      <c r="G28" s="327"/>
      <c r="H28" s="327"/>
      <c r="I28" s="327"/>
      <c r="J28" s="327"/>
      <c r="K28" s="327"/>
      <c r="L28" s="328"/>
      <c r="M28" s="327"/>
    </row>
    <row r="29" spans="1:13" ht="133.5" customHeight="1" x14ac:dyDescent="0.35">
      <c r="A29" s="23"/>
      <c r="B29" s="375" t="s">
        <v>33</v>
      </c>
      <c r="C29" s="376" t="s">
        <v>525</v>
      </c>
      <c r="D29" s="144">
        <f>18000*11</f>
        <v>198000</v>
      </c>
      <c r="E29" s="153">
        <f>18000*12</f>
        <v>216000</v>
      </c>
      <c r="F29" s="165">
        <v>0</v>
      </c>
      <c r="G29" s="176">
        <v>0</v>
      </c>
      <c r="H29" s="186">
        <v>0</v>
      </c>
      <c r="I29" s="186">
        <v>0</v>
      </c>
      <c r="J29" s="112">
        <f>SUM(D29:I29)</f>
        <v>414000</v>
      </c>
      <c r="K29" s="115">
        <v>0.4</v>
      </c>
      <c r="L29" s="294">
        <f>87079.15+50897.92</f>
        <v>137977.07</v>
      </c>
      <c r="M29" s="116"/>
    </row>
    <row r="30" spans="1:13" ht="151.5" customHeight="1" x14ac:dyDescent="0.35">
      <c r="A30" s="23"/>
      <c r="B30" s="57" t="s">
        <v>34</v>
      </c>
      <c r="C30" s="113" t="s">
        <v>526</v>
      </c>
      <c r="D30" s="144">
        <f>3*11000</f>
        <v>33000</v>
      </c>
      <c r="E30" s="153">
        <f>3*12000</f>
        <v>36000</v>
      </c>
      <c r="F30" s="165">
        <v>0</v>
      </c>
      <c r="G30" s="176">
        <v>0</v>
      </c>
      <c r="H30" s="186">
        <v>0</v>
      </c>
      <c r="I30" s="186">
        <v>0</v>
      </c>
      <c r="J30" s="112">
        <f t="shared" ref="J30" si="4">SUM(D30:I30)</f>
        <v>69000</v>
      </c>
      <c r="K30" s="115">
        <v>1</v>
      </c>
      <c r="L30" s="114"/>
      <c r="M30" s="116"/>
    </row>
    <row r="31" spans="1:13" ht="168" customHeight="1" x14ac:dyDescent="0.35">
      <c r="A31" s="23"/>
      <c r="B31" s="57" t="s">
        <v>35</v>
      </c>
      <c r="C31" s="113" t="s">
        <v>527</v>
      </c>
      <c r="D31" s="144">
        <v>40000</v>
      </c>
      <c r="E31" s="153">
        <v>40000</v>
      </c>
      <c r="F31" s="165">
        <v>0</v>
      </c>
      <c r="G31" s="176">
        <v>0</v>
      </c>
      <c r="H31" s="186">
        <v>0</v>
      </c>
      <c r="I31" s="186">
        <v>0</v>
      </c>
      <c r="J31" s="112">
        <f>SUM(D31:I31)</f>
        <v>80000</v>
      </c>
      <c r="K31" s="115">
        <v>0.3</v>
      </c>
      <c r="L31" s="294">
        <f>25536.74+37412.83</f>
        <v>62949.570000000007</v>
      </c>
      <c r="M31" s="116"/>
    </row>
    <row r="32" spans="1:13" ht="21.75" customHeight="1" x14ac:dyDescent="0.35">
      <c r="C32" s="58" t="s">
        <v>27</v>
      </c>
      <c r="D32" s="146">
        <f>SUM(D29:D31)</f>
        <v>271000</v>
      </c>
      <c r="E32" s="154">
        <f t="shared" ref="E32:L32" si="5">SUM(E29:E31)</f>
        <v>292000</v>
      </c>
      <c r="F32" s="167">
        <f t="shared" si="5"/>
        <v>0</v>
      </c>
      <c r="G32" s="178">
        <f t="shared" si="5"/>
        <v>0</v>
      </c>
      <c r="H32" s="188">
        <f t="shared" si="5"/>
        <v>0</v>
      </c>
      <c r="I32" s="188">
        <f t="shared" si="5"/>
        <v>0</v>
      </c>
      <c r="J32" s="11">
        <f t="shared" si="5"/>
        <v>563000</v>
      </c>
      <c r="K32" s="11">
        <f>J29*K29+J30*K30+J31*K31</f>
        <v>258600</v>
      </c>
      <c r="L32" s="297">
        <f t="shared" si="5"/>
        <v>200926.64</v>
      </c>
      <c r="M32" s="118"/>
    </row>
    <row r="33" spans="1:13" ht="22.5" customHeight="1" x14ac:dyDescent="0.35">
      <c r="B33" s="58" t="s">
        <v>36</v>
      </c>
      <c r="C33" s="327" t="s">
        <v>528</v>
      </c>
      <c r="D33" s="327"/>
      <c r="E33" s="327"/>
      <c r="F33" s="327"/>
      <c r="G33" s="327"/>
      <c r="H33" s="327"/>
      <c r="I33" s="327"/>
      <c r="J33" s="327"/>
      <c r="K33" s="327"/>
      <c r="L33" s="328"/>
      <c r="M33" s="327"/>
    </row>
    <row r="34" spans="1:13" ht="22.5" customHeight="1" x14ac:dyDescent="0.35">
      <c r="B34" s="57" t="s">
        <v>37</v>
      </c>
      <c r="C34" s="327" t="s">
        <v>529</v>
      </c>
      <c r="D34" s="327"/>
      <c r="E34" s="327"/>
      <c r="F34" s="327"/>
      <c r="G34" s="327"/>
      <c r="H34" s="327"/>
      <c r="I34" s="327"/>
      <c r="J34" s="327"/>
      <c r="K34" s="327"/>
      <c r="L34" s="328"/>
      <c r="M34" s="327"/>
    </row>
    <row r="35" spans="1:13" ht="212.25" customHeight="1" x14ac:dyDescent="0.35">
      <c r="B35" s="57" t="s">
        <v>38</v>
      </c>
      <c r="C35" s="113" t="s">
        <v>530</v>
      </c>
      <c r="D35" s="144">
        <v>0</v>
      </c>
      <c r="E35" s="153">
        <v>0</v>
      </c>
      <c r="F35" s="165">
        <v>0</v>
      </c>
      <c r="G35" s="176">
        <v>0</v>
      </c>
      <c r="H35" s="186">
        <f>50000*56%</f>
        <v>28000.000000000004</v>
      </c>
      <c r="I35" s="186">
        <f>50000*44%</f>
        <v>22000</v>
      </c>
      <c r="J35" s="112">
        <f>SUM(D35:I35)</f>
        <v>50000</v>
      </c>
      <c r="K35" s="115">
        <v>0.3</v>
      </c>
      <c r="L35" s="114"/>
      <c r="M35" s="116"/>
    </row>
    <row r="36" spans="1:13" ht="312.75" customHeight="1" x14ac:dyDescent="0.35">
      <c r="B36" s="57" t="s">
        <v>39</v>
      </c>
      <c r="C36" s="142" t="s">
        <v>531</v>
      </c>
      <c r="D36" s="144">
        <v>0</v>
      </c>
      <c r="E36" s="153">
        <v>0</v>
      </c>
      <c r="F36" s="165">
        <v>0</v>
      </c>
      <c r="G36" s="176">
        <v>0</v>
      </c>
      <c r="H36" s="186">
        <f>60000*56%</f>
        <v>33600</v>
      </c>
      <c r="I36" s="186">
        <f>60000*44%</f>
        <v>26400</v>
      </c>
      <c r="J36" s="112">
        <f>SUM(D36:I36)</f>
        <v>60000</v>
      </c>
      <c r="K36" s="115">
        <v>0.15</v>
      </c>
      <c r="L36" s="114"/>
      <c r="M36" s="116"/>
    </row>
    <row r="37" spans="1:13" s="23" customFormat="1" ht="15.5" x14ac:dyDescent="0.35">
      <c r="A37" s="22"/>
      <c r="B37" s="22"/>
      <c r="C37" s="58" t="s">
        <v>27</v>
      </c>
      <c r="D37" s="145">
        <f>SUM(D35:D36)</f>
        <v>0</v>
      </c>
      <c r="E37" s="155">
        <f t="shared" ref="E37:G37" si="6">SUM(E35:E36)</f>
        <v>0</v>
      </c>
      <c r="F37" s="166">
        <f t="shared" si="6"/>
        <v>0</v>
      </c>
      <c r="G37" s="177">
        <f t="shared" si="6"/>
        <v>0</v>
      </c>
      <c r="H37" s="187">
        <f>SUM(H35:H36)</f>
        <v>61600</v>
      </c>
      <c r="I37" s="187">
        <f>SUM(I35:I36)</f>
        <v>48400</v>
      </c>
      <c r="J37" s="8">
        <f>SUM(J35:J36)</f>
        <v>110000</v>
      </c>
      <c r="K37" s="8">
        <f>J35*K35+J36*K36</f>
        <v>24000</v>
      </c>
      <c r="L37" s="205"/>
      <c r="M37" s="118"/>
    </row>
    <row r="38" spans="1:13" ht="18.75" customHeight="1" x14ac:dyDescent="0.35">
      <c r="B38" s="57" t="s">
        <v>40</v>
      </c>
      <c r="C38" s="327" t="s">
        <v>532</v>
      </c>
      <c r="D38" s="327"/>
      <c r="E38" s="327"/>
      <c r="F38" s="327"/>
      <c r="G38" s="327"/>
      <c r="H38" s="327"/>
      <c r="I38" s="327"/>
      <c r="J38" s="327"/>
      <c r="K38" s="327"/>
      <c r="L38" s="328"/>
      <c r="M38" s="327"/>
    </row>
    <row r="39" spans="1:13" ht="249.75" customHeight="1" x14ac:dyDescent="0.35">
      <c r="B39" s="57" t="s">
        <v>41</v>
      </c>
      <c r="C39" s="113" t="s">
        <v>533</v>
      </c>
      <c r="D39" s="144">
        <v>0</v>
      </c>
      <c r="E39" s="153">
        <v>0</v>
      </c>
      <c r="F39" s="165">
        <v>0</v>
      </c>
      <c r="G39" s="176">
        <v>0</v>
      </c>
      <c r="H39" s="186">
        <f>55000*56%</f>
        <v>30800.000000000004</v>
      </c>
      <c r="I39" s="186">
        <f>55000*44%</f>
        <v>24200</v>
      </c>
      <c r="J39" s="112">
        <f>SUM(D39:I39)</f>
        <v>55000</v>
      </c>
      <c r="K39" s="115">
        <v>0.5</v>
      </c>
      <c r="L39" s="114"/>
      <c r="M39" s="116"/>
    </row>
    <row r="40" spans="1:13" ht="165" customHeight="1" x14ac:dyDescent="0.35">
      <c r="B40" s="57" t="s">
        <v>42</v>
      </c>
      <c r="C40" s="113" t="s">
        <v>534</v>
      </c>
      <c r="D40" s="144">
        <v>0</v>
      </c>
      <c r="E40" s="153">
        <v>0</v>
      </c>
      <c r="F40" s="165">
        <v>0</v>
      </c>
      <c r="G40" s="176">
        <v>0</v>
      </c>
      <c r="H40" s="186">
        <f>50000*56%</f>
        <v>28000.000000000004</v>
      </c>
      <c r="I40" s="186">
        <f>50000*44%</f>
        <v>22000</v>
      </c>
      <c r="J40" s="112">
        <f>SUM(D40:I40)</f>
        <v>50000</v>
      </c>
      <c r="K40" s="115">
        <v>0.3</v>
      </c>
      <c r="L40" s="114"/>
      <c r="M40" s="116"/>
    </row>
    <row r="41" spans="1:13" ht="24" customHeight="1" x14ac:dyDescent="0.35">
      <c r="B41" s="200"/>
      <c r="C41" s="58" t="s">
        <v>27</v>
      </c>
      <c r="D41" s="145">
        <f>SUM(D39:D40)</f>
        <v>0</v>
      </c>
      <c r="E41" s="153">
        <f t="shared" ref="E41:J41" si="7">SUM(E39:E40)</f>
        <v>0</v>
      </c>
      <c r="F41" s="165">
        <f t="shared" si="7"/>
        <v>0</v>
      </c>
      <c r="G41" s="176">
        <f t="shared" si="7"/>
        <v>0</v>
      </c>
      <c r="H41" s="186">
        <f t="shared" si="7"/>
        <v>58800.000000000007</v>
      </c>
      <c r="I41" s="186">
        <f t="shared" si="7"/>
        <v>46200</v>
      </c>
      <c r="J41" s="112">
        <f t="shared" si="7"/>
        <v>105000</v>
      </c>
      <c r="K41" s="114">
        <f>J39*K39+J40*K40</f>
        <v>42500</v>
      </c>
      <c r="L41" s="114"/>
      <c r="M41" s="116"/>
    </row>
    <row r="42" spans="1:13" ht="15.25" customHeight="1" x14ac:dyDescent="0.35">
      <c r="B42" s="57" t="s">
        <v>43</v>
      </c>
      <c r="C42" s="327" t="s">
        <v>535</v>
      </c>
      <c r="D42" s="327"/>
      <c r="E42" s="327"/>
      <c r="F42" s="327"/>
      <c r="G42" s="327"/>
      <c r="H42" s="327"/>
      <c r="I42" s="327"/>
      <c r="J42" s="327"/>
      <c r="K42" s="327"/>
      <c r="L42" s="328"/>
      <c r="M42" s="327"/>
    </row>
    <row r="43" spans="1:13" ht="214" customHeight="1" x14ac:dyDescent="0.35">
      <c r="B43" s="57" t="s">
        <v>538</v>
      </c>
      <c r="C43" s="113" t="s">
        <v>536</v>
      </c>
      <c r="D43" s="144">
        <v>0</v>
      </c>
      <c r="E43" s="153">
        <v>0</v>
      </c>
      <c r="F43" s="165">
        <v>0</v>
      </c>
      <c r="G43" s="176">
        <v>0</v>
      </c>
      <c r="H43" s="186">
        <f>60000*56%</f>
        <v>33600</v>
      </c>
      <c r="I43" s="186">
        <f>60000*44%</f>
        <v>26400</v>
      </c>
      <c r="J43" s="112">
        <f>SUM(D43:I43)</f>
        <v>60000</v>
      </c>
      <c r="K43" s="115">
        <v>0.3</v>
      </c>
      <c r="L43" s="114"/>
      <c r="M43" s="116"/>
    </row>
    <row r="44" spans="1:13" ht="180.75" customHeight="1" x14ac:dyDescent="0.35">
      <c r="B44" s="57" t="s">
        <v>539</v>
      </c>
      <c r="C44" s="113" t="s">
        <v>537</v>
      </c>
      <c r="D44" s="144">
        <v>0</v>
      </c>
      <c r="E44" s="153">
        <v>0</v>
      </c>
      <c r="F44" s="165">
        <v>0</v>
      </c>
      <c r="G44" s="176">
        <v>0</v>
      </c>
      <c r="H44" s="186">
        <f>70000*56%</f>
        <v>39200.000000000007</v>
      </c>
      <c r="I44" s="186">
        <f>70000*44%</f>
        <v>30800</v>
      </c>
      <c r="J44" s="112">
        <f t="shared" ref="J44:J45" si="8">SUM(D44:I44)</f>
        <v>70000</v>
      </c>
      <c r="K44" s="115">
        <v>0.15</v>
      </c>
      <c r="L44" s="114"/>
      <c r="M44" s="116"/>
    </row>
    <row r="45" spans="1:13" ht="409.6" customHeight="1" x14ac:dyDescent="0.35">
      <c r="B45" s="57" t="s">
        <v>541</v>
      </c>
      <c r="C45" s="113" t="s">
        <v>540</v>
      </c>
      <c r="D45" s="144">
        <v>0</v>
      </c>
      <c r="E45" s="153">
        <v>0</v>
      </c>
      <c r="F45" s="165">
        <v>0</v>
      </c>
      <c r="G45" s="176">
        <v>0</v>
      </c>
      <c r="H45" s="186">
        <f>50000*56%</f>
        <v>28000.000000000004</v>
      </c>
      <c r="I45" s="186">
        <f>50000*44%</f>
        <v>22000</v>
      </c>
      <c r="J45" s="112">
        <f t="shared" si="8"/>
        <v>50000</v>
      </c>
      <c r="K45" s="115">
        <v>0.3</v>
      </c>
      <c r="L45" s="114"/>
      <c r="M45" s="116"/>
    </row>
    <row r="46" spans="1:13" ht="15.5" x14ac:dyDescent="0.35">
      <c r="C46" s="58" t="s">
        <v>27</v>
      </c>
      <c r="D46" s="146">
        <f>SUM(D43:D45)</f>
        <v>0</v>
      </c>
      <c r="E46" s="153">
        <f t="shared" ref="E46:J46" si="9">SUM(E43:E45)</f>
        <v>0</v>
      </c>
      <c r="F46" s="165">
        <f t="shared" si="9"/>
        <v>0</v>
      </c>
      <c r="G46" s="176">
        <f t="shared" si="9"/>
        <v>0</v>
      </c>
      <c r="H46" s="186">
        <f t="shared" si="9"/>
        <v>100800</v>
      </c>
      <c r="I46" s="186">
        <f t="shared" si="9"/>
        <v>79200</v>
      </c>
      <c r="J46" s="112">
        <f t="shared" si="9"/>
        <v>180000</v>
      </c>
      <c r="K46" s="114">
        <f>J43*K43+J44*K44+J45*K45</f>
        <v>43500</v>
      </c>
      <c r="L46" s="297">
        <f t="shared" ref="L46" si="10">SUM(L39:L45)</f>
        <v>0</v>
      </c>
      <c r="M46" s="118"/>
    </row>
    <row r="47" spans="1:13" ht="21" customHeight="1" x14ac:dyDescent="0.35">
      <c r="B47" s="58" t="s">
        <v>44</v>
      </c>
      <c r="C47" s="327" t="s">
        <v>45</v>
      </c>
      <c r="D47" s="327"/>
      <c r="E47" s="327"/>
      <c r="F47" s="327"/>
      <c r="G47" s="327"/>
      <c r="H47" s="327"/>
      <c r="I47" s="327"/>
      <c r="J47" s="327"/>
      <c r="K47" s="327"/>
      <c r="L47" s="328"/>
      <c r="M47" s="327"/>
    </row>
    <row r="48" spans="1:13" ht="20" customHeight="1" x14ac:dyDescent="0.35">
      <c r="B48" s="57" t="s">
        <v>46</v>
      </c>
      <c r="C48" s="327" t="s">
        <v>542</v>
      </c>
      <c r="D48" s="327"/>
      <c r="E48" s="327"/>
      <c r="F48" s="327"/>
      <c r="G48" s="327"/>
      <c r="H48" s="327"/>
      <c r="I48" s="327"/>
      <c r="J48" s="327"/>
      <c r="K48" s="327"/>
      <c r="L48" s="328"/>
      <c r="M48" s="327"/>
    </row>
    <row r="49" spans="1:14" ht="200.25" customHeight="1" x14ac:dyDescent="0.35">
      <c r="B49" s="57" t="s">
        <v>47</v>
      </c>
      <c r="C49" s="113" t="s">
        <v>543</v>
      </c>
      <c r="D49" s="144">
        <v>0</v>
      </c>
      <c r="E49" s="153">
        <v>0</v>
      </c>
      <c r="F49" s="165">
        <v>70000</v>
      </c>
      <c r="G49" s="176">
        <v>70000</v>
      </c>
      <c r="H49" s="186">
        <v>0</v>
      </c>
      <c r="I49" s="186">
        <v>0</v>
      </c>
      <c r="J49" s="112">
        <f>SUM(D49:I49)</f>
        <v>140000</v>
      </c>
      <c r="K49" s="115">
        <v>0.6</v>
      </c>
      <c r="L49" s="114">
        <v>0</v>
      </c>
      <c r="M49" s="116"/>
    </row>
    <row r="50" spans="1:14" ht="312" customHeight="1" x14ac:dyDescent="0.35">
      <c r="B50" s="57" t="s">
        <v>48</v>
      </c>
      <c r="C50" s="113" t="s">
        <v>544</v>
      </c>
      <c r="D50" s="144"/>
      <c r="E50" s="153"/>
      <c r="F50" s="165">
        <v>40000</v>
      </c>
      <c r="G50" s="176">
        <v>40000</v>
      </c>
      <c r="H50" s="186">
        <v>0</v>
      </c>
      <c r="I50" s="186">
        <v>0</v>
      </c>
      <c r="J50" s="112">
        <f>SUM(D50:I50)</f>
        <v>80000</v>
      </c>
      <c r="K50" s="115">
        <v>0.4</v>
      </c>
      <c r="L50" s="294">
        <f>18000+21000</f>
        <v>39000</v>
      </c>
      <c r="M50" s="116"/>
    </row>
    <row r="51" spans="1:14" ht="15.5" x14ac:dyDescent="0.35">
      <c r="C51" s="58" t="s">
        <v>27</v>
      </c>
      <c r="D51" s="145">
        <f>SUM(D49:D50)</f>
        <v>0</v>
      </c>
      <c r="E51" s="155">
        <f t="shared" ref="E51:I51" si="11">SUM(E49:E50)</f>
        <v>0</v>
      </c>
      <c r="F51" s="166">
        <f t="shared" si="11"/>
        <v>110000</v>
      </c>
      <c r="G51" s="177">
        <f t="shared" si="11"/>
        <v>110000</v>
      </c>
      <c r="H51" s="187">
        <f t="shared" si="11"/>
        <v>0</v>
      </c>
      <c r="I51" s="187">
        <f t="shared" si="11"/>
        <v>0</v>
      </c>
      <c r="J51" s="8">
        <f>SUM(J49:J50)</f>
        <v>220000</v>
      </c>
      <c r="K51" s="8">
        <f>J49*K49+J50*K50</f>
        <v>116000</v>
      </c>
      <c r="L51" s="295">
        <f>SUM(L49:L50)</f>
        <v>39000</v>
      </c>
      <c r="M51" s="118"/>
    </row>
    <row r="52" spans="1:14" ht="23" customHeight="1" x14ac:dyDescent="0.35">
      <c r="B52" s="57" t="s">
        <v>49</v>
      </c>
      <c r="C52" s="327" t="s">
        <v>545</v>
      </c>
      <c r="D52" s="336"/>
      <c r="E52" s="336"/>
      <c r="F52" s="336"/>
      <c r="G52" s="336"/>
      <c r="H52" s="336"/>
      <c r="I52" s="336"/>
      <c r="J52" s="336"/>
      <c r="K52" s="336"/>
      <c r="L52" s="337"/>
      <c r="M52" s="336"/>
    </row>
    <row r="53" spans="1:14" ht="409.6" customHeight="1" x14ac:dyDescent="0.35">
      <c r="B53" s="57" t="s">
        <v>50</v>
      </c>
      <c r="C53" s="113" t="s">
        <v>546</v>
      </c>
      <c r="D53" s="144">
        <v>0</v>
      </c>
      <c r="E53" s="153">
        <v>0</v>
      </c>
      <c r="F53" s="165">
        <f>8000*11</f>
        <v>88000</v>
      </c>
      <c r="G53" s="176">
        <f>12*8000</f>
        <v>96000</v>
      </c>
      <c r="H53" s="186">
        <v>0</v>
      </c>
      <c r="I53" s="186">
        <v>0</v>
      </c>
      <c r="J53" s="112">
        <f>SUM(D53:I53)</f>
        <v>184000</v>
      </c>
      <c r="K53" s="115">
        <v>0.5</v>
      </c>
      <c r="L53" s="294">
        <f>30000+20000</f>
        <v>50000</v>
      </c>
      <c r="M53" s="116"/>
    </row>
    <row r="54" spans="1:14" ht="179" customHeight="1" x14ac:dyDescent="0.35">
      <c r="B54" s="57" t="s">
        <v>51</v>
      </c>
      <c r="C54" s="201" t="s">
        <v>555</v>
      </c>
      <c r="D54" s="144">
        <v>0</v>
      </c>
      <c r="E54" s="153">
        <v>0</v>
      </c>
      <c r="F54" s="165">
        <v>260000</v>
      </c>
      <c r="G54" s="176">
        <v>260000</v>
      </c>
      <c r="H54" s="186">
        <v>0</v>
      </c>
      <c r="I54" s="186">
        <v>0</v>
      </c>
      <c r="J54" s="112">
        <f t="shared" ref="J54:J56" si="12">SUM(D54:I54)</f>
        <v>520000</v>
      </c>
      <c r="K54" s="115">
        <v>0.75</v>
      </c>
      <c r="L54" s="294">
        <f>52994.9</f>
        <v>52994.9</v>
      </c>
      <c r="M54" s="116"/>
    </row>
    <row r="55" spans="1:14" ht="136.5" customHeight="1" x14ac:dyDescent="0.35">
      <c r="B55" s="57" t="s">
        <v>53</v>
      </c>
      <c r="C55" s="202" t="s">
        <v>556</v>
      </c>
      <c r="D55" s="144">
        <v>0</v>
      </c>
      <c r="E55" s="153">
        <v>0</v>
      </c>
      <c r="F55" s="165">
        <v>20000</v>
      </c>
      <c r="G55" s="176">
        <v>20000</v>
      </c>
      <c r="H55" s="186">
        <v>0</v>
      </c>
      <c r="I55" s="186">
        <v>0</v>
      </c>
      <c r="J55" s="112">
        <f t="shared" si="12"/>
        <v>40000</v>
      </c>
      <c r="K55" s="115">
        <v>0.4</v>
      </c>
      <c r="L55" s="117">
        <v>0</v>
      </c>
      <c r="M55" s="117"/>
    </row>
    <row r="56" spans="1:14" ht="109.5" customHeight="1" x14ac:dyDescent="0.35">
      <c r="B56" s="57" t="s">
        <v>512</v>
      </c>
      <c r="C56" s="113" t="s">
        <v>52</v>
      </c>
      <c r="D56" s="144">
        <v>0</v>
      </c>
      <c r="E56" s="153">
        <v>0</v>
      </c>
      <c r="F56" s="165">
        <v>40000</v>
      </c>
      <c r="G56" s="176">
        <v>40000</v>
      </c>
      <c r="H56" s="186">
        <v>0</v>
      </c>
      <c r="I56" s="186">
        <v>0</v>
      </c>
      <c r="J56" s="112">
        <f t="shared" si="12"/>
        <v>80000</v>
      </c>
      <c r="K56" s="115">
        <v>0.75</v>
      </c>
      <c r="L56" s="294">
        <v>16474.46</v>
      </c>
      <c r="M56" s="116"/>
    </row>
    <row r="57" spans="1:14" ht="15.5" x14ac:dyDescent="0.35">
      <c r="A57" s="207"/>
      <c r="C57" s="58" t="s">
        <v>27</v>
      </c>
      <c r="D57" s="145">
        <f>SUM(D53:D56)</f>
        <v>0</v>
      </c>
      <c r="E57" s="155">
        <f t="shared" ref="E57:I57" si="13">SUM(E53:E56)</f>
        <v>0</v>
      </c>
      <c r="F57" s="166">
        <f t="shared" si="13"/>
        <v>408000</v>
      </c>
      <c r="G57" s="177">
        <f t="shared" si="13"/>
        <v>416000</v>
      </c>
      <c r="H57" s="187">
        <f t="shared" si="13"/>
        <v>0</v>
      </c>
      <c r="I57" s="187">
        <f t="shared" si="13"/>
        <v>0</v>
      </c>
      <c r="J57" s="8">
        <f>SUM(J53:J56)</f>
        <v>824000</v>
      </c>
      <c r="K57" s="8">
        <f>J53*K53+J54*K54+J56*K56</f>
        <v>542000</v>
      </c>
      <c r="L57" s="295">
        <f>SUM(L53:L56)</f>
        <v>119469.35999999999</v>
      </c>
      <c r="M57" s="118"/>
    </row>
    <row r="58" spans="1:14" ht="15.75" customHeight="1" x14ac:dyDescent="0.35">
      <c r="B58" s="206"/>
      <c r="C58" s="119"/>
      <c r="D58" s="120"/>
      <c r="E58" s="120"/>
      <c r="F58" s="120"/>
      <c r="G58" s="120"/>
      <c r="H58" s="120"/>
      <c r="I58" s="120"/>
      <c r="J58" s="120"/>
      <c r="K58" s="120"/>
      <c r="L58" s="120"/>
      <c r="M58" s="119"/>
    </row>
    <row r="59" spans="1:14" ht="87.75" customHeight="1" x14ac:dyDescent="0.35">
      <c r="B59" s="299" t="s">
        <v>54</v>
      </c>
      <c r="C59" s="121" t="s">
        <v>55</v>
      </c>
      <c r="D59" s="147">
        <v>206000</v>
      </c>
      <c r="E59" s="156">
        <v>0</v>
      </c>
      <c r="F59" s="168">
        <v>0</v>
      </c>
      <c r="G59" s="179">
        <v>0</v>
      </c>
      <c r="H59" s="189">
        <v>0</v>
      </c>
      <c r="I59" s="189">
        <v>0</v>
      </c>
      <c r="J59" s="123">
        <f>SUM(D59:I59)</f>
        <v>206000</v>
      </c>
      <c r="K59" s="115">
        <v>0.2</v>
      </c>
      <c r="L59" s="296">
        <f>55768+14242.3+2648.51+6487.89-1.58</f>
        <v>79145.119999999995</v>
      </c>
      <c r="M59" s="124"/>
      <c r="N59" s="380"/>
    </row>
    <row r="60" spans="1:14" ht="71.25" customHeight="1" x14ac:dyDescent="0.35">
      <c r="B60" s="300"/>
      <c r="C60" s="121" t="s">
        <v>56</v>
      </c>
      <c r="D60" s="147">
        <v>0</v>
      </c>
      <c r="E60" s="156">
        <v>135000</v>
      </c>
      <c r="F60" s="168"/>
      <c r="G60" s="179"/>
      <c r="H60" s="189"/>
      <c r="I60" s="189">
        <v>0</v>
      </c>
      <c r="J60" s="123">
        <f>SUM(D60:I60)</f>
        <v>135000</v>
      </c>
      <c r="K60" s="115">
        <v>0.15</v>
      </c>
      <c r="L60" s="296">
        <v>28247.08</v>
      </c>
      <c r="M60" s="124"/>
      <c r="N60" s="379"/>
    </row>
    <row r="61" spans="1:14" ht="39.75" customHeight="1" x14ac:dyDescent="0.35">
      <c r="B61" s="300"/>
      <c r="C61" s="121" t="s">
        <v>57</v>
      </c>
      <c r="D61" s="147">
        <v>0</v>
      </c>
      <c r="E61" s="156">
        <v>0</v>
      </c>
      <c r="F61" s="168">
        <v>70000</v>
      </c>
      <c r="G61" s="179">
        <v>0</v>
      </c>
      <c r="H61" s="189">
        <v>0</v>
      </c>
      <c r="I61" s="189">
        <v>0</v>
      </c>
      <c r="J61" s="123">
        <f t="shared" ref="J61:J65" si="14">SUM(D61:I61)</f>
        <v>70000</v>
      </c>
      <c r="K61" s="115">
        <v>0.15</v>
      </c>
      <c r="L61" s="296">
        <v>24300</v>
      </c>
      <c r="M61" s="124"/>
    </row>
    <row r="62" spans="1:14" ht="44.25" customHeight="1" x14ac:dyDescent="0.35">
      <c r="B62" s="300"/>
      <c r="C62" s="121" t="s">
        <v>58</v>
      </c>
      <c r="D62" s="147">
        <v>0</v>
      </c>
      <c r="E62" s="156">
        <v>0</v>
      </c>
      <c r="F62" s="168">
        <v>0</v>
      </c>
      <c r="G62" s="179">
        <v>70000</v>
      </c>
      <c r="H62" s="189">
        <v>0</v>
      </c>
      <c r="I62" s="189">
        <v>0</v>
      </c>
      <c r="J62" s="123">
        <f>SUM(D62:I62)</f>
        <v>70000</v>
      </c>
      <c r="K62" s="115">
        <v>0.15</v>
      </c>
      <c r="L62" s="296">
        <v>35457</v>
      </c>
      <c r="M62" s="124"/>
    </row>
    <row r="63" spans="1:14" ht="55.5" customHeight="1" x14ac:dyDescent="0.35">
      <c r="B63" s="301"/>
      <c r="C63" s="196" t="s">
        <v>59</v>
      </c>
      <c r="D63" s="147">
        <v>0</v>
      </c>
      <c r="E63" s="156">
        <v>0</v>
      </c>
      <c r="F63" s="168">
        <v>0</v>
      </c>
      <c r="G63" s="179">
        <v>0</v>
      </c>
      <c r="H63" s="189">
        <f>65000*56%</f>
        <v>36400</v>
      </c>
      <c r="I63" s="189">
        <f>65000*44%</f>
        <v>28600</v>
      </c>
      <c r="J63" s="123">
        <f>SUM(D63:I63)</f>
        <v>65000</v>
      </c>
      <c r="K63" s="115">
        <v>0.15</v>
      </c>
      <c r="L63" s="296">
        <v>31309.15</v>
      </c>
      <c r="M63" s="124"/>
    </row>
    <row r="64" spans="1:14" ht="15.5" x14ac:dyDescent="0.35">
      <c r="B64" s="302" t="s">
        <v>60</v>
      </c>
      <c r="C64" s="197" t="s">
        <v>61</v>
      </c>
      <c r="D64" s="147">
        <v>20000</v>
      </c>
      <c r="E64" s="156">
        <v>10000</v>
      </c>
      <c r="F64" s="168">
        <v>10000</v>
      </c>
      <c r="G64" s="179">
        <v>10000</v>
      </c>
      <c r="H64" s="189">
        <f>10000*56%</f>
        <v>5600.0000000000009</v>
      </c>
      <c r="I64" s="189">
        <f>10000*44%</f>
        <v>4400</v>
      </c>
      <c r="J64" s="123">
        <f>SUM(D64:I64)</f>
        <v>60000</v>
      </c>
      <c r="K64" s="115">
        <v>0.15</v>
      </c>
      <c r="L64" s="296">
        <f>10000+4000</f>
        <v>14000</v>
      </c>
      <c r="M64" s="124" t="s">
        <v>557</v>
      </c>
      <c r="N64" s="379"/>
    </row>
    <row r="65" spans="2:15" ht="31" x14ac:dyDescent="0.35">
      <c r="B65" s="303"/>
      <c r="C65" s="197" t="s">
        <v>62</v>
      </c>
      <c r="D65" s="147">
        <v>12000</v>
      </c>
      <c r="E65" s="156">
        <v>11000</v>
      </c>
      <c r="F65" s="168">
        <v>10000</v>
      </c>
      <c r="G65" s="179">
        <v>10000</v>
      </c>
      <c r="H65" s="189">
        <f>6000</f>
        <v>6000</v>
      </c>
      <c r="I65" s="189">
        <v>0</v>
      </c>
      <c r="J65" s="123">
        <f t="shared" si="14"/>
        <v>49000</v>
      </c>
      <c r="K65" s="115">
        <v>0.15</v>
      </c>
      <c r="L65" s="296">
        <f>3000+2000</f>
        <v>5000</v>
      </c>
      <c r="M65" s="124" t="s">
        <v>557</v>
      </c>
      <c r="N65" s="379"/>
    </row>
    <row r="66" spans="2:15" ht="15.5" x14ac:dyDescent="0.35">
      <c r="B66" s="303"/>
      <c r="C66" s="197" t="s">
        <v>63</v>
      </c>
      <c r="D66" s="147">
        <v>10000</v>
      </c>
      <c r="E66" s="156">
        <v>6000</v>
      </c>
      <c r="F66" s="168">
        <v>8000</v>
      </c>
      <c r="G66" s="179">
        <v>8000</v>
      </c>
      <c r="H66" s="189">
        <f>5000*56%</f>
        <v>2800.0000000000005</v>
      </c>
      <c r="I66" s="189">
        <f>5000*44%</f>
        <v>2200</v>
      </c>
      <c r="J66" s="123">
        <f t="shared" ref="J66:J71" si="15">SUM(D66:I66)</f>
        <v>37000</v>
      </c>
      <c r="K66" s="115">
        <v>0.15</v>
      </c>
      <c r="L66" s="296">
        <f>5000+6429.13+5000+2000</f>
        <v>18429.13</v>
      </c>
      <c r="M66" s="124"/>
      <c r="N66" s="379"/>
    </row>
    <row r="67" spans="2:15" ht="31" x14ac:dyDescent="0.35">
      <c r="B67" s="303"/>
      <c r="C67" s="197" t="s">
        <v>64</v>
      </c>
      <c r="D67" s="147">
        <v>12000</v>
      </c>
      <c r="E67" s="156">
        <v>8000</v>
      </c>
      <c r="F67" s="168">
        <v>9000</v>
      </c>
      <c r="G67" s="179">
        <v>9000</v>
      </c>
      <c r="H67" s="189">
        <f>5000*56%</f>
        <v>2800.0000000000005</v>
      </c>
      <c r="I67" s="189">
        <f>5000*44%</f>
        <v>2200</v>
      </c>
      <c r="J67" s="123">
        <f t="shared" si="15"/>
        <v>43000</v>
      </c>
      <c r="K67" s="115">
        <v>0.15</v>
      </c>
      <c r="L67" s="296">
        <f>5000+5000</f>
        <v>10000</v>
      </c>
      <c r="M67" s="124" t="s">
        <v>558</v>
      </c>
      <c r="N67" s="379"/>
    </row>
    <row r="68" spans="2:15" ht="15.5" x14ac:dyDescent="0.35">
      <c r="B68" s="304"/>
      <c r="C68" s="197" t="s">
        <v>65</v>
      </c>
      <c r="D68" s="147">
        <v>5000</v>
      </c>
      <c r="E68" s="156">
        <v>5000</v>
      </c>
      <c r="F68" s="168">
        <v>5000</v>
      </c>
      <c r="G68" s="179">
        <v>5000</v>
      </c>
      <c r="H68" s="189">
        <v>2300</v>
      </c>
      <c r="I68" s="189">
        <v>2700.0000000000005</v>
      </c>
      <c r="J68" s="123">
        <f t="shared" si="15"/>
        <v>25000</v>
      </c>
      <c r="K68" s="115">
        <v>0.15</v>
      </c>
      <c r="L68" s="296">
        <f>3000+3000+2000</f>
        <v>8000</v>
      </c>
      <c r="M68" s="124"/>
      <c r="N68" s="379"/>
      <c r="O68" s="204"/>
    </row>
    <row r="69" spans="2:15" ht="33.75" customHeight="1" x14ac:dyDescent="0.35">
      <c r="B69" s="305"/>
      <c r="C69" s="197" t="s">
        <v>66</v>
      </c>
      <c r="D69" s="147">
        <v>60000</v>
      </c>
      <c r="E69" s="156">
        <v>0</v>
      </c>
      <c r="F69" s="168">
        <v>0</v>
      </c>
      <c r="G69" s="179">
        <v>0</v>
      </c>
      <c r="H69" s="189">
        <v>0</v>
      </c>
      <c r="I69" s="189"/>
      <c r="J69" s="123">
        <f t="shared" si="15"/>
        <v>60000</v>
      </c>
      <c r="K69" s="115">
        <v>0.15</v>
      </c>
      <c r="L69" s="122"/>
      <c r="M69" s="124"/>
    </row>
    <row r="70" spans="2:15" ht="21.75" customHeight="1" thickBot="1" x14ac:dyDescent="0.4">
      <c r="B70" s="306"/>
      <c r="C70" s="197" t="s">
        <v>67</v>
      </c>
      <c r="D70" s="147">
        <v>55000</v>
      </c>
      <c r="E70" s="156">
        <v>30000</v>
      </c>
      <c r="F70" s="168">
        <v>25000</v>
      </c>
      <c r="G70" s="179">
        <v>25000</v>
      </c>
      <c r="H70" s="189">
        <f>15000*56%</f>
        <v>8400</v>
      </c>
      <c r="I70" s="189">
        <f>15000*44%</f>
        <v>6600</v>
      </c>
      <c r="J70" s="123">
        <f t="shared" si="15"/>
        <v>150000</v>
      </c>
      <c r="K70" s="115">
        <v>0.15</v>
      </c>
      <c r="L70" s="296">
        <f>3167.56+5000+1384+14295.75+3150.63+309.42+5000</f>
        <v>32307.359999999997</v>
      </c>
      <c r="M70" s="124"/>
      <c r="N70" s="379"/>
    </row>
    <row r="71" spans="2:15" ht="75" customHeight="1" thickBot="1" x14ac:dyDescent="0.4">
      <c r="B71" s="67" t="s">
        <v>68</v>
      </c>
      <c r="C71" s="198" t="s">
        <v>69</v>
      </c>
      <c r="D71" s="147">
        <v>70000</v>
      </c>
      <c r="E71" s="156">
        <v>0</v>
      </c>
      <c r="F71" s="168">
        <v>0</v>
      </c>
      <c r="G71" s="179">
        <v>0</v>
      </c>
      <c r="H71" s="189">
        <v>0</v>
      </c>
      <c r="I71" s="189"/>
      <c r="J71" s="123">
        <f t="shared" si="15"/>
        <v>70000</v>
      </c>
      <c r="K71" s="115">
        <v>0.15</v>
      </c>
      <c r="L71" s="122"/>
      <c r="M71" s="124"/>
      <c r="N71" s="204"/>
      <c r="O71" s="204"/>
    </row>
    <row r="72" spans="2:15" ht="25.5" customHeight="1" x14ac:dyDescent="0.35">
      <c r="B72" s="4"/>
      <c r="C72" s="68" t="s">
        <v>70</v>
      </c>
      <c r="D72" s="148">
        <f>SUM(D59:D71)</f>
        <v>450000</v>
      </c>
      <c r="E72" s="157">
        <f>SUM(E59:E71)</f>
        <v>205000</v>
      </c>
      <c r="F72" s="169">
        <f t="shared" ref="F72:I72" si="16">SUM(F59:F71)</f>
        <v>137000</v>
      </c>
      <c r="G72" s="292">
        <f>SUM(G59:G71)</f>
        <v>137000</v>
      </c>
      <c r="H72" s="190">
        <f>SUM(H59:H71)</f>
        <v>64300</v>
      </c>
      <c r="I72" s="190">
        <f t="shared" si="16"/>
        <v>46700</v>
      </c>
      <c r="J72" s="71">
        <f>SUM(J59:J71)</f>
        <v>1040000</v>
      </c>
      <c r="K72" s="8">
        <f>(K59*J59)+(K68*J68)+(K70*J70)+(K71*J71)</f>
        <v>77950</v>
      </c>
      <c r="L72" s="295">
        <f>SUM(L59:L71)</f>
        <v>286194.84000000003</v>
      </c>
      <c r="M72" s="121"/>
    </row>
    <row r="73" spans="2:15" ht="15.75" customHeight="1" x14ac:dyDescent="0.35">
      <c r="B73" s="4"/>
      <c r="C73" s="119"/>
      <c r="D73" s="120"/>
      <c r="E73" s="120"/>
      <c r="F73" s="120"/>
      <c r="G73" s="120"/>
      <c r="H73" s="120"/>
      <c r="I73" s="120"/>
      <c r="J73" s="120"/>
      <c r="K73" s="120"/>
      <c r="L73" s="120"/>
      <c r="M73" s="119"/>
    </row>
    <row r="74" spans="2:15" ht="15.75" customHeight="1" x14ac:dyDescent="0.35">
      <c r="B74" s="4"/>
      <c r="C74" s="119"/>
      <c r="D74" s="120"/>
      <c r="E74" s="120"/>
      <c r="F74" s="120"/>
      <c r="G74" s="120"/>
      <c r="H74" s="120"/>
      <c r="I74" s="120"/>
      <c r="J74" s="120"/>
      <c r="K74" s="120"/>
      <c r="L74" s="120"/>
      <c r="M74" s="119"/>
    </row>
    <row r="75" spans="2:15" ht="15.75" customHeight="1" x14ac:dyDescent="0.35">
      <c r="B75" s="4"/>
      <c r="C75" s="119"/>
      <c r="D75" s="120"/>
      <c r="E75" s="120"/>
      <c r="F75" s="120"/>
      <c r="G75" s="120"/>
      <c r="H75" s="120"/>
      <c r="I75" s="120"/>
      <c r="J75" s="120"/>
      <c r="K75" s="120"/>
      <c r="L75" s="120"/>
      <c r="M75" s="119"/>
    </row>
    <row r="76" spans="2:15" ht="15.75" customHeight="1" x14ac:dyDescent="0.35">
      <c r="B76" s="4"/>
      <c r="C76" s="119"/>
      <c r="D76" s="120"/>
      <c r="E76" s="120"/>
      <c r="F76" s="120"/>
      <c r="G76" s="120"/>
      <c r="H76" s="120"/>
      <c r="I76" s="120"/>
      <c r="J76" s="120"/>
      <c r="K76" s="120"/>
      <c r="L76" s="120"/>
      <c r="M76" s="119"/>
    </row>
    <row r="77" spans="2:15" ht="15.75" customHeight="1" x14ac:dyDescent="0.35">
      <c r="B77" s="4"/>
      <c r="C77" s="119"/>
      <c r="D77" s="120"/>
      <c r="E77" s="120"/>
      <c r="F77" s="120"/>
      <c r="G77" s="120"/>
      <c r="H77" s="120"/>
      <c r="I77" s="120"/>
      <c r="J77" s="120"/>
      <c r="K77" s="120"/>
      <c r="L77" s="120"/>
      <c r="M77" s="119"/>
    </row>
    <row r="78" spans="2:15" ht="15.75" customHeight="1" thickBot="1" x14ac:dyDescent="0.4">
      <c r="B78" s="4"/>
      <c r="C78" s="119"/>
      <c r="D78" s="120"/>
      <c r="E78" s="120"/>
      <c r="F78" s="120"/>
      <c r="G78" s="120"/>
      <c r="H78" s="120"/>
      <c r="I78" s="120"/>
      <c r="J78" s="120"/>
      <c r="K78" s="120"/>
      <c r="L78" s="120"/>
      <c r="M78" s="199"/>
      <c r="N78" s="204"/>
      <c r="O78" s="204"/>
    </row>
    <row r="79" spans="2:15" ht="15.5" x14ac:dyDescent="0.35">
      <c r="B79" s="4"/>
      <c r="C79" s="323" t="s">
        <v>71</v>
      </c>
      <c r="D79" s="324"/>
      <c r="E79" s="324"/>
      <c r="F79" s="324"/>
      <c r="G79" s="324"/>
      <c r="H79" s="324"/>
      <c r="I79" s="324"/>
      <c r="J79" s="325"/>
      <c r="K79" s="7"/>
      <c r="L79" s="92"/>
      <c r="M79" s="199"/>
    </row>
    <row r="80" spans="2:15" ht="40.5" customHeight="1" x14ac:dyDescent="0.35">
      <c r="B80" s="4"/>
      <c r="C80" s="314"/>
      <c r="D80" s="8" t="s">
        <v>72</v>
      </c>
      <c r="E80" s="8" t="s">
        <v>73</v>
      </c>
      <c r="F80" s="8" t="s">
        <v>74</v>
      </c>
      <c r="G80" s="8" t="s">
        <v>75</v>
      </c>
      <c r="H80" s="8" t="s">
        <v>75</v>
      </c>
      <c r="I80" s="8" t="s">
        <v>552</v>
      </c>
      <c r="J80" s="316" t="s">
        <v>9</v>
      </c>
      <c r="K80" s="119"/>
      <c r="L80" s="120"/>
      <c r="M80" s="7"/>
    </row>
    <row r="81" spans="2:13" ht="24.75" customHeight="1" x14ac:dyDescent="0.35">
      <c r="B81" s="4"/>
      <c r="C81" s="315"/>
      <c r="D81" s="149" t="str">
        <f>D13</f>
        <v>PNUD GUINEE</v>
      </c>
      <c r="E81" s="158" t="str">
        <f>E13</f>
        <v>PNUD MALI</v>
      </c>
      <c r="F81" s="170" t="str">
        <f>F13</f>
        <v>UNFPA GUINEE</v>
      </c>
      <c r="G81" s="180" t="s">
        <v>16</v>
      </c>
      <c r="H81" s="191" t="str">
        <f>H13</f>
        <v>UNODC GUINEE</v>
      </c>
      <c r="I81" s="191" t="str">
        <f>I13</f>
        <v>UNODC MALI</v>
      </c>
      <c r="J81" s="317"/>
      <c r="K81" s="119"/>
      <c r="L81" s="120"/>
      <c r="M81" s="7"/>
    </row>
    <row r="82" spans="2:13" ht="32.25" customHeight="1" x14ac:dyDescent="0.35">
      <c r="B82" s="125"/>
      <c r="C82" s="14" t="s">
        <v>76</v>
      </c>
      <c r="D82" s="150">
        <f>SUM(D22,D27,D32,D37,D41,D46,D51,D57,D72)</f>
        <v>1186000</v>
      </c>
      <c r="E82" s="159">
        <f>SUM(E22,E27,E32,E37,E41,E46,E51,E57,E72)</f>
        <v>939579.44</v>
      </c>
      <c r="F82" s="288">
        <f t="shared" ref="F82:I82" si="17">SUM(F22,F27,F32,F37,F41,F46,F51,F57,F72)</f>
        <v>655000</v>
      </c>
      <c r="G82" s="289">
        <f t="shared" si="17"/>
        <v>663000</v>
      </c>
      <c r="H82" s="290">
        <f>SUM(H22,H27,H32,H37,H41,H46,H51,H57,H72)</f>
        <v>285500</v>
      </c>
      <c r="I82" s="290">
        <f t="shared" si="17"/>
        <v>220500</v>
      </c>
      <c r="J82" s="126">
        <f>SUM(J22,J27,J32,J37,J41+J46,J51,J57,J72)</f>
        <v>3949579.44</v>
      </c>
      <c r="K82" s="203"/>
      <c r="L82" s="120"/>
      <c r="M82" s="125"/>
    </row>
    <row r="83" spans="2:13" ht="21.75" customHeight="1" x14ac:dyDescent="0.35">
      <c r="B83" s="127"/>
      <c r="C83" s="14" t="s">
        <v>77</v>
      </c>
      <c r="D83" s="150">
        <f t="shared" ref="D83:J83" si="18">D82*0.07</f>
        <v>83020.000000000015</v>
      </c>
      <c r="E83" s="159">
        <f t="shared" si="18"/>
        <v>65770.560800000007</v>
      </c>
      <c r="F83" s="171">
        <f t="shared" si="18"/>
        <v>45850.000000000007</v>
      </c>
      <c r="G83" s="181">
        <f t="shared" si="18"/>
        <v>46410.000000000007</v>
      </c>
      <c r="H83" s="192">
        <f t="shared" si="18"/>
        <v>19985.000000000004</v>
      </c>
      <c r="I83" s="192">
        <f t="shared" si="18"/>
        <v>15435.000000000002</v>
      </c>
      <c r="J83" s="126">
        <f t="shared" si="18"/>
        <v>276470.56080000004</v>
      </c>
      <c r="K83" s="127"/>
      <c r="L83" s="128"/>
      <c r="M83" s="129"/>
    </row>
    <row r="84" spans="2:13" ht="29.25" customHeight="1" thickBot="1" x14ac:dyDescent="0.4">
      <c r="B84" s="127"/>
      <c r="C84" s="6" t="s">
        <v>9</v>
      </c>
      <c r="D84" s="151">
        <f>SUM(D82:D83)</f>
        <v>1269020</v>
      </c>
      <c r="E84" s="160">
        <f>SUM(E82:E83)</f>
        <v>1005350.0007999999</v>
      </c>
      <c r="F84" s="172">
        <f>SUM(F82:F83)</f>
        <v>700850</v>
      </c>
      <c r="G84" s="182">
        <f>G82+G83</f>
        <v>709410</v>
      </c>
      <c r="H84" s="193">
        <f>SUM(H82:H83)</f>
        <v>305485</v>
      </c>
      <c r="I84" s="193">
        <f>SUM(I82:I83)</f>
        <v>235935</v>
      </c>
      <c r="J84" s="66">
        <f>SUM(J82:J83)</f>
        <v>4226050.0007999996</v>
      </c>
      <c r="K84" s="127"/>
      <c r="L84" s="128"/>
      <c r="M84" s="129"/>
    </row>
    <row r="85" spans="2:13" ht="42" customHeight="1" x14ac:dyDescent="0.35">
      <c r="B85" s="127"/>
      <c r="D85" s="204"/>
      <c r="E85" s="204"/>
      <c r="F85" s="204"/>
      <c r="G85" s="204"/>
      <c r="H85" s="291"/>
      <c r="I85" s="291"/>
      <c r="J85" s="287"/>
      <c r="M85" s="2"/>
    </row>
    <row r="86" spans="2:13" s="23" customFormat="1" ht="29.25" customHeight="1" thickBot="1" x14ac:dyDescent="0.4">
      <c r="B86" s="119"/>
      <c r="C86" s="4"/>
      <c r="D86" s="18"/>
      <c r="E86" s="18"/>
      <c r="F86" s="18"/>
      <c r="G86" s="18"/>
      <c r="H86" s="204"/>
      <c r="I86" s="18"/>
      <c r="J86" s="18"/>
      <c r="K86" s="18"/>
      <c r="L86" s="94"/>
      <c r="M86" s="7"/>
    </row>
    <row r="87" spans="2:13" ht="23.25" customHeight="1" x14ac:dyDescent="0.35">
      <c r="B87" s="129"/>
      <c r="C87" s="308" t="s">
        <v>78</v>
      </c>
      <c r="D87" s="309"/>
      <c r="E87" s="310"/>
      <c r="F87" s="310"/>
      <c r="G87" s="310"/>
      <c r="H87" s="310"/>
      <c r="I87" s="310"/>
      <c r="J87" s="310"/>
      <c r="K87" s="311"/>
      <c r="L87" s="95"/>
      <c r="M87" s="129"/>
    </row>
    <row r="88" spans="2:13" ht="41.25" customHeight="1" x14ac:dyDescent="0.35">
      <c r="B88" s="129"/>
      <c r="C88" s="15"/>
      <c r="D88" s="8" t="s">
        <v>72</v>
      </c>
      <c r="E88" s="8" t="s">
        <v>73</v>
      </c>
      <c r="F88" s="8" t="s">
        <v>74</v>
      </c>
      <c r="G88" s="8" t="s">
        <v>75</v>
      </c>
      <c r="H88" s="8" t="s">
        <v>552</v>
      </c>
      <c r="I88" s="8" t="s">
        <v>553</v>
      </c>
      <c r="J88" s="318" t="s">
        <v>9</v>
      </c>
      <c r="K88" s="319" t="s">
        <v>79</v>
      </c>
      <c r="L88" s="95"/>
      <c r="M88" s="129"/>
    </row>
    <row r="89" spans="2:13" ht="21" customHeight="1" x14ac:dyDescent="0.35">
      <c r="B89" s="129"/>
      <c r="C89" s="15"/>
      <c r="D89" s="163" t="str">
        <f>D13</f>
        <v>PNUD GUINEE</v>
      </c>
      <c r="E89" s="161" t="str">
        <f>E13</f>
        <v>PNUD MALI</v>
      </c>
      <c r="F89" s="173" t="str">
        <f>F13</f>
        <v>UNFPA GUINEE</v>
      </c>
      <c r="G89" s="183" t="s">
        <v>16</v>
      </c>
      <c r="H89" s="194" t="str">
        <f>H13</f>
        <v>UNODC GUINEE</v>
      </c>
      <c r="I89" s="194" t="str">
        <f>I13</f>
        <v>UNODC MALI</v>
      </c>
      <c r="J89" s="306"/>
      <c r="K89" s="320"/>
      <c r="L89" s="95"/>
      <c r="M89" s="129"/>
    </row>
    <row r="90" spans="2:13" ht="22.5" customHeight="1" x14ac:dyDescent="0.35">
      <c r="B90" s="129"/>
      <c r="C90" s="14" t="s">
        <v>80</v>
      </c>
      <c r="D90" s="148">
        <f>D84*K90</f>
        <v>888314</v>
      </c>
      <c r="E90" s="162">
        <f>E84*K90</f>
        <v>703745.00055999996</v>
      </c>
      <c r="F90" s="174">
        <f>F84*K90</f>
        <v>490594.99999999994</v>
      </c>
      <c r="G90" s="184">
        <f>G84*K90</f>
        <v>496586.99999999994</v>
      </c>
      <c r="H90" s="195">
        <f>H84*K90</f>
        <v>213839.5</v>
      </c>
      <c r="I90" s="195">
        <f>I84*K90</f>
        <v>165154.5</v>
      </c>
      <c r="J90" s="59">
        <f>J84*K90</f>
        <v>2958235.0005599996</v>
      </c>
      <c r="K90" s="74">
        <v>0.7</v>
      </c>
      <c r="L90" s="92"/>
      <c r="M90" s="129"/>
    </row>
    <row r="91" spans="2:13" ht="25.5" customHeight="1" x14ac:dyDescent="0.35">
      <c r="B91" s="307"/>
      <c r="C91" s="69" t="s">
        <v>81</v>
      </c>
      <c r="D91" s="148">
        <f>D84*K91</f>
        <v>380706</v>
      </c>
      <c r="E91" s="162">
        <f>E84*K91</f>
        <v>301605.00023999996</v>
      </c>
      <c r="F91" s="174">
        <f>F84*K91</f>
        <v>210255</v>
      </c>
      <c r="G91" s="184">
        <f>G84*K91</f>
        <v>212823</v>
      </c>
      <c r="H91" s="195">
        <f>H84*K91</f>
        <v>91645.5</v>
      </c>
      <c r="I91" s="195">
        <f>I84*K91</f>
        <v>70780.5</v>
      </c>
      <c r="J91" s="70">
        <f>J84*K91</f>
        <v>1267815.0002399997</v>
      </c>
      <c r="K91" s="75">
        <v>0.3</v>
      </c>
      <c r="L91" s="92"/>
    </row>
    <row r="92" spans="2:13" ht="36.75" customHeight="1" x14ac:dyDescent="0.35">
      <c r="B92" s="307"/>
      <c r="C92" s="69" t="s">
        <v>82</v>
      </c>
      <c r="D92" s="148">
        <f>$D$84*K92</f>
        <v>0</v>
      </c>
      <c r="E92" s="162">
        <f>$E$84*K92</f>
        <v>0</v>
      </c>
      <c r="F92" s="174">
        <f>$F$84*K92</f>
        <v>0</v>
      </c>
      <c r="G92" s="184">
        <f>$F$84*L92</f>
        <v>0</v>
      </c>
      <c r="H92" s="195">
        <f>$H$84*K92</f>
        <v>0</v>
      </c>
      <c r="I92" s="195">
        <f>$H$84*K92</f>
        <v>0</v>
      </c>
      <c r="J92" s="70">
        <f>SUM(D92:H92)</f>
        <v>0</v>
      </c>
      <c r="K92" s="76">
        <v>0</v>
      </c>
      <c r="L92" s="96"/>
    </row>
    <row r="93" spans="2:13" ht="19.5" customHeight="1" thickBot="1" x14ac:dyDescent="0.4">
      <c r="B93" s="307"/>
      <c r="C93" s="6" t="s">
        <v>9</v>
      </c>
      <c r="D93" s="151">
        <f t="shared" ref="D93:J93" si="19">SUM(D90:D92)</f>
        <v>1269020</v>
      </c>
      <c r="E93" s="160">
        <f t="shared" si="19"/>
        <v>1005350.0007999999</v>
      </c>
      <c r="F93" s="172">
        <f t="shared" si="19"/>
        <v>700850</v>
      </c>
      <c r="G93" s="182">
        <f t="shared" si="19"/>
        <v>709410</v>
      </c>
      <c r="H93" s="193">
        <f t="shared" si="19"/>
        <v>305485</v>
      </c>
      <c r="I93" s="193">
        <f t="shared" si="19"/>
        <v>235935</v>
      </c>
      <c r="J93" s="60">
        <f t="shared" si="19"/>
        <v>4226050.0007999996</v>
      </c>
      <c r="K93" s="61">
        <f t="shared" ref="K93" si="20">SUM(K90:K92)</f>
        <v>1</v>
      </c>
      <c r="L93" s="97"/>
    </row>
    <row r="94" spans="2:13" ht="21.75" customHeight="1" thickBot="1" x14ac:dyDescent="0.4">
      <c r="B94" s="307"/>
      <c r="C94" s="1"/>
      <c r="D94" s="5"/>
      <c r="E94" s="5"/>
      <c r="F94" s="5"/>
      <c r="G94" s="5"/>
      <c r="H94" s="5"/>
      <c r="I94" s="5"/>
      <c r="J94" s="5"/>
      <c r="K94" s="5"/>
      <c r="L94" s="98"/>
    </row>
    <row r="95" spans="2:13" ht="35.25" customHeight="1" x14ac:dyDescent="0.35">
      <c r="B95" s="307"/>
      <c r="C95" s="62" t="s">
        <v>83</v>
      </c>
      <c r="D95" s="63">
        <f>SUM(K22,K27,K32,K37,K41,K46,K51,K57,K72)*1.07</f>
        <v>1579683.5004</v>
      </c>
      <c r="E95" s="18"/>
      <c r="F95" s="18"/>
      <c r="G95" s="18"/>
      <c r="H95" s="30"/>
      <c r="I95" s="30"/>
      <c r="J95" s="18"/>
      <c r="K95" s="102" t="s">
        <v>84</v>
      </c>
      <c r="L95" s="103">
        <f>SUM(L72,L57,L51,L46,L37,L32,L27,L22)</f>
        <v>886361.77000000014</v>
      </c>
    </row>
    <row r="96" spans="2:13" ht="25.5" customHeight="1" thickBot="1" x14ac:dyDescent="0.4">
      <c r="B96" s="307"/>
      <c r="C96" s="64" t="s">
        <v>85</v>
      </c>
      <c r="D96" s="91">
        <f>D95/J84</f>
        <v>0.37379668960399492</v>
      </c>
      <c r="E96" s="28"/>
      <c r="F96" s="28"/>
      <c r="G96" s="28"/>
      <c r="H96" s="28"/>
      <c r="I96" s="28"/>
      <c r="J96" s="28"/>
      <c r="K96" s="104" t="s">
        <v>86</v>
      </c>
      <c r="L96" s="377">
        <f>L95/J82</f>
        <v>0.22441927892960678</v>
      </c>
    </row>
    <row r="97" spans="2:12" ht="22" customHeight="1" x14ac:dyDescent="0.35">
      <c r="B97" s="307"/>
      <c r="C97" s="321"/>
      <c r="D97" s="322"/>
      <c r="E97" s="29"/>
      <c r="F97" s="29"/>
      <c r="G97" s="29"/>
      <c r="H97" s="29"/>
      <c r="I97" s="29"/>
      <c r="J97" s="29"/>
    </row>
    <row r="98" spans="2:12" ht="34.5" customHeight="1" x14ac:dyDescent="0.35">
      <c r="B98" s="307"/>
      <c r="C98" s="64" t="s">
        <v>87</v>
      </c>
      <c r="D98" s="65">
        <f>SUM(J71+J70)*1.07</f>
        <v>235400</v>
      </c>
      <c r="E98" s="30"/>
      <c r="F98" s="30"/>
      <c r="G98" s="30"/>
      <c r="H98" s="30"/>
      <c r="I98" s="30"/>
      <c r="J98" s="281"/>
    </row>
    <row r="99" spans="2:12" ht="23.25" customHeight="1" x14ac:dyDescent="0.35">
      <c r="B99" s="307"/>
      <c r="C99" s="64" t="s">
        <v>88</v>
      </c>
      <c r="D99" s="91">
        <f>D98/J84</f>
        <v>5.5702133187122325E-2</v>
      </c>
      <c r="E99" s="30"/>
      <c r="F99" s="30"/>
      <c r="G99" s="30"/>
      <c r="H99" s="30"/>
      <c r="I99" s="30"/>
      <c r="J99" s="30"/>
    </row>
    <row r="100" spans="2:12" ht="66.75" customHeight="1" thickBot="1" x14ac:dyDescent="0.4">
      <c r="B100" s="307"/>
      <c r="C100" s="312" t="s">
        <v>89</v>
      </c>
      <c r="D100" s="313"/>
      <c r="E100" s="19"/>
      <c r="F100" s="19"/>
      <c r="G100" s="19"/>
      <c r="H100" s="19"/>
      <c r="I100" s="19"/>
      <c r="J100" s="19"/>
      <c r="L100" s="99"/>
    </row>
    <row r="101" spans="2:12" ht="55.5" customHeight="1" x14ac:dyDescent="0.35">
      <c r="B101" s="307"/>
    </row>
    <row r="102" spans="2:12" ht="42.75" customHeight="1" x14ac:dyDescent="0.35">
      <c r="B102" s="307"/>
    </row>
    <row r="103" spans="2:12" ht="21.75" customHeight="1" x14ac:dyDescent="0.35">
      <c r="B103" s="307"/>
    </row>
    <row r="104" spans="2:12" ht="21.75" customHeight="1" x14ac:dyDescent="0.35">
      <c r="B104" s="307"/>
    </row>
    <row r="105" spans="2:12" ht="23.25" customHeight="1" x14ac:dyDescent="0.35">
      <c r="B105" s="307"/>
    </row>
    <row r="106" spans="2:12" ht="23.25" customHeight="1" x14ac:dyDescent="0.35"/>
    <row r="107" spans="2:12" ht="21.75" customHeight="1" x14ac:dyDescent="0.35"/>
    <row r="108" spans="2:12" ht="16.5" customHeight="1" x14ac:dyDescent="0.35"/>
    <row r="109" spans="2:12" ht="29.25" customHeight="1" x14ac:dyDescent="0.35"/>
    <row r="110" spans="2:12" ht="24.75" customHeight="1" x14ac:dyDescent="0.35"/>
    <row r="111" spans="2:12" ht="33" customHeight="1" x14ac:dyDescent="0.35"/>
    <row r="113" ht="15" customHeight="1" x14ac:dyDescent="0.35"/>
    <row r="114" ht="25.5" customHeight="1" x14ac:dyDescent="0.35"/>
    <row r="165" spans="1:1" x14ac:dyDescent="0.35">
      <c r="A165" s="22" t="s">
        <v>90</v>
      </c>
    </row>
  </sheetData>
  <sheetProtection formatCells="0" formatColumns="0" formatRows="0"/>
  <mergeCells count="27">
    <mergeCell ref="C48:M48"/>
    <mergeCell ref="C52:M52"/>
    <mergeCell ref="C33:M33"/>
    <mergeCell ref="C34:M34"/>
    <mergeCell ref="B6:M6"/>
    <mergeCell ref="C38:M38"/>
    <mergeCell ref="C47:M47"/>
    <mergeCell ref="C42:M42"/>
    <mergeCell ref="B2:E2"/>
    <mergeCell ref="C23:M23"/>
    <mergeCell ref="C15:M15"/>
    <mergeCell ref="C28:M28"/>
    <mergeCell ref="B9:M9"/>
    <mergeCell ref="B5:M5"/>
    <mergeCell ref="C14:M14"/>
    <mergeCell ref="B59:B63"/>
    <mergeCell ref="B64:B68"/>
    <mergeCell ref="B69:B70"/>
    <mergeCell ref="B91:B105"/>
    <mergeCell ref="C87:K87"/>
    <mergeCell ref="C100:D100"/>
    <mergeCell ref="C80:C81"/>
    <mergeCell ref="J80:J81"/>
    <mergeCell ref="J88:J89"/>
    <mergeCell ref="K88:K89"/>
    <mergeCell ref="C97:D97"/>
    <mergeCell ref="C79:J79"/>
  </mergeCells>
  <phoneticPr fontId="24" type="noConversion"/>
  <conditionalFormatting sqref="D96">
    <cfRule type="cellIs" dxfId="20" priority="46" operator="lessThan">
      <formula>0.15</formula>
    </cfRule>
  </conditionalFormatting>
  <conditionalFormatting sqref="D99">
    <cfRule type="cellIs" dxfId="19" priority="44" operator="lessThan">
      <formula>0.05</formula>
    </cfRule>
  </conditionalFormatting>
  <conditionalFormatting sqref="K93:L93">
    <cfRule type="cellIs" dxfId="18" priority="1" operator="greaterThan">
      <formula>1</formula>
    </cfRule>
  </conditionalFormatting>
  <dataValidations xWindow="431" yWindow="475" count="7">
    <dataValidation allowBlank="1" showInputMessage="1" showErrorMessage="1" prompt="Insert *text* description of Output here" sqref="C15 C23 C28 C34 C38 C48 C52" xr:uid="{31AC9CA6-D499-4711-A99F-BECD0A64F3A8}"/>
    <dataValidation allowBlank="1" showInputMessage="1" showErrorMessage="1" prompt="Insert *text* description of Activity here" sqref="C24 C35 C39 C49 C53" xr:uid="{E7A390F5-03DD-4A67-B842-17326B4F2DA4}"/>
    <dataValidation allowBlank="1" showErrorMessage="1" prompt="% Towards Gender Equality and Women's Empowerment Must be Higher than 15%_x000a_" sqref="D98:J98" xr:uid="{8C6643DA-1D03-44FB-AC1F-C4CB706ED3AA}"/>
    <dataValidation allowBlank="1" showInputMessage="1" showErrorMessage="1" prompt="% Towards Gender Equality and Women's Empowerment Must be Higher than 15%_x000a_" sqref="D96:J96" xr:uid="{E72508C7-C8DD-46A5-878C-E4FA07CAB6AF}"/>
    <dataValidation allowBlank="1" showInputMessage="1" showErrorMessage="1" prompt="M&amp;E Budget Cannot be Less than 5%_x000a_" sqref="D99:J99" xr:uid="{53928C0A-D548-4B6B-97FC-07D38B0E5FA7}"/>
    <dataValidation allowBlank="1" showInputMessage="1" showErrorMessage="1" prompt="Insert *text* description of Outcome here" sqref="C14:M14 C33:M33 C47:M47" xr:uid="{89ACADD6-F982-42D9-AC8D-CCF9750605B2}"/>
    <dataValidation allowBlank="1" showInputMessage="1" showErrorMessage="1" prompt="Insert name of recipient agency here _x000a_" sqref="D13:J13" xr:uid="{6F27C540-9DBA-46EE-AEC3-C6AACF4159B5}"/>
  </dataValidations>
  <pageMargins left="0.7" right="0.7" top="0.75" bottom="0.75" header="0.3" footer="0.3"/>
  <pageSetup scale="42" orientation="landscape" r:id="rId1"/>
  <rowBreaks count="1" manualBreakCount="1">
    <brk id="38"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E89B91-DE06-467F-8EA8-3D1E1CFD21DE}">
  <sheetPr>
    <tabColor theme="0"/>
  </sheetPr>
  <dimension ref="B1:Q248"/>
  <sheetViews>
    <sheetView showGridLines="0" showZeros="0" topLeftCell="A206" zoomScale="70" zoomScaleNormal="70" zoomScaleSheetLayoutView="80" workbookViewId="0">
      <selection activeCell="G221" sqref="G221"/>
    </sheetView>
  </sheetViews>
  <sheetFormatPr baseColWidth="10" defaultColWidth="9.1796875" defaultRowHeight="15.5" x14ac:dyDescent="0.35"/>
  <cols>
    <col min="1" max="1" width="4.453125" style="34" customWidth="1"/>
    <col min="2" max="2" width="3.26953125" style="34" customWidth="1"/>
    <col min="3" max="3" width="51.453125" style="34" customWidth="1"/>
    <col min="4" max="4" width="19.54296875" style="35" customWidth="1"/>
    <col min="5" max="5" width="19" style="35" customWidth="1"/>
    <col min="6" max="6" width="19.54296875" style="35" customWidth="1"/>
    <col min="7" max="7" width="20.54296875" style="35" customWidth="1"/>
    <col min="8" max="9" width="17.7265625" style="35" customWidth="1"/>
    <col min="10" max="10" width="23.54296875" style="34" customWidth="1"/>
    <col min="11" max="11" width="21.453125" style="34" customWidth="1"/>
    <col min="12" max="12" width="16.81640625" style="34" customWidth="1"/>
    <col min="13" max="13" width="19.453125" style="34" customWidth="1"/>
    <col min="14" max="14" width="19" style="34" customWidth="1"/>
    <col min="15" max="15" width="26" style="34" customWidth="1"/>
    <col min="16" max="16" width="21.1796875" style="34" customWidth="1"/>
    <col min="17" max="17" width="7" style="34" customWidth="1"/>
    <col min="18" max="18" width="24.26953125" style="34" customWidth="1"/>
    <col min="19" max="19" width="26.453125" style="34" customWidth="1"/>
    <col min="20" max="20" width="30.1796875" style="34" customWidth="1"/>
    <col min="21" max="21" width="33" style="34" customWidth="1"/>
    <col min="22" max="23" width="22.7265625" style="34" customWidth="1"/>
    <col min="24" max="24" width="23.453125" style="34" customWidth="1"/>
    <col min="25" max="25" width="32.1796875" style="34" customWidth="1"/>
    <col min="26" max="26" width="9.1796875" style="34"/>
    <col min="27" max="27" width="17.7265625" style="34" customWidth="1"/>
    <col min="28" max="28" width="26.453125" style="34" customWidth="1"/>
    <col min="29" max="29" width="22.453125" style="34" customWidth="1"/>
    <col min="30" max="30" width="29.7265625" style="34" customWidth="1"/>
    <col min="31" max="31" width="23.453125" style="34" customWidth="1"/>
    <col min="32" max="32" width="18.453125" style="34" customWidth="1"/>
    <col min="33" max="33" width="17.453125" style="34" customWidth="1"/>
    <col min="34" max="34" width="25.1796875" style="34" customWidth="1"/>
    <col min="35" max="16384" width="9.1796875" style="34"/>
  </cols>
  <sheetData>
    <row r="1" spans="2:17" ht="24" customHeight="1" x14ac:dyDescent="0.35">
      <c r="B1" s="130"/>
      <c r="C1" s="130"/>
      <c r="D1" s="131"/>
      <c r="E1" s="131"/>
      <c r="F1" s="131"/>
      <c r="G1" s="131"/>
      <c r="H1" s="131"/>
      <c r="I1" s="131"/>
      <c r="J1" s="130"/>
      <c r="K1" s="130"/>
      <c r="L1" s="130"/>
      <c r="M1" s="130"/>
      <c r="N1" s="130"/>
      <c r="O1" s="10"/>
      <c r="P1" s="3"/>
      <c r="Q1" s="130"/>
    </row>
    <row r="2" spans="2:17" ht="46.5" customHeight="1" x14ac:dyDescent="1">
      <c r="B2" s="130"/>
      <c r="C2" s="355" t="s">
        <v>0</v>
      </c>
      <c r="D2" s="355"/>
      <c r="E2" s="355"/>
      <c r="F2" s="355"/>
      <c r="G2" s="208"/>
      <c r="H2" s="105"/>
      <c r="I2" s="280"/>
      <c r="J2" s="20"/>
      <c r="K2" s="21"/>
      <c r="L2" s="21"/>
      <c r="M2" s="130"/>
      <c r="N2" s="130"/>
      <c r="O2" s="10"/>
      <c r="P2" s="3"/>
      <c r="Q2" s="130"/>
    </row>
    <row r="3" spans="2:17" ht="24" customHeight="1" x14ac:dyDescent="0.35">
      <c r="B3" s="130"/>
      <c r="C3" s="24"/>
      <c r="D3" s="22"/>
      <c r="E3" s="22"/>
      <c r="F3" s="22"/>
      <c r="G3" s="22"/>
      <c r="H3" s="22"/>
      <c r="I3" s="22"/>
      <c r="J3" s="22"/>
      <c r="K3" s="22"/>
      <c r="L3" s="22"/>
      <c r="M3" s="130"/>
      <c r="N3" s="130"/>
      <c r="O3" s="10"/>
      <c r="P3" s="3"/>
      <c r="Q3" s="130"/>
    </row>
    <row r="4" spans="2:17" ht="24" customHeight="1" thickBot="1" x14ac:dyDescent="0.4">
      <c r="B4" s="130"/>
      <c r="C4" s="24"/>
      <c r="D4" s="22"/>
      <c r="E4" s="22"/>
      <c r="F4" s="22"/>
      <c r="G4" s="22"/>
      <c r="H4" s="22"/>
      <c r="I4" s="22"/>
      <c r="J4" s="22"/>
      <c r="K4" s="22"/>
      <c r="L4" s="22"/>
      <c r="M4" s="130"/>
      <c r="N4" s="130"/>
      <c r="O4" s="10"/>
      <c r="P4" s="3"/>
      <c r="Q4" s="130"/>
    </row>
    <row r="5" spans="2:17" ht="30" customHeight="1" x14ac:dyDescent="0.8">
      <c r="B5" s="130"/>
      <c r="C5" s="356" t="s">
        <v>1</v>
      </c>
      <c r="D5" s="357"/>
      <c r="E5" s="357"/>
      <c r="F5" s="357"/>
      <c r="G5" s="357"/>
      <c r="H5" s="357"/>
      <c r="I5" s="357"/>
      <c r="J5" s="358"/>
      <c r="K5" s="130"/>
      <c r="L5" s="130"/>
      <c r="M5" s="10"/>
      <c r="N5" s="3"/>
      <c r="O5" s="130"/>
      <c r="P5" s="130"/>
      <c r="Q5" s="130"/>
    </row>
    <row r="6" spans="2:17" ht="24" customHeight="1" x14ac:dyDescent="0.35">
      <c r="B6" s="130"/>
      <c r="C6" s="346" t="s">
        <v>91</v>
      </c>
      <c r="D6" s="347"/>
      <c r="E6" s="347"/>
      <c r="F6" s="347"/>
      <c r="G6" s="347"/>
      <c r="H6" s="347"/>
      <c r="I6" s="347"/>
      <c r="J6" s="348"/>
      <c r="K6" s="130"/>
      <c r="L6" s="130"/>
      <c r="M6" s="10"/>
      <c r="N6" s="3"/>
      <c r="O6" s="130"/>
      <c r="P6" s="130"/>
      <c r="Q6" s="130"/>
    </row>
    <row r="7" spans="2:17" ht="41.25" customHeight="1" x14ac:dyDescent="0.35">
      <c r="B7" s="130"/>
      <c r="C7" s="346"/>
      <c r="D7" s="347"/>
      <c r="E7" s="347"/>
      <c r="F7" s="347"/>
      <c r="G7" s="347"/>
      <c r="H7" s="347"/>
      <c r="I7" s="347"/>
      <c r="J7" s="348"/>
      <c r="K7" s="130"/>
      <c r="L7" s="130"/>
      <c r="M7" s="10"/>
      <c r="N7" s="3"/>
      <c r="O7" s="130"/>
      <c r="P7" s="130"/>
      <c r="Q7" s="130"/>
    </row>
    <row r="8" spans="2:17" ht="24" customHeight="1" thickBot="1" x14ac:dyDescent="0.4">
      <c r="B8" s="130"/>
      <c r="C8" s="349"/>
      <c r="D8" s="350"/>
      <c r="E8" s="350"/>
      <c r="F8" s="350"/>
      <c r="G8" s="350"/>
      <c r="H8" s="350"/>
      <c r="I8" s="350"/>
      <c r="J8" s="351"/>
      <c r="K8" s="130"/>
      <c r="L8" s="130"/>
      <c r="M8" s="10"/>
      <c r="N8" s="3"/>
      <c r="O8" s="130"/>
      <c r="P8" s="130"/>
      <c r="Q8" s="130"/>
    </row>
    <row r="9" spans="2:17" ht="24" customHeight="1" x14ac:dyDescent="0.35">
      <c r="B9" s="130"/>
      <c r="C9" s="31"/>
      <c r="D9" s="31"/>
      <c r="E9" s="31"/>
      <c r="F9" s="31"/>
      <c r="G9" s="31"/>
      <c r="H9" s="31"/>
      <c r="I9" s="31"/>
      <c r="J9" s="130"/>
      <c r="K9" s="130"/>
      <c r="L9" s="130"/>
      <c r="M9" s="130"/>
      <c r="N9" s="130"/>
      <c r="O9" s="10"/>
      <c r="P9" s="3"/>
      <c r="Q9" s="130"/>
    </row>
    <row r="10" spans="2:17" ht="25.5" customHeight="1" x14ac:dyDescent="0.6">
      <c r="B10" s="130"/>
      <c r="C10" s="362" t="s">
        <v>92</v>
      </c>
      <c r="D10" s="363"/>
      <c r="E10" s="363"/>
      <c r="F10" s="363"/>
      <c r="G10" s="363"/>
      <c r="H10" s="110"/>
      <c r="I10" s="110"/>
      <c r="J10" s="130"/>
      <c r="K10" s="130"/>
      <c r="L10" s="130"/>
      <c r="M10" s="130"/>
      <c r="N10" s="130"/>
      <c r="O10" s="10"/>
      <c r="P10" s="3"/>
      <c r="Q10" s="130"/>
    </row>
    <row r="11" spans="2:17" ht="24" customHeight="1" x14ac:dyDescent="0.35">
      <c r="B11" s="130"/>
      <c r="C11" s="31"/>
      <c r="D11" s="31"/>
      <c r="E11" s="31"/>
      <c r="F11" s="31"/>
      <c r="G11" s="31"/>
      <c r="H11" s="31"/>
      <c r="I11" s="31"/>
      <c r="J11" s="130"/>
      <c r="K11" s="130"/>
      <c r="L11" s="130"/>
      <c r="M11" s="130"/>
      <c r="N11" s="130"/>
      <c r="O11" s="10"/>
      <c r="P11" s="3"/>
      <c r="Q11" s="130"/>
    </row>
    <row r="12" spans="2:17" ht="40.5" customHeight="1" x14ac:dyDescent="0.35">
      <c r="B12" s="130"/>
      <c r="C12" s="31"/>
      <c r="D12" s="8" t="s">
        <v>72</v>
      </c>
      <c r="E12" s="8" t="s">
        <v>73</v>
      </c>
      <c r="F12" s="8" t="s">
        <v>74</v>
      </c>
      <c r="G12" s="8" t="s">
        <v>75</v>
      </c>
      <c r="H12" s="8" t="s">
        <v>75</v>
      </c>
      <c r="I12" s="8" t="s">
        <v>552</v>
      </c>
      <c r="J12" s="318" t="s">
        <v>9</v>
      </c>
      <c r="K12" s="130"/>
      <c r="L12" s="130"/>
      <c r="M12" s="130"/>
      <c r="N12" s="130"/>
      <c r="O12" s="10"/>
      <c r="P12" s="3"/>
      <c r="Q12" s="130"/>
    </row>
    <row r="13" spans="2:17" ht="24" customHeight="1" x14ac:dyDescent="0.35">
      <c r="B13" s="130"/>
      <c r="C13" s="31"/>
      <c r="D13" s="210" t="str">
        <f>'1) Tableau budgétaire 1'!D13</f>
        <v>PNUD GUINEE</v>
      </c>
      <c r="E13" s="158" t="str">
        <f>'1) Tableau budgétaire 1'!E13</f>
        <v>PNUD MALI</v>
      </c>
      <c r="F13" s="170" t="str">
        <f>'1) Tableau budgétaire 1'!F13</f>
        <v>UNFPA GUINEE</v>
      </c>
      <c r="G13" s="180" t="str">
        <f>'1) Tableau budgétaire 1'!G13</f>
        <v>UNFPA MALI</v>
      </c>
      <c r="H13" s="191" t="str">
        <f>'1) Tableau budgétaire 1'!H13</f>
        <v>UNODC GUINEE</v>
      </c>
      <c r="I13" s="191" t="str">
        <f>'1) Tableau budgétaire 1'!I13</f>
        <v>UNODC MALI</v>
      </c>
      <c r="J13" s="306"/>
      <c r="K13" s="130"/>
      <c r="L13" s="130"/>
      <c r="M13" s="130"/>
      <c r="N13" s="130"/>
      <c r="O13" s="10"/>
      <c r="P13" s="3"/>
      <c r="Q13" s="130"/>
    </row>
    <row r="14" spans="2:17" ht="24" customHeight="1" x14ac:dyDescent="0.35">
      <c r="B14" s="342" t="s">
        <v>93</v>
      </c>
      <c r="C14" s="343"/>
      <c r="D14" s="343"/>
      <c r="E14" s="343"/>
      <c r="F14" s="343"/>
      <c r="G14" s="343"/>
      <c r="H14" s="343"/>
      <c r="I14" s="343"/>
      <c r="J14" s="344"/>
      <c r="K14" s="130"/>
      <c r="L14" s="130"/>
      <c r="M14" s="130"/>
      <c r="N14" s="130"/>
      <c r="O14" s="10"/>
      <c r="P14" s="3"/>
      <c r="Q14" s="130"/>
    </row>
    <row r="15" spans="2:17" ht="22.5" customHeight="1" x14ac:dyDescent="0.35">
      <c r="B15" s="130"/>
      <c r="C15" s="342" t="s">
        <v>94</v>
      </c>
      <c r="D15" s="343"/>
      <c r="E15" s="343"/>
      <c r="F15" s="343"/>
      <c r="G15" s="343"/>
      <c r="H15" s="343"/>
      <c r="I15" s="343"/>
      <c r="J15" s="344"/>
      <c r="K15" s="130"/>
      <c r="L15" s="130"/>
      <c r="M15" s="130"/>
      <c r="N15" s="130"/>
      <c r="O15" s="10"/>
      <c r="P15" s="3"/>
      <c r="Q15" s="130"/>
    </row>
    <row r="16" spans="2:17" ht="24.75" customHeight="1" thickBot="1" x14ac:dyDescent="0.4">
      <c r="B16" s="130"/>
      <c r="C16" s="41" t="s">
        <v>95</v>
      </c>
      <c r="D16" s="211">
        <f>'1) Tableau budgétaire 1'!D22</f>
        <v>245000</v>
      </c>
      <c r="E16" s="222">
        <f>'1) Tableau budgétaire 1'!E22</f>
        <v>222579.44</v>
      </c>
      <c r="F16" s="232">
        <f>'1) Tableau budgétaire 1'!F22</f>
        <v>0</v>
      </c>
      <c r="G16" s="243">
        <f>'1) Tableau budgétaire 1'!G22</f>
        <v>0</v>
      </c>
      <c r="H16" s="253">
        <f>'1) Tableau budgétaire 1'!H22</f>
        <v>0</v>
      </c>
      <c r="I16" s="253">
        <f>'1) Tableau budgétaire 1'!I22</f>
        <v>0</v>
      </c>
      <c r="J16" s="42">
        <f>SUM(D16:I16)</f>
        <v>467579.44</v>
      </c>
      <c r="K16" s="130"/>
      <c r="L16" s="130"/>
      <c r="M16" s="130"/>
      <c r="N16" s="130"/>
      <c r="O16" s="10"/>
      <c r="P16" s="3"/>
      <c r="Q16" s="130"/>
    </row>
    <row r="17" spans="3:17" ht="21.75" customHeight="1" thickBot="1" x14ac:dyDescent="0.4">
      <c r="C17" s="40" t="s">
        <v>96</v>
      </c>
      <c r="D17" s="212"/>
      <c r="E17" s="223"/>
      <c r="F17" s="233"/>
      <c r="G17" s="244"/>
      <c r="H17" s="254"/>
      <c r="I17" s="254"/>
      <c r="J17" s="42">
        <f t="shared" ref="J17:J24" si="0">SUM(D17:I17)</f>
        <v>0</v>
      </c>
      <c r="K17" s="130"/>
      <c r="L17" s="130"/>
      <c r="M17" s="130"/>
      <c r="N17" s="130"/>
      <c r="O17" s="130"/>
      <c r="P17" s="130"/>
      <c r="Q17" s="130"/>
    </row>
    <row r="18" spans="3:17" ht="16" thickBot="1" x14ac:dyDescent="0.4">
      <c r="C18" s="32" t="s">
        <v>97</v>
      </c>
      <c r="D18" s="213"/>
      <c r="E18" s="153"/>
      <c r="F18" s="165"/>
      <c r="G18" s="176"/>
      <c r="H18" s="186"/>
      <c r="I18" s="254"/>
      <c r="J18" s="42">
        <f t="shared" si="0"/>
        <v>0</v>
      </c>
      <c r="K18" s="130"/>
      <c r="L18" s="130"/>
      <c r="M18" s="130"/>
      <c r="N18" s="130"/>
      <c r="O18" s="130"/>
      <c r="P18" s="130"/>
      <c r="Q18" s="130"/>
    </row>
    <row r="19" spans="3:17" ht="15.75" customHeight="1" thickBot="1" x14ac:dyDescent="0.4">
      <c r="C19" s="32" t="s">
        <v>98</v>
      </c>
      <c r="D19" s="213"/>
      <c r="E19" s="224"/>
      <c r="F19" s="234"/>
      <c r="G19" s="245"/>
      <c r="H19" s="255"/>
      <c r="I19" s="282"/>
      <c r="J19" s="42">
        <f t="shared" si="0"/>
        <v>0</v>
      </c>
      <c r="K19" s="130"/>
      <c r="L19" s="130"/>
      <c r="M19" s="130"/>
      <c r="N19" s="130"/>
      <c r="O19" s="130"/>
      <c r="P19" s="130"/>
      <c r="Q19" s="130"/>
    </row>
    <row r="20" spans="3:17" ht="16" thickBot="1" x14ac:dyDescent="0.4">
      <c r="C20" s="33" t="s">
        <v>99</v>
      </c>
      <c r="D20" s="213">
        <v>80000</v>
      </c>
      <c r="E20" s="224">
        <v>66773.831999999995</v>
      </c>
      <c r="F20" s="234"/>
      <c r="G20" s="245"/>
      <c r="H20" s="255"/>
      <c r="I20" s="282"/>
      <c r="J20" s="42">
        <f t="shared" si="0"/>
        <v>146773.83199999999</v>
      </c>
      <c r="K20" s="130"/>
      <c r="L20" s="130"/>
      <c r="M20" s="130"/>
      <c r="N20" s="130"/>
      <c r="O20" s="130"/>
      <c r="P20" s="130"/>
      <c r="Q20" s="130"/>
    </row>
    <row r="21" spans="3:17" ht="16" thickBot="1" x14ac:dyDescent="0.4">
      <c r="C21" s="32" t="s">
        <v>100</v>
      </c>
      <c r="D21" s="213">
        <v>65000</v>
      </c>
      <c r="E21" s="224">
        <v>44515.887999999999</v>
      </c>
      <c r="F21" s="234"/>
      <c r="G21" s="245"/>
      <c r="H21" s="255"/>
      <c r="I21" s="282"/>
      <c r="J21" s="42">
        <f t="shared" si="0"/>
        <v>109515.88800000001</v>
      </c>
      <c r="K21" s="130"/>
      <c r="L21" s="130"/>
      <c r="M21" s="130"/>
      <c r="N21" s="130"/>
      <c r="O21" s="130"/>
      <c r="P21" s="130"/>
      <c r="Q21" s="130"/>
    </row>
    <row r="22" spans="3:17" ht="21.75" customHeight="1" thickBot="1" x14ac:dyDescent="0.4">
      <c r="C22" s="32" t="s">
        <v>101</v>
      </c>
      <c r="D22" s="213">
        <v>100000</v>
      </c>
      <c r="E22" s="224">
        <v>111289.72</v>
      </c>
      <c r="F22" s="234"/>
      <c r="G22" s="245"/>
      <c r="H22" s="255"/>
      <c r="I22" s="282"/>
      <c r="J22" s="42">
        <f>SUM(D22:I22)</f>
        <v>211289.72</v>
      </c>
      <c r="K22" s="130"/>
      <c r="L22" s="264"/>
      <c r="M22" s="130"/>
      <c r="N22" s="130"/>
      <c r="O22" s="130"/>
      <c r="P22" s="130"/>
      <c r="Q22" s="130"/>
    </row>
    <row r="23" spans="3:17" ht="25" customHeight="1" thickBot="1" x14ac:dyDescent="0.4">
      <c r="C23" s="32" t="s">
        <v>102</v>
      </c>
      <c r="D23" s="213"/>
      <c r="E23" s="224"/>
      <c r="F23" s="234"/>
      <c r="G23" s="245"/>
      <c r="H23" s="255"/>
      <c r="I23" s="282"/>
      <c r="J23" s="42">
        <f t="shared" si="0"/>
        <v>0</v>
      </c>
      <c r="K23" s="130"/>
      <c r="L23" s="130"/>
      <c r="M23" s="130"/>
      <c r="N23" s="130"/>
      <c r="O23" s="130"/>
      <c r="P23" s="130"/>
      <c r="Q23" s="130"/>
    </row>
    <row r="24" spans="3:17" ht="21.75" customHeight="1" thickBot="1" x14ac:dyDescent="0.4">
      <c r="C24" s="36" t="s">
        <v>103</v>
      </c>
      <c r="D24" s="214">
        <f t="shared" ref="D24:I24" si="1">SUM(D17:D23)</f>
        <v>245000</v>
      </c>
      <c r="E24" s="225">
        <f t="shared" si="1"/>
        <v>222579.44</v>
      </c>
      <c r="F24" s="235">
        <f t="shared" si="1"/>
        <v>0</v>
      </c>
      <c r="G24" s="246">
        <f t="shared" si="1"/>
        <v>0</v>
      </c>
      <c r="H24" s="256">
        <f t="shared" si="1"/>
        <v>0</v>
      </c>
      <c r="I24" s="256">
        <f t="shared" si="1"/>
        <v>0</v>
      </c>
      <c r="J24" s="42">
        <f t="shared" si="0"/>
        <v>467579.44</v>
      </c>
      <c r="K24" s="130"/>
      <c r="L24" s="130"/>
      <c r="M24" s="130"/>
      <c r="N24" s="130"/>
      <c r="O24" s="130"/>
      <c r="P24" s="130"/>
      <c r="Q24" s="130"/>
    </row>
    <row r="25" spans="3:17" s="35" customFormat="1" x14ac:dyDescent="0.35">
      <c r="C25" s="43"/>
      <c r="D25" s="44"/>
      <c r="E25" s="44"/>
      <c r="F25" s="44"/>
      <c r="G25" s="44"/>
      <c r="H25" s="44"/>
      <c r="I25" s="44"/>
      <c r="J25" s="72"/>
      <c r="K25" s="131"/>
      <c r="L25" s="131"/>
      <c r="M25" s="131"/>
      <c r="N25" s="131"/>
      <c r="O25" s="131"/>
      <c r="P25" s="131"/>
      <c r="Q25" s="131"/>
    </row>
    <row r="26" spans="3:17" x14ac:dyDescent="0.35">
      <c r="C26" s="342" t="s">
        <v>104</v>
      </c>
      <c r="D26" s="343"/>
      <c r="E26" s="343"/>
      <c r="F26" s="343"/>
      <c r="G26" s="343"/>
      <c r="H26" s="343"/>
      <c r="I26" s="343"/>
      <c r="J26" s="344"/>
      <c r="K26" s="130"/>
      <c r="L26" s="130"/>
      <c r="M26" s="130"/>
      <c r="N26" s="130"/>
      <c r="O26" s="130"/>
      <c r="P26" s="130"/>
      <c r="Q26" s="130"/>
    </row>
    <row r="27" spans="3:17" ht="21" customHeight="1" thickBot="1" x14ac:dyDescent="0.4">
      <c r="C27" s="41" t="s">
        <v>105</v>
      </c>
      <c r="D27" s="211">
        <f>'1) Tableau budgétaire 1'!D27</f>
        <v>220000</v>
      </c>
      <c r="E27" s="222">
        <f>'1) Tableau budgétaire 1'!E27</f>
        <v>220000</v>
      </c>
      <c r="F27" s="232">
        <f>'1) Tableau budgétaire 1'!F27</f>
        <v>0</v>
      </c>
      <c r="G27" s="243">
        <f>'1) Tableau budgétaire 1'!G27</f>
        <v>0</v>
      </c>
      <c r="H27" s="253">
        <f>'1) Tableau budgétaire 1'!H27</f>
        <v>0</v>
      </c>
      <c r="I27" s="253">
        <f>'1) Tableau budgétaire 1'!I27</f>
        <v>0</v>
      </c>
      <c r="J27" s="42">
        <f>SUM(D27:I27)</f>
        <v>440000</v>
      </c>
      <c r="K27" s="130"/>
      <c r="L27" s="130"/>
      <c r="M27" s="130"/>
      <c r="N27" s="130"/>
      <c r="O27" s="130"/>
      <c r="P27" s="130"/>
      <c r="Q27" s="130"/>
    </row>
    <row r="28" spans="3:17" ht="16" thickBot="1" x14ac:dyDescent="0.4">
      <c r="C28" s="40" t="s">
        <v>96</v>
      </c>
      <c r="D28" s="212"/>
      <c r="E28" s="223"/>
      <c r="F28" s="233"/>
      <c r="G28" s="244"/>
      <c r="H28" s="254"/>
      <c r="I28" s="283"/>
      <c r="J28" s="42">
        <f t="shared" ref="J28:J33" si="2">SUM(D28:I28)</f>
        <v>0</v>
      </c>
      <c r="K28" s="130"/>
      <c r="L28" s="130"/>
      <c r="M28" s="130"/>
      <c r="N28" s="130"/>
      <c r="O28" s="130"/>
      <c r="P28" s="130"/>
      <c r="Q28" s="130"/>
    </row>
    <row r="29" spans="3:17" x14ac:dyDescent="0.35">
      <c r="C29" s="32" t="s">
        <v>97</v>
      </c>
      <c r="D29" s="213">
        <v>5000</v>
      </c>
      <c r="E29" s="153">
        <v>33000</v>
      </c>
      <c r="F29" s="165"/>
      <c r="G29" s="176"/>
      <c r="H29" s="186"/>
      <c r="I29" s="284"/>
      <c r="J29" s="42">
        <f t="shared" si="2"/>
        <v>38000</v>
      </c>
      <c r="K29" s="130"/>
      <c r="L29" s="130"/>
      <c r="M29" s="130"/>
      <c r="N29" s="130"/>
      <c r="O29" s="130"/>
      <c r="P29" s="130"/>
      <c r="Q29" s="130"/>
    </row>
    <row r="30" spans="3:17" ht="31.5" thickBot="1" x14ac:dyDescent="0.4">
      <c r="C30" s="32" t="s">
        <v>98</v>
      </c>
      <c r="D30" s="213"/>
      <c r="E30" s="224"/>
      <c r="F30" s="234"/>
      <c r="G30" s="245"/>
      <c r="H30" s="255"/>
      <c r="I30" s="285"/>
      <c r="J30" s="42">
        <f t="shared" si="2"/>
        <v>0</v>
      </c>
      <c r="K30" s="130"/>
      <c r="L30" s="130"/>
      <c r="M30" s="130"/>
      <c r="N30" s="130"/>
      <c r="O30" s="130"/>
      <c r="P30" s="130"/>
      <c r="Q30" s="130"/>
    </row>
    <row r="31" spans="3:17" x14ac:dyDescent="0.35">
      <c r="C31" s="33" t="s">
        <v>99</v>
      </c>
      <c r="D31" s="213">
        <v>35000</v>
      </c>
      <c r="E31" s="224">
        <v>44000</v>
      </c>
      <c r="F31" s="234"/>
      <c r="G31" s="245"/>
      <c r="H31" s="255"/>
      <c r="I31" s="285"/>
      <c r="J31" s="42">
        <f t="shared" si="2"/>
        <v>79000</v>
      </c>
      <c r="K31" s="130"/>
      <c r="L31" s="130"/>
      <c r="M31" s="130"/>
      <c r="N31" s="130"/>
      <c r="O31" s="130"/>
      <c r="P31" s="130"/>
      <c r="Q31" s="130"/>
    </row>
    <row r="32" spans="3:17" x14ac:dyDescent="0.35">
      <c r="C32" s="32" t="s">
        <v>100</v>
      </c>
      <c r="D32" s="213">
        <v>20000</v>
      </c>
      <c r="E32" s="224">
        <v>44000</v>
      </c>
      <c r="F32" s="234"/>
      <c r="G32" s="245"/>
      <c r="H32" s="255"/>
      <c r="I32" s="285"/>
      <c r="J32" s="42">
        <f t="shared" si="2"/>
        <v>64000</v>
      </c>
      <c r="K32" s="130"/>
      <c r="L32" s="130"/>
      <c r="M32" s="130"/>
      <c r="N32" s="130"/>
      <c r="O32" s="130"/>
      <c r="P32" s="130"/>
      <c r="Q32" s="130"/>
    </row>
    <row r="33" spans="3:17" x14ac:dyDescent="0.35">
      <c r="C33" s="32" t="s">
        <v>101</v>
      </c>
      <c r="D33" s="213">
        <v>160000</v>
      </c>
      <c r="E33" s="224">
        <v>99000</v>
      </c>
      <c r="F33" s="234"/>
      <c r="G33" s="245"/>
      <c r="H33" s="255"/>
      <c r="I33" s="285"/>
      <c r="J33" s="42">
        <f t="shared" si="2"/>
        <v>259000</v>
      </c>
      <c r="K33" s="130"/>
      <c r="L33" s="130"/>
      <c r="M33" s="130"/>
      <c r="N33" s="130"/>
      <c r="O33" s="130"/>
      <c r="P33" s="130"/>
      <c r="Q33" s="130"/>
    </row>
    <row r="34" spans="3:17" ht="24" customHeight="1" thickBot="1" x14ac:dyDescent="0.4">
      <c r="C34" s="32" t="s">
        <v>102</v>
      </c>
      <c r="D34" s="213"/>
      <c r="E34" s="224"/>
      <c r="F34" s="234"/>
      <c r="G34" s="245"/>
      <c r="H34" s="255"/>
      <c r="I34" s="285"/>
      <c r="J34" s="42">
        <f>SUM(D34:I34)</f>
        <v>0</v>
      </c>
      <c r="K34" s="130"/>
      <c r="L34" s="130"/>
      <c r="M34" s="130"/>
      <c r="N34" s="130"/>
      <c r="O34" s="130"/>
      <c r="P34" s="130"/>
      <c r="Q34" s="130"/>
    </row>
    <row r="35" spans="3:17" ht="19" customHeight="1" thickBot="1" x14ac:dyDescent="0.4">
      <c r="C35" s="36" t="s">
        <v>103</v>
      </c>
      <c r="D35" s="214">
        <f t="shared" ref="D35:I35" si="3">SUM(D28:D34)</f>
        <v>220000</v>
      </c>
      <c r="E35" s="225">
        <f t="shared" si="3"/>
        <v>220000</v>
      </c>
      <c r="F35" s="235">
        <f t="shared" si="3"/>
        <v>0</v>
      </c>
      <c r="G35" s="246">
        <f t="shared" si="3"/>
        <v>0</v>
      </c>
      <c r="H35" s="256">
        <f t="shared" si="3"/>
        <v>0</v>
      </c>
      <c r="I35" s="256">
        <f t="shared" si="3"/>
        <v>0</v>
      </c>
      <c r="J35" s="42">
        <f>SUM(D35:I35)</f>
        <v>440000</v>
      </c>
      <c r="K35" s="130"/>
      <c r="L35" s="130"/>
      <c r="M35" s="130"/>
      <c r="N35" s="130"/>
      <c r="O35" s="130"/>
      <c r="P35" s="130"/>
      <c r="Q35" s="130"/>
    </row>
    <row r="36" spans="3:17" s="35" customFormat="1" x14ac:dyDescent="0.35">
      <c r="C36" s="43"/>
      <c r="D36" s="44"/>
      <c r="E36" s="44"/>
      <c r="F36" s="44"/>
      <c r="G36" s="44"/>
      <c r="H36" s="44"/>
      <c r="I36" s="44"/>
      <c r="J36" s="45"/>
      <c r="K36" s="131"/>
      <c r="L36" s="131"/>
      <c r="M36" s="131"/>
      <c r="N36" s="131"/>
      <c r="O36" s="131"/>
      <c r="P36" s="131"/>
      <c r="Q36" s="131"/>
    </row>
    <row r="37" spans="3:17" x14ac:dyDescent="0.35">
      <c r="C37" s="342" t="s">
        <v>106</v>
      </c>
      <c r="D37" s="343"/>
      <c r="E37" s="343"/>
      <c r="F37" s="343"/>
      <c r="G37" s="343"/>
      <c r="H37" s="343"/>
      <c r="I37" s="343"/>
      <c r="J37" s="344"/>
      <c r="K37" s="130"/>
      <c r="L37" s="130"/>
      <c r="M37" s="130"/>
      <c r="N37" s="130"/>
      <c r="O37" s="130"/>
      <c r="P37" s="130"/>
      <c r="Q37" s="130"/>
    </row>
    <row r="38" spans="3:17" ht="21.75" customHeight="1" thickBot="1" x14ac:dyDescent="0.4">
      <c r="C38" s="41" t="s">
        <v>107</v>
      </c>
      <c r="D38" s="211">
        <f>'1) Tableau budgétaire 1'!D32</f>
        <v>271000</v>
      </c>
      <c r="E38" s="222">
        <f>'1) Tableau budgétaire 1'!E32</f>
        <v>292000</v>
      </c>
      <c r="F38" s="232">
        <f>'1) Tableau budgétaire 1'!F32</f>
        <v>0</v>
      </c>
      <c r="G38" s="243">
        <f>'1) Tableau budgétaire 1'!G32</f>
        <v>0</v>
      </c>
      <c r="H38" s="253">
        <f>'1) Tableau budgétaire 1'!H32</f>
        <v>0</v>
      </c>
      <c r="I38" s="253">
        <f>'1) Tableau budgétaire 1'!I32</f>
        <v>0</v>
      </c>
      <c r="J38" s="42">
        <f>SUM(D38:I38)</f>
        <v>563000</v>
      </c>
      <c r="K38" s="130"/>
      <c r="L38" s="130"/>
      <c r="M38" s="130"/>
      <c r="N38" s="130"/>
      <c r="O38" s="130"/>
      <c r="P38" s="130"/>
      <c r="Q38" s="130"/>
    </row>
    <row r="39" spans="3:17" ht="16" thickBot="1" x14ac:dyDescent="0.4">
      <c r="C39" s="40" t="s">
        <v>96</v>
      </c>
      <c r="D39" s="212"/>
      <c r="E39" s="223"/>
      <c r="F39" s="233"/>
      <c r="G39" s="244"/>
      <c r="H39" s="254"/>
      <c r="I39" s="283"/>
      <c r="J39" s="42">
        <f t="shared" ref="J39:J45" si="4">SUM(D39:I39)</f>
        <v>0</v>
      </c>
      <c r="K39" s="130"/>
      <c r="L39" s="130"/>
      <c r="M39" s="130"/>
      <c r="N39" s="130"/>
      <c r="O39" s="130"/>
      <c r="P39" s="130"/>
      <c r="Q39" s="130"/>
    </row>
    <row r="40" spans="3:17" s="35" customFormat="1" ht="17.25" customHeight="1" thickBot="1" x14ac:dyDescent="0.4">
      <c r="C40" s="32" t="s">
        <v>97</v>
      </c>
      <c r="D40" s="213">
        <v>5000</v>
      </c>
      <c r="E40" s="153">
        <v>13800</v>
      </c>
      <c r="F40" s="165"/>
      <c r="G40" s="176"/>
      <c r="H40" s="186"/>
      <c r="I40" s="284"/>
      <c r="J40" s="42">
        <f t="shared" si="4"/>
        <v>18800</v>
      </c>
      <c r="K40" s="131"/>
      <c r="L40" s="131"/>
      <c r="M40" s="131"/>
      <c r="N40" s="131"/>
      <c r="O40" s="131"/>
      <c r="P40" s="131"/>
      <c r="Q40" s="131"/>
    </row>
    <row r="41" spans="3:17" s="35" customFormat="1" ht="31.5" thickBot="1" x14ac:dyDescent="0.4">
      <c r="C41" s="32" t="s">
        <v>98</v>
      </c>
      <c r="D41" s="213"/>
      <c r="E41" s="224"/>
      <c r="F41" s="234"/>
      <c r="G41" s="245"/>
      <c r="H41" s="255"/>
      <c r="I41" s="285"/>
      <c r="J41" s="42">
        <f t="shared" si="4"/>
        <v>0</v>
      </c>
      <c r="K41" s="131"/>
      <c r="L41" s="265"/>
      <c r="M41" s="131"/>
      <c r="N41" s="131"/>
      <c r="O41" s="131"/>
      <c r="P41" s="131"/>
      <c r="Q41" s="131"/>
    </row>
    <row r="42" spans="3:17" s="35" customFormat="1" ht="15.75" customHeight="1" thickBot="1" x14ac:dyDescent="0.4">
      <c r="C42" s="33" t="s">
        <v>99</v>
      </c>
      <c r="D42" s="213">
        <v>20000</v>
      </c>
      <c r="E42" s="224"/>
      <c r="F42" s="234"/>
      <c r="G42" s="245"/>
      <c r="H42" s="255"/>
      <c r="I42" s="285"/>
      <c r="J42" s="42">
        <f t="shared" si="4"/>
        <v>20000</v>
      </c>
      <c r="K42" s="131"/>
      <c r="L42" s="131"/>
      <c r="M42" s="131"/>
      <c r="N42" s="131"/>
      <c r="O42" s="131"/>
      <c r="P42" s="131"/>
      <c r="Q42" s="131"/>
    </row>
    <row r="43" spans="3:17" x14ac:dyDescent="0.35">
      <c r="C43" s="32" t="s">
        <v>100</v>
      </c>
      <c r="D43" s="213">
        <v>15000</v>
      </c>
      <c r="E43" s="224">
        <v>78200</v>
      </c>
      <c r="F43" s="234"/>
      <c r="G43" s="245"/>
      <c r="H43" s="255"/>
      <c r="I43" s="285"/>
      <c r="J43" s="42">
        <f t="shared" si="4"/>
        <v>93200</v>
      </c>
      <c r="K43" s="130"/>
      <c r="L43" s="130"/>
      <c r="M43" s="130"/>
      <c r="N43" s="130"/>
      <c r="O43" s="130"/>
      <c r="P43" s="130"/>
      <c r="Q43" s="130"/>
    </row>
    <row r="44" spans="3:17" x14ac:dyDescent="0.35">
      <c r="C44" s="32" t="s">
        <v>101</v>
      </c>
      <c r="D44" s="213">
        <v>231000</v>
      </c>
      <c r="E44" s="224">
        <v>200000</v>
      </c>
      <c r="F44" s="234"/>
      <c r="G44" s="245"/>
      <c r="H44" s="255"/>
      <c r="I44" s="285"/>
      <c r="J44" s="42">
        <f t="shared" si="4"/>
        <v>431000</v>
      </c>
      <c r="K44" s="130"/>
      <c r="L44" s="130"/>
      <c r="M44" s="130"/>
      <c r="N44" s="130"/>
      <c r="O44" s="130"/>
      <c r="P44" s="130"/>
      <c r="Q44" s="130"/>
    </row>
    <row r="45" spans="3:17" ht="18" customHeight="1" thickBot="1" x14ac:dyDescent="0.4">
      <c r="C45" s="32" t="s">
        <v>102</v>
      </c>
      <c r="D45" s="213"/>
      <c r="E45" s="224"/>
      <c r="F45" s="234"/>
      <c r="G45" s="245"/>
      <c r="H45" s="255"/>
      <c r="I45" s="285"/>
      <c r="J45" s="42">
        <f t="shared" si="4"/>
        <v>0</v>
      </c>
      <c r="K45" s="130"/>
      <c r="L45" s="130"/>
      <c r="M45" s="130"/>
      <c r="N45" s="130"/>
      <c r="O45" s="130"/>
      <c r="P45" s="130"/>
      <c r="Q45" s="130"/>
    </row>
    <row r="46" spans="3:17" ht="20.25" customHeight="1" thickBot="1" x14ac:dyDescent="0.4">
      <c r="C46" s="78" t="s">
        <v>103</v>
      </c>
      <c r="D46" s="215">
        <f t="shared" ref="D46:I46" si="5">SUM(D39:D45)</f>
        <v>271000</v>
      </c>
      <c r="E46" s="226">
        <f t="shared" si="5"/>
        <v>292000</v>
      </c>
      <c r="F46" s="236">
        <f t="shared" si="5"/>
        <v>0</v>
      </c>
      <c r="G46" s="247">
        <f t="shared" si="5"/>
        <v>0</v>
      </c>
      <c r="H46" s="257">
        <f t="shared" si="5"/>
        <v>0</v>
      </c>
      <c r="I46" s="257">
        <f t="shared" si="5"/>
        <v>0</v>
      </c>
      <c r="J46" s="42">
        <f>SUM(D46:I46)</f>
        <v>563000</v>
      </c>
      <c r="K46" s="130"/>
      <c r="L46" s="130"/>
      <c r="M46" s="130"/>
      <c r="N46" s="130"/>
      <c r="O46" s="130"/>
      <c r="P46" s="130"/>
      <c r="Q46" s="130"/>
    </row>
    <row r="47" spans="3:17" x14ac:dyDescent="0.35">
      <c r="C47" s="132"/>
      <c r="D47" s="133"/>
      <c r="E47" s="133"/>
      <c r="F47" s="133"/>
      <c r="G47" s="133"/>
      <c r="H47" s="133"/>
      <c r="I47" s="133"/>
      <c r="J47" s="134"/>
      <c r="K47" s="130"/>
      <c r="L47" s="130"/>
      <c r="M47" s="130"/>
      <c r="N47" s="130"/>
      <c r="O47" s="130"/>
      <c r="P47" s="130"/>
      <c r="Q47" s="130"/>
    </row>
    <row r="48" spans="3:17" s="35" customFormat="1" hidden="1" x14ac:dyDescent="0.35">
      <c r="C48" s="359" t="s">
        <v>108</v>
      </c>
      <c r="D48" s="360"/>
      <c r="E48" s="360"/>
      <c r="F48" s="360"/>
      <c r="G48" s="360"/>
      <c r="H48" s="360"/>
      <c r="I48" s="360"/>
      <c r="J48" s="361"/>
      <c r="K48" s="131"/>
      <c r="L48" s="131"/>
      <c r="M48" s="131"/>
      <c r="N48" s="131"/>
      <c r="O48" s="131"/>
      <c r="P48" s="131"/>
      <c r="Q48" s="131"/>
    </row>
    <row r="49" spans="2:17" ht="20.25" hidden="1" customHeight="1" thickBot="1" x14ac:dyDescent="0.4">
      <c r="B49" s="130"/>
      <c r="C49" s="41" t="s">
        <v>109</v>
      </c>
      <c r="D49" s="211" t="e">
        <f>'1) Tableau budgétaire 1'!#REF!</f>
        <v>#REF!</v>
      </c>
      <c r="E49" s="222" t="e">
        <f>'1) Tableau budgétaire 1'!#REF!</f>
        <v>#REF!</v>
      </c>
      <c r="F49" s="232" t="e">
        <f>'1) Tableau budgétaire 1'!#REF!</f>
        <v>#REF!</v>
      </c>
      <c r="G49" s="243" t="e">
        <f>'1) Tableau budgétaire 1'!#REF!</f>
        <v>#REF!</v>
      </c>
      <c r="H49" s="253" t="e">
        <f>'1) Tableau budgétaire 1'!#REF!</f>
        <v>#REF!</v>
      </c>
      <c r="I49" s="253"/>
      <c r="J49" s="42" t="e">
        <f>SUM(D49:H49)</f>
        <v>#REF!</v>
      </c>
      <c r="K49" s="130"/>
      <c r="L49" s="130"/>
      <c r="M49" s="130"/>
      <c r="N49" s="130"/>
      <c r="O49" s="130"/>
      <c r="P49" s="130"/>
      <c r="Q49" s="130"/>
    </row>
    <row r="50" spans="2:17" ht="16" hidden="1" thickBot="1" x14ac:dyDescent="0.4">
      <c r="B50" s="130"/>
      <c r="C50" s="40" t="s">
        <v>96</v>
      </c>
      <c r="D50" s="212"/>
      <c r="E50" s="223"/>
      <c r="F50" s="233"/>
      <c r="G50" s="244"/>
      <c r="H50" s="254"/>
      <c r="I50" s="283"/>
      <c r="J50" s="42">
        <f t="shared" ref="J50:J57" si="6">SUM(D50:H50)</f>
        <v>0</v>
      </c>
      <c r="K50" s="130"/>
      <c r="L50" s="130"/>
      <c r="M50" s="130"/>
      <c r="N50" s="130"/>
      <c r="O50" s="130"/>
      <c r="P50" s="130"/>
      <c r="Q50" s="130"/>
    </row>
    <row r="51" spans="2:17" ht="15.75" hidden="1" customHeight="1" thickBot="1" x14ac:dyDescent="0.4">
      <c r="B51" s="130"/>
      <c r="C51" s="32" t="s">
        <v>97</v>
      </c>
      <c r="D51" s="213"/>
      <c r="E51" s="153"/>
      <c r="F51" s="165"/>
      <c r="G51" s="176"/>
      <c r="H51" s="186"/>
      <c r="I51" s="284"/>
      <c r="J51" s="42">
        <f t="shared" si="6"/>
        <v>0</v>
      </c>
      <c r="K51" s="130"/>
      <c r="L51" s="130"/>
      <c r="M51" s="130"/>
      <c r="N51" s="130"/>
      <c r="O51" s="130"/>
      <c r="P51" s="130"/>
      <c r="Q51" s="130"/>
    </row>
    <row r="52" spans="2:17" ht="32.25" hidden="1" customHeight="1" thickBot="1" x14ac:dyDescent="0.4">
      <c r="B52" s="130"/>
      <c r="C52" s="32" t="s">
        <v>98</v>
      </c>
      <c r="D52" s="213"/>
      <c r="E52" s="224"/>
      <c r="F52" s="234"/>
      <c r="G52" s="245"/>
      <c r="H52" s="255"/>
      <c r="I52" s="285"/>
      <c r="J52" s="42">
        <f t="shared" si="6"/>
        <v>0</v>
      </c>
      <c r="K52" s="130"/>
      <c r="L52" s="130"/>
      <c r="M52" s="130"/>
      <c r="N52" s="130"/>
      <c r="O52" s="130"/>
      <c r="P52" s="130"/>
      <c r="Q52" s="130"/>
    </row>
    <row r="53" spans="2:17" s="35" customFormat="1" ht="16" hidden="1" thickBot="1" x14ac:dyDescent="0.4">
      <c r="B53" s="131"/>
      <c r="C53" s="33" t="s">
        <v>99</v>
      </c>
      <c r="D53" s="213"/>
      <c r="E53" s="224"/>
      <c r="F53" s="234"/>
      <c r="G53" s="245"/>
      <c r="H53" s="255"/>
      <c r="I53" s="285"/>
      <c r="J53" s="42">
        <f t="shared" si="6"/>
        <v>0</v>
      </c>
      <c r="K53" s="131"/>
      <c r="L53" s="131"/>
      <c r="M53" s="131"/>
      <c r="N53" s="131"/>
      <c r="O53" s="131"/>
      <c r="P53" s="131"/>
      <c r="Q53" s="131"/>
    </row>
    <row r="54" spans="2:17" ht="16" hidden="1" thickBot="1" x14ac:dyDescent="0.4">
      <c r="B54" s="130"/>
      <c r="C54" s="32" t="s">
        <v>100</v>
      </c>
      <c r="D54" s="213"/>
      <c r="E54" s="224"/>
      <c r="F54" s="234"/>
      <c r="G54" s="245"/>
      <c r="H54" s="255"/>
      <c r="I54" s="285"/>
      <c r="J54" s="42">
        <f t="shared" si="6"/>
        <v>0</v>
      </c>
      <c r="K54" s="130"/>
      <c r="L54" s="130"/>
      <c r="M54" s="130"/>
      <c r="N54" s="130"/>
      <c r="O54" s="130"/>
      <c r="P54" s="130"/>
      <c r="Q54" s="130"/>
    </row>
    <row r="55" spans="2:17" ht="16" hidden="1" thickBot="1" x14ac:dyDescent="0.4">
      <c r="B55" s="130"/>
      <c r="C55" s="32" t="s">
        <v>101</v>
      </c>
      <c r="D55" s="213"/>
      <c r="E55" s="224"/>
      <c r="F55" s="234"/>
      <c r="G55" s="245"/>
      <c r="H55" s="255"/>
      <c r="I55" s="285"/>
      <c r="J55" s="42">
        <f t="shared" si="6"/>
        <v>0</v>
      </c>
      <c r="K55" s="130"/>
      <c r="L55" s="130"/>
      <c r="M55" s="130"/>
      <c r="N55" s="130"/>
      <c r="O55" s="130"/>
      <c r="P55" s="130"/>
      <c r="Q55" s="130"/>
    </row>
    <row r="56" spans="2:17" ht="31.5" hidden="1" thickBot="1" x14ac:dyDescent="0.4">
      <c r="B56" s="130"/>
      <c r="C56" s="32" t="s">
        <v>102</v>
      </c>
      <c r="D56" s="213"/>
      <c r="E56" s="224"/>
      <c r="F56" s="234"/>
      <c r="G56" s="245"/>
      <c r="H56" s="255"/>
      <c r="I56" s="285"/>
      <c r="J56" s="42">
        <f t="shared" si="6"/>
        <v>0</v>
      </c>
      <c r="K56" s="130"/>
      <c r="L56" s="130"/>
      <c r="M56" s="130"/>
      <c r="N56" s="130"/>
      <c r="O56" s="130"/>
      <c r="P56" s="130"/>
      <c r="Q56" s="130"/>
    </row>
    <row r="57" spans="2:17" ht="21" hidden="1" customHeight="1" thickBot="1" x14ac:dyDescent="0.4">
      <c r="B57" s="130"/>
      <c r="C57" s="36" t="s">
        <v>103</v>
      </c>
      <c r="D57" s="214">
        <f>SUM(D50:D56)</f>
        <v>0</v>
      </c>
      <c r="E57" s="225">
        <f>SUM(E50:E56)</f>
        <v>0</v>
      </c>
      <c r="F57" s="235">
        <f>SUM(F50:F56)</f>
        <v>0</v>
      </c>
      <c r="G57" s="246">
        <f>SUM(G50:G56)</f>
        <v>0</v>
      </c>
      <c r="H57" s="256">
        <f>SUM(H50:H56)</f>
        <v>0</v>
      </c>
      <c r="I57" s="257"/>
      <c r="J57" s="42">
        <f t="shared" si="6"/>
        <v>0</v>
      </c>
      <c r="K57" s="130"/>
      <c r="L57" s="130"/>
      <c r="M57" s="130"/>
      <c r="N57" s="130"/>
      <c r="O57" s="130"/>
      <c r="P57" s="130"/>
      <c r="Q57" s="130"/>
    </row>
    <row r="58" spans="2:17" s="35" customFormat="1" ht="22.5" customHeight="1" x14ac:dyDescent="0.35">
      <c r="B58" s="131"/>
      <c r="C58" s="46"/>
      <c r="D58" s="44"/>
      <c r="E58" s="44"/>
      <c r="F58" s="44"/>
      <c r="G58" s="44"/>
      <c r="H58" s="44"/>
      <c r="I58" s="44"/>
      <c r="J58" s="45"/>
      <c r="K58" s="131"/>
      <c r="L58" s="131"/>
      <c r="M58" s="131"/>
      <c r="N58" s="131"/>
      <c r="O58" s="131"/>
      <c r="P58" s="131"/>
      <c r="Q58" s="131"/>
    </row>
    <row r="59" spans="2:17" x14ac:dyDescent="0.35">
      <c r="B59" s="342" t="s">
        <v>110</v>
      </c>
      <c r="C59" s="343"/>
      <c r="D59" s="343"/>
      <c r="E59" s="343"/>
      <c r="F59" s="343"/>
      <c r="G59" s="343"/>
      <c r="H59" s="343"/>
      <c r="I59" s="343"/>
      <c r="J59" s="344"/>
      <c r="K59" s="130"/>
      <c r="L59" s="130"/>
      <c r="M59" s="130"/>
      <c r="N59" s="130"/>
      <c r="O59" s="130"/>
      <c r="P59" s="130"/>
      <c r="Q59" s="130"/>
    </row>
    <row r="60" spans="2:17" x14ac:dyDescent="0.35">
      <c r="B60" s="130"/>
      <c r="C60" s="342" t="s">
        <v>37</v>
      </c>
      <c r="D60" s="343"/>
      <c r="E60" s="343"/>
      <c r="F60" s="343"/>
      <c r="G60" s="343"/>
      <c r="H60" s="343"/>
      <c r="I60" s="343"/>
      <c r="J60" s="344"/>
      <c r="K60" s="130"/>
      <c r="L60" s="130"/>
      <c r="M60" s="130"/>
      <c r="N60" s="130"/>
      <c r="O60" s="130"/>
      <c r="P60" s="130"/>
      <c r="Q60" s="130"/>
    </row>
    <row r="61" spans="2:17" ht="24" customHeight="1" thickBot="1" x14ac:dyDescent="0.4">
      <c r="B61" s="130"/>
      <c r="C61" s="41" t="s">
        <v>111</v>
      </c>
      <c r="D61" s="211">
        <f>'1) Tableau budgétaire 1'!D37</f>
        <v>0</v>
      </c>
      <c r="E61" s="222">
        <f>'1) Tableau budgétaire 1'!E37</f>
        <v>0</v>
      </c>
      <c r="F61" s="232">
        <f>'1) Tableau budgétaire 1'!F37</f>
        <v>0</v>
      </c>
      <c r="G61" s="243">
        <f>'1) Tableau budgétaire 1'!G37</f>
        <v>0</v>
      </c>
      <c r="H61" s="253">
        <f>'1) Tableau budgétaire 1'!H37</f>
        <v>61600</v>
      </c>
      <c r="I61" s="253">
        <f>'1) Tableau budgétaire 1'!I37</f>
        <v>48400</v>
      </c>
      <c r="J61" s="42">
        <f>SUM(D61:I61)</f>
        <v>110000</v>
      </c>
      <c r="K61" s="130"/>
      <c r="L61" s="130"/>
      <c r="M61" s="130"/>
      <c r="N61" s="130"/>
      <c r="O61" s="130"/>
      <c r="P61" s="130"/>
      <c r="Q61" s="130"/>
    </row>
    <row r="62" spans="2:17" ht="15.75" customHeight="1" thickBot="1" x14ac:dyDescent="0.4">
      <c r="B62" s="130"/>
      <c r="C62" s="40" t="s">
        <v>96</v>
      </c>
      <c r="D62" s="212"/>
      <c r="E62" s="223"/>
      <c r="F62" s="233"/>
      <c r="G62" s="244"/>
      <c r="H62" s="255"/>
      <c r="I62" s="255"/>
      <c r="J62" s="42">
        <f t="shared" ref="J62:J68" si="7">SUM(D62:I62)</f>
        <v>0</v>
      </c>
      <c r="K62" s="130"/>
      <c r="L62" s="130"/>
      <c r="M62" s="130"/>
      <c r="N62" s="130"/>
      <c r="O62" s="130"/>
      <c r="P62" s="130"/>
      <c r="Q62" s="130"/>
    </row>
    <row r="63" spans="2:17" ht="15.75" customHeight="1" thickBot="1" x14ac:dyDescent="0.4">
      <c r="B63" s="130"/>
      <c r="C63" s="32" t="s">
        <v>97</v>
      </c>
      <c r="D63" s="213"/>
      <c r="E63" s="153"/>
      <c r="F63" s="165"/>
      <c r="G63" s="176"/>
      <c r="H63" s="186"/>
      <c r="I63" s="186"/>
      <c r="J63" s="42">
        <f t="shared" si="7"/>
        <v>0</v>
      </c>
      <c r="K63" s="130"/>
      <c r="L63" s="130"/>
      <c r="M63" s="130"/>
      <c r="N63" s="130"/>
      <c r="O63" s="130"/>
      <c r="P63" s="130"/>
      <c r="Q63" s="130"/>
    </row>
    <row r="64" spans="2:17" ht="36.75" customHeight="1" thickBot="1" x14ac:dyDescent="0.4">
      <c r="B64" s="130"/>
      <c r="C64" s="32" t="s">
        <v>98</v>
      </c>
      <c r="D64" s="213"/>
      <c r="E64" s="224"/>
      <c r="F64" s="234"/>
      <c r="G64" s="245"/>
      <c r="H64" s="255"/>
      <c r="I64" s="285"/>
      <c r="J64" s="42">
        <f t="shared" si="7"/>
        <v>0</v>
      </c>
      <c r="K64" s="130"/>
      <c r="L64" s="130"/>
      <c r="M64" s="130"/>
      <c r="N64" s="130"/>
      <c r="O64" s="130"/>
      <c r="P64" s="130"/>
      <c r="Q64" s="130"/>
    </row>
    <row r="65" spans="2:17" ht="18.75" customHeight="1" thickBot="1" x14ac:dyDescent="0.4">
      <c r="B65" s="130"/>
      <c r="C65" s="33" t="s">
        <v>99</v>
      </c>
      <c r="D65" s="213"/>
      <c r="E65" s="224"/>
      <c r="F65" s="234"/>
      <c r="G65" s="245"/>
      <c r="H65" s="255">
        <f>20000*56%</f>
        <v>11200.000000000002</v>
      </c>
      <c r="I65" s="285">
        <f>20000*44%</f>
        <v>8800</v>
      </c>
      <c r="J65" s="42">
        <f t="shared" si="7"/>
        <v>20000</v>
      </c>
      <c r="K65" s="130"/>
      <c r="L65" s="130"/>
      <c r="M65" s="130"/>
      <c r="N65" s="130"/>
      <c r="O65" s="130"/>
      <c r="P65" s="130"/>
      <c r="Q65" s="130"/>
    </row>
    <row r="66" spans="2:17" x14ac:dyDescent="0.35">
      <c r="B66" s="130"/>
      <c r="C66" s="32" t="s">
        <v>100</v>
      </c>
      <c r="D66" s="213"/>
      <c r="E66" s="224"/>
      <c r="F66" s="234"/>
      <c r="G66" s="245"/>
      <c r="H66" s="258">
        <f>32300*56%</f>
        <v>18088</v>
      </c>
      <c r="I66" s="286">
        <f>32300*44%</f>
        <v>14212</v>
      </c>
      <c r="J66" s="42">
        <f t="shared" si="7"/>
        <v>32300</v>
      </c>
      <c r="K66" s="130"/>
      <c r="L66" s="130"/>
      <c r="M66" s="130"/>
      <c r="N66" s="130"/>
      <c r="O66" s="130"/>
      <c r="P66" s="130"/>
      <c r="Q66" s="130"/>
    </row>
    <row r="67" spans="2:17" s="35" customFormat="1" ht="21.75" customHeight="1" thickBot="1" x14ac:dyDescent="0.4">
      <c r="B67" s="130"/>
      <c r="C67" s="32" t="s">
        <v>101</v>
      </c>
      <c r="D67" s="213"/>
      <c r="E67" s="224"/>
      <c r="F67" s="234"/>
      <c r="G67" s="245"/>
      <c r="H67" s="255">
        <f>50000*56%</f>
        <v>28000.000000000004</v>
      </c>
      <c r="I67" s="285">
        <f>50000*44%</f>
        <v>22000</v>
      </c>
      <c r="J67" s="42">
        <f t="shared" si="7"/>
        <v>50000</v>
      </c>
      <c r="K67" s="131"/>
      <c r="L67" s="131"/>
      <c r="M67" s="131"/>
      <c r="N67" s="131"/>
      <c r="O67" s="131"/>
      <c r="P67" s="131"/>
      <c r="Q67" s="131"/>
    </row>
    <row r="68" spans="2:17" s="35" customFormat="1" ht="18.649999999999999" customHeight="1" x14ac:dyDescent="0.35">
      <c r="B68" s="130"/>
      <c r="C68" s="32" t="s">
        <v>102</v>
      </c>
      <c r="D68" s="213"/>
      <c r="E68" s="224"/>
      <c r="F68" s="234"/>
      <c r="G68" s="245"/>
      <c r="H68" s="255">
        <f>7700*56%</f>
        <v>4312</v>
      </c>
      <c r="I68" s="285">
        <f>7700*44%</f>
        <v>3388</v>
      </c>
      <c r="J68" s="42">
        <f t="shared" si="7"/>
        <v>7700</v>
      </c>
      <c r="K68" s="131"/>
      <c r="L68" s="131"/>
      <c r="M68" s="131"/>
      <c r="N68" s="131"/>
      <c r="O68" s="131"/>
      <c r="P68" s="131"/>
      <c r="Q68" s="131"/>
    </row>
    <row r="69" spans="2:17" ht="18.75" customHeight="1" thickBot="1" x14ac:dyDescent="0.4">
      <c r="B69" s="130"/>
      <c r="C69" s="36" t="s">
        <v>103</v>
      </c>
      <c r="D69" s="214">
        <f t="shared" ref="D69:I69" si="8">SUM(D62:D68)</f>
        <v>0</v>
      </c>
      <c r="E69" s="225">
        <f t="shared" si="8"/>
        <v>0</v>
      </c>
      <c r="F69" s="235">
        <f t="shared" si="8"/>
        <v>0</v>
      </c>
      <c r="G69" s="246">
        <f t="shared" si="8"/>
        <v>0</v>
      </c>
      <c r="H69" s="256">
        <f t="shared" si="8"/>
        <v>61600</v>
      </c>
      <c r="I69" s="256">
        <f t="shared" si="8"/>
        <v>48400</v>
      </c>
      <c r="J69" s="42">
        <f>SUM(D69:I69)</f>
        <v>110000</v>
      </c>
      <c r="K69" s="130"/>
      <c r="L69" s="130"/>
      <c r="M69" s="130"/>
      <c r="N69" s="130"/>
      <c r="O69" s="130"/>
      <c r="P69" s="130"/>
      <c r="Q69" s="130"/>
    </row>
    <row r="70" spans="2:17" s="35" customFormat="1" x14ac:dyDescent="0.35">
      <c r="B70" s="131"/>
      <c r="C70" s="43"/>
      <c r="D70" s="44"/>
      <c r="E70" s="44"/>
      <c r="F70" s="44"/>
      <c r="G70" s="44"/>
      <c r="H70" s="44"/>
      <c r="I70" s="44"/>
      <c r="J70" s="45"/>
      <c r="K70" s="131"/>
      <c r="L70" s="131"/>
      <c r="M70" s="131"/>
      <c r="N70" s="131"/>
      <c r="O70" s="131"/>
      <c r="P70" s="131"/>
      <c r="Q70" s="131"/>
    </row>
    <row r="71" spans="2:17" x14ac:dyDescent="0.35">
      <c r="B71" s="131"/>
      <c r="C71" s="342" t="s">
        <v>40</v>
      </c>
      <c r="D71" s="343"/>
      <c r="E71" s="343"/>
      <c r="F71" s="343"/>
      <c r="G71" s="343"/>
      <c r="H71" s="343"/>
      <c r="I71" s="343"/>
      <c r="J71" s="344"/>
      <c r="K71" s="130"/>
      <c r="L71" s="130"/>
      <c r="M71" s="130"/>
      <c r="N71" s="130"/>
      <c r="O71" s="130"/>
      <c r="P71" s="130"/>
      <c r="Q71" s="130"/>
    </row>
    <row r="72" spans="2:17" ht="21.75" customHeight="1" thickBot="1" x14ac:dyDescent="0.4">
      <c r="B72" s="130"/>
      <c r="C72" s="41" t="s">
        <v>112</v>
      </c>
      <c r="D72" s="211">
        <f>'1) Tableau budgétaire 1'!D46</f>
        <v>0</v>
      </c>
      <c r="E72" s="222">
        <f>'1) Tableau budgétaire 1'!E46</f>
        <v>0</v>
      </c>
      <c r="F72" s="232">
        <f>'1) Tableau budgétaire 1'!F46</f>
        <v>0</v>
      </c>
      <c r="G72" s="243">
        <f>'1) Tableau budgétaire 1'!G46</f>
        <v>0</v>
      </c>
      <c r="H72" s="253">
        <f>'1) Tableau budgétaire 1'!H41</f>
        <v>58800.000000000007</v>
      </c>
      <c r="I72" s="253">
        <f>'1) Tableau budgétaire 1'!I41</f>
        <v>46200</v>
      </c>
      <c r="J72" s="42">
        <f>SUM(D72:I72)</f>
        <v>105000</v>
      </c>
      <c r="K72" s="130"/>
      <c r="L72" s="130"/>
      <c r="M72" s="130"/>
      <c r="N72" s="130"/>
      <c r="O72" s="130"/>
      <c r="P72" s="130"/>
      <c r="Q72" s="130"/>
    </row>
    <row r="73" spans="2:17" ht="15.75" customHeight="1" thickBot="1" x14ac:dyDescent="0.4">
      <c r="B73" s="130"/>
      <c r="C73" s="40" t="s">
        <v>96</v>
      </c>
      <c r="D73" s="212"/>
      <c r="E73" s="223"/>
      <c r="F73" s="233"/>
      <c r="G73" s="244"/>
      <c r="H73" s="254"/>
      <c r="I73" s="283"/>
      <c r="J73" s="42">
        <f t="shared" ref="J73:J79" si="9">SUM(D73:I73)</f>
        <v>0</v>
      </c>
      <c r="K73" s="130"/>
      <c r="L73" s="130"/>
      <c r="M73" s="130"/>
      <c r="N73" s="130"/>
      <c r="O73" s="130"/>
      <c r="P73" s="130"/>
      <c r="Q73" s="130"/>
    </row>
    <row r="74" spans="2:17" ht="15.75" customHeight="1" thickBot="1" x14ac:dyDescent="0.4">
      <c r="B74" s="130"/>
      <c r="C74" s="32" t="s">
        <v>97</v>
      </c>
      <c r="D74" s="213"/>
      <c r="E74" s="153"/>
      <c r="F74" s="165"/>
      <c r="G74" s="176"/>
      <c r="H74" s="186">
        <f>10000*56%</f>
        <v>5600.0000000000009</v>
      </c>
      <c r="I74" s="284">
        <f>10000*44%</f>
        <v>4400</v>
      </c>
      <c r="J74" s="42">
        <f t="shared" si="9"/>
        <v>10000</v>
      </c>
      <c r="K74" s="130"/>
      <c r="L74" s="130"/>
      <c r="M74" s="130"/>
      <c r="N74" s="130"/>
      <c r="O74" s="130"/>
      <c r="P74" s="130"/>
      <c r="Q74" s="130"/>
    </row>
    <row r="75" spans="2:17" ht="33" customHeight="1" thickBot="1" x14ac:dyDescent="0.4">
      <c r="B75" s="130"/>
      <c r="C75" s="32" t="s">
        <v>98</v>
      </c>
      <c r="D75" s="213"/>
      <c r="E75" s="224"/>
      <c r="F75" s="234"/>
      <c r="G75" s="245"/>
      <c r="H75" s="255"/>
      <c r="I75" s="285"/>
      <c r="J75" s="42">
        <f t="shared" si="9"/>
        <v>0</v>
      </c>
      <c r="K75" s="130"/>
      <c r="L75" s="130"/>
      <c r="M75" s="130"/>
      <c r="N75" s="130"/>
      <c r="O75" s="130"/>
      <c r="P75" s="130"/>
      <c r="Q75" s="130"/>
    </row>
    <row r="76" spans="2:17" x14ac:dyDescent="0.35">
      <c r="B76" s="130"/>
      <c r="C76" s="33" t="s">
        <v>99</v>
      </c>
      <c r="D76" s="213"/>
      <c r="E76" s="224"/>
      <c r="F76" s="234"/>
      <c r="G76" s="245"/>
      <c r="H76" s="255">
        <f>52650*56%</f>
        <v>29484.000000000004</v>
      </c>
      <c r="I76" s="285">
        <f>52650*44%</f>
        <v>23166</v>
      </c>
      <c r="J76" s="42">
        <f t="shared" si="9"/>
        <v>52650</v>
      </c>
      <c r="K76" s="130"/>
      <c r="L76" s="130"/>
      <c r="M76" s="130"/>
      <c r="N76" s="130"/>
      <c r="O76" s="130"/>
      <c r="P76" s="130"/>
      <c r="Q76" s="130"/>
    </row>
    <row r="77" spans="2:17" x14ac:dyDescent="0.35">
      <c r="B77" s="130"/>
      <c r="C77" s="32" t="s">
        <v>100</v>
      </c>
      <c r="D77" s="213"/>
      <c r="E77" s="224"/>
      <c r="F77" s="234"/>
      <c r="G77" s="245"/>
      <c r="H77" s="255">
        <f>35000*56%</f>
        <v>19600.000000000004</v>
      </c>
      <c r="I77" s="285">
        <f>35000*44%</f>
        <v>15400</v>
      </c>
      <c r="J77" s="42">
        <f t="shared" si="9"/>
        <v>35000</v>
      </c>
      <c r="K77" s="130"/>
      <c r="L77" s="130"/>
      <c r="M77" s="130"/>
      <c r="N77" s="130"/>
      <c r="O77" s="130"/>
      <c r="P77" s="130"/>
      <c r="Q77" s="130"/>
    </row>
    <row r="78" spans="2:17" x14ac:dyDescent="0.35">
      <c r="B78" s="130"/>
      <c r="C78" s="32" t="s">
        <v>101</v>
      </c>
      <c r="D78" s="213"/>
      <c r="E78" s="224"/>
      <c r="F78" s="234"/>
      <c r="G78" s="245"/>
      <c r="H78" s="255"/>
      <c r="I78" s="285"/>
      <c r="J78" s="42">
        <f t="shared" si="9"/>
        <v>0</v>
      </c>
      <c r="K78" s="130"/>
      <c r="L78" s="130"/>
      <c r="M78" s="130"/>
      <c r="N78" s="130"/>
      <c r="O78" s="130"/>
      <c r="P78" s="130"/>
      <c r="Q78" s="130"/>
    </row>
    <row r="79" spans="2:17" ht="22.5" customHeight="1" x14ac:dyDescent="0.35">
      <c r="B79" s="130"/>
      <c r="C79" s="32" t="s">
        <v>102</v>
      </c>
      <c r="D79" s="213"/>
      <c r="E79" s="224"/>
      <c r="F79" s="234"/>
      <c r="G79" s="245"/>
      <c r="H79" s="255">
        <f>7350*56%</f>
        <v>4116</v>
      </c>
      <c r="I79" s="285">
        <f>7350*44%</f>
        <v>3234</v>
      </c>
      <c r="J79" s="42">
        <f t="shared" si="9"/>
        <v>7350</v>
      </c>
      <c r="K79" s="130"/>
      <c r="L79" s="130"/>
      <c r="M79" s="130"/>
      <c r="N79" s="130"/>
      <c r="O79" s="130"/>
      <c r="P79" s="130"/>
      <c r="Q79" s="130"/>
    </row>
    <row r="80" spans="2:17" ht="16" thickBot="1" x14ac:dyDescent="0.4">
      <c r="B80" s="130"/>
      <c r="C80" s="36" t="s">
        <v>103</v>
      </c>
      <c r="D80" s="214">
        <f t="shared" ref="D80:I80" si="10">SUM(D73:D79)</f>
        <v>0</v>
      </c>
      <c r="E80" s="225">
        <f t="shared" si="10"/>
        <v>0</v>
      </c>
      <c r="F80" s="235">
        <f t="shared" si="10"/>
        <v>0</v>
      </c>
      <c r="G80" s="246">
        <f t="shared" si="10"/>
        <v>0</v>
      </c>
      <c r="H80" s="256">
        <f t="shared" si="10"/>
        <v>58800.000000000015</v>
      </c>
      <c r="I80" s="256">
        <f t="shared" si="10"/>
        <v>46200</v>
      </c>
      <c r="J80" s="42">
        <f>SUM(D80:I80)</f>
        <v>105000.00000000001</v>
      </c>
      <c r="K80" s="130"/>
      <c r="L80" s="130"/>
      <c r="M80" s="130"/>
      <c r="N80" s="130"/>
      <c r="O80" s="130"/>
      <c r="P80" s="130"/>
      <c r="Q80" s="130"/>
    </row>
    <row r="81" spans="2:17" s="35" customFormat="1" x14ac:dyDescent="0.35">
      <c r="B81" s="131"/>
      <c r="C81" s="43"/>
      <c r="D81" s="44"/>
      <c r="E81" s="44"/>
      <c r="F81" s="44"/>
      <c r="G81" s="44"/>
      <c r="H81" s="44"/>
      <c r="I81" s="44"/>
      <c r="J81" s="45"/>
      <c r="K81" s="131"/>
      <c r="L81" s="131"/>
      <c r="M81" s="131"/>
      <c r="N81" s="131"/>
      <c r="O81" s="131"/>
      <c r="P81" s="131"/>
      <c r="Q81" s="131"/>
    </row>
    <row r="82" spans="2:17" x14ac:dyDescent="0.35">
      <c r="B82" s="130"/>
      <c r="C82" s="342" t="s">
        <v>43</v>
      </c>
      <c r="D82" s="343"/>
      <c r="E82" s="343"/>
      <c r="F82" s="343"/>
      <c r="G82" s="343"/>
      <c r="H82" s="343"/>
      <c r="I82" s="343"/>
      <c r="J82" s="344"/>
      <c r="K82" s="130"/>
      <c r="L82" s="130"/>
      <c r="M82" s="130"/>
      <c r="N82" s="130"/>
      <c r="O82" s="130"/>
      <c r="P82" s="130"/>
      <c r="Q82" s="130"/>
    </row>
    <row r="83" spans="2:17" ht="21.75" customHeight="1" thickBot="1" x14ac:dyDescent="0.4">
      <c r="B83" s="131"/>
      <c r="C83" s="41" t="s">
        <v>113</v>
      </c>
      <c r="D83" s="211">
        <v>0</v>
      </c>
      <c r="E83" s="222">
        <v>0</v>
      </c>
      <c r="F83" s="232">
        <v>0</v>
      </c>
      <c r="G83" s="243">
        <v>0</v>
      </c>
      <c r="H83" s="253">
        <f>'1) Tableau budgétaire 1'!H46</f>
        <v>100800</v>
      </c>
      <c r="I83" s="253">
        <f>'1) Tableau budgétaire 1'!I46</f>
        <v>79200</v>
      </c>
      <c r="J83" s="42">
        <f>SUM(D83:I83)</f>
        <v>180000</v>
      </c>
      <c r="K83" s="130"/>
      <c r="L83" s="130"/>
      <c r="M83" s="130"/>
      <c r="N83" s="130"/>
      <c r="O83" s="130"/>
      <c r="P83" s="130"/>
      <c r="Q83" s="130"/>
    </row>
    <row r="84" spans="2:17" ht="18" customHeight="1" thickBot="1" x14ac:dyDescent="0.4">
      <c r="B84" s="130"/>
      <c r="C84" s="40" t="s">
        <v>96</v>
      </c>
      <c r="D84" s="212"/>
      <c r="E84" s="223"/>
      <c r="F84" s="233"/>
      <c r="G84" s="244"/>
      <c r="H84" s="254"/>
      <c r="I84" s="283"/>
      <c r="J84" s="42">
        <f>SUM(D84:I84)</f>
        <v>0</v>
      </c>
      <c r="K84" s="130"/>
      <c r="L84" s="130"/>
      <c r="M84" s="130"/>
      <c r="N84" s="130"/>
      <c r="O84" s="130"/>
      <c r="P84" s="130"/>
      <c r="Q84" s="130"/>
    </row>
    <row r="85" spans="2:17" ht="15.75" customHeight="1" thickBot="1" x14ac:dyDescent="0.4">
      <c r="B85" s="130"/>
      <c r="C85" s="32" t="s">
        <v>97</v>
      </c>
      <c r="D85" s="213"/>
      <c r="E85" s="153"/>
      <c r="F85" s="165"/>
      <c r="G85" s="176"/>
      <c r="H85" s="186"/>
      <c r="I85" s="284"/>
      <c r="J85" s="42">
        <f t="shared" ref="J85:J90" si="11">SUM(D85:I85)</f>
        <v>0</v>
      </c>
      <c r="K85" s="130"/>
      <c r="L85" s="130"/>
      <c r="M85" s="130"/>
      <c r="N85" s="130"/>
      <c r="O85" s="130"/>
      <c r="P85" s="130"/>
      <c r="Q85" s="130"/>
    </row>
    <row r="86" spans="2:17" s="35" customFormat="1" ht="27.75" customHeight="1" thickBot="1" x14ac:dyDescent="0.4">
      <c r="B86" s="130"/>
      <c r="C86" s="32" t="s">
        <v>98</v>
      </c>
      <c r="D86" s="213"/>
      <c r="E86" s="224"/>
      <c r="F86" s="234"/>
      <c r="G86" s="245"/>
      <c r="H86" s="255">
        <f>30000*56%</f>
        <v>16800</v>
      </c>
      <c r="I86" s="285">
        <f>30000*44%</f>
        <v>13200</v>
      </c>
      <c r="J86" s="42">
        <f t="shared" si="11"/>
        <v>30000</v>
      </c>
      <c r="K86" s="131"/>
      <c r="L86" s="131"/>
      <c r="M86" s="131"/>
      <c r="N86" s="131"/>
      <c r="O86" s="131"/>
      <c r="P86" s="131"/>
      <c r="Q86" s="131"/>
    </row>
    <row r="87" spans="2:17" x14ac:dyDescent="0.35">
      <c r="B87" s="131"/>
      <c r="C87" s="33" t="s">
        <v>99</v>
      </c>
      <c r="D87" s="213"/>
      <c r="E87" s="224"/>
      <c r="F87" s="234"/>
      <c r="G87" s="245"/>
      <c r="H87" s="255">
        <f>99000*56%</f>
        <v>55440.000000000007</v>
      </c>
      <c r="I87" s="285">
        <f>99000*44%</f>
        <v>43560</v>
      </c>
      <c r="J87" s="42">
        <f t="shared" si="11"/>
        <v>99000</v>
      </c>
      <c r="K87" s="130"/>
      <c r="L87" s="130"/>
      <c r="M87" s="130"/>
      <c r="N87" s="130"/>
      <c r="O87" s="130"/>
      <c r="P87" s="130"/>
      <c r="Q87" s="130"/>
    </row>
    <row r="88" spans="2:17" x14ac:dyDescent="0.35">
      <c r="B88" s="131"/>
      <c r="C88" s="32" t="s">
        <v>100</v>
      </c>
      <c r="D88" s="213"/>
      <c r="E88" s="224"/>
      <c r="F88" s="234"/>
      <c r="G88" s="245"/>
      <c r="H88" s="255">
        <f>38400*56%</f>
        <v>21504.000000000004</v>
      </c>
      <c r="I88" s="285">
        <f>38400*44%</f>
        <v>16896</v>
      </c>
      <c r="J88" s="42">
        <f t="shared" si="11"/>
        <v>38400</v>
      </c>
      <c r="K88" s="130"/>
      <c r="L88" s="130"/>
      <c r="M88" s="130"/>
      <c r="N88" s="130"/>
      <c r="O88" s="130"/>
      <c r="P88" s="130"/>
      <c r="Q88" s="130"/>
    </row>
    <row r="89" spans="2:17" x14ac:dyDescent="0.35">
      <c r="B89" s="131"/>
      <c r="C89" s="32" t="s">
        <v>101</v>
      </c>
      <c r="D89" s="213"/>
      <c r="E89" s="224"/>
      <c r="F89" s="234"/>
      <c r="G89" s="245"/>
      <c r="H89" s="255"/>
      <c r="I89" s="285"/>
      <c r="J89" s="42">
        <f t="shared" si="11"/>
        <v>0</v>
      </c>
      <c r="K89" s="130"/>
      <c r="L89" s="130"/>
      <c r="M89" s="130"/>
      <c r="N89" s="130"/>
      <c r="O89" s="130"/>
      <c r="P89" s="130"/>
      <c r="Q89" s="130"/>
    </row>
    <row r="90" spans="2:17" ht="22.5" customHeight="1" thickBot="1" x14ac:dyDescent="0.4">
      <c r="B90" s="130"/>
      <c r="C90" s="32" t="s">
        <v>102</v>
      </c>
      <c r="D90" s="213"/>
      <c r="E90" s="224"/>
      <c r="F90" s="234"/>
      <c r="G90" s="245"/>
      <c r="H90" s="255">
        <f>12600*56%</f>
        <v>7056.0000000000009</v>
      </c>
      <c r="I90" s="285">
        <f>12600*44%</f>
        <v>5544</v>
      </c>
      <c r="J90" s="42">
        <f t="shared" si="11"/>
        <v>12600</v>
      </c>
      <c r="K90" s="130"/>
      <c r="L90" s="130"/>
      <c r="M90" s="130"/>
      <c r="N90" s="130"/>
      <c r="O90" s="130"/>
      <c r="P90" s="130"/>
      <c r="Q90" s="130"/>
    </row>
    <row r="91" spans="2:17" ht="16" thickBot="1" x14ac:dyDescent="0.4">
      <c r="B91" s="130"/>
      <c r="C91" s="36" t="s">
        <v>103</v>
      </c>
      <c r="D91" s="214">
        <f t="shared" ref="D91:I91" si="12">SUM(D84:D90)</f>
        <v>0</v>
      </c>
      <c r="E91" s="225">
        <f t="shared" si="12"/>
        <v>0</v>
      </c>
      <c r="F91" s="235">
        <f t="shared" si="12"/>
        <v>0</v>
      </c>
      <c r="G91" s="246">
        <f t="shared" si="12"/>
        <v>0</v>
      </c>
      <c r="H91" s="256">
        <f t="shared" si="12"/>
        <v>100800</v>
      </c>
      <c r="I91" s="256">
        <f t="shared" si="12"/>
        <v>79200</v>
      </c>
      <c r="J91" s="42">
        <f>SUM(D91:I91)</f>
        <v>180000</v>
      </c>
      <c r="K91" s="130"/>
      <c r="L91" s="130"/>
      <c r="M91" s="130"/>
      <c r="N91" s="130"/>
      <c r="O91" s="130"/>
      <c r="P91" s="130"/>
      <c r="Q91" s="130"/>
    </row>
    <row r="92" spans="2:17" s="35" customFormat="1" x14ac:dyDescent="0.35">
      <c r="B92" s="131"/>
      <c r="C92" s="43"/>
      <c r="D92" s="44"/>
      <c r="E92" s="44"/>
      <c r="F92" s="44"/>
      <c r="G92" s="44"/>
      <c r="H92" s="44"/>
      <c r="I92" s="44"/>
      <c r="J92" s="45"/>
      <c r="K92" s="131"/>
      <c r="L92" s="131"/>
      <c r="M92" s="131"/>
      <c r="N92" s="131"/>
      <c r="O92" s="131"/>
      <c r="P92" s="131"/>
      <c r="Q92" s="131"/>
    </row>
    <row r="93" spans="2:17" hidden="1" x14ac:dyDescent="0.35">
      <c r="B93" s="130"/>
      <c r="C93" s="342" t="s">
        <v>114</v>
      </c>
      <c r="D93" s="343"/>
      <c r="E93" s="343"/>
      <c r="F93" s="343"/>
      <c r="G93" s="343"/>
      <c r="H93" s="343"/>
      <c r="I93" s="343"/>
      <c r="J93" s="344"/>
      <c r="K93" s="130"/>
      <c r="L93" s="130"/>
      <c r="M93" s="130"/>
      <c r="N93" s="130"/>
      <c r="O93" s="130"/>
      <c r="P93" s="130"/>
      <c r="Q93" s="130"/>
    </row>
    <row r="94" spans="2:17" ht="21.75" hidden="1" customHeight="1" thickBot="1" x14ac:dyDescent="0.4">
      <c r="B94" s="130"/>
      <c r="C94" s="41" t="s">
        <v>115</v>
      </c>
      <c r="D94" s="211" t="e">
        <f>'1) Tableau budgétaire 1'!#REF!</f>
        <v>#REF!</v>
      </c>
      <c r="E94" s="222" t="e">
        <f>'1) Tableau budgétaire 1'!#REF!</f>
        <v>#REF!</v>
      </c>
      <c r="F94" s="232" t="e">
        <f>'1) Tableau budgétaire 1'!#REF!</f>
        <v>#REF!</v>
      </c>
      <c r="G94" s="243" t="e">
        <f>'1) Tableau budgétaire 1'!#REF!</f>
        <v>#REF!</v>
      </c>
      <c r="H94" s="253" t="e">
        <f>'1) Tableau budgétaire 1'!#REF!</f>
        <v>#REF!</v>
      </c>
      <c r="I94" s="253"/>
      <c r="J94" s="42" t="e">
        <f>SUM(D94:H94)</f>
        <v>#REF!</v>
      </c>
      <c r="K94" s="130"/>
      <c r="L94" s="130"/>
      <c r="M94" s="130"/>
      <c r="N94" s="130"/>
      <c r="O94" s="130"/>
      <c r="P94" s="130"/>
      <c r="Q94" s="130"/>
    </row>
    <row r="95" spans="2:17" ht="15.75" hidden="1" customHeight="1" thickBot="1" x14ac:dyDescent="0.4">
      <c r="B95" s="130"/>
      <c r="C95" s="40" t="s">
        <v>96</v>
      </c>
      <c r="D95" s="212"/>
      <c r="E95" s="223"/>
      <c r="F95" s="233"/>
      <c r="G95" s="244"/>
      <c r="H95" s="254"/>
      <c r="I95" s="283"/>
      <c r="J95" s="42">
        <f t="shared" ref="J95:J102" si="13">SUM(D95:H95)</f>
        <v>0</v>
      </c>
      <c r="K95" s="130"/>
      <c r="L95" s="130"/>
      <c r="M95" s="130"/>
      <c r="N95" s="130"/>
      <c r="O95" s="130"/>
      <c r="P95" s="130"/>
      <c r="Q95" s="130"/>
    </row>
    <row r="96" spans="2:17" ht="15.75" hidden="1" customHeight="1" thickBot="1" x14ac:dyDescent="0.4">
      <c r="B96" s="131"/>
      <c r="C96" s="32" t="s">
        <v>97</v>
      </c>
      <c r="D96" s="213"/>
      <c r="E96" s="153"/>
      <c r="F96" s="165"/>
      <c r="G96" s="176"/>
      <c r="H96" s="186"/>
      <c r="I96" s="284"/>
      <c r="J96" s="42">
        <f t="shared" si="13"/>
        <v>0</v>
      </c>
      <c r="K96" s="130"/>
      <c r="L96" s="130"/>
      <c r="M96" s="130"/>
      <c r="N96" s="130"/>
      <c r="O96" s="130"/>
      <c r="P96" s="130"/>
      <c r="Q96" s="130"/>
    </row>
    <row r="97" spans="2:17" ht="15.75" hidden="1" customHeight="1" thickBot="1" x14ac:dyDescent="0.4">
      <c r="B97" s="130"/>
      <c r="C97" s="32" t="s">
        <v>98</v>
      </c>
      <c r="D97" s="213"/>
      <c r="E97" s="224"/>
      <c r="F97" s="234"/>
      <c r="G97" s="245"/>
      <c r="H97" s="255"/>
      <c r="I97" s="285"/>
      <c r="J97" s="42">
        <f t="shared" si="13"/>
        <v>0</v>
      </c>
      <c r="K97" s="130"/>
      <c r="L97" s="130"/>
      <c r="M97" s="130"/>
      <c r="N97" s="130"/>
      <c r="O97" s="130"/>
      <c r="P97" s="130"/>
      <c r="Q97" s="130"/>
    </row>
    <row r="98" spans="2:17" ht="16" hidden="1" thickBot="1" x14ac:dyDescent="0.4">
      <c r="B98" s="130"/>
      <c r="C98" s="33" t="s">
        <v>99</v>
      </c>
      <c r="D98" s="213"/>
      <c r="E98" s="224"/>
      <c r="F98" s="234"/>
      <c r="G98" s="245"/>
      <c r="H98" s="255"/>
      <c r="I98" s="285"/>
      <c r="J98" s="42">
        <f t="shared" si="13"/>
        <v>0</v>
      </c>
      <c r="K98" s="130"/>
      <c r="L98" s="130"/>
      <c r="M98" s="130"/>
      <c r="N98" s="130"/>
      <c r="O98" s="130"/>
      <c r="P98" s="130"/>
      <c r="Q98" s="130"/>
    </row>
    <row r="99" spans="2:17" ht="16" hidden="1" thickBot="1" x14ac:dyDescent="0.4">
      <c r="B99" s="130"/>
      <c r="C99" s="32" t="s">
        <v>100</v>
      </c>
      <c r="D99" s="213"/>
      <c r="E99" s="224"/>
      <c r="F99" s="234"/>
      <c r="G99" s="245"/>
      <c r="H99" s="255"/>
      <c r="I99" s="285"/>
      <c r="J99" s="42">
        <f t="shared" si="13"/>
        <v>0</v>
      </c>
      <c r="K99" s="130"/>
      <c r="L99" s="130"/>
      <c r="M99" s="130"/>
      <c r="N99" s="130"/>
      <c r="O99" s="130"/>
      <c r="P99" s="130"/>
      <c r="Q99" s="130"/>
    </row>
    <row r="100" spans="2:17" ht="25.5" hidden="1" customHeight="1" thickBot="1" x14ac:dyDescent="0.4">
      <c r="B100" s="130"/>
      <c r="C100" s="32" t="s">
        <v>101</v>
      </c>
      <c r="D100" s="213"/>
      <c r="E100" s="224"/>
      <c r="F100" s="234"/>
      <c r="G100" s="245"/>
      <c r="H100" s="255"/>
      <c r="I100" s="285"/>
      <c r="J100" s="42">
        <f t="shared" si="13"/>
        <v>0</v>
      </c>
      <c r="K100" s="130"/>
      <c r="L100" s="130"/>
      <c r="M100" s="130"/>
      <c r="N100" s="130"/>
      <c r="O100" s="130"/>
      <c r="P100" s="130"/>
      <c r="Q100" s="130"/>
    </row>
    <row r="101" spans="2:17" ht="31.5" hidden="1" thickBot="1" x14ac:dyDescent="0.4">
      <c r="B101" s="131"/>
      <c r="C101" s="32" t="s">
        <v>102</v>
      </c>
      <c r="D101" s="213"/>
      <c r="E101" s="224"/>
      <c r="F101" s="234"/>
      <c r="G101" s="245"/>
      <c r="H101" s="255"/>
      <c r="I101" s="285"/>
      <c r="J101" s="42">
        <f t="shared" si="13"/>
        <v>0</v>
      </c>
      <c r="K101" s="130"/>
      <c r="L101" s="130"/>
      <c r="M101" s="130"/>
      <c r="N101" s="130"/>
      <c r="O101" s="130"/>
      <c r="P101" s="130"/>
      <c r="Q101" s="130"/>
    </row>
    <row r="102" spans="2:17" ht="15.75" hidden="1" customHeight="1" thickBot="1" x14ac:dyDescent="0.4">
      <c r="B102" s="130"/>
      <c r="C102" s="36" t="s">
        <v>103</v>
      </c>
      <c r="D102" s="214">
        <f>SUM(D95:D101)</f>
        <v>0</v>
      </c>
      <c r="E102" s="225">
        <f>SUM(E95:E101)</f>
        <v>0</v>
      </c>
      <c r="F102" s="235">
        <f>SUM(F95:F101)</f>
        <v>0</v>
      </c>
      <c r="G102" s="246">
        <f>SUM(G95:G101)</f>
        <v>0</v>
      </c>
      <c r="H102" s="256">
        <f>SUM(H95:H101)</f>
        <v>0</v>
      </c>
      <c r="I102" s="257"/>
      <c r="J102" s="42">
        <f t="shared" si="13"/>
        <v>0</v>
      </c>
      <c r="K102" s="130"/>
      <c r="L102" s="130"/>
      <c r="M102" s="130"/>
      <c r="N102" s="130"/>
      <c r="O102" s="130"/>
      <c r="P102" s="130"/>
      <c r="Q102" s="130"/>
    </row>
    <row r="103" spans="2:17" ht="25.5" hidden="1" customHeight="1" x14ac:dyDescent="0.35">
      <c r="B103" s="130"/>
      <c r="C103" s="130"/>
      <c r="D103" s="130"/>
      <c r="E103" s="130"/>
      <c r="F103" s="130"/>
      <c r="G103" s="130"/>
      <c r="H103" s="130"/>
      <c r="I103" s="130"/>
      <c r="J103" s="130"/>
      <c r="K103" s="130"/>
      <c r="L103" s="130"/>
      <c r="M103" s="130"/>
      <c r="N103" s="130"/>
      <c r="O103" s="130"/>
      <c r="P103" s="130"/>
      <c r="Q103" s="130"/>
    </row>
    <row r="104" spans="2:17" x14ac:dyDescent="0.35">
      <c r="B104" s="342" t="s">
        <v>116</v>
      </c>
      <c r="C104" s="343"/>
      <c r="D104" s="343"/>
      <c r="E104" s="343"/>
      <c r="F104" s="343"/>
      <c r="G104" s="343"/>
      <c r="H104" s="343"/>
      <c r="I104" s="343"/>
      <c r="J104" s="344"/>
      <c r="K104" s="130"/>
      <c r="L104" s="130"/>
      <c r="M104" s="130"/>
      <c r="N104" s="130"/>
      <c r="O104" s="130"/>
      <c r="P104" s="130"/>
      <c r="Q104" s="130"/>
    </row>
    <row r="105" spans="2:17" x14ac:dyDescent="0.35">
      <c r="B105" s="130"/>
      <c r="C105" s="342" t="s">
        <v>46</v>
      </c>
      <c r="D105" s="343"/>
      <c r="E105" s="343"/>
      <c r="F105" s="343"/>
      <c r="G105" s="343"/>
      <c r="H105" s="343"/>
      <c r="I105" s="343"/>
      <c r="J105" s="344"/>
      <c r="K105" s="130"/>
      <c r="L105" s="130"/>
      <c r="M105" s="130"/>
      <c r="N105" s="130"/>
      <c r="O105" s="130"/>
      <c r="P105" s="130"/>
      <c r="Q105" s="130"/>
    </row>
    <row r="106" spans="2:17" ht="22.5" customHeight="1" thickBot="1" x14ac:dyDescent="0.4">
      <c r="B106" s="130"/>
      <c r="C106" s="41" t="s">
        <v>117</v>
      </c>
      <c r="D106" s="211">
        <f>'1) Tableau budgétaire 1'!E51</f>
        <v>0</v>
      </c>
      <c r="E106" s="222"/>
      <c r="F106" s="232">
        <f>'1) Tableau budgétaire 1'!F51</f>
        <v>110000</v>
      </c>
      <c r="G106" s="243">
        <f>'1) Tableau budgétaire 1'!G51</f>
        <v>110000</v>
      </c>
      <c r="H106" s="253">
        <f>'1) Tableau budgétaire 1'!H51</f>
        <v>0</v>
      </c>
      <c r="I106" s="253">
        <f>'1) Tableau budgétaire 1'!I51</f>
        <v>0</v>
      </c>
      <c r="J106" s="42">
        <f>SUM(D106:I106)</f>
        <v>220000</v>
      </c>
      <c r="K106" s="130"/>
      <c r="L106" s="130"/>
      <c r="M106" s="130"/>
      <c r="N106" s="130"/>
      <c r="O106" s="130"/>
      <c r="P106" s="130"/>
      <c r="Q106" s="130"/>
    </row>
    <row r="107" spans="2:17" ht="16" thickBot="1" x14ac:dyDescent="0.4">
      <c r="B107" s="130"/>
      <c r="C107" s="40" t="s">
        <v>96</v>
      </c>
      <c r="D107" s="212"/>
      <c r="E107" s="223"/>
      <c r="F107" s="233"/>
      <c r="G107" s="244"/>
      <c r="H107" s="254"/>
      <c r="I107" s="283"/>
      <c r="J107" s="42">
        <f t="shared" ref="J107:J113" si="14">SUM(D107:I107)</f>
        <v>0</v>
      </c>
      <c r="K107" s="130"/>
      <c r="L107" s="130"/>
      <c r="M107" s="130"/>
      <c r="N107" s="130"/>
      <c r="O107" s="130"/>
      <c r="P107" s="130"/>
      <c r="Q107" s="130"/>
    </row>
    <row r="108" spans="2:17" ht="16" thickBot="1" x14ac:dyDescent="0.4">
      <c r="B108" s="130"/>
      <c r="C108" s="32" t="s">
        <v>97</v>
      </c>
      <c r="D108" s="213"/>
      <c r="E108" s="153"/>
      <c r="F108" s="165"/>
      <c r="G108" s="176"/>
      <c r="H108" s="186"/>
      <c r="I108" s="284"/>
      <c r="J108" s="42">
        <f t="shared" si="14"/>
        <v>0</v>
      </c>
      <c r="K108" s="130"/>
      <c r="L108" s="130"/>
      <c r="M108" s="130"/>
      <c r="N108" s="130"/>
      <c r="O108" s="130"/>
      <c r="P108" s="130"/>
      <c r="Q108" s="130"/>
    </row>
    <row r="109" spans="2:17" ht="35.25" customHeight="1" thickBot="1" x14ac:dyDescent="0.4">
      <c r="B109" s="130"/>
      <c r="C109" s="32" t="s">
        <v>98</v>
      </c>
      <c r="D109" s="213"/>
      <c r="E109" s="224"/>
      <c r="F109" s="234"/>
      <c r="G109" s="245"/>
      <c r="H109" s="255"/>
      <c r="I109" s="285"/>
      <c r="J109" s="42">
        <f t="shared" si="14"/>
        <v>0</v>
      </c>
      <c r="K109" s="130"/>
      <c r="L109" s="130"/>
      <c r="M109" s="130"/>
      <c r="N109" s="130"/>
      <c r="O109" s="130"/>
      <c r="P109" s="130"/>
      <c r="Q109" s="130"/>
    </row>
    <row r="110" spans="2:17" ht="21.75" customHeight="1" thickBot="1" x14ac:dyDescent="0.4">
      <c r="B110" s="130"/>
      <c r="C110" s="33" t="s">
        <v>99</v>
      </c>
      <c r="D110" s="213"/>
      <c r="E110" s="224"/>
      <c r="F110" s="237">
        <f>'1) Tableau budgétaire 1'!G49+'1) Tableau budgétaire 1'!G50</f>
        <v>110000</v>
      </c>
      <c r="G110" s="245">
        <f>'1) Tableau budgétaire 1'!G49+'1) Tableau budgétaire 1'!G50</f>
        <v>110000</v>
      </c>
      <c r="H110" s="255"/>
      <c r="I110" s="285"/>
      <c r="J110" s="42">
        <f t="shared" si="14"/>
        <v>220000</v>
      </c>
      <c r="K110" s="130"/>
      <c r="L110" s="130"/>
      <c r="M110" s="130"/>
      <c r="N110" s="130"/>
      <c r="O110" s="130"/>
      <c r="P110" s="130"/>
      <c r="Q110" s="130"/>
    </row>
    <row r="111" spans="2:17" ht="16" thickBot="1" x14ac:dyDescent="0.4">
      <c r="B111" s="130"/>
      <c r="C111" s="32" t="s">
        <v>100</v>
      </c>
      <c r="D111" s="213"/>
      <c r="E111" s="224"/>
      <c r="F111" s="234"/>
      <c r="G111" s="245"/>
      <c r="H111" s="255"/>
      <c r="I111" s="285"/>
      <c r="J111" s="42">
        <f t="shared" si="14"/>
        <v>0</v>
      </c>
      <c r="K111" s="130"/>
      <c r="L111" s="130"/>
      <c r="M111" s="130"/>
      <c r="N111" s="130"/>
      <c r="O111" s="130"/>
      <c r="P111" s="130"/>
      <c r="Q111" s="130"/>
    </row>
    <row r="112" spans="2:17" ht="16" thickBot="1" x14ac:dyDescent="0.4">
      <c r="B112" s="130"/>
      <c r="C112" s="32" t="s">
        <v>101</v>
      </c>
      <c r="D112" s="213"/>
      <c r="E112" s="224"/>
      <c r="F112" s="234"/>
      <c r="G112" s="245"/>
      <c r="H112" s="255"/>
      <c r="I112" s="285"/>
      <c r="J112" s="42">
        <f t="shared" si="14"/>
        <v>0</v>
      </c>
      <c r="K112" s="130"/>
      <c r="L112" s="130"/>
      <c r="M112" s="130"/>
      <c r="N112" s="130"/>
      <c r="O112" s="130"/>
      <c r="P112" s="130"/>
      <c r="Q112" s="130"/>
    </row>
    <row r="113" spans="3:17" ht="24" customHeight="1" thickBot="1" x14ac:dyDescent="0.4">
      <c r="C113" s="32" t="s">
        <v>102</v>
      </c>
      <c r="D113" s="213"/>
      <c r="E113" s="224"/>
      <c r="F113" s="234"/>
      <c r="G113" s="245"/>
      <c r="H113" s="255"/>
      <c r="I113" s="285"/>
      <c r="J113" s="42">
        <f t="shared" si="14"/>
        <v>0</v>
      </c>
      <c r="K113" s="130"/>
      <c r="L113" s="130"/>
      <c r="M113" s="130"/>
      <c r="N113" s="130"/>
      <c r="O113" s="130"/>
      <c r="P113" s="130"/>
      <c r="Q113" s="130"/>
    </row>
    <row r="114" spans="3:17" ht="24" customHeight="1" thickBot="1" x14ac:dyDescent="0.4">
      <c r="C114" s="36" t="s">
        <v>103</v>
      </c>
      <c r="D114" s="214">
        <f t="shared" ref="D114:I114" si="15">SUM(D107:D113)</f>
        <v>0</v>
      </c>
      <c r="E114" s="225">
        <f t="shared" si="15"/>
        <v>0</v>
      </c>
      <c r="F114" s="235">
        <f t="shared" si="15"/>
        <v>110000</v>
      </c>
      <c r="G114" s="246">
        <f t="shared" si="15"/>
        <v>110000</v>
      </c>
      <c r="H114" s="256">
        <f t="shared" si="15"/>
        <v>0</v>
      </c>
      <c r="I114" s="256">
        <f t="shared" si="15"/>
        <v>0</v>
      </c>
      <c r="J114" s="42">
        <f>SUM(D114:I114)</f>
        <v>220000</v>
      </c>
      <c r="K114" s="130"/>
      <c r="L114" s="130"/>
      <c r="M114" s="130"/>
      <c r="N114" s="130"/>
      <c r="O114" s="130"/>
      <c r="P114" s="130"/>
      <c r="Q114" s="130"/>
    </row>
    <row r="115" spans="3:17" s="35" customFormat="1" x14ac:dyDescent="0.35">
      <c r="C115" s="43"/>
      <c r="D115" s="44"/>
      <c r="E115" s="44"/>
      <c r="F115" s="44"/>
      <c r="G115" s="44"/>
      <c r="H115" s="44"/>
      <c r="I115" s="44"/>
      <c r="J115" s="45"/>
      <c r="K115" s="131"/>
      <c r="L115" s="131"/>
      <c r="M115" s="131"/>
      <c r="N115" s="131"/>
      <c r="O115" s="131"/>
      <c r="P115" s="131"/>
      <c r="Q115" s="131"/>
    </row>
    <row r="116" spans="3:17" ht="15.75" customHeight="1" x14ac:dyDescent="0.35">
      <c r="C116" s="342" t="s">
        <v>118</v>
      </c>
      <c r="D116" s="343"/>
      <c r="E116" s="343"/>
      <c r="F116" s="343"/>
      <c r="G116" s="343"/>
      <c r="H116" s="343"/>
      <c r="I116" s="343"/>
      <c r="J116" s="344"/>
      <c r="K116" s="130"/>
      <c r="L116" s="130"/>
      <c r="M116" s="130"/>
      <c r="N116" s="130"/>
      <c r="O116" s="130"/>
      <c r="P116" s="130"/>
      <c r="Q116" s="130"/>
    </row>
    <row r="117" spans="3:17" ht="21.75" customHeight="1" thickBot="1" x14ac:dyDescent="0.4">
      <c r="C117" s="41" t="s">
        <v>119</v>
      </c>
      <c r="D117" s="211">
        <f>'1) Tableau budgétaire 1'!D57</f>
        <v>0</v>
      </c>
      <c r="E117" s="222">
        <f>'1) Tableau budgétaire 1'!E57</f>
        <v>0</v>
      </c>
      <c r="F117" s="232">
        <f>'1) Tableau budgétaire 1'!F57</f>
        <v>408000</v>
      </c>
      <c r="G117" s="243">
        <f>'1) Tableau budgétaire 1'!G57</f>
        <v>416000</v>
      </c>
      <c r="H117" s="253">
        <f>'1) Tableau budgétaire 1'!H57</f>
        <v>0</v>
      </c>
      <c r="I117" s="253">
        <f>'1) Tableau budgétaire 1'!I57</f>
        <v>0</v>
      </c>
      <c r="J117" s="42">
        <f>SUM(D117:I117)</f>
        <v>824000</v>
      </c>
      <c r="K117" s="130"/>
      <c r="L117" s="130"/>
      <c r="M117" s="130"/>
      <c r="N117" s="130"/>
      <c r="O117" s="130"/>
      <c r="P117" s="130"/>
      <c r="Q117" s="130"/>
    </row>
    <row r="118" spans="3:17" ht="16" thickBot="1" x14ac:dyDescent="0.4">
      <c r="C118" s="40" t="s">
        <v>96</v>
      </c>
      <c r="D118" s="212"/>
      <c r="E118" s="223"/>
      <c r="F118" s="233"/>
      <c r="G118" s="244"/>
      <c r="H118" s="254"/>
      <c r="I118" s="283"/>
      <c r="J118" s="42">
        <f t="shared" ref="J118:J124" si="16">SUM(D118:I118)</f>
        <v>0</v>
      </c>
      <c r="K118" s="130"/>
      <c r="L118" s="130"/>
      <c r="M118" s="130"/>
      <c r="N118" s="130"/>
      <c r="O118" s="130"/>
      <c r="P118" s="130"/>
      <c r="Q118" s="130"/>
    </row>
    <row r="119" spans="3:17" ht="16" thickBot="1" x14ac:dyDescent="0.4">
      <c r="C119" s="32" t="s">
        <v>97</v>
      </c>
      <c r="D119" s="213"/>
      <c r="E119" s="153"/>
      <c r="F119" s="165"/>
      <c r="G119" s="176"/>
      <c r="H119" s="186"/>
      <c r="I119" s="284"/>
      <c r="J119" s="42">
        <f t="shared" si="16"/>
        <v>0</v>
      </c>
      <c r="K119" s="130"/>
      <c r="L119" s="130"/>
      <c r="M119" s="130"/>
      <c r="N119" s="130"/>
      <c r="O119" s="130"/>
      <c r="P119" s="130"/>
      <c r="Q119" s="130"/>
    </row>
    <row r="120" spans="3:17" ht="31.5" thickBot="1" x14ac:dyDescent="0.4">
      <c r="C120" s="32" t="s">
        <v>98</v>
      </c>
      <c r="D120" s="213"/>
      <c r="E120" s="224"/>
      <c r="F120" s="234"/>
      <c r="G120" s="245"/>
      <c r="H120" s="255"/>
      <c r="I120" s="285"/>
      <c r="J120" s="42">
        <f t="shared" si="16"/>
        <v>0</v>
      </c>
      <c r="K120" s="130"/>
      <c r="L120" s="130"/>
      <c r="M120" s="130"/>
      <c r="N120" s="130"/>
      <c r="O120" s="130"/>
      <c r="P120" s="130"/>
      <c r="Q120" s="130"/>
    </row>
    <row r="121" spans="3:17" ht="21.75" customHeight="1" thickBot="1" x14ac:dyDescent="0.4">
      <c r="C121" s="33" t="s">
        <v>99</v>
      </c>
      <c r="D121" s="213"/>
      <c r="E121" s="224"/>
      <c r="F121" s="234">
        <f>'1) Tableau budgétaire 1'!F55</f>
        <v>20000</v>
      </c>
      <c r="G121" s="245">
        <f>'1) Tableau budgétaire 1'!G55</f>
        <v>20000</v>
      </c>
      <c r="H121" s="255"/>
      <c r="I121" s="285"/>
      <c r="J121" s="42">
        <f t="shared" si="16"/>
        <v>40000</v>
      </c>
      <c r="K121" s="130"/>
      <c r="L121" s="130"/>
      <c r="M121" s="130"/>
      <c r="N121" s="130"/>
      <c r="O121" s="130"/>
      <c r="P121" s="130"/>
      <c r="Q121" s="130"/>
    </row>
    <row r="122" spans="3:17" ht="16" thickBot="1" x14ac:dyDescent="0.4">
      <c r="C122" s="32" t="s">
        <v>100</v>
      </c>
      <c r="D122" s="213"/>
      <c r="E122" s="224"/>
      <c r="F122" s="234">
        <v>18000</v>
      </c>
      <c r="G122" s="245">
        <v>26000</v>
      </c>
      <c r="H122" s="255"/>
      <c r="I122" s="285"/>
      <c r="J122" s="42">
        <f t="shared" si="16"/>
        <v>44000</v>
      </c>
      <c r="K122" s="130"/>
      <c r="L122" s="130"/>
      <c r="M122" s="130"/>
      <c r="N122" s="130"/>
      <c r="O122" s="130"/>
      <c r="P122" s="130"/>
      <c r="Q122" s="130"/>
    </row>
    <row r="123" spans="3:17" ht="21.75" customHeight="1" thickBot="1" x14ac:dyDescent="0.4">
      <c r="C123" s="32" t="s">
        <v>101</v>
      </c>
      <c r="D123" s="213"/>
      <c r="E123" s="224"/>
      <c r="F123" s="234">
        <f>'1) Tableau budgétaire 1'!F54+'1) Tableau budgétaire 1'!F56+70000</f>
        <v>370000</v>
      </c>
      <c r="G123" s="245">
        <f>'1) Tableau budgétaire 1'!G54+'1) Tableau budgétaire 1'!G56+70000</f>
        <v>370000</v>
      </c>
      <c r="H123" s="255"/>
      <c r="I123" s="285"/>
      <c r="J123" s="42">
        <f t="shared" si="16"/>
        <v>740000</v>
      </c>
      <c r="K123" s="130"/>
      <c r="L123" s="130"/>
      <c r="M123" s="130"/>
      <c r="N123" s="130"/>
      <c r="O123" s="130"/>
      <c r="P123" s="130"/>
      <c r="Q123" s="130"/>
    </row>
    <row r="124" spans="3:17" ht="21.65" customHeight="1" thickBot="1" x14ac:dyDescent="0.4">
      <c r="C124" s="32" t="s">
        <v>102</v>
      </c>
      <c r="D124" s="213"/>
      <c r="E124" s="224"/>
      <c r="F124" s="234"/>
      <c r="G124" s="245"/>
      <c r="H124" s="255"/>
      <c r="I124" s="285"/>
      <c r="J124" s="42">
        <f t="shared" si="16"/>
        <v>0</v>
      </c>
      <c r="K124" s="130"/>
      <c r="L124" s="130"/>
      <c r="M124" s="130"/>
      <c r="N124" s="130"/>
      <c r="O124" s="130"/>
      <c r="P124" s="130"/>
      <c r="Q124" s="130"/>
    </row>
    <row r="125" spans="3:17" ht="16" thickBot="1" x14ac:dyDescent="0.4">
      <c r="C125" s="36" t="s">
        <v>103</v>
      </c>
      <c r="D125" s="214">
        <f>SUM(D118:D124)</f>
        <v>0</v>
      </c>
      <c r="E125" s="225">
        <f>SUM(E118:E124)</f>
        <v>0</v>
      </c>
      <c r="F125" s="235">
        <f>SUM(F118:F124)</f>
        <v>408000</v>
      </c>
      <c r="G125" s="246">
        <f t="shared" ref="G125:I125" si="17">SUM(G118:G124)</f>
        <v>416000</v>
      </c>
      <c r="H125" s="256">
        <f t="shared" si="17"/>
        <v>0</v>
      </c>
      <c r="I125" s="256">
        <f t="shared" si="17"/>
        <v>0</v>
      </c>
      <c r="J125" s="42">
        <f>SUM(D125:I125)</f>
        <v>824000</v>
      </c>
      <c r="K125" s="130"/>
      <c r="L125" s="130"/>
      <c r="M125" s="130"/>
      <c r="N125" s="130"/>
      <c r="O125" s="130"/>
      <c r="P125" s="130"/>
      <c r="Q125" s="130"/>
    </row>
    <row r="126" spans="3:17" s="35" customFormat="1" x14ac:dyDescent="0.35">
      <c r="C126" s="43"/>
      <c r="D126" s="44"/>
      <c r="E126" s="44"/>
      <c r="F126" s="44"/>
      <c r="G126" s="44"/>
      <c r="H126" s="44"/>
      <c r="I126" s="44"/>
      <c r="J126" s="45"/>
      <c r="K126" s="131"/>
      <c r="L126" s="131"/>
      <c r="M126" s="131"/>
      <c r="N126" s="131"/>
      <c r="O126" s="131"/>
      <c r="P126" s="131"/>
      <c r="Q126" s="131"/>
    </row>
    <row r="127" spans="3:17" hidden="1" x14ac:dyDescent="0.35">
      <c r="C127" s="342" t="s">
        <v>120</v>
      </c>
      <c r="D127" s="343"/>
      <c r="E127" s="343"/>
      <c r="F127" s="343"/>
      <c r="G127" s="343"/>
      <c r="H127" s="343"/>
      <c r="I127" s="343"/>
      <c r="J127" s="344"/>
      <c r="K127" s="130"/>
      <c r="L127" s="130"/>
      <c r="M127" s="130"/>
      <c r="N127" s="130"/>
      <c r="O127" s="130"/>
      <c r="P127" s="130"/>
      <c r="Q127" s="130"/>
    </row>
    <row r="128" spans="3:17" ht="21" hidden="1" customHeight="1" thickBot="1" x14ac:dyDescent="0.4">
      <c r="C128" s="41" t="s">
        <v>121</v>
      </c>
      <c r="D128" s="211" t="e">
        <f>'1) Tableau budgétaire 1'!#REF!</f>
        <v>#REF!</v>
      </c>
      <c r="E128" s="222" t="e">
        <f>'1) Tableau budgétaire 1'!#REF!</f>
        <v>#REF!</v>
      </c>
      <c r="F128" s="232" t="e">
        <f>'1) Tableau budgétaire 1'!#REF!</f>
        <v>#REF!</v>
      </c>
      <c r="G128" s="243" t="e">
        <f>'1) Tableau budgétaire 1'!#REF!</f>
        <v>#REF!</v>
      </c>
      <c r="H128" s="253" t="e">
        <f>'1) Tableau budgétaire 1'!#REF!</f>
        <v>#REF!</v>
      </c>
      <c r="I128" s="253"/>
      <c r="J128" s="42" t="e">
        <f>SUM(D128:H128)</f>
        <v>#REF!</v>
      </c>
      <c r="K128" s="130"/>
      <c r="L128" s="130"/>
      <c r="M128" s="130"/>
      <c r="N128" s="130"/>
      <c r="O128" s="130"/>
      <c r="P128" s="130"/>
      <c r="Q128" s="130"/>
    </row>
    <row r="129" spans="3:17" ht="16" hidden="1" thickBot="1" x14ac:dyDescent="0.4">
      <c r="C129" s="40" t="s">
        <v>96</v>
      </c>
      <c r="D129" s="212"/>
      <c r="E129" s="223"/>
      <c r="F129" s="233"/>
      <c r="G129" s="244"/>
      <c r="H129" s="254"/>
      <c r="I129" s="283"/>
      <c r="J129" s="42">
        <f t="shared" ref="J129:J135" si="18">SUM(D129:H129)</f>
        <v>0</v>
      </c>
      <c r="K129" s="130"/>
      <c r="L129" s="130"/>
      <c r="M129" s="130"/>
      <c r="N129" s="130"/>
      <c r="O129" s="130"/>
      <c r="P129" s="130"/>
      <c r="Q129" s="130"/>
    </row>
    <row r="130" spans="3:17" ht="16" hidden="1" thickBot="1" x14ac:dyDescent="0.4">
      <c r="C130" s="32" t="s">
        <v>97</v>
      </c>
      <c r="D130" s="213"/>
      <c r="E130" s="153"/>
      <c r="F130" s="165"/>
      <c r="G130" s="176"/>
      <c r="H130" s="186"/>
      <c r="I130" s="284"/>
      <c r="J130" s="42">
        <f t="shared" si="18"/>
        <v>0</v>
      </c>
      <c r="K130" s="130"/>
      <c r="L130" s="130"/>
      <c r="M130" s="130"/>
      <c r="N130" s="130"/>
      <c r="O130" s="130"/>
      <c r="P130" s="130"/>
      <c r="Q130" s="130"/>
    </row>
    <row r="131" spans="3:17" ht="31.5" hidden="1" thickBot="1" x14ac:dyDescent="0.4">
      <c r="C131" s="32" t="s">
        <v>98</v>
      </c>
      <c r="D131" s="213"/>
      <c r="E131" s="224"/>
      <c r="F131" s="234"/>
      <c r="G131" s="245"/>
      <c r="H131" s="255"/>
      <c r="I131" s="285"/>
      <c r="J131" s="42">
        <f t="shared" si="18"/>
        <v>0</v>
      </c>
      <c r="K131" s="130"/>
      <c r="L131" s="130"/>
      <c r="M131" s="130"/>
      <c r="N131" s="130"/>
      <c r="O131" s="130"/>
      <c r="P131" s="130"/>
      <c r="Q131" s="130"/>
    </row>
    <row r="132" spans="3:17" ht="16" hidden="1" thickBot="1" x14ac:dyDescent="0.4">
      <c r="C132" s="33" t="s">
        <v>99</v>
      </c>
      <c r="D132" s="213"/>
      <c r="E132" s="224"/>
      <c r="F132" s="234"/>
      <c r="G132" s="245"/>
      <c r="H132" s="255"/>
      <c r="I132" s="285"/>
      <c r="J132" s="42">
        <f t="shared" si="18"/>
        <v>0</v>
      </c>
      <c r="K132" s="130"/>
      <c r="L132" s="130"/>
      <c r="M132" s="130"/>
      <c r="N132" s="130"/>
      <c r="O132" s="130"/>
      <c r="P132" s="130"/>
      <c r="Q132" s="130"/>
    </row>
    <row r="133" spans="3:17" ht="16" hidden="1" thickBot="1" x14ac:dyDescent="0.4">
      <c r="C133" s="32" t="s">
        <v>100</v>
      </c>
      <c r="D133" s="213"/>
      <c r="E133" s="224"/>
      <c r="F133" s="234"/>
      <c r="G133" s="245"/>
      <c r="H133" s="255"/>
      <c r="I133" s="285"/>
      <c r="J133" s="42">
        <f t="shared" si="18"/>
        <v>0</v>
      </c>
      <c r="K133" s="130"/>
      <c r="L133" s="130"/>
      <c r="M133" s="130"/>
      <c r="N133" s="130"/>
      <c r="O133" s="130"/>
      <c r="P133" s="130"/>
      <c r="Q133" s="130"/>
    </row>
    <row r="134" spans="3:17" ht="16" hidden="1" thickBot="1" x14ac:dyDescent="0.4">
      <c r="C134" s="32" t="s">
        <v>101</v>
      </c>
      <c r="D134" s="213"/>
      <c r="E134" s="224"/>
      <c r="F134" s="234"/>
      <c r="G134" s="245"/>
      <c r="H134" s="255"/>
      <c r="I134" s="285"/>
      <c r="J134" s="42">
        <f t="shared" si="18"/>
        <v>0</v>
      </c>
      <c r="K134" s="130"/>
      <c r="L134" s="130"/>
      <c r="M134" s="130"/>
      <c r="N134" s="130"/>
      <c r="O134" s="130"/>
      <c r="P134" s="130"/>
      <c r="Q134" s="130"/>
    </row>
    <row r="135" spans="3:17" ht="31.5" hidden="1" thickBot="1" x14ac:dyDescent="0.4">
      <c r="C135" s="32" t="s">
        <v>102</v>
      </c>
      <c r="D135" s="213"/>
      <c r="E135" s="224"/>
      <c r="F135" s="234"/>
      <c r="G135" s="245"/>
      <c r="H135" s="255"/>
      <c r="I135" s="285"/>
      <c r="J135" s="42">
        <f t="shared" si="18"/>
        <v>0</v>
      </c>
      <c r="K135" s="130"/>
      <c r="L135" s="130"/>
      <c r="M135" s="130"/>
      <c r="N135" s="130"/>
      <c r="O135" s="130"/>
      <c r="P135" s="130"/>
      <c r="Q135" s="130"/>
    </row>
    <row r="136" spans="3:17" ht="16" hidden="1" thickBot="1" x14ac:dyDescent="0.4">
      <c r="C136" s="36" t="s">
        <v>103</v>
      </c>
      <c r="D136" s="214">
        <f>SUM(D129:D135)</f>
        <v>0</v>
      </c>
      <c r="E136" s="225">
        <f>SUM(E129:E135)</f>
        <v>0</v>
      </c>
      <c r="F136" s="235">
        <f>SUM(F129:F135)</f>
        <v>0</v>
      </c>
      <c r="G136" s="246">
        <f t="shared" ref="G136:H136" si="19">SUM(G129:G135)</f>
        <v>0</v>
      </c>
      <c r="H136" s="256">
        <f t="shared" si="19"/>
        <v>0</v>
      </c>
      <c r="I136" s="257"/>
      <c r="J136" s="42">
        <f>SUM(D136:H136)</f>
        <v>0</v>
      </c>
      <c r="K136" s="130"/>
      <c r="L136" s="130"/>
      <c r="M136" s="130"/>
      <c r="N136" s="130"/>
      <c r="O136" s="130"/>
      <c r="P136" s="130"/>
      <c r="Q136" s="130"/>
    </row>
    <row r="137" spans="3:17" s="35" customFormat="1" hidden="1" x14ac:dyDescent="0.35">
      <c r="C137" s="43"/>
      <c r="D137" s="44"/>
      <c r="E137" s="44"/>
      <c r="F137" s="44"/>
      <c r="G137" s="44"/>
      <c r="H137" s="44"/>
      <c r="I137" s="44"/>
      <c r="J137" s="45"/>
      <c r="K137" s="131"/>
      <c r="L137" s="131"/>
      <c r="M137" s="131"/>
      <c r="N137" s="131"/>
      <c r="O137" s="131"/>
      <c r="P137" s="131"/>
      <c r="Q137" s="131"/>
    </row>
    <row r="138" spans="3:17" hidden="1" x14ac:dyDescent="0.35">
      <c r="C138" s="342" t="s">
        <v>122</v>
      </c>
      <c r="D138" s="343"/>
      <c r="E138" s="343"/>
      <c r="F138" s="343"/>
      <c r="G138" s="343"/>
      <c r="H138" s="343"/>
      <c r="I138" s="343"/>
      <c r="J138" s="344"/>
      <c r="K138" s="130"/>
      <c r="L138" s="130"/>
      <c r="M138" s="130"/>
      <c r="N138" s="130"/>
      <c r="O138" s="130"/>
      <c r="P138" s="130"/>
      <c r="Q138" s="130"/>
    </row>
    <row r="139" spans="3:17" ht="24" hidden="1" customHeight="1" thickBot="1" x14ac:dyDescent="0.4">
      <c r="C139" s="41" t="s">
        <v>123</v>
      </c>
      <c r="D139" s="211" t="e">
        <f>'1) Tableau budgétaire 1'!#REF!</f>
        <v>#REF!</v>
      </c>
      <c r="E139" s="222" t="e">
        <f>'1) Tableau budgétaire 1'!#REF!</f>
        <v>#REF!</v>
      </c>
      <c r="F139" s="232" t="e">
        <f>'1) Tableau budgétaire 1'!#REF!</f>
        <v>#REF!</v>
      </c>
      <c r="G139" s="243" t="e">
        <f>'1) Tableau budgétaire 1'!#REF!</f>
        <v>#REF!</v>
      </c>
      <c r="H139" s="253" t="e">
        <f>'1) Tableau budgétaire 1'!#REF!</f>
        <v>#REF!</v>
      </c>
      <c r="I139" s="253"/>
      <c r="J139" s="42" t="e">
        <f>SUM(D139:H139)</f>
        <v>#REF!</v>
      </c>
      <c r="K139" s="130"/>
      <c r="L139" s="130"/>
      <c r="M139" s="130"/>
      <c r="N139" s="130"/>
      <c r="O139" s="130"/>
      <c r="P139" s="130"/>
      <c r="Q139" s="130"/>
    </row>
    <row r="140" spans="3:17" ht="15.75" hidden="1" customHeight="1" thickBot="1" x14ac:dyDescent="0.4">
      <c r="C140" s="40" t="s">
        <v>96</v>
      </c>
      <c r="D140" s="212"/>
      <c r="E140" s="223"/>
      <c r="F140" s="233"/>
      <c r="G140" s="244"/>
      <c r="H140" s="254"/>
      <c r="I140" s="283"/>
      <c r="J140" s="42">
        <f t="shared" ref="J140:J147" si="20">SUM(D140:H140)</f>
        <v>0</v>
      </c>
      <c r="K140" s="130"/>
      <c r="L140" s="130"/>
      <c r="M140" s="130"/>
      <c r="N140" s="130"/>
      <c r="O140" s="130"/>
      <c r="P140" s="130"/>
      <c r="Q140" s="130"/>
    </row>
    <row r="141" spans="3:17" ht="16" hidden="1" thickBot="1" x14ac:dyDescent="0.4">
      <c r="C141" s="32" t="s">
        <v>97</v>
      </c>
      <c r="D141" s="213"/>
      <c r="E141" s="153"/>
      <c r="F141" s="165"/>
      <c r="G141" s="176"/>
      <c r="H141" s="186"/>
      <c r="I141" s="284"/>
      <c r="J141" s="42">
        <f t="shared" si="20"/>
        <v>0</v>
      </c>
      <c r="K141" s="130"/>
      <c r="L141" s="130"/>
      <c r="M141" s="130"/>
      <c r="N141" s="130"/>
      <c r="O141" s="130"/>
      <c r="P141" s="130"/>
      <c r="Q141" s="130"/>
    </row>
    <row r="142" spans="3:17" ht="15.75" hidden="1" customHeight="1" thickBot="1" x14ac:dyDescent="0.4">
      <c r="C142" s="32" t="s">
        <v>98</v>
      </c>
      <c r="D142" s="213"/>
      <c r="E142" s="224"/>
      <c r="F142" s="234"/>
      <c r="G142" s="245"/>
      <c r="H142" s="255"/>
      <c r="I142" s="285"/>
      <c r="J142" s="42">
        <f t="shared" si="20"/>
        <v>0</v>
      </c>
      <c r="K142" s="130"/>
      <c r="L142" s="130"/>
      <c r="M142" s="130"/>
      <c r="N142" s="130"/>
      <c r="O142" s="130"/>
      <c r="P142" s="130"/>
      <c r="Q142" s="130"/>
    </row>
    <row r="143" spans="3:17" ht="16" hidden="1" thickBot="1" x14ac:dyDescent="0.4">
      <c r="C143" s="33" t="s">
        <v>99</v>
      </c>
      <c r="D143" s="213"/>
      <c r="E143" s="224"/>
      <c r="F143" s="234"/>
      <c r="G143" s="245"/>
      <c r="H143" s="255"/>
      <c r="I143" s="285"/>
      <c r="J143" s="42">
        <f t="shared" si="20"/>
        <v>0</v>
      </c>
      <c r="K143" s="130"/>
      <c r="L143" s="130"/>
      <c r="M143" s="130"/>
      <c r="N143" s="130"/>
      <c r="O143" s="130"/>
      <c r="P143" s="130"/>
      <c r="Q143" s="130"/>
    </row>
    <row r="144" spans="3:17" ht="16" hidden="1" thickBot="1" x14ac:dyDescent="0.4">
      <c r="C144" s="32" t="s">
        <v>100</v>
      </c>
      <c r="D144" s="213"/>
      <c r="E144" s="224"/>
      <c r="F144" s="234"/>
      <c r="G144" s="245"/>
      <c r="H144" s="255"/>
      <c r="I144" s="285"/>
      <c r="J144" s="42">
        <f t="shared" si="20"/>
        <v>0</v>
      </c>
      <c r="K144" s="130"/>
      <c r="L144" s="130"/>
      <c r="M144" s="130"/>
      <c r="N144" s="130"/>
      <c r="O144" s="130"/>
      <c r="P144" s="130"/>
      <c r="Q144" s="130"/>
    </row>
    <row r="145" spans="2:10" ht="15.75" hidden="1" customHeight="1" thickBot="1" x14ac:dyDescent="0.4">
      <c r="B145" s="130"/>
      <c r="C145" s="32" t="s">
        <v>101</v>
      </c>
      <c r="D145" s="213"/>
      <c r="E145" s="224"/>
      <c r="F145" s="234"/>
      <c r="G145" s="245"/>
      <c r="H145" s="255"/>
      <c r="I145" s="285"/>
      <c r="J145" s="42">
        <f t="shared" si="20"/>
        <v>0</v>
      </c>
    </row>
    <row r="146" spans="2:10" ht="31.5" hidden="1" thickBot="1" x14ac:dyDescent="0.4">
      <c r="B146" s="130"/>
      <c r="C146" s="32" t="s">
        <v>102</v>
      </c>
      <c r="D146" s="213"/>
      <c r="E146" s="224"/>
      <c r="F146" s="234"/>
      <c r="G146" s="245"/>
      <c r="H146" s="255"/>
      <c r="I146" s="285"/>
      <c r="J146" s="42">
        <f t="shared" si="20"/>
        <v>0</v>
      </c>
    </row>
    <row r="147" spans="2:10" ht="16" hidden="1" thickBot="1" x14ac:dyDescent="0.4">
      <c r="B147" s="130"/>
      <c r="C147" s="36" t="s">
        <v>103</v>
      </c>
      <c r="D147" s="214">
        <f>SUM(D140:D146)</f>
        <v>0</v>
      </c>
      <c r="E147" s="225">
        <f>SUM(E140:E146)</f>
        <v>0</v>
      </c>
      <c r="F147" s="235">
        <f>SUM(F140:F146)</f>
        <v>0</v>
      </c>
      <c r="G147" s="246">
        <f t="shared" ref="G147:H147" si="21">SUM(G140:G146)</f>
        <v>0</v>
      </c>
      <c r="H147" s="256">
        <f t="shared" si="21"/>
        <v>0</v>
      </c>
      <c r="I147" s="257"/>
      <c r="J147" s="42">
        <f t="shared" si="20"/>
        <v>0</v>
      </c>
    </row>
    <row r="148" spans="2:10" hidden="1" x14ac:dyDescent="0.35">
      <c r="B148" s="130"/>
      <c r="C148" s="130"/>
      <c r="D148" s="131"/>
      <c r="E148" s="131"/>
      <c r="F148" s="131"/>
      <c r="G148" s="131"/>
      <c r="H148" s="131"/>
      <c r="I148" s="131"/>
      <c r="J148" s="130"/>
    </row>
    <row r="149" spans="2:10" hidden="1" x14ac:dyDescent="0.35">
      <c r="B149" s="342" t="s">
        <v>124</v>
      </c>
      <c r="C149" s="343"/>
      <c r="D149" s="343"/>
      <c r="E149" s="343"/>
      <c r="F149" s="343"/>
      <c r="G149" s="343"/>
      <c r="H149" s="343"/>
      <c r="I149" s="343"/>
      <c r="J149" s="344"/>
    </row>
    <row r="150" spans="2:10" hidden="1" x14ac:dyDescent="0.35">
      <c r="B150" s="130"/>
      <c r="C150" s="342" t="s">
        <v>125</v>
      </c>
      <c r="D150" s="343"/>
      <c r="E150" s="343"/>
      <c r="F150" s="343"/>
      <c r="G150" s="343"/>
      <c r="H150" s="343"/>
      <c r="I150" s="343"/>
      <c r="J150" s="344"/>
    </row>
    <row r="151" spans="2:10" ht="24" hidden="1" customHeight="1" thickBot="1" x14ac:dyDescent="0.4">
      <c r="B151" s="130"/>
      <c r="C151" s="41" t="s">
        <v>126</v>
      </c>
      <c r="D151" s="211" t="e">
        <f>'1) Tableau budgétaire 1'!#REF!</f>
        <v>#REF!</v>
      </c>
      <c r="E151" s="222" t="e">
        <f>'1) Tableau budgétaire 1'!#REF!</f>
        <v>#REF!</v>
      </c>
      <c r="F151" s="232" t="e">
        <f>'1) Tableau budgétaire 1'!#REF!</f>
        <v>#REF!</v>
      </c>
      <c r="G151" s="243" t="e">
        <f>'1) Tableau budgétaire 1'!#REF!</f>
        <v>#REF!</v>
      </c>
      <c r="H151" s="253" t="e">
        <f>'1) Tableau budgétaire 1'!#REF!</f>
        <v>#REF!</v>
      </c>
      <c r="I151" s="253"/>
      <c r="J151" s="42" t="e">
        <f>SUM(D151:H151)</f>
        <v>#REF!</v>
      </c>
    </row>
    <row r="152" spans="2:10" ht="24.75" hidden="1" customHeight="1" thickBot="1" x14ac:dyDescent="0.4">
      <c r="B152" s="130"/>
      <c r="C152" s="40" t="s">
        <v>96</v>
      </c>
      <c r="D152" s="212"/>
      <c r="E152" s="223"/>
      <c r="F152" s="233"/>
      <c r="G152" s="244"/>
      <c r="H152" s="254"/>
      <c r="I152" s="283"/>
      <c r="J152" s="42">
        <f t="shared" ref="J152:J159" si="22">SUM(D152:H152)</f>
        <v>0</v>
      </c>
    </row>
    <row r="153" spans="2:10" ht="15.75" hidden="1" customHeight="1" thickBot="1" x14ac:dyDescent="0.4">
      <c r="B153" s="130"/>
      <c r="C153" s="32" t="s">
        <v>97</v>
      </c>
      <c r="D153" s="213"/>
      <c r="E153" s="153"/>
      <c r="F153" s="165"/>
      <c r="G153" s="176"/>
      <c r="H153" s="186"/>
      <c r="I153" s="284"/>
      <c r="J153" s="42">
        <f t="shared" si="22"/>
        <v>0</v>
      </c>
    </row>
    <row r="154" spans="2:10" ht="15.75" hidden="1" customHeight="1" thickBot="1" x14ac:dyDescent="0.4">
      <c r="B154" s="130"/>
      <c r="C154" s="32" t="s">
        <v>98</v>
      </c>
      <c r="D154" s="213"/>
      <c r="E154" s="224"/>
      <c r="F154" s="234"/>
      <c r="G154" s="245"/>
      <c r="H154" s="255"/>
      <c r="I154" s="285"/>
      <c r="J154" s="42">
        <f t="shared" si="22"/>
        <v>0</v>
      </c>
    </row>
    <row r="155" spans="2:10" ht="15.75" hidden="1" customHeight="1" thickBot="1" x14ac:dyDescent="0.4">
      <c r="B155" s="130"/>
      <c r="C155" s="33" t="s">
        <v>99</v>
      </c>
      <c r="D155" s="213"/>
      <c r="E155" s="224"/>
      <c r="F155" s="234"/>
      <c r="G155" s="245"/>
      <c r="H155" s="255"/>
      <c r="I155" s="285"/>
      <c r="J155" s="42">
        <f t="shared" si="22"/>
        <v>0</v>
      </c>
    </row>
    <row r="156" spans="2:10" ht="15.75" hidden="1" customHeight="1" thickBot="1" x14ac:dyDescent="0.4">
      <c r="B156" s="130"/>
      <c r="C156" s="32" t="s">
        <v>100</v>
      </c>
      <c r="D156" s="213"/>
      <c r="E156" s="224"/>
      <c r="F156" s="234"/>
      <c r="G156" s="245"/>
      <c r="H156" s="255"/>
      <c r="I156" s="285"/>
      <c r="J156" s="42">
        <f>SUM(D156:H156)</f>
        <v>0</v>
      </c>
    </row>
    <row r="157" spans="2:10" ht="15.75" hidden="1" customHeight="1" thickBot="1" x14ac:dyDescent="0.4">
      <c r="B157" s="130"/>
      <c r="C157" s="32" t="s">
        <v>101</v>
      </c>
      <c r="D157" s="213"/>
      <c r="E157" s="224"/>
      <c r="F157" s="234"/>
      <c r="G157" s="245"/>
      <c r="H157" s="255"/>
      <c r="I157" s="285"/>
      <c r="J157" s="42">
        <f t="shared" si="22"/>
        <v>0</v>
      </c>
    </row>
    <row r="158" spans="2:10" ht="15.75" hidden="1" customHeight="1" thickBot="1" x14ac:dyDescent="0.4">
      <c r="B158" s="130"/>
      <c r="C158" s="32" t="s">
        <v>102</v>
      </c>
      <c r="D158" s="213"/>
      <c r="E158" s="224"/>
      <c r="F158" s="234"/>
      <c r="G158" s="245"/>
      <c r="H158" s="255"/>
      <c r="I158" s="285"/>
      <c r="J158" s="42">
        <f t="shared" si="22"/>
        <v>0</v>
      </c>
    </row>
    <row r="159" spans="2:10" ht="15.75" hidden="1" customHeight="1" thickBot="1" x14ac:dyDescent="0.4">
      <c r="B159" s="130"/>
      <c r="C159" s="36" t="s">
        <v>103</v>
      </c>
      <c r="D159" s="214">
        <f>SUM(D152:D158)</f>
        <v>0</v>
      </c>
      <c r="E159" s="225">
        <f>SUM(E152:E158)</f>
        <v>0</v>
      </c>
      <c r="F159" s="235">
        <f>SUM(F152:F158)</f>
        <v>0</v>
      </c>
      <c r="G159" s="246">
        <f>SUM(G152:G158)</f>
        <v>0</v>
      </c>
      <c r="H159" s="256">
        <f>SUM(H152:H158)</f>
        <v>0</v>
      </c>
      <c r="I159" s="257"/>
      <c r="J159" s="42">
        <f t="shared" si="22"/>
        <v>0</v>
      </c>
    </row>
    <row r="160" spans="2:10" s="35" customFormat="1" ht="15.75" hidden="1" customHeight="1" x14ac:dyDescent="0.35">
      <c r="B160" s="131"/>
      <c r="C160" s="43"/>
      <c r="D160" s="44"/>
      <c r="E160" s="44"/>
      <c r="F160" s="44"/>
      <c r="G160" s="44"/>
      <c r="H160" s="44"/>
      <c r="I160" s="44"/>
      <c r="J160" s="45"/>
    </row>
    <row r="161" spans="3:10" ht="15.75" hidden="1" customHeight="1" x14ac:dyDescent="0.35">
      <c r="C161" s="342" t="s">
        <v>127</v>
      </c>
      <c r="D161" s="343"/>
      <c r="E161" s="343"/>
      <c r="F161" s="343"/>
      <c r="G161" s="343"/>
      <c r="H161" s="343"/>
      <c r="I161" s="343"/>
      <c r="J161" s="344"/>
    </row>
    <row r="162" spans="3:10" ht="21" hidden="1" customHeight="1" thickBot="1" x14ac:dyDescent="0.4">
      <c r="C162" s="41" t="s">
        <v>128</v>
      </c>
      <c r="D162" s="211" t="e">
        <f>'1) Tableau budgétaire 1'!#REF!</f>
        <v>#REF!</v>
      </c>
      <c r="E162" s="222" t="e">
        <f>'1) Tableau budgétaire 1'!#REF!</f>
        <v>#REF!</v>
      </c>
      <c r="F162" s="232" t="e">
        <f>'1) Tableau budgétaire 1'!#REF!</f>
        <v>#REF!</v>
      </c>
      <c r="G162" s="243" t="e">
        <f>'1) Tableau budgétaire 1'!#REF!</f>
        <v>#REF!</v>
      </c>
      <c r="H162" s="253" t="e">
        <f>'1) Tableau budgétaire 1'!#REF!</f>
        <v>#REF!</v>
      </c>
      <c r="I162" s="253"/>
      <c r="J162" s="42" t="e">
        <f>SUM(D162:H162)</f>
        <v>#REF!</v>
      </c>
    </row>
    <row r="163" spans="3:10" ht="15.75" hidden="1" customHeight="1" thickBot="1" x14ac:dyDescent="0.4">
      <c r="C163" s="40" t="s">
        <v>96</v>
      </c>
      <c r="D163" s="212"/>
      <c r="E163" s="223"/>
      <c r="F163" s="233"/>
      <c r="G163" s="244"/>
      <c r="H163" s="254"/>
      <c r="I163" s="283"/>
      <c r="J163" s="42">
        <f t="shared" ref="J163:J170" si="23">SUM(D163:H163)</f>
        <v>0</v>
      </c>
    </row>
    <row r="164" spans="3:10" ht="15.75" hidden="1" customHeight="1" thickBot="1" x14ac:dyDescent="0.4">
      <c r="C164" s="32" t="s">
        <v>97</v>
      </c>
      <c r="D164" s="213"/>
      <c r="E164" s="153"/>
      <c r="F164" s="165"/>
      <c r="G164" s="176"/>
      <c r="H164" s="186"/>
      <c r="I164" s="284"/>
      <c r="J164" s="42">
        <f t="shared" si="23"/>
        <v>0</v>
      </c>
    </row>
    <row r="165" spans="3:10" ht="15.75" hidden="1" customHeight="1" thickBot="1" x14ac:dyDescent="0.4">
      <c r="C165" s="32" t="s">
        <v>98</v>
      </c>
      <c r="D165" s="213"/>
      <c r="E165" s="224"/>
      <c r="F165" s="234"/>
      <c r="G165" s="245"/>
      <c r="H165" s="255"/>
      <c r="I165" s="285"/>
      <c r="J165" s="42">
        <f t="shared" si="23"/>
        <v>0</v>
      </c>
    </row>
    <row r="166" spans="3:10" ht="15.75" hidden="1" customHeight="1" thickBot="1" x14ac:dyDescent="0.4">
      <c r="C166" s="33" t="s">
        <v>99</v>
      </c>
      <c r="D166" s="213"/>
      <c r="E166" s="224"/>
      <c r="F166" s="234"/>
      <c r="G166" s="245"/>
      <c r="H166" s="255"/>
      <c r="I166" s="285"/>
      <c r="J166" s="42">
        <f t="shared" si="23"/>
        <v>0</v>
      </c>
    </row>
    <row r="167" spans="3:10" ht="15.75" hidden="1" customHeight="1" thickBot="1" x14ac:dyDescent="0.4">
      <c r="C167" s="32" t="s">
        <v>100</v>
      </c>
      <c r="D167" s="213"/>
      <c r="E167" s="224"/>
      <c r="F167" s="234"/>
      <c r="G167" s="245"/>
      <c r="H167" s="255"/>
      <c r="I167" s="285"/>
      <c r="J167" s="42">
        <f t="shared" si="23"/>
        <v>0</v>
      </c>
    </row>
    <row r="168" spans="3:10" ht="15.75" hidden="1" customHeight="1" thickBot="1" x14ac:dyDescent="0.4">
      <c r="C168" s="32" t="s">
        <v>101</v>
      </c>
      <c r="D168" s="213"/>
      <c r="E168" s="224"/>
      <c r="F168" s="234"/>
      <c r="G168" s="245"/>
      <c r="H168" s="255"/>
      <c r="I168" s="285"/>
      <c r="J168" s="42">
        <f t="shared" si="23"/>
        <v>0</v>
      </c>
    </row>
    <row r="169" spans="3:10" ht="15.75" hidden="1" customHeight="1" thickBot="1" x14ac:dyDescent="0.4">
      <c r="C169" s="32" t="s">
        <v>102</v>
      </c>
      <c r="D169" s="213"/>
      <c r="E169" s="224"/>
      <c r="F169" s="234"/>
      <c r="G169" s="245"/>
      <c r="H169" s="255"/>
      <c r="I169" s="285"/>
      <c r="J169" s="42">
        <f t="shared" si="23"/>
        <v>0</v>
      </c>
    </row>
    <row r="170" spans="3:10" ht="15.75" hidden="1" customHeight="1" thickBot="1" x14ac:dyDescent="0.4">
      <c r="C170" s="36" t="s">
        <v>103</v>
      </c>
      <c r="D170" s="214">
        <f>SUM(D163:D169)</f>
        <v>0</v>
      </c>
      <c r="E170" s="225">
        <f>SUM(E163:E169)</f>
        <v>0</v>
      </c>
      <c r="F170" s="235">
        <f>SUM(F163:F169)</f>
        <v>0</v>
      </c>
      <c r="G170" s="246">
        <f t="shared" ref="G170:H170" si="24">SUM(G163:G169)</f>
        <v>0</v>
      </c>
      <c r="H170" s="256">
        <f t="shared" si="24"/>
        <v>0</v>
      </c>
      <c r="I170" s="257"/>
      <c r="J170" s="42">
        <f t="shared" si="23"/>
        <v>0</v>
      </c>
    </row>
    <row r="171" spans="3:10" s="35" customFormat="1" ht="15.75" hidden="1" customHeight="1" x14ac:dyDescent="0.35">
      <c r="C171" s="43"/>
      <c r="D171" s="44"/>
      <c r="E171" s="44"/>
      <c r="F171" s="44"/>
      <c r="G171" s="44"/>
      <c r="H171" s="44"/>
      <c r="I171" s="44"/>
      <c r="J171" s="45"/>
    </row>
    <row r="172" spans="3:10" ht="15.75" hidden="1" customHeight="1" x14ac:dyDescent="0.35">
      <c r="C172" s="342" t="s">
        <v>129</v>
      </c>
      <c r="D172" s="343"/>
      <c r="E172" s="343"/>
      <c r="F172" s="343"/>
      <c r="G172" s="343"/>
      <c r="H172" s="343"/>
      <c r="I172" s="343"/>
      <c r="J172" s="344"/>
    </row>
    <row r="173" spans="3:10" ht="19.5" hidden="1" customHeight="1" thickBot="1" x14ac:dyDescent="0.4">
      <c r="C173" s="41" t="s">
        <v>130</v>
      </c>
      <c r="D173" s="211" t="e">
        <f>'1) Tableau budgétaire 1'!#REF!</f>
        <v>#REF!</v>
      </c>
      <c r="E173" s="222" t="e">
        <f>'1) Tableau budgétaire 1'!#REF!</f>
        <v>#REF!</v>
      </c>
      <c r="F173" s="232" t="e">
        <f>'1) Tableau budgétaire 1'!#REF!</f>
        <v>#REF!</v>
      </c>
      <c r="G173" s="243" t="e">
        <f>'1) Tableau budgétaire 1'!#REF!</f>
        <v>#REF!</v>
      </c>
      <c r="H173" s="253" t="e">
        <f>'1) Tableau budgétaire 1'!#REF!</f>
        <v>#REF!</v>
      </c>
      <c r="I173" s="253"/>
      <c r="J173" s="42" t="e">
        <f>SUM(D173:H173)</f>
        <v>#REF!</v>
      </c>
    </row>
    <row r="174" spans="3:10" ht="15.75" hidden="1" customHeight="1" thickBot="1" x14ac:dyDescent="0.4">
      <c r="C174" s="40" t="s">
        <v>96</v>
      </c>
      <c r="D174" s="212"/>
      <c r="E174" s="223"/>
      <c r="F174" s="233"/>
      <c r="G174" s="244"/>
      <c r="H174" s="254"/>
      <c r="I174" s="283"/>
      <c r="J174" s="42">
        <f t="shared" ref="J174:J181" si="25">SUM(D174:H174)</f>
        <v>0</v>
      </c>
    </row>
    <row r="175" spans="3:10" ht="15.75" hidden="1" customHeight="1" thickBot="1" x14ac:dyDescent="0.4">
      <c r="C175" s="32" t="s">
        <v>97</v>
      </c>
      <c r="D175" s="213"/>
      <c r="E175" s="153"/>
      <c r="F175" s="165"/>
      <c r="G175" s="176"/>
      <c r="H175" s="186"/>
      <c r="I175" s="284"/>
      <c r="J175" s="42">
        <f>SUM(D175:H175)</f>
        <v>0</v>
      </c>
    </row>
    <row r="176" spans="3:10" ht="15.75" hidden="1" customHeight="1" thickBot="1" x14ac:dyDescent="0.4">
      <c r="C176" s="32" t="s">
        <v>98</v>
      </c>
      <c r="D176" s="213"/>
      <c r="E176" s="224"/>
      <c r="F176" s="234"/>
      <c r="G176" s="245"/>
      <c r="H176" s="255"/>
      <c r="I176" s="285"/>
      <c r="J176" s="42">
        <f t="shared" si="25"/>
        <v>0</v>
      </c>
    </row>
    <row r="177" spans="3:10" ht="15.75" hidden="1" customHeight="1" thickBot="1" x14ac:dyDescent="0.4">
      <c r="C177" s="33" t="s">
        <v>99</v>
      </c>
      <c r="D177" s="213"/>
      <c r="E177" s="224"/>
      <c r="F177" s="234"/>
      <c r="G177" s="245"/>
      <c r="H177" s="255"/>
      <c r="I177" s="285"/>
      <c r="J177" s="42">
        <f t="shared" si="25"/>
        <v>0</v>
      </c>
    </row>
    <row r="178" spans="3:10" ht="15.75" hidden="1" customHeight="1" thickBot="1" x14ac:dyDescent="0.4">
      <c r="C178" s="32" t="s">
        <v>100</v>
      </c>
      <c r="D178" s="213"/>
      <c r="E178" s="224"/>
      <c r="F178" s="234"/>
      <c r="G178" s="245"/>
      <c r="H178" s="255"/>
      <c r="I178" s="285"/>
      <c r="J178" s="42">
        <f t="shared" si="25"/>
        <v>0</v>
      </c>
    </row>
    <row r="179" spans="3:10" ht="15.75" hidden="1" customHeight="1" thickBot="1" x14ac:dyDescent="0.4">
      <c r="C179" s="32" t="s">
        <v>101</v>
      </c>
      <c r="D179" s="213"/>
      <c r="E179" s="224"/>
      <c r="F179" s="234"/>
      <c r="G179" s="245"/>
      <c r="H179" s="255"/>
      <c r="I179" s="285"/>
      <c r="J179" s="42">
        <f t="shared" si="25"/>
        <v>0</v>
      </c>
    </row>
    <row r="180" spans="3:10" ht="15.75" hidden="1" customHeight="1" thickBot="1" x14ac:dyDescent="0.4">
      <c r="C180" s="32" t="s">
        <v>102</v>
      </c>
      <c r="D180" s="213"/>
      <c r="E180" s="224"/>
      <c r="F180" s="234"/>
      <c r="G180" s="245"/>
      <c r="H180" s="255"/>
      <c r="I180" s="285"/>
      <c r="J180" s="42">
        <f t="shared" si="25"/>
        <v>0</v>
      </c>
    </row>
    <row r="181" spans="3:10" ht="15.75" hidden="1" customHeight="1" thickBot="1" x14ac:dyDescent="0.4">
      <c r="C181" s="36" t="s">
        <v>103</v>
      </c>
      <c r="D181" s="214">
        <f>SUM(D174:D180)</f>
        <v>0</v>
      </c>
      <c r="E181" s="225">
        <f>SUM(E174:E180)</f>
        <v>0</v>
      </c>
      <c r="F181" s="235">
        <f>SUM(F174:F180)</f>
        <v>0</v>
      </c>
      <c r="G181" s="246">
        <f t="shared" ref="G181:H181" si="26">SUM(G174:G180)</f>
        <v>0</v>
      </c>
      <c r="H181" s="256">
        <f t="shared" si="26"/>
        <v>0</v>
      </c>
      <c r="I181" s="257"/>
      <c r="J181" s="42">
        <f t="shared" si="25"/>
        <v>0</v>
      </c>
    </row>
    <row r="182" spans="3:10" s="35" customFormat="1" ht="15.75" hidden="1" customHeight="1" x14ac:dyDescent="0.35">
      <c r="C182" s="43"/>
      <c r="D182" s="44"/>
      <c r="E182" s="44"/>
      <c r="F182" s="44"/>
      <c r="G182" s="44"/>
      <c r="H182" s="44"/>
      <c r="I182" s="44"/>
      <c r="J182" s="45"/>
    </row>
    <row r="183" spans="3:10" ht="15.75" hidden="1" customHeight="1" x14ac:dyDescent="0.35">
      <c r="C183" s="342" t="s">
        <v>131</v>
      </c>
      <c r="D183" s="343"/>
      <c r="E183" s="343"/>
      <c r="F183" s="343"/>
      <c r="G183" s="343"/>
      <c r="H183" s="343"/>
      <c r="I183" s="343"/>
      <c r="J183" s="344"/>
    </row>
    <row r="184" spans="3:10" ht="22.5" hidden="1" customHeight="1" thickBot="1" x14ac:dyDescent="0.4">
      <c r="C184" s="41" t="s">
        <v>132</v>
      </c>
      <c r="D184" s="211" t="e">
        <f>'1) Tableau budgétaire 1'!#REF!</f>
        <v>#REF!</v>
      </c>
      <c r="E184" s="222" t="e">
        <f>'1) Tableau budgétaire 1'!#REF!</f>
        <v>#REF!</v>
      </c>
      <c r="F184" s="232" t="e">
        <f>'1) Tableau budgétaire 1'!#REF!</f>
        <v>#REF!</v>
      </c>
      <c r="G184" s="243" t="e">
        <f>'1) Tableau budgétaire 1'!#REF!</f>
        <v>#REF!</v>
      </c>
      <c r="H184" s="253" t="e">
        <f>'1) Tableau budgétaire 1'!#REF!</f>
        <v>#REF!</v>
      </c>
      <c r="I184" s="253"/>
      <c r="J184" s="42" t="e">
        <f>SUM(D184:H184)</f>
        <v>#REF!</v>
      </c>
    </row>
    <row r="185" spans="3:10" ht="15.75" hidden="1" customHeight="1" thickBot="1" x14ac:dyDescent="0.4">
      <c r="C185" s="40" t="s">
        <v>96</v>
      </c>
      <c r="D185" s="212"/>
      <c r="E185" s="223"/>
      <c r="F185" s="233"/>
      <c r="G185" s="244"/>
      <c r="H185" s="254"/>
      <c r="I185" s="283"/>
      <c r="J185" s="42">
        <f t="shared" ref="J185:J192" si="27">SUM(D185:H185)</f>
        <v>0</v>
      </c>
    </row>
    <row r="186" spans="3:10" ht="15.75" hidden="1" customHeight="1" thickBot="1" x14ac:dyDescent="0.4">
      <c r="C186" s="32" t="s">
        <v>97</v>
      </c>
      <c r="D186" s="213"/>
      <c r="E186" s="153"/>
      <c r="F186" s="165"/>
      <c r="G186" s="176"/>
      <c r="H186" s="186"/>
      <c r="I186" s="284"/>
      <c r="J186" s="42">
        <f t="shared" si="27"/>
        <v>0</v>
      </c>
    </row>
    <row r="187" spans="3:10" ht="15.75" hidden="1" customHeight="1" thickBot="1" x14ac:dyDescent="0.4">
      <c r="C187" s="32" t="s">
        <v>98</v>
      </c>
      <c r="D187" s="213"/>
      <c r="E187" s="224"/>
      <c r="F187" s="234"/>
      <c r="G187" s="245"/>
      <c r="H187" s="255"/>
      <c r="I187" s="285"/>
      <c r="J187" s="42">
        <f t="shared" si="27"/>
        <v>0</v>
      </c>
    </row>
    <row r="188" spans="3:10" ht="15.75" hidden="1" customHeight="1" thickBot="1" x14ac:dyDescent="0.4">
      <c r="C188" s="33" t="s">
        <v>99</v>
      </c>
      <c r="D188" s="213"/>
      <c r="E188" s="224"/>
      <c r="F188" s="234"/>
      <c r="G188" s="245"/>
      <c r="H188" s="255"/>
      <c r="I188" s="285"/>
      <c r="J188" s="42">
        <f t="shared" si="27"/>
        <v>0</v>
      </c>
    </row>
    <row r="189" spans="3:10" ht="15.75" hidden="1" customHeight="1" thickBot="1" x14ac:dyDescent="0.4">
      <c r="C189" s="32" t="s">
        <v>100</v>
      </c>
      <c r="D189" s="213"/>
      <c r="E189" s="224"/>
      <c r="F189" s="234"/>
      <c r="G189" s="245"/>
      <c r="H189" s="255"/>
      <c r="I189" s="285"/>
      <c r="J189" s="42">
        <f t="shared" si="27"/>
        <v>0</v>
      </c>
    </row>
    <row r="190" spans="3:10" ht="15.75" hidden="1" customHeight="1" thickBot="1" x14ac:dyDescent="0.4">
      <c r="C190" s="32" t="s">
        <v>101</v>
      </c>
      <c r="D190" s="213"/>
      <c r="E190" s="224"/>
      <c r="F190" s="234"/>
      <c r="G190" s="245"/>
      <c r="H190" s="255"/>
      <c r="I190" s="285"/>
      <c r="J190" s="42">
        <f t="shared" si="27"/>
        <v>0</v>
      </c>
    </row>
    <row r="191" spans="3:10" ht="15.75" hidden="1" customHeight="1" thickBot="1" x14ac:dyDescent="0.4">
      <c r="C191" s="32" t="s">
        <v>102</v>
      </c>
      <c r="D191" s="213"/>
      <c r="E191" s="224"/>
      <c r="F191" s="234"/>
      <c r="G191" s="245"/>
      <c r="H191" s="255"/>
      <c r="I191" s="285"/>
      <c r="J191" s="42">
        <f>SUM(D191:H191)</f>
        <v>0</v>
      </c>
    </row>
    <row r="192" spans="3:10" ht="15.75" hidden="1" customHeight="1" thickBot="1" x14ac:dyDescent="0.4">
      <c r="C192" s="36" t="s">
        <v>103</v>
      </c>
      <c r="D192" s="214">
        <f>SUM(D185:D191)</f>
        <v>0</v>
      </c>
      <c r="E192" s="225">
        <f>SUM(E185:E191)</f>
        <v>0</v>
      </c>
      <c r="F192" s="235">
        <f>SUM(F185:F191)</f>
        <v>0</v>
      </c>
      <c r="G192" s="246">
        <f>SUM(G185:G191)</f>
        <v>0</v>
      </c>
      <c r="H192" s="256">
        <f>SUM(H185:H191)</f>
        <v>0</v>
      </c>
      <c r="I192" s="257"/>
      <c r="J192" s="42">
        <f t="shared" si="27"/>
        <v>0</v>
      </c>
    </row>
    <row r="193" spans="3:10" ht="15.75" customHeight="1" x14ac:dyDescent="0.35">
      <c r="C193" s="130"/>
      <c r="D193" s="131"/>
      <c r="E193" s="131"/>
      <c r="F193" s="131"/>
      <c r="G193" s="131"/>
      <c r="H193" s="131"/>
      <c r="I193" s="131"/>
      <c r="J193" s="130"/>
    </row>
    <row r="194" spans="3:10" ht="15.75" customHeight="1" x14ac:dyDescent="0.35">
      <c r="C194" s="342" t="s">
        <v>133</v>
      </c>
      <c r="D194" s="343"/>
      <c r="E194" s="343"/>
      <c r="F194" s="343"/>
      <c r="G194" s="343"/>
      <c r="H194" s="343"/>
      <c r="I194" s="343"/>
      <c r="J194" s="344"/>
    </row>
    <row r="195" spans="3:10" ht="22" customHeight="1" thickBot="1" x14ac:dyDescent="0.4">
      <c r="C195" s="41" t="s">
        <v>134</v>
      </c>
      <c r="D195" s="211">
        <f>'1) Tableau budgétaire 1'!D72</f>
        <v>450000</v>
      </c>
      <c r="E195" s="222">
        <f>'1) Tableau budgétaire 1'!E72</f>
        <v>205000</v>
      </c>
      <c r="F195" s="232">
        <f>'1) Tableau budgétaire 1'!F72</f>
        <v>137000</v>
      </c>
      <c r="G195" s="243">
        <f>'1) Tableau budgétaire 1'!G72</f>
        <v>137000</v>
      </c>
      <c r="H195" s="253">
        <f>'1) Tableau budgétaire 1'!H72</f>
        <v>64300</v>
      </c>
      <c r="I195" s="253">
        <f>'1) Tableau budgétaire 1'!I72</f>
        <v>46700</v>
      </c>
      <c r="J195" s="42">
        <f>SUM(D195:I195)</f>
        <v>1040000</v>
      </c>
    </row>
    <row r="196" spans="3:10" ht="18" customHeight="1" thickBot="1" x14ac:dyDescent="0.4">
      <c r="C196" s="40" t="s">
        <v>96</v>
      </c>
      <c r="D196" s="212">
        <f>'1) Tableau budgétaire 1'!D59</f>
        <v>206000</v>
      </c>
      <c r="E196" s="223">
        <v>135000</v>
      </c>
      <c r="F196" s="233">
        <f>'1) Tableau budgétaire 1'!F61</f>
        <v>70000</v>
      </c>
      <c r="G196" s="244">
        <v>70000</v>
      </c>
      <c r="H196" s="254">
        <f>'1) Tableau budgétaire 1'!H63</f>
        <v>36400</v>
      </c>
      <c r="I196" s="254">
        <f>'1) Tableau budgétaire 1'!I63</f>
        <v>28600</v>
      </c>
      <c r="J196" s="42">
        <f t="shared" ref="J196:J203" si="28">SUM(D196:I196)</f>
        <v>546000</v>
      </c>
    </row>
    <row r="197" spans="3:10" ht="20.25" customHeight="1" thickBot="1" x14ac:dyDescent="0.4">
      <c r="C197" s="32" t="s">
        <v>97</v>
      </c>
      <c r="D197" s="213">
        <f>'1) Tableau budgétaire 1'!D67</f>
        <v>12000</v>
      </c>
      <c r="E197" s="153"/>
      <c r="F197" s="165">
        <f>'1) Tableau budgétaire 1'!F67</f>
        <v>9000</v>
      </c>
      <c r="G197" s="176">
        <v>9000</v>
      </c>
      <c r="H197" s="186">
        <f>'1) Tableau budgétaire 1'!H67</f>
        <v>2800.0000000000005</v>
      </c>
      <c r="I197" s="186">
        <f>'1) Tableau budgétaire 1'!I67</f>
        <v>2200</v>
      </c>
      <c r="J197" s="42">
        <f t="shared" si="28"/>
        <v>35000</v>
      </c>
    </row>
    <row r="198" spans="3:10" ht="39.75" customHeight="1" thickBot="1" x14ac:dyDescent="0.4">
      <c r="C198" s="32" t="s">
        <v>98</v>
      </c>
      <c r="D198" s="213">
        <f>'1) Tableau budgétaire 1'!D64+'1) Tableau budgétaire 1'!D68</f>
        <v>25000</v>
      </c>
      <c r="E198" s="224"/>
      <c r="F198" s="234">
        <f>'1) Tableau budgétaire 1'!F64+'1) Tableau budgétaire 1'!G68</f>
        <v>15000</v>
      </c>
      <c r="G198" s="245">
        <v>15000</v>
      </c>
      <c r="H198" s="255">
        <f>'1) Tableau budgétaire 1'!H64</f>
        <v>5600.0000000000009</v>
      </c>
      <c r="I198" s="255">
        <f>'1) Tableau budgétaire 1'!I64</f>
        <v>4400</v>
      </c>
      <c r="J198" s="42">
        <f t="shared" si="28"/>
        <v>65000</v>
      </c>
    </row>
    <row r="199" spans="3:10" ht="18" customHeight="1" thickBot="1" x14ac:dyDescent="0.4">
      <c r="C199" s="33" t="s">
        <v>99</v>
      </c>
      <c r="D199" s="213">
        <f>'1) Tableau budgétaire 1'!D69+'1) Tableau budgétaire 1'!D71</f>
        <v>130000</v>
      </c>
      <c r="E199" s="224"/>
      <c r="F199" s="234"/>
      <c r="G199" s="245"/>
      <c r="H199" s="255"/>
      <c r="I199" s="285"/>
      <c r="J199" s="42">
        <f t="shared" si="28"/>
        <v>130000</v>
      </c>
    </row>
    <row r="200" spans="3:10" ht="19.5" customHeight="1" thickBot="1" x14ac:dyDescent="0.4">
      <c r="C200" s="32" t="s">
        <v>100</v>
      </c>
      <c r="D200" s="213">
        <f>'1) Tableau budgétaire 1'!D70</f>
        <v>55000</v>
      </c>
      <c r="E200" s="224">
        <v>30000</v>
      </c>
      <c r="F200" s="234">
        <f>'1) Tableau budgétaire 1'!F70</f>
        <v>25000</v>
      </c>
      <c r="G200" s="245">
        <v>25000</v>
      </c>
      <c r="H200" s="255">
        <f>'1) Tableau budgétaire 1'!H70</f>
        <v>8400</v>
      </c>
      <c r="I200" s="255">
        <f>'1) Tableau budgétaire 1'!I70</f>
        <v>6600</v>
      </c>
      <c r="J200" s="42">
        <f t="shared" si="28"/>
        <v>150000</v>
      </c>
    </row>
    <row r="201" spans="3:10" ht="18" customHeight="1" thickBot="1" x14ac:dyDescent="0.4">
      <c r="C201" s="32" t="s">
        <v>101</v>
      </c>
      <c r="D201" s="213"/>
      <c r="E201" s="224"/>
      <c r="F201" s="234"/>
      <c r="G201" s="245"/>
      <c r="H201" s="255"/>
      <c r="I201" s="285"/>
      <c r="J201" s="42">
        <f t="shared" si="28"/>
        <v>0</v>
      </c>
    </row>
    <row r="202" spans="3:10" ht="19.5" customHeight="1" thickBot="1" x14ac:dyDescent="0.4">
      <c r="C202" s="32" t="s">
        <v>102</v>
      </c>
      <c r="D202" s="213">
        <f>'1) Tableau budgétaire 1'!D65+'1) Tableau budgétaire 1'!D66</f>
        <v>22000</v>
      </c>
      <c r="E202" s="224">
        <v>40000</v>
      </c>
      <c r="F202" s="234">
        <f>'1) Tableau budgétaire 1'!F65+'1) Tableau budgétaire 1'!F66</f>
        <v>18000</v>
      </c>
      <c r="G202" s="245">
        <v>18000</v>
      </c>
      <c r="H202" s="255">
        <v>11100</v>
      </c>
      <c r="I202" s="255">
        <v>4900</v>
      </c>
      <c r="J202" s="42">
        <f>SUM(D202:I202)</f>
        <v>114000</v>
      </c>
    </row>
    <row r="203" spans="3:10" ht="23.25" customHeight="1" thickBot="1" x14ac:dyDescent="0.4">
      <c r="C203" s="36" t="s">
        <v>103</v>
      </c>
      <c r="D203" s="214">
        <f t="shared" ref="D203:I203" si="29">SUM(D196:D202)</f>
        <v>450000</v>
      </c>
      <c r="E203" s="225">
        <f t="shared" si="29"/>
        <v>205000</v>
      </c>
      <c r="F203" s="235">
        <f t="shared" si="29"/>
        <v>137000</v>
      </c>
      <c r="G203" s="246">
        <f t="shared" si="29"/>
        <v>137000</v>
      </c>
      <c r="H203" s="256">
        <f t="shared" si="29"/>
        <v>64300</v>
      </c>
      <c r="I203" s="256">
        <f t="shared" si="29"/>
        <v>46700</v>
      </c>
      <c r="J203" s="42">
        <f t="shared" si="28"/>
        <v>1040000</v>
      </c>
    </row>
    <row r="204" spans="3:10" ht="15.75" customHeight="1" thickBot="1" x14ac:dyDescent="0.4">
      <c r="C204" s="130"/>
      <c r="D204" s="131"/>
      <c r="E204" s="131"/>
      <c r="F204" s="131"/>
      <c r="G204" s="131"/>
      <c r="H204" s="131"/>
      <c r="I204" s="131"/>
      <c r="J204" s="130"/>
    </row>
    <row r="205" spans="3:10" ht="19.5" customHeight="1" thickBot="1" x14ac:dyDescent="0.4">
      <c r="C205" s="352" t="s">
        <v>71</v>
      </c>
      <c r="D205" s="353"/>
      <c r="E205" s="353"/>
      <c r="F205" s="353"/>
      <c r="G205" s="353"/>
      <c r="H205" s="353"/>
      <c r="I205" s="353"/>
      <c r="J205" s="354"/>
    </row>
    <row r="206" spans="3:10" ht="42.75" customHeight="1" x14ac:dyDescent="0.35">
      <c r="C206" s="48"/>
      <c r="D206" s="216" t="s">
        <v>72</v>
      </c>
      <c r="E206" s="155" t="s">
        <v>73</v>
      </c>
      <c r="F206" s="166" t="s">
        <v>74</v>
      </c>
      <c r="G206" s="177" t="s">
        <v>75</v>
      </c>
      <c r="H206" s="259" t="s">
        <v>552</v>
      </c>
      <c r="I206" s="259" t="s">
        <v>553</v>
      </c>
      <c r="J206" s="345" t="s">
        <v>71</v>
      </c>
    </row>
    <row r="207" spans="3:10" ht="19.5" customHeight="1" x14ac:dyDescent="0.35">
      <c r="C207" s="83"/>
      <c r="D207" s="217" t="str">
        <f>'1) Tableau budgétaire 1'!D13</f>
        <v>PNUD GUINEE</v>
      </c>
      <c r="E207" s="227" t="str">
        <f>'1) Tableau budgétaire 1'!E13</f>
        <v>PNUD MALI</v>
      </c>
      <c r="F207" s="238" t="str">
        <f>'1) Tableau budgétaire 1'!F13</f>
        <v>UNFPA GUINEE</v>
      </c>
      <c r="G207" s="248" t="str">
        <f>'1) Tableau budgétaire 1'!G13</f>
        <v>UNFPA MALI</v>
      </c>
      <c r="H207" s="259" t="str">
        <f>'1) Tableau budgétaire 1'!H13</f>
        <v>UNODC GUINEE</v>
      </c>
      <c r="I207" s="259" t="str">
        <f>'1) Tableau budgétaire 1'!I13</f>
        <v>UNODC MALI</v>
      </c>
      <c r="J207" s="320"/>
    </row>
    <row r="208" spans="3:10" ht="19.5" customHeight="1" x14ac:dyDescent="0.35">
      <c r="C208" s="80" t="s">
        <v>96</v>
      </c>
      <c r="D208" s="218">
        <f>SUM(D185,D174,D163,D152,D140,D129,D118,D107,D95,D84,D73,D62,D50,D39,D28,D17,D196)</f>
        <v>206000</v>
      </c>
      <c r="E208" s="228">
        <f t="shared" ref="E208:I208" si="30">SUM(E185,E174,E163,E152,E140,E129,E118,E107,E95,E84,E73,E62,E50,E39,E28,E17,E196)</f>
        <v>135000</v>
      </c>
      <c r="F208" s="239">
        <f t="shared" si="30"/>
        <v>70000</v>
      </c>
      <c r="G208" s="249">
        <f t="shared" si="30"/>
        <v>70000</v>
      </c>
      <c r="H208" s="260">
        <f>SUM(H185,H174,H163,H152,H140,H129,H118,H107,H95,H84,H73,H62,H50,H39,H28,H17,H196)</f>
        <v>36400</v>
      </c>
      <c r="I208" s="260">
        <f t="shared" si="30"/>
        <v>28600</v>
      </c>
      <c r="J208" s="47">
        <f>SUM(D208:I208)</f>
        <v>546000</v>
      </c>
    </row>
    <row r="209" spans="3:17" ht="19" customHeight="1" x14ac:dyDescent="0.35">
      <c r="C209" s="81" t="s">
        <v>97</v>
      </c>
      <c r="D209" s="218">
        <f>SUM(D186,D175,D164,D153,D141,D130,D119,D108,D96,D85,D74,D63,D51,D40,D29,D18,D197)</f>
        <v>22000</v>
      </c>
      <c r="E209" s="228">
        <f t="shared" ref="E209:G209" si="31">SUM(E186,E175,E164,E153,E141,E130,E119,E108,E96,E85,E74,E63,E51,E40,E29,E18,E197)</f>
        <v>46800</v>
      </c>
      <c r="F209" s="239">
        <f t="shared" si="31"/>
        <v>9000</v>
      </c>
      <c r="G209" s="249">
        <f t="shared" si="31"/>
        <v>9000</v>
      </c>
      <c r="H209" s="260">
        <f t="shared" ref="H209:I214" si="32">SUM(H186,H175,H164,H153,H141,H130,H119,H108,H96,H85,H74,H63,H51,H40,H29,H18,H197)</f>
        <v>8400.0000000000018</v>
      </c>
      <c r="I209" s="260">
        <f t="shared" si="32"/>
        <v>6600</v>
      </c>
      <c r="J209" s="47">
        <f t="shared" ref="J209:J216" si="33">SUM(D209:I209)</f>
        <v>101800</v>
      </c>
      <c r="K209" s="130"/>
      <c r="L209" s="130"/>
      <c r="M209" s="130"/>
      <c r="N209" s="130"/>
      <c r="O209" s="130"/>
      <c r="P209" s="130"/>
      <c r="Q209" s="130"/>
    </row>
    <row r="210" spans="3:17" ht="36.65" customHeight="1" x14ac:dyDescent="0.35">
      <c r="C210" s="81" t="s">
        <v>98</v>
      </c>
      <c r="D210" s="218">
        <f t="shared" ref="D210:G214" si="34">SUM(D187,D176,D165,D154,D142,D131,D120,D109,D97,D86,D75,D64,D52,D41,D30,D19,D198)</f>
        <v>25000</v>
      </c>
      <c r="E210" s="228">
        <f t="shared" si="34"/>
        <v>0</v>
      </c>
      <c r="F210" s="239">
        <f t="shared" si="34"/>
        <v>15000</v>
      </c>
      <c r="G210" s="249">
        <f t="shared" si="34"/>
        <v>15000</v>
      </c>
      <c r="H210" s="260">
        <f>SUM(H187,H176,H165,H154,H142,H131,H120,H109,H97,H86,H75,H64,H52,H41,H30,H19,H198)</f>
        <v>22400</v>
      </c>
      <c r="I210" s="260">
        <f>SUM(I187,I176,I165,I154,I142,I131,I120,I109,I97,I86,I75,I64,I52,I41,I30,I19,I198)</f>
        <v>17600</v>
      </c>
      <c r="J210" s="47">
        <f t="shared" si="33"/>
        <v>95000</v>
      </c>
      <c r="K210" s="130"/>
      <c r="L210" s="130"/>
      <c r="M210" s="130"/>
      <c r="N210" s="130"/>
      <c r="O210" s="130"/>
      <c r="P210" s="130"/>
      <c r="Q210" s="130"/>
    </row>
    <row r="211" spans="3:17" ht="24" customHeight="1" x14ac:dyDescent="0.35">
      <c r="C211" s="82" t="s">
        <v>99</v>
      </c>
      <c r="D211" s="218">
        <f t="shared" si="34"/>
        <v>265000</v>
      </c>
      <c r="E211" s="228">
        <f t="shared" si="34"/>
        <v>110773.83199999999</v>
      </c>
      <c r="F211" s="239">
        <f t="shared" si="34"/>
        <v>130000</v>
      </c>
      <c r="G211" s="249">
        <f t="shared" si="34"/>
        <v>130000</v>
      </c>
      <c r="H211" s="260">
        <f t="shared" si="32"/>
        <v>96124.000000000015</v>
      </c>
      <c r="I211" s="260">
        <f t="shared" si="32"/>
        <v>75526</v>
      </c>
      <c r="J211" s="47">
        <f t="shared" si="33"/>
        <v>807423.83199999994</v>
      </c>
      <c r="K211" s="130"/>
      <c r="L211" s="130"/>
      <c r="M211" s="130"/>
      <c r="N211" s="130"/>
      <c r="O211" s="130"/>
      <c r="P211" s="130"/>
      <c r="Q211" s="130"/>
    </row>
    <row r="212" spans="3:17" ht="21" customHeight="1" x14ac:dyDescent="0.35">
      <c r="C212" s="81" t="s">
        <v>100</v>
      </c>
      <c r="D212" s="218">
        <f t="shared" si="34"/>
        <v>155000</v>
      </c>
      <c r="E212" s="228">
        <f t="shared" si="34"/>
        <v>196715.88800000001</v>
      </c>
      <c r="F212" s="239">
        <f t="shared" si="34"/>
        <v>43000</v>
      </c>
      <c r="G212" s="249">
        <f t="shared" si="34"/>
        <v>51000</v>
      </c>
      <c r="H212" s="260">
        <f t="shared" si="32"/>
        <v>67592</v>
      </c>
      <c r="I212" s="260">
        <f t="shared" si="32"/>
        <v>53108</v>
      </c>
      <c r="J212" s="47">
        <f t="shared" si="33"/>
        <v>566415.88800000004</v>
      </c>
      <c r="K212" s="120"/>
      <c r="L212" s="120"/>
      <c r="M212" s="120"/>
      <c r="N212" s="120"/>
      <c r="O212" s="120"/>
      <c r="P212" s="135"/>
      <c r="Q212" s="130"/>
    </row>
    <row r="213" spans="3:17" ht="24.65" customHeight="1" x14ac:dyDescent="0.35">
      <c r="C213" s="81" t="s">
        <v>101</v>
      </c>
      <c r="D213" s="218">
        <f t="shared" si="34"/>
        <v>491000</v>
      </c>
      <c r="E213" s="228">
        <f t="shared" si="34"/>
        <v>410289.72</v>
      </c>
      <c r="F213" s="239">
        <f t="shared" si="34"/>
        <v>370000</v>
      </c>
      <c r="G213" s="249">
        <f t="shared" si="34"/>
        <v>370000</v>
      </c>
      <c r="H213" s="260">
        <f t="shared" si="32"/>
        <v>28000.000000000004</v>
      </c>
      <c r="I213" s="260">
        <f t="shared" si="32"/>
        <v>22000</v>
      </c>
      <c r="J213" s="47">
        <f t="shared" si="33"/>
        <v>1691289.72</v>
      </c>
      <c r="K213" s="120"/>
      <c r="L213" s="120"/>
      <c r="M213" s="120"/>
      <c r="N213" s="120"/>
      <c r="O213" s="120"/>
      <c r="P213" s="135"/>
      <c r="Q213" s="130"/>
    </row>
    <row r="214" spans="3:17" ht="39.75" customHeight="1" x14ac:dyDescent="0.35">
      <c r="C214" s="81" t="s">
        <v>102</v>
      </c>
      <c r="D214" s="219">
        <f t="shared" si="34"/>
        <v>22000</v>
      </c>
      <c r="E214" s="229">
        <f t="shared" si="34"/>
        <v>40000</v>
      </c>
      <c r="F214" s="240">
        <f t="shared" si="34"/>
        <v>18000</v>
      </c>
      <c r="G214" s="250">
        <f t="shared" si="34"/>
        <v>18000</v>
      </c>
      <c r="H214" s="261">
        <f t="shared" si="32"/>
        <v>26584</v>
      </c>
      <c r="I214" s="261">
        <f t="shared" si="32"/>
        <v>17066</v>
      </c>
      <c r="J214" s="47">
        <f t="shared" si="33"/>
        <v>141650</v>
      </c>
      <c r="K214" s="120"/>
      <c r="L214" s="120"/>
      <c r="M214" s="120"/>
      <c r="N214" s="120"/>
      <c r="O214" s="120"/>
      <c r="P214" s="135"/>
      <c r="Q214" s="130"/>
    </row>
    <row r="215" spans="3:17" ht="22.5" customHeight="1" x14ac:dyDescent="0.35">
      <c r="C215" s="101" t="s">
        <v>76</v>
      </c>
      <c r="D215" s="214">
        <f t="shared" ref="D215:G215" si="35">SUM(D208:D214)</f>
        <v>1186000</v>
      </c>
      <c r="E215" s="225">
        <f t="shared" si="35"/>
        <v>939579.44</v>
      </c>
      <c r="F215" s="235">
        <f t="shared" si="35"/>
        <v>655000</v>
      </c>
      <c r="G215" s="246">
        <f t="shared" si="35"/>
        <v>663000</v>
      </c>
      <c r="H215" s="256">
        <f>SUM(H208:H214)</f>
        <v>285500</v>
      </c>
      <c r="I215" s="256">
        <f>SUM(I208:I214)</f>
        <v>220500</v>
      </c>
      <c r="J215" s="47">
        <f t="shared" si="33"/>
        <v>3949579.44</v>
      </c>
      <c r="K215" s="120"/>
      <c r="L215" s="120"/>
      <c r="M215" s="120"/>
      <c r="N215" s="120"/>
      <c r="O215" s="120"/>
      <c r="P215" s="135"/>
      <c r="Q215" s="130"/>
    </row>
    <row r="216" spans="3:17" ht="23.5" customHeight="1" thickBot="1" x14ac:dyDescent="0.4">
      <c r="C216" s="101" t="s">
        <v>77</v>
      </c>
      <c r="D216" s="220">
        <f>D215*0.07</f>
        <v>83020.000000000015</v>
      </c>
      <c r="E216" s="230">
        <f t="shared" ref="E216:G216" si="36">E215*0.07</f>
        <v>65770.560800000007</v>
      </c>
      <c r="F216" s="241">
        <f t="shared" si="36"/>
        <v>45850.000000000007</v>
      </c>
      <c r="G216" s="251">
        <f t="shared" si="36"/>
        <v>46410.000000000007</v>
      </c>
      <c r="H216" s="262">
        <f>H215*0.07</f>
        <v>19985.000000000004</v>
      </c>
      <c r="I216" s="262">
        <f>I215*0.07</f>
        <v>15435.000000000002</v>
      </c>
      <c r="J216" s="47">
        <f t="shared" si="33"/>
        <v>276470.56080000004</v>
      </c>
      <c r="K216" s="18"/>
      <c r="L216" s="18"/>
      <c r="M216" s="18"/>
      <c r="N216" s="18"/>
      <c r="O216" s="136"/>
      <c r="P216" s="131"/>
      <c r="Q216" s="130"/>
    </row>
    <row r="217" spans="3:17" ht="23.25" customHeight="1" thickBot="1" x14ac:dyDescent="0.5">
      <c r="C217" s="73" t="s">
        <v>135</v>
      </c>
      <c r="D217" s="221">
        <f>SUM(D215:D216)</f>
        <v>1269020</v>
      </c>
      <c r="E217" s="231">
        <f t="shared" ref="E217:I217" si="37">SUM(E215:E216)</f>
        <v>1005350.0007999999</v>
      </c>
      <c r="F217" s="242">
        <f>SUM(F215:F216)</f>
        <v>700850</v>
      </c>
      <c r="G217" s="252">
        <f t="shared" si="37"/>
        <v>709410</v>
      </c>
      <c r="H217" s="263">
        <f>SUM(H215:H216)</f>
        <v>305485</v>
      </c>
      <c r="I217" s="263">
        <f t="shared" si="37"/>
        <v>235935</v>
      </c>
      <c r="J217" s="209">
        <f>SUM(J215:J216)</f>
        <v>4226050.0007999996</v>
      </c>
      <c r="K217" s="18"/>
      <c r="L217" s="18"/>
      <c r="M217" s="18"/>
      <c r="N217" s="18"/>
      <c r="O217" s="136"/>
      <c r="P217" s="131"/>
      <c r="Q217" s="130"/>
    </row>
    <row r="218" spans="3:17" ht="15.75" customHeight="1" x14ac:dyDescent="0.35">
      <c r="C218" s="130"/>
      <c r="D218" s="131"/>
      <c r="E218" s="131"/>
      <c r="F218" s="131"/>
      <c r="G218" s="131"/>
      <c r="H218" s="131"/>
      <c r="I218" s="131"/>
      <c r="J218" s="130"/>
      <c r="K218" s="130"/>
      <c r="L218" s="130"/>
      <c r="M218" s="130"/>
      <c r="N218" s="130"/>
      <c r="O218" s="37"/>
      <c r="P218" s="130"/>
      <c r="Q218" s="130"/>
    </row>
    <row r="219" spans="3:17" ht="15.75" customHeight="1" x14ac:dyDescent="0.35">
      <c r="C219" s="130"/>
      <c r="D219" s="131"/>
      <c r="E219" s="131"/>
      <c r="F219" s="131"/>
      <c r="G219" s="131"/>
      <c r="H219" s="131"/>
      <c r="I219" s="131"/>
      <c r="J219" s="130"/>
      <c r="K219" s="27"/>
      <c r="L219" s="27"/>
      <c r="M219" s="130"/>
      <c r="N219" s="130"/>
      <c r="O219" s="37"/>
      <c r="P219" s="130"/>
      <c r="Q219" s="130"/>
    </row>
    <row r="220" spans="3:17" ht="15.75" customHeight="1" x14ac:dyDescent="0.35">
      <c r="C220" s="130"/>
      <c r="D220" s="131"/>
      <c r="E220" s="131"/>
      <c r="F220" s="131"/>
      <c r="G220" s="131"/>
      <c r="H220" s="293"/>
      <c r="I220" s="293"/>
      <c r="J220" s="130"/>
      <c r="K220" s="27"/>
      <c r="L220" s="27"/>
      <c r="M220" s="130"/>
      <c r="N220" s="130"/>
      <c r="O220" s="130"/>
      <c r="P220" s="130"/>
      <c r="Q220" s="130"/>
    </row>
    <row r="221" spans="3:17" ht="24.75" customHeight="1" x14ac:dyDescent="0.35">
      <c r="C221" s="130"/>
      <c r="D221" s="131"/>
      <c r="E221" s="131"/>
      <c r="F221" s="131"/>
      <c r="G221" s="131"/>
      <c r="H221" s="131"/>
      <c r="I221" s="131"/>
      <c r="J221" s="130"/>
      <c r="K221" s="27"/>
      <c r="L221" s="27"/>
      <c r="M221" s="130"/>
      <c r="N221" s="130"/>
      <c r="O221" s="38"/>
      <c r="P221" s="130"/>
      <c r="Q221" s="130"/>
    </row>
    <row r="222" spans="3:17" ht="41.25" customHeight="1" x14ac:dyDescent="0.35">
      <c r="C222" s="130"/>
      <c r="D222" s="131"/>
      <c r="E222" s="131"/>
      <c r="F222" s="131"/>
      <c r="G222" s="131"/>
      <c r="H222" s="131"/>
      <c r="I222" s="131"/>
      <c r="J222" s="130"/>
      <c r="K222" s="137"/>
      <c r="L222" s="27"/>
      <c r="M222" s="130"/>
      <c r="N222" s="130"/>
      <c r="O222" s="38"/>
      <c r="P222" s="130"/>
      <c r="Q222" s="130"/>
    </row>
    <row r="223" spans="3:17" s="35" customFormat="1" ht="42" customHeight="1" x14ac:dyDescent="0.35">
      <c r="C223" s="130"/>
      <c r="D223" s="131"/>
      <c r="E223" s="131"/>
      <c r="F223" s="131"/>
      <c r="G223" s="131"/>
      <c r="H223" s="131"/>
      <c r="I223" s="131"/>
      <c r="J223" s="130"/>
      <c r="K223" s="130"/>
      <c r="L223" s="130"/>
      <c r="M223" s="130"/>
      <c r="N223" s="130"/>
      <c r="O223" s="130"/>
      <c r="P223" s="37"/>
      <c r="Q223" s="131"/>
    </row>
    <row r="224" spans="3:17" ht="23.25" customHeight="1" x14ac:dyDescent="0.35">
      <c r="C224" s="130"/>
      <c r="D224" s="131"/>
      <c r="E224" s="131"/>
      <c r="F224" s="131"/>
      <c r="G224" s="131"/>
      <c r="H224" s="131"/>
      <c r="I224" s="131"/>
      <c r="J224" s="130"/>
      <c r="K224" s="130"/>
      <c r="L224" s="130"/>
      <c r="M224" s="130"/>
      <c r="N224" s="130"/>
      <c r="O224" s="130"/>
      <c r="P224" s="130"/>
      <c r="Q224" s="130"/>
    </row>
    <row r="225" spans="3:17" ht="27.75" customHeight="1" x14ac:dyDescent="0.35">
      <c r="C225" s="130"/>
      <c r="D225" s="131"/>
      <c r="E225" s="131"/>
      <c r="F225" s="131"/>
      <c r="G225" s="131"/>
      <c r="H225" s="131"/>
      <c r="I225" s="131"/>
      <c r="J225" s="130"/>
      <c r="K225" s="130"/>
      <c r="L225" s="130"/>
      <c r="M225" s="130"/>
      <c r="N225" s="130"/>
      <c r="O225" s="130"/>
      <c r="P225" s="130"/>
      <c r="Q225" s="130"/>
    </row>
    <row r="226" spans="3:17" ht="55.5" customHeight="1" x14ac:dyDescent="0.35">
      <c r="C226" s="130"/>
      <c r="D226" s="131"/>
      <c r="E226" s="131"/>
      <c r="F226" s="131"/>
      <c r="G226" s="131"/>
      <c r="H226" s="131"/>
      <c r="I226" s="131"/>
      <c r="J226" s="130"/>
      <c r="K226" s="130"/>
      <c r="L226" s="130"/>
      <c r="M226" s="130"/>
      <c r="N226" s="130"/>
      <c r="O226" s="130"/>
      <c r="P226" s="130"/>
      <c r="Q226" s="130"/>
    </row>
    <row r="227" spans="3:17" ht="57.75" customHeight="1" x14ac:dyDescent="0.35">
      <c r="C227" s="130"/>
      <c r="D227" s="131"/>
      <c r="E227" s="131"/>
      <c r="F227" s="131"/>
      <c r="G227" s="131"/>
      <c r="H227" s="131"/>
      <c r="I227" s="131"/>
      <c r="J227" s="130"/>
      <c r="K227" s="130"/>
      <c r="L227" s="130"/>
      <c r="M227" s="130"/>
      <c r="N227" s="130"/>
      <c r="O227" s="130"/>
      <c r="P227" s="130"/>
      <c r="Q227" s="130"/>
    </row>
    <row r="228" spans="3:17" ht="21.75" customHeight="1" x14ac:dyDescent="0.35">
      <c r="C228" s="130"/>
      <c r="D228" s="131"/>
      <c r="E228" s="131"/>
      <c r="F228" s="131"/>
      <c r="G228" s="131"/>
      <c r="H228" s="131"/>
      <c r="I228" s="131"/>
      <c r="J228" s="130"/>
      <c r="K228" s="130"/>
      <c r="L228" s="130"/>
      <c r="M228" s="130"/>
      <c r="N228" s="130"/>
      <c r="O228" s="130"/>
      <c r="P228" s="130"/>
      <c r="Q228" s="130"/>
    </row>
    <row r="229" spans="3:17" ht="49.5" customHeight="1" x14ac:dyDescent="0.35">
      <c r="C229" s="130"/>
      <c r="D229" s="131"/>
      <c r="E229" s="131"/>
      <c r="F229" s="131"/>
      <c r="G229" s="131"/>
      <c r="H229" s="131"/>
      <c r="I229" s="131"/>
      <c r="J229" s="130"/>
      <c r="K229" s="130"/>
      <c r="L229" s="130"/>
      <c r="M229" s="130"/>
      <c r="N229" s="130"/>
      <c r="O229" s="130"/>
      <c r="P229" s="130"/>
      <c r="Q229" s="130"/>
    </row>
    <row r="230" spans="3:17" ht="28.5" customHeight="1" x14ac:dyDescent="0.35">
      <c r="C230" s="130"/>
      <c r="D230" s="131"/>
      <c r="E230" s="131"/>
      <c r="F230" s="131"/>
      <c r="G230" s="131"/>
      <c r="H230" s="131"/>
      <c r="I230" s="131"/>
      <c r="J230" s="130"/>
      <c r="K230" s="130"/>
      <c r="L230" s="130"/>
      <c r="M230" s="130"/>
      <c r="N230" s="130"/>
      <c r="O230" s="130"/>
      <c r="P230" s="130"/>
      <c r="Q230" s="130"/>
    </row>
    <row r="231" spans="3:17" ht="28.5" customHeight="1" x14ac:dyDescent="0.35">
      <c r="C231" s="130"/>
      <c r="D231" s="131"/>
      <c r="E231" s="131"/>
      <c r="F231" s="131"/>
      <c r="G231" s="131"/>
      <c r="H231" s="131"/>
      <c r="I231" s="131"/>
      <c r="J231" s="130"/>
      <c r="K231" s="130"/>
      <c r="L231" s="130"/>
      <c r="M231" s="130"/>
      <c r="N231" s="130"/>
      <c r="O231" s="130"/>
      <c r="P231" s="130"/>
      <c r="Q231" s="130"/>
    </row>
    <row r="232" spans="3:17" ht="28.5" customHeight="1" x14ac:dyDescent="0.35">
      <c r="C232" s="130"/>
      <c r="D232" s="131"/>
      <c r="E232" s="131"/>
      <c r="F232" s="131"/>
      <c r="G232" s="131"/>
      <c r="H232" s="131"/>
      <c r="I232" s="131"/>
      <c r="J232" s="130"/>
      <c r="K232" s="130"/>
      <c r="L232" s="130"/>
      <c r="M232" s="130"/>
      <c r="N232" s="130"/>
      <c r="O232" s="130"/>
      <c r="P232" s="130"/>
      <c r="Q232" s="130"/>
    </row>
    <row r="233" spans="3:17" ht="23.25" customHeight="1" x14ac:dyDescent="0.35">
      <c r="C233" s="130"/>
      <c r="D233" s="131"/>
      <c r="E233" s="131"/>
      <c r="F233" s="131"/>
      <c r="G233" s="131"/>
      <c r="H233" s="131"/>
      <c r="I233" s="131"/>
      <c r="J233" s="130"/>
      <c r="K233" s="130"/>
      <c r="L233" s="130"/>
      <c r="M233" s="130"/>
      <c r="N233" s="130"/>
      <c r="O233" s="130"/>
      <c r="P233" s="130"/>
      <c r="Q233" s="37"/>
    </row>
    <row r="234" spans="3:17" ht="43.5" customHeight="1" x14ac:dyDescent="0.35">
      <c r="C234" s="130"/>
      <c r="D234" s="131"/>
      <c r="E234" s="131"/>
      <c r="F234" s="131"/>
      <c r="G234" s="131"/>
      <c r="H234" s="131"/>
      <c r="I234" s="131"/>
      <c r="J234" s="130"/>
      <c r="K234" s="130"/>
      <c r="L234" s="130"/>
      <c r="M234" s="130"/>
      <c r="N234" s="130"/>
      <c r="O234" s="130"/>
      <c r="P234" s="130"/>
      <c r="Q234" s="37"/>
    </row>
    <row r="235" spans="3:17" ht="55.5" customHeight="1" x14ac:dyDescent="0.35">
      <c r="C235" s="130"/>
      <c r="D235" s="131"/>
      <c r="E235" s="131"/>
      <c r="F235" s="131"/>
      <c r="G235" s="131"/>
      <c r="H235" s="131"/>
      <c r="I235" s="131"/>
      <c r="J235" s="130"/>
      <c r="K235" s="130"/>
      <c r="L235" s="130"/>
      <c r="M235" s="130"/>
      <c r="N235" s="130"/>
      <c r="O235" s="130"/>
      <c r="P235" s="130"/>
      <c r="Q235" s="130"/>
    </row>
    <row r="236" spans="3:17" ht="42.75" customHeight="1" x14ac:dyDescent="0.35">
      <c r="C236" s="130"/>
      <c r="D236" s="131"/>
      <c r="E236" s="131"/>
      <c r="F236" s="131"/>
      <c r="G236" s="131"/>
      <c r="H236" s="131"/>
      <c r="I236" s="131"/>
      <c r="J236" s="130"/>
      <c r="K236" s="130"/>
      <c r="L236" s="130"/>
      <c r="M236" s="130"/>
      <c r="N236" s="130"/>
      <c r="O236" s="130"/>
      <c r="P236" s="130"/>
      <c r="Q236" s="37"/>
    </row>
    <row r="237" spans="3:17" ht="21.75" customHeight="1" x14ac:dyDescent="0.35">
      <c r="C237" s="130"/>
      <c r="D237" s="131"/>
      <c r="E237" s="131"/>
      <c r="F237" s="131"/>
      <c r="G237" s="131"/>
      <c r="H237" s="131"/>
      <c r="I237" s="131"/>
      <c r="J237" s="130"/>
      <c r="K237" s="130"/>
      <c r="L237" s="130"/>
      <c r="M237" s="130"/>
      <c r="N237" s="130"/>
      <c r="O237" s="130"/>
      <c r="P237" s="130"/>
      <c r="Q237" s="37"/>
    </row>
    <row r="238" spans="3:17" ht="21.75" customHeight="1" x14ac:dyDescent="0.35">
      <c r="C238" s="130"/>
      <c r="D238" s="131"/>
      <c r="E238" s="131"/>
      <c r="F238" s="131"/>
      <c r="G238" s="131"/>
      <c r="H238" s="131"/>
      <c r="I238" s="131"/>
      <c r="J238" s="130"/>
      <c r="K238" s="130"/>
      <c r="L238" s="130"/>
      <c r="M238" s="130"/>
      <c r="N238" s="130"/>
      <c r="O238" s="130"/>
      <c r="P238" s="130"/>
      <c r="Q238" s="37"/>
    </row>
    <row r="239" spans="3:17" ht="23.25" customHeight="1" x14ac:dyDescent="0.35">
      <c r="C239" s="130"/>
      <c r="D239" s="131"/>
      <c r="E239" s="131"/>
      <c r="F239" s="131"/>
      <c r="G239" s="131"/>
      <c r="H239" s="131"/>
      <c r="I239" s="131"/>
      <c r="J239" s="130"/>
      <c r="K239" s="130"/>
      <c r="L239" s="130"/>
      <c r="M239" s="130"/>
      <c r="N239" s="130"/>
      <c r="O239" s="130"/>
      <c r="P239" s="130"/>
      <c r="Q239" s="130"/>
    </row>
    <row r="240" spans="3:17" ht="23.25" customHeight="1" x14ac:dyDescent="0.35">
      <c r="C240" s="130"/>
      <c r="D240" s="131"/>
      <c r="E240" s="131"/>
      <c r="F240" s="131"/>
      <c r="G240" s="131"/>
      <c r="H240" s="131"/>
      <c r="I240" s="131"/>
      <c r="J240" s="130"/>
      <c r="K240" s="130"/>
      <c r="L240" s="130"/>
      <c r="M240" s="130"/>
      <c r="N240" s="130"/>
      <c r="O240" s="130"/>
      <c r="P240" s="130"/>
      <c r="Q240" s="130"/>
    </row>
    <row r="241" spans="3:17" ht="21.75" customHeight="1" x14ac:dyDescent="0.35">
      <c r="C241" s="130"/>
      <c r="D241" s="131"/>
      <c r="E241" s="131"/>
      <c r="F241" s="131"/>
      <c r="G241" s="131"/>
      <c r="H241" s="131"/>
      <c r="I241" s="131"/>
      <c r="J241" s="130"/>
      <c r="K241" s="130"/>
      <c r="L241" s="130"/>
      <c r="M241" s="130"/>
      <c r="N241" s="130"/>
      <c r="O241" s="130"/>
      <c r="P241" s="130"/>
      <c r="Q241" s="130"/>
    </row>
    <row r="242" spans="3:17" ht="16.5" customHeight="1" x14ac:dyDescent="0.35">
      <c r="C242" s="130"/>
      <c r="D242" s="131"/>
      <c r="E242" s="131"/>
      <c r="F242" s="131"/>
      <c r="G242" s="131"/>
      <c r="H242" s="131"/>
      <c r="I242" s="131"/>
      <c r="J242" s="130"/>
      <c r="K242" s="130"/>
      <c r="L242" s="130"/>
      <c r="M242" s="130"/>
      <c r="N242" s="130"/>
      <c r="O242" s="130"/>
      <c r="P242" s="130"/>
      <c r="Q242" s="130"/>
    </row>
    <row r="243" spans="3:17" ht="29.25" customHeight="1" x14ac:dyDescent="0.35">
      <c r="C243" s="130"/>
      <c r="D243" s="131"/>
      <c r="E243" s="131"/>
      <c r="F243" s="131"/>
      <c r="G243" s="131"/>
      <c r="H243" s="131"/>
      <c r="I243" s="131"/>
      <c r="J243" s="130"/>
      <c r="K243" s="130"/>
      <c r="L243" s="130"/>
      <c r="M243" s="130"/>
      <c r="N243" s="130"/>
      <c r="O243" s="130"/>
      <c r="P243" s="130"/>
      <c r="Q243" s="130"/>
    </row>
    <row r="244" spans="3:17" ht="24.75" customHeight="1" x14ac:dyDescent="0.35">
      <c r="C244" s="130"/>
      <c r="D244" s="131"/>
      <c r="E244" s="131"/>
      <c r="F244" s="131"/>
      <c r="G244" s="131"/>
      <c r="H244" s="131"/>
      <c r="I244" s="131"/>
      <c r="J244" s="130"/>
      <c r="K244" s="130"/>
      <c r="L244" s="130"/>
      <c r="M244" s="130"/>
      <c r="N244" s="130"/>
      <c r="O244" s="130"/>
      <c r="P244" s="130"/>
      <c r="Q244" s="130"/>
    </row>
    <row r="245" spans="3:17" ht="33" customHeight="1" x14ac:dyDescent="0.35">
      <c r="C245" s="130"/>
      <c r="D245" s="131"/>
      <c r="E245" s="131"/>
      <c r="F245" s="131"/>
      <c r="G245" s="131"/>
      <c r="H245" s="131"/>
      <c r="I245" s="131"/>
      <c r="J245" s="130"/>
      <c r="K245" s="130"/>
      <c r="L245" s="130"/>
      <c r="M245" s="130"/>
      <c r="N245" s="130"/>
      <c r="O245" s="130"/>
      <c r="P245" s="130"/>
      <c r="Q245" s="130"/>
    </row>
    <row r="247" spans="3:17" ht="15" customHeight="1" x14ac:dyDescent="0.35">
      <c r="C247" s="130"/>
      <c r="D247" s="131"/>
      <c r="E247" s="131"/>
      <c r="F247" s="131"/>
      <c r="G247" s="131"/>
      <c r="H247" s="131"/>
      <c r="I247" s="131"/>
      <c r="J247" s="130"/>
      <c r="K247" s="130"/>
      <c r="L247" s="130"/>
      <c r="M247" s="130"/>
      <c r="N247" s="130"/>
      <c r="O247" s="130"/>
      <c r="P247" s="130"/>
      <c r="Q247" s="130"/>
    </row>
    <row r="248" spans="3:17" ht="25.5" customHeight="1" x14ac:dyDescent="0.35">
      <c r="C248" s="130"/>
      <c r="D248" s="131"/>
      <c r="E248" s="131"/>
      <c r="F248" s="131"/>
      <c r="G248" s="131"/>
      <c r="H248" s="131"/>
      <c r="I248" s="131"/>
      <c r="J248" s="130"/>
      <c r="K248" s="130"/>
      <c r="L248" s="130"/>
      <c r="M248" s="130"/>
      <c r="N248" s="130"/>
      <c r="O248" s="130"/>
      <c r="P248" s="130"/>
      <c r="Q248" s="130"/>
    </row>
  </sheetData>
  <sheetProtection insertColumns="0" insertRows="0" deleteRows="0"/>
  <mergeCells count="28">
    <mergeCell ref="C93:J93"/>
    <mergeCell ref="B104:J104"/>
    <mergeCell ref="C2:F2"/>
    <mergeCell ref="B14:J14"/>
    <mergeCell ref="C15:J15"/>
    <mergeCell ref="B59:J59"/>
    <mergeCell ref="J12:J13"/>
    <mergeCell ref="C5:J5"/>
    <mergeCell ref="C26:J26"/>
    <mergeCell ref="C37:J37"/>
    <mergeCell ref="C48:J48"/>
    <mergeCell ref="C10:G10"/>
    <mergeCell ref="C194:J194"/>
    <mergeCell ref="J206:J207"/>
    <mergeCell ref="C172:J172"/>
    <mergeCell ref="C183:J183"/>
    <mergeCell ref="C6:J8"/>
    <mergeCell ref="C161:J161"/>
    <mergeCell ref="C60:J60"/>
    <mergeCell ref="C105:J105"/>
    <mergeCell ref="C116:J116"/>
    <mergeCell ref="C127:J127"/>
    <mergeCell ref="C205:J205"/>
    <mergeCell ref="C138:J138"/>
    <mergeCell ref="B149:J149"/>
    <mergeCell ref="C150:J150"/>
    <mergeCell ref="C71:J71"/>
    <mergeCell ref="C82:J82"/>
  </mergeCells>
  <phoneticPr fontId="24" type="noConversion"/>
  <conditionalFormatting sqref="J57">
    <cfRule type="cellIs" dxfId="17" priority="15" operator="notEqual">
      <formula>$J$49</formula>
    </cfRule>
  </conditionalFormatting>
  <conditionalFormatting sqref="J69">
    <cfRule type="cellIs" dxfId="16" priority="14" operator="notEqual">
      <formula>$J$61</formula>
    </cfRule>
  </conditionalFormatting>
  <conditionalFormatting sqref="J102">
    <cfRule type="cellIs" dxfId="15" priority="11" operator="notEqual">
      <formula>$J$94</formula>
    </cfRule>
  </conditionalFormatting>
  <conditionalFormatting sqref="J114">
    <cfRule type="cellIs" dxfId="14" priority="10" operator="notEqual">
      <formula>$J$106</formula>
    </cfRule>
  </conditionalFormatting>
  <conditionalFormatting sqref="J125">
    <cfRule type="cellIs" dxfId="13" priority="9" operator="notEqual">
      <formula>$J$117</formula>
    </cfRule>
  </conditionalFormatting>
  <conditionalFormatting sqref="J136">
    <cfRule type="cellIs" dxfId="12" priority="8" operator="notEqual">
      <formula>$J$128</formula>
    </cfRule>
  </conditionalFormatting>
  <conditionalFormatting sqref="J147">
    <cfRule type="cellIs" dxfId="11" priority="7" operator="notEqual">
      <formula>$J$139</formula>
    </cfRule>
  </conditionalFormatting>
  <conditionalFormatting sqref="J159">
    <cfRule type="cellIs" dxfId="10" priority="6" operator="notEqual">
      <formula>$J$151</formula>
    </cfRule>
  </conditionalFormatting>
  <conditionalFormatting sqref="J170">
    <cfRule type="cellIs" dxfId="9" priority="5" operator="notEqual">
      <formula>$J$162</formula>
    </cfRule>
  </conditionalFormatting>
  <conditionalFormatting sqref="J181">
    <cfRule type="cellIs" dxfId="8" priority="4" operator="notEqual">
      <formula>$J$173</formula>
    </cfRule>
  </conditionalFormatting>
  <conditionalFormatting sqref="J192">
    <cfRule type="cellIs" dxfId="7" priority="3" operator="notEqual">
      <formula>$J$184</formula>
    </cfRule>
  </conditionalFormatting>
  <dataValidations count="7">
    <dataValidation allowBlank="1" showInputMessage="1" showErrorMessage="1" prompt=" Includes all general operating costs for running an office. Examples include telecommunication, rents, finance charges and other costs which cannot be mapped to other expense categories." sqref="C191 C23 C34 C45 C56 C68 C79 C90 C101 C113 C124 C135 C146 C158 C169 C180 C202 C214" xr:uid="{53748C35-115E-4395-B10C-50CE2F13DC2F}"/>
    <dataValidation allowBlank="1" showInputMessage="1" showErrorMessage="1" prompt="Includes transfers to national counterparts and any other transfers given to an implementing partner (e.g. NGO) which is not similar to a commercial service contract as per above. In IPSAS terms this would be more similar to non-exchange transactions." sqref="C190 C22 C33 C44 C55 C67 C78 C89 C100 C112 C123 C134 C145 C157 C168 C179 C201 C213" xr:uid="{9DD30DAD-252C-43C8-B2D2-D70E24558917}"/>
    <dataValidation allowBlank="1" showInputMessage="1" showErrorMessage="1" prompt="Services contracted by an organization which follow the normal procurement processes." sqref="C188 C20 C31 C42 C53 C65 C76 C87 C98 C110 C121 C132 C143 C155 C166 C177 C199 C211" xr:uid="{D2D4883A-DF6E-4599-89E1-C25704DD6B71}"/>
    <dataValidation allowBlank="1" showInputMessage="1" showErrorMessage="1" prompt="Includes staff and non-staff travel paid for by the organization directly related to a project." sqref="C189 C21 C32 C43 C54 C66 C77 C88 C99 C111 C122 C133 C144 C156 C167 C178 C200 C212" xr:uid="{F27DF7D7-7F10-4851-B4D7-4F92CEE88467}"/>
    <dataValidation allowBlank="1" showInputMessage="1" showErrorMessage="1" prompt="For those reporting assets on UNSAS or modified UNSAS basis (i.e. expense up front) this would relate to all costs to put asset into service. For those who do donor reports according to IPSAS this would equal depreciation for period." sqref="C187 C19 C30 C41 C52 C64 C75 C86 C97 C109 C120 C131 C142 C154 C165 C176 C198 C210" xr:uid="{28FB34E1-B486-4509-82E8-BD76BC77C499}"/>
    <dataValidation allowBlank="1" showInputMessage="1" showErrorMessage="1" prompt="Includes all direct and indirect costs (e.g. freight, transport, delivery, distribution) associated with procurement of supplies, commodities and materials. Office supplies should be reported as &quot;General Operating&quot;." sqref="C186 C18 C29 C40 C51 C63 C74 C85 C96 C108 C119 C130 C141 C153 C164 C175 C197 C209" xr:uid="{F098AF50-6738-49DD-B927-47F3EEE74261}"/>
    <dataValidation allowBlank="1" showInputMessage="1" showErrorMessage="1" prompt="Includes all related staff and temporary staff costs including base salary, post adjustment and all staff entitlements." sqref="C185 C17 C28 C39 C50 C62 C73 C84 C95 C107 C118 C129 C140 C152 C163 C174 C196 C208" xr:uid="{340B5EBB-3C3E-458C-BC5F-57C720FFB61A}"/>
  </dataValidations>
  <pageMargins left="0.7" right="0.7" top="0.75" bottom="0.75" header="0.3" footer="0.3"/>
  <pageSetup scale="47" orientation="landscape" r:id="rId1"/>
  <rowBreaks count="1" manualBreakCount="1">
    <brk id="70" max="16383" man="1"/>
  </rowBreaks>
  <colBreaks count="1" manualBreakCount="1">
    <brk id="10" max="1048575" man="1"/>
  </colBreaks>
  <extLst>
    <ext xmlns:x14="http://schemas.microsoft.com/office/spreadsheetml/2009/9/main" uri="{78C0D931-6437-407d-A8EE-F0AAD7539E65}">
      <x14:conditionalFormattings>
        <x14:conditionalFormatting xmlns:xm="http://schemas.microsoft.com/office/excel/2006/main">
          <x14:cfRule type="cellIs" priority="1" operator="notEqual" id="{6259D438-6EBB-49DE-A9F4-2D28ACA38D2E}">
            <xm:f>'1) Tableau budgétaire 1'!$J$84</xm:f>
            <x14:dxf>
              <font>
                <color rgb="FF9C0006"/>
              </font>
              <fill>
                <patternFill>
                  <bgColor rgb="FFFFC7CE"/>
                </patternFill>
              </fill>
            </x14:dxf>
          </x14:cfRule>
          <xm:sqref>J217</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F97206-DF8F-4C09-A3F6-6A5B9323F72F}">
  <sheetPr>
    <tabColor theme="2" tint="-0.499984740745262"/>
  </sheetPr>
  <dimension ref="B1:B14"/>
  <sheetViews>
    <sheetView showGridLines="0" workbookViewId="0"/>
  </sheetViews>
  <sheetFormatPr baseColWidth="10" defaultColWidth="8.81640625" defaultRowHeight="14.5" x14ac:dyDescent="0.35"/>
  <cols>
    <col min="2" max="2" width="73.26953125" customWidth="1"/>
  </cols>
  <sheetData>
    <row r="1" spans="2:2" ht="15" thickBot="1" x14ac:dyDescent="0.4"/>
    <row r="2" spans="2:2" ht="15" thickBot="1" x14ac:dyDescent="0.4">
      <c r="B2" s="87" t="s">
        <v>136</v>
      </c>
    </row>
    <row r="3" spans="2:2" ht="70.5" customHeight="1" x14ac:dyDescent="0.35">
      <c r="B3" s="88" t="s">
        <v>137</v>
      </c>
    </row>
    <row r="4" spans="2:2" ht="58" x14ac:dyDescent="0.35">
      <c r="B4" s="85" t="s">
        <v>138</v>
      </c>
    </row>
    <row r="5" spans="2:2" x14ac:dyDescent="0.35">
      <c r="B5" s="85"/>
    </row>
    <row r="6" spans="2:2" ht="58" x14ac:dyDescent="0.35">
      <c r="B6" s="84" t="s">
        <v>139</v>
      </c>
    </row>
    <row r="7" spans="2:2" x14ac:dyDescent="0.35">
      <c r="B7" s="85"/>
    </row>
    <row r="8" spans="2:2" ht="72.5" x14ac:dyDescent="0.35">
      <c r="B8" s="84" t="s">
        <v>140</v>
      </c>
    </row>
    <row r="9" spans="2:2" x14ac:dyDescent="0.35">
      <c r="B9" s="85"/>
    </row>
    <row r="10" spans="2:2" ht="29" x14ac:dyDescent="0.35">
      <c r="B10" s="85" t="s">
        <v>141</v>
      </c>
    </row>
    <row r="11" spans="2:2" x14ac:dyDescent="0.35">
      <c r="B11" s="85"/>
    </row>
    <row r="12" spans="2:2" ht="72.5" x14ac:dyDescent="0.35">
      <c r="B12" s="84" t="s">
        <v>142</v>
      </c>
    </row>
    <row r="13" spans="2:2" x14ac:dyDescent="0.35">
      <c r="B13" s="85"/>
    </row>
    <row r="14" spans="2:2" ht="58.5" thickBot="1" x14ac:dyDescent="0.4">
      <c r="B14" s="86" t="s">
        <v>143</v>
      </c>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9AB4F5-934D-4955-B89C-92351ADA92DB}">
  <sheetPr>
    <tabColor theme="2" tint="-0.499984740745262"/>
  </sheetPr>
  <dimension ref="B2:D31"/>
  <sheetViews>
    <sheetView showGridLines="0" showZeros="0" zoomScale="80" zoomScaleNormal="80" zoomScaleSheetLayoutView="70" workbookViewId="0">
      <selection activeCell="B10" sqref="B10"/>
    </sheetView>
  </sheetViews>
  <sheetFormatPr baseColWidth="10" defaultColWidth="8.81640625" defaultRowHeight="14.5" x14ac:dyDescent="0.35"/>
  <cols>
    <col min="2" max="2" width="60.7265625" customWidth="1"/>
    <col min="3" max="3" width="19.453125" customWidth="1"/>
    <col min="4" max="4" width="27.453125" customWidth="1"/>
  </cols>
  <sheetData>
    <row r="2" spans="2:4" x14ac:dyDescent="0.35">
      <c r="B2" s="364" t="s">
        <v>144</v>
      </c>
      <c r="C2" s="364"/>
      <c r="D2" s="364"/>
    </row>
    <row r="3" spans="2:4" x14ac:dyDescent="0.35">
      <c r="B3" s="364"/>
      <c r="C3" s="364"/>
      <c r="D3" s="364"/>
    </row>
    <row r="4" spans="2:4" x14ac:dyDescent="0.35">
      <c r="B4" s="268"/>
      <c r="C4" s="268"/>
      <c r="D4" s="268"/>
    </row>
    <row r="5" spans="2:4" x14ac:dyDescent="0.35">
      <c r="B5" s="367" t="s">
        <v>145</v>
      </c>
      <c r="C5" s="367"/>
      <c r="D5" s="367"/>
    </row>
    <row r="6" spans="2:4" x14ac:dyDescent="0.35">
      <c r="B6" s="366"/>
      <c r="C6" s="366"/>
      <c r="D6" s="366"/>
    </row>
    <row r="7" spans="2:4" x14ac:dyDescent="0.35">
      <c r="B7" s="55" t="s">
        <v>146</v>
      </c>
      <c r="C7" s="365" t="e">
        <f>SUM('1) Tableau budgétaire 1'!D22:F22,'1) Tableau budgétaire 1'!D27:F27,'1) Tableau budgétaire 1'!D32:F32,'1) Tableau budgétaire 1'!#REF!)</f>
        <v>#REF!</v>
      </c>
      <c r="D7" s="365"/>
    </row>
    <row r="8" spans="2:4" x14ac:dyDescent="0.35">
      <c r="B8" s="55" t="s">
        <v>147</v>
      </c>
      <c r="C8" s="365" t="e">
        <f>SUM(D10:D10)</f>
        <v>#REF!</v>
      </c>
      <c r="D8" s="365"/>
    </row>
    <row r="9" spans="2:4" x14ac:dyDescent="0.35">
      <c r="B9" s="55" t="s">
        <v>148</v>
      </c>
      <c r="C9" s="55" t="s">
        <v>149</v>
      </c>
      <c r="D9" s="55" t="s">
        <v>150</v>
      </c>
    </row>
    <row r="10" spans="2:4" ht="18" customHeight="1" x14ac:dyDescent="0.35">
      <c r="B10" s="269"/>
      <c r="C10" s="56"/>
      <c r="D10" s="270" t="e">
        <f>$C$7*C10</f>
        <v>#REF!</v>
      </c>
    </row>
    <row r="11" spans="2:4" x14ac:dyDescent="0.35">
      <c r="B11" s="268"/>
      <c r="C11" s="268"/>
      <c r="D11" s="268"/>
    </row>
    <row r="12" spans="2:4" x14ac:dyDescent="0.35">
      <c r="B12" s="367" t="s">
        <v>151</v>
      </c>
      <c r="C12" s="367"/>
      <c r="D12" s="367"/>
    </row>
    <row r="13" spans="2:4" x14ac:dyDescent="0.35">
      <c r="B13" s="368"/>
      <c r="C13" s="368"/>
      <c r="D13" s="368"/>
    </row>
    <row r="14" spans="2:4" x14ac:dyDescent="0.35">
      <c r="B14" s="55" t="s">
        <v>146</v>
      </c>
      <c r="C14" s="365" t="e">
        <f>SUM('1) Tableau budgétaire 1'!D37:F37,'1) Tableau budgétaire 1'!D46:F46,'1) Tableau budgétaire 1'!#REF!,'1) Tableau budgétaire 1'!#REF!)</f>
        <v>#REF!</v>
      </c>
      <c r="D14" s="365"/>
    </row>
    <row r="15" spans="2:4" x14ac:dyDescent="0.35">
      <c r="B15" s="55" t="s">
        <v>147</v>
      </c>
      <c r="C15" s="365" t="e">
        <f>SUM(D17:D17)</f>
        <v>#REF!</v>
      </c>
      <c r="D15" s="365"/>
    </row>
    <row r="16" spans="2:4" x14ac:dyDescent="0.35">
      <c r="B16" s="55" t="s">
        <v>148</v>
      </c>
      <c r="C16" s="55" t="s">
        <v>149</v>
      </c>
      <c r="D16" s="55" t="s">
        <v>150</v>
      </c>
    </row>
    <row r="17" spans="2:4" ht="18.649999999999999" customHeight="1" x14ac:dyDescent="0.35">
      <c r="B17" s="271"/>
      <c r="C17" s="56"/>
      <c r="D17" s="270" t="e">
        <f>$C$14*C17</f>
        <v>#REF!</v>
      </c>
    </row>
    <row r="18" spans="2:4" x14ac:dyDescent="0.35">
      <c r="B18" s="268"/>
      <c r="C18" s="268"/>
      <c r="D18" s="268"/>
    </row>
    <row r="19" spans="2:4" x14ac:dyDescent="0.35">
      <c r="B19" s="367" t="s">
        <v>152</v>
      </c>
      <c r="C19" s="367"/>
      <c r="D19" s="367"/>
    </row>
    <row r="20" spans="2:4" x14ac:dyDescent="0.35">
      <c r="B20" s="366"/>
      <c r="C20" s="366"/>
      <c r="D20" s="366"/>
    </row>
    <row r="21" spans="2:4" x14ac:dyDescent="0.35">
      <c r="B21" s="55" t="s">
        <v>146</v>
      </c>
      <c r="C21" s="365" t="e">
        <f>SUM('1) Tableau budgétaire 1'!D51:F51,'1) Tableau budgétaire 1'!D57:F57,'1) Tableau budgétaire 1'!#REF!,'1) Tableau budgétaire 1'!#REF!)</f>
        <v>#REF!</v>
      </c>
      <c r="D21" s="365"/>
    </row>
    <row r="22" spans="2:4" x14ac:dyDescent="0.35">
      <c r="B22" s="55" t="s">
        <v>147</v>
      </c>
      <c r="C22" s="365" t="e">
        <f>SUM(D24:D24)</f>
        <v>#REF!</v>
      </c>
      <c r="D22" s="365"/>
    </row>
    <row r="23" spans="2:4" x14ac:dyDescent="0.35">
      <c r="B23" s="55" t="s">
        <v>148</v>
      </c>
      <c r="C23" s="55" t="s">
        <v>149</v>
      </c>
      <c r="D23" s="55" t="s">
        <v>150</v>
      </c>
    </row>
    <row r="24" spans="2:4" ht="17.5" customHeight="1" x14ac:dyDescent="0.35">
      <c r="B24" s="271"/>
      <c r="C24" s="56"/>
      <c r="D24" s="270" t="e">
        <f>$C$21*C24</f>
        <v>#REF!</v>
      </c>
    </row>
    <row r="25" spans="2:4" x14ac:dyDescent="0.35">
      <c r="B25" s="268"/>
      <c r="C25" s="268"/>
      <c r="D25" s="268"/>
    </row>
    <row r="26" spans="2:4" x14ac:dyDescent="0.35">
      <c r="B26" s="367" t="s">
        <v>153</v>
      </c>
      <c r="C26" s="367"/>
      <c r="D26" s="367"/>
    </row>
    <row r="27" spans="2:4" x14ac:dyDescent="0.35">
      <c r="B27" s="366"/>
      <c r="C27" s="366"/>
      <c r="D27" s="366"/>
    </row>
    <row r="28" spans="2:4" x14ac:dyDescent="0.35">
      <c r="B28" s="55" t="s">
        <v>146</v>
      </c>
      <c r="C28" s="365" t="e">
        <f>SUM('1) Tableau budgétaire 1'!#REF!,'1) Tableau budgétaire 1'!#REF!,'1) Tableau budgétaire 1'!#REF!,'1) Tableau budgétaire 1'!#REF!)</f>
        <v>#REF!</v>
      </c>
      <c r="D28" s="365"/>
    </row>
    <row r="29" spans="2:4" x14ac:dyDescent="0.35">
      <c r="B29" s="55" t="s">
        <v>147</v>
      </c>
      <c r="C29" s="365" t="e">
        <f>SUM(D31:D31)</f>
        <v>#REF!</v>
      </c>
      <c r="D29" s="365"/>
    </row>
    <row r="30" spans="2:4" x14ac:dyDescent="0.35">
      <c r="B30" s="55" t="s">
        <v>148</v>
      </c>
      <c r="C30" s="55" t="s">
        <v>149</v>
      </c>
      <c r="D30" s="55" t="s">
        <v>150</v>
      </c>
    </row>
    <row r="31" spans="2:4" ht="13.5" customHeight="1" x14ac:dyDescent="0.35">
      <c r="B31" s="271"/>
      <c r="C31" s="56"/>
      <c r="D31" s="270" t="e">
        <f>$C$28*C31</f>
        <v>#REF!</v>
      </c>
    </row>
  </sheetData>
  <mergeCells count="17">
    <mergeCell ref="C29:D29"/>
    <mergeCell ref="C21:D21"/>
    <mergeCell ref="B26:D26"/>
    <mergeCell ref="B27:D27"/>
    <mergeCell ref="C28:D28"/>
    <mergeCell ref="C15:D15"/>
    <mergeCell ref="C22:D22"/>
    <mergeCell ref="B12:D12"/>
    <mergeCell ref="B13:D13"/>
    <mergeCell ref="C14:D14"/>
    <mergeCell ref="B19:D19"/>
    <mergeCell ref="B20:D20"/>
    <mergeCell ref="B2:D3"/>
    <mergeCell ref="C7:D7"/>
    <mergeCell ref="B6:D6"/>
    <mergeCell ref="B5:D5"/>
    <mergeCell ref="C8:D8"/>
  </mergeCells>
  <conditionalFormatting sqref="C22:D22">
    <cfRule type="cellIs" dxfId="5" priority="2" operator="greaterThan">
      <formula>$C$21</formula>
    </cfRule>
    <cfRule type="cellIs" dxfId="4" priority="5" operator="greaterThan">
      <formula>$C$21</formula>
    </cfRule>
  </conditionalFormatting>
  <conditionalFormatting sqref="C8:D8">
    <cfRule type="cellIs" dxfId="3" priority="4" operator="greaterThan">
      <formula>$C$7</formula>
    </cfRule>
  </conditionalFormatting>
  <conditionalFormatting sqref="C15:D15">
    <cfRule type="cellIs" dxfId="2" priority="3" operator="greaterThan">
      <formula>$C$14</formula>
    </cfRule>
  </conditionalFormatting>
  <conditionalFormatting sqref="C29:D29">
    <cfRule type="cellIs" dxfId="1" priority="1" operator="greaterThan">
      <formula>$C$28</formula>
    </cfRule>
  </conditionalFormatting>
  <pageMargins left="0.7" right="0.7" top="0.75" bottom="0.75" header="0.3" footer="0.3"/>
  <pageSetup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62FAA82D-1219-4AF1-90B6-46166E5347E9}">
          <x14:formula1>
            <xm:f>Sheet2!$A$1:$A$170</xm:f>
          </x14:formula1>
          <xm:sqref>B10 B17 B24 B31</xm:sqref>
        </x14:dataValidation>
        <x14:dataValidation type="list" allowBlank="1" showInputMessage="1" showErrorMessage="1" xr:uid="{0777CB22-5B10-42BE-9A12-0810C4C8B0D2}">
          <x14:formula1>
            <xm:f>Dropdowns!$A$1:$A$6</xm:f>
          </x14:formula1>
          <xm:sqref>C10 C17 C24 C31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777D0F-866A-4EFE-9FA3-9BBB9DEE4E64}">
  <sheetPr>
    <tabColor theme="2" tint="-0.499984740745262"/>
  </sheetPr>
  <dimension ref="B1:L25"/>
  <sheetViews>
    <sheetView showGridLines="0" zoomScale="80" zoomScaleNormal="80" workbookViewId="0">
      <selection activeCell="L9" sqref="L9"/>
    </sheetView>
  </sheetViews>
  <sheetFormatPr baseColWidth="10" defaultColWidth="8.81640625" defaultRowHeight="14.5" x14ac:dyDescent="0.35"/>
  <cols>
    <col min="1" max="1" width="1.1796875" customWidth="1"/>
    <col min="2" max="2" width="13.81640625" customWidth="1"/>
    <col min="3" max="3" width="15.453125" customWidth="1"/>
    <col min="4" max="5" width="15.7265625" customWidth="1"/>
    <col min="6" max="6" width="15.1796875" customWidth="1"/>
    <col min="7" max="8" width="16" customWidth="1"/>
    <col min="9" max="9" width="15.54296875" customWidth="1"/>
    <col min="10" max="10" width="8.54296875" customWidth="1"/>
    <col min="11" max="11" width="21.7265625" customWidth="1"/>
    <col min="12" max="13" width="15.81640625" bestFit="1" customWidth="1"/>
    <col min="14" max="14" width="11.1796875" bestFit="1" customWidth="1"/>
  </cols>
  <sheetData>
    <row r="1" spans="2:9" ht="15" thickBot="1" x14ac:dyDescent="0.4"/>
    <row r="2" spans="2:9" s="49" customFormat="1" ht="15.5" x14ac:dyDescent="0.35">
      <c r="B2" s="369" t="s">
        <v>154</v>
      </c>
      <c r="C2" s="370"/>
      <c r="D2" s="370"/>
      <c r="E2" s="370"/>
      <c r="F2" s="370"/>
      <c r="G2" s="370"/>
      <c r="H2" s="370"/>
      <c r="I2" s="371"/>
    </row>
    <row r="3" spans="2:9" s="49" customFormat="1" ht="16" thickBot="1" x14ac:dyDescent="0.4">
      <c r="B3" s="372"/>
      <c r="C3" s="373"/>
      <c r="D3" s="373"/>
      <c r="E3" s="373"/>
      <c r="F3" s="373"/>
      <c r="G3" s="373"/>
      <c r="H3" s="373"/>
      <c r="I3" s="374"/>
    </row>
    <row r="4" spans="2:9" s="49" customFormat="1" ht="15.5" x14ac:dyDescent="0.35">
      <c r="B4" s="267"/>
      <c r="C4" s="267"/>
      <c r="D4" s="267"/>
      <c r="E4" s="267"/>
      <c r="F4" s="267"/>
      <c r="G4" s="267"/>
      <c r="H4" s="267"/>
      <c r="I4" s="267"/>
    </row>
    <row r="5" spans="2:9" s="49" customFormat="1" ht="16" thickBot="1" x14ac:dyDescent="0.4">
      <c r="B5" s="267"/>
      <c r="C5" s="267"/>
      <c r="D5" s="267"/>
      <c r="E5" s="267"/>
      <c r="F5" s="267"/>
      <c r="G5" s="267"/>
      <c r="H5" s="267"/>
      <c r="I5" s="267"/>
    </row>
    <row r="6" spans="2:9" s="49" customFormat="1" ht="16" thickBot="1" x14ac:dyDescent="0.4">
      <c r="B6" s="352" t="s">
        <v>155</v>
      </c>
      <c r="C6" s="353"/>
      <c r="D6" s="353"/>
      <c r="E6" s="353"/>
      <c r="F6" s="353"/>
      <c r="G6" s="353"/>
      <c r="H6" s="353"/>
      <c r="I6" s="354"/>
    </row>
    <row r="7" spans="2:9" s="49" customFormat="1" ht="31" x14ac:dyDescent="0.35">
      <c r="B7" s="48"/>
      <c r="C7" s="8" t="s">
        <v>72</v>
      </c>
      <c r="D7" s="8" t="s">
        <v>73</v>
      </c>
      <c r="E7" s="8" t="s">
        <v>74</v>
      </c>
      <c r="F7" s="8" t="s">
        <v>75</v>
      </c>
      <c r="G7" s="8" t="s">
        <v>75</v>
      </c>
      <c r="H7" s="8" t="s">
        <v>552</v>
      </c>
      <c r="I7" s="345" t="s">
        <v>155</v>
      </c>
    </row>
    <row r="8" spans="2:9" s="49" customFormat="1" ht="15.5" x14ac:dyDescent="0.35">
      <c r="B8" s="48"/>
      <c r="C8" s="149" t="str">
        <f>'1) Tableau budgétaire 1'!D81</f>
        <v>PNUD GUINEE</v>
      </c>
      <c r="D8" s="158" t="str">
        <f>'1) Tableau budgétaire 1'!E81</f>
        <v>PNUD MALI</v>
      </c>
      <c r="E8" s="170" t="str">
        <f>'1) Tableau budgétaire 1'!F81</f>
        <v>UNFPA GUINEE</v>
      </c>
      <c r="F8" s="180" t="str">
        <f>'1) Tableau budgétaire 1'!G81</f>
        <v>UNFPA MALI</v>
      </c>
      <c r="G8" s="191" t="str">
        <f>'1) Tableau budgétaire 1'!H81</f>
        <v>UNODC GUINEE</v>
      </c>
      <c r="H8" s="191" t="str">
        <f>'1) Tableau budgétaire 1'!I81</f>
        <v>UNODC MALI</v>
      </c>
      <c r="I8" s="320"/>
    </row>
    <row r="9" spans="2:9" s="49" customFormat="1" ht="46.5" x14ac:dyDescent="0.35">
      <c r="B9" s="9" t="s">
        <v>157</v>
      </c>
      <c r="C9" s="272">
        <f>'2) Tableau budgétaire 2'!D208</f>
        <v>206000</v>
      </c>
      <c r="D9" s="272">
        <f>'2) Tableau budgétaire 2'!E208</f>
        <v>135000</v>
      </c>
      <c r="E9" s="272">
        <f>'2) Tableau budgétaire 2'!F208</f>
        <v>70000</v>
      </c>
      <c r="F9" s="272">
        <f>'2) Tableau budgétaire 2'!G208</f>
        <v>70000</v>
      </c>
      <c r="G9" s="272">
        <f>'2) Tableau budgétaire 2'!H208</f>
        <v>36400</v>
      </c>
      <c r="H9" s="272">
        <f>'2) Tableau budgétaire 2'!I208</f>
        <v>28600</v>
      </c>
      <c r="I9" s="273">
        <f>SUM(C9:H9)</f>
        <v>546000</v>
      </c>
    </row>
    <row r="10" spans="2:9" s="49" customFormat="1" ht="46.5" x14ac:dyDescent="0.35">
      <c r="B10" s="9" t="s">
        <v>158</v>
      </c>
      <c r="C10" s="272">
        <f>'2) Tableau budgétaire 2'!D209</f>
        <v>22000</v>
      </c>
      <c r="D10" s="272">
        <f>'2) Tableau budgétaire 2'!E209</f>
        <v>46800</v>
      </c>
      <c r="E10" s="272">
        <f>'2) Tableau budgétaire 2'!F209</f>
        <v>9000</v>
      </c>
      <c r="F10" s="272">
        <f>'2) Tableau budgétaire 2'!G209</f>
        <v>9000</v>
      </c>
      <c r="G10" s="272">
        <f>'2) Tableau budgétaire 2'!H209</f>
        <v>8400.0000000000018</v>
      </c>
      <c r="H10" s="272">
        <f>'2) Tableau budgétaire 2'!I209</f>
        <v>6600</v>
      </c>
      <c r="I10" s="273">
        <f t="shared" ref="I10:I15" si="0">SUM(C10:H10)</f>
        <v>101800</v>
      </c>
    </row>
    <row r="11" spans="2:9" s="49" customFormat="1" ht="77.5" customHeight="1" x14ac:dyDescent="0.35">
      <c r="B11" s="9" t="s">
        <v>159</v>
      </c>
      <c r="C11" s="272">
        <f>'2) Tableau budgétaire 2'!D210</f>
        <v>25000</v>
      </c>
      <c r="D11" s="272">
        <f>'2) Tableau budgétaire 2'!E210</f>
        <v>0</v>
      </c>
      <c r="E11" s="272">
        <f>'2) Tableau budgétaire 2'!F210</f>
        <v>15000</v>
      </c>
      <c r="F11" s="272">
        <f>'2) Tableau budgétaire 2'!G210</f>
        <v>15000</v>
      </c>
      <c r="G11" s="272">
        <f>'2) Tableau budgétaire 2'!H210</f>
        <v>22400</v>
      </c>
      <c r="H11" s="272">
        <f>'2) Tableau budgétaire 2'!I210</f>
        <v>17600</v>
      </c>
      <c r="I11" s="273">
        <f t="shared" si="0"/>
        <v>95000</v>
      </c>
    </row>
    <row r="12" spans="2:9" s="49" customFormat="1" ht="46.5" x14ac:dyDescent="0.35">
      <c r="B12" s="17" t="s">
        <v>160</v>
      </c>
      <c r="C12" s="272">
        <f>'2) Tableau budgétaire 2'!D211</f>
        <v>265000</v>
      </c>
      <c r="D12" s="272">
        <f>'2) Tableau budgétaire 2'!E211</f>
        <v>110773.83199999999</v>
      </c>
      <c r="E12" s="272">
        <f>'2) Tableau budgétaire 2'!F211</f>
        <v>130000</v>
      </c>
      <c r="F12" s="272">
        <f>'2) Tableau budgétaire 2'!G211</f>
        <v>130000</v>
      </c>
      <c r="G12" s="272">
        <f>'2) Tableau budgétaire 2'!H211</f>
        <v>96124.000000000015</v>
      </c>
      <c r="H12" s="272">
        <f>'2) Tableau budgétaire 2'!I211</f>
        <v>75526</v>
      </c>
      <c r="I12" s="273">
        <f t="shared" si="0"/>
        <v>807423.83199999994</v>
      </c>
    </row>
    <row r="13" spans="2:9" s="49" customFormat="1" ht="15.5" x14ac:dyDescent="0.35">
      <c r="B13" s="9" t="s">
        <v>161</v>
      </c>
      <c r="C13" s="272">
        <f>'2) Tableau budgétaire 2'!D212</f>
        <v>155000</v>
      </c>
      <c r="D13" s="272">
        <f>'2) Tableau budgétaire 2'!E212</f>
        <v>196715.88800000001</v>
      </c>
      <c r="E13" s="272">
        <f>'2) Tableau budgétaire 2'!F212</f>
        <v>43000</v>
      </c>
      <c r="F13" s="272">
        <f>'2) Tableau budgétaire 2'!G212</f>
        <v>51000</v>
      </c>
      <c r="G13" s="272">
        <f>'2) Tableau budgétaire 2'!H212</f>
        <v>67592</v>
      </c>
      <c r="H13" s="272">
        <f>'2) Tableau budgétaire 2'!I212</f>
        <v>53108</v>
      </c>
      <c r="I13" s="273">
        <f t="shared" si="0"/>
        <v>566415.88800000004</v>
      </c>
    </row>
    <row r="14" spans="2:9" s="49" customFormat="1" ht="49" customHeight="1" x14ac:dyDescent="0.35">
      <c r="B14" s="9" t="s">
        <v>162</v>
      </c>
      <c r="C14" s="272">
        <f>'2) Tableau budgétaire 2'!D213</f>
        <v>491000</v>
      </c>
      <c r="D14" s="272">
        <f>'2) Tableau budgétaire 2'!E213</f>
        <v>410289.72</v>
      </c>
      <c r="E14" s="272">
        <f>'2) Tableau budgétaire 2'!F213</f>
        <v>370000</v>
      </c>
      <c r="F14" s="272">
        <f>'2) Tableau budgétaire 2'!G213</f>
        <v>370000</v>
      </c>
      <c r="G14" s="272">
        <f>'2) Tableau budgétaire 2'!H213</f>
        <v>28000.000000000004</v>
      </c>
      <c r="H14" s="272">
        <f>'2) Tableau budgétaire 2'!I213</f>
        <v>22000</v>
      </c>
      <c r="I14" s="273">
        <f t="shared" si="0"/>
        <v>1691289.72</v>
      </c>
    </row>
    <row r="15" spans="2:9" s="49" customFormat="1" ht="46" customHeight="1" thickBot="1" x14ac:dyDescent="0.4">
      <c r="B15" s="90" t="s">
        <v>163</v>
      </c>
      <c r="C15" s="274">
        <f>'2) Tableau budgétaire 2'!D214</f>
        <v>22000</v>
      </c>
      <c r="D15" s="274">
        <f>'2) Tableau budgétaire 2'!E214</f>
        <v>40000</v>
      </c>
      <c r="E15" s="274">
        <f>'2) Tableau budgétaire 2'!F214</f>
        <v>18000</v>
      </c>
      <c r="F15" s="274">
        <f>'2) Tableau budgétaire 2'!G214</f>
        <v>18000</v>
      </c>
      <c r="G15" s="274">
        <f>'2) Tableau budgétaire 2'!H214</f>
        <v>26584</v>
      </c>
      <c r="H15" s="274">
        <f>'2) Tableau budgétaire 2'!I214</f>
        <v>17066</v>
      </c>
      <c r="I15" s="273">
        <f t="shared" si="0"/>
        <v>141650</v>
      </c>
    </row>
    <row r="16" spans="2:9" s="49" customFormat="1" ht="18.649999999999999" customHeight="1" x14ac:dyDescent="0.35">
      <c r="B16" s="139" t="s">
        <v>164</v>
      </c>
      <c r="C16" s="275">
        <f>SUM(C9:C15)</f>
        <v>1186000</v>
      </c>
      <c r="D16" s="275">
        <f t="shared" ref="D16:H16" si="1">SUM(D9:D15)</f>
        <v>939579.44</v>
      </c>
      <c r="E16" s="275">
        <f t="shared" si="1"/>
        <v>655000</v>
      </c>
      <c r="F16" s="275">
        <f t="shared" si="1"/>
        <v>663000</v>
      </c>
      <c r="G16" s="275">
        <f t="shared" si="1"/>
        <v>285500</v>
      </c>
      <c r="H16" s="275">
        <f t="shared" si="1"/>
        <v>220500</v>
      </c>
      <c r="I16" s="276">
        <f>SUM(I9:I15)</f>
        <v>3949579.4399999995</v>
      </c>
    </row>
    <row r="17" spans="2:12" s="49" customFormat="1" ht="17.5" customHeight="1" x14ac:dyDescent="0.35">
      <c r="B17" s="140" t="s">
        <v>165</v>
      </c>
      <c r="C17" s="12">
        <f>C16*0.07</f>
        <v>83020.000000000015</v>
      </c>
      <c r="D17" s="12">
        <f t="shared" ref="D17:H17" si="2">D16*0.07</f>
        <v>65770.560800000007</v>
      </c>
      <c r="E17" s="12">
        <f t="shared" si="2"/>
        <v>45850.000000000007</v>
      </c>
      <c r="F17" s="12">
        <f t="shared" si="2"/>
        <v>46410.000000000007</v>
      </c>
      <c r="G17" s="12">
        <f t="shared" si="2"/>
        <v>19985.000000000004</v>
      </c>
      <c r="H17" s="12">
        <f t="shared" si="2"/>
        <v>15435.000000000002</v>
      </c>
      <c r="I17" s="277">
        <f>I16*0.07</f>
        <v>276470.56079999998</v>
      </c>
    </row>
    <row r="18" spans="2:12" s="49" customFormat="1" ht="18.649999999999999" customHeight="1" thickBot="1" x14ac:dyDescent="0.4">
      <c r="B18" s="89" t="s">
        <v>9</v>
      </c>
      <c r="C18" s="278">
        <f>C16+C17</f>
        <v>1269020</v>
      </c>
      <c r="D18" s="278">
        <f t="shared" ref="D18:H18" si="3">D16+D17</f>
        <v>1005350.0007999999</v>
      </c>
      <c r="E18" s="278">
        <f t="shared" si="3"/>
        <v>700850</v>
      </c>
      <c r="F18" s="278">
        <f t="shared" si="3"/>
        <v>709410</v>
      </c>
      <c r="G18" s="278">
        <f t="shared" si="3"/>
        <v>305485</v>
      </c>
      <c r="H18" s="278">
        <f t="shared" si="3"/>
        <v>235935</v>
      </c>
      <c r="I18" s="279">
        <f>I16+I17</f>
        <v>4226050.0007999996</v>
      </c>
      <c r="J18" s="138"/>
    </row>
    <row r="19" spans="2:12" s="49" customFormat="1" ht="16" thickBot="1" x14ac:dyDescent="0.4">
      <c r="B19" s="138"/>
      <c r="C19" s="138"/>
      <c r="D19" s="138"/>
      <c r="E19" s="138"/>
      <c r="F19" s="138"/>
      <c r="G19" s="138"/>
      <c r="H19" s="138"/>
      <c r="I19" s="138"/>
      <c r="J19" s="138"/>
    </row>
    <row r="20" spans="2:12" s="49" customFormat="1" ht="15.5" x14ac:dyDescent="0.35">
      <c r="B20" s="308" t="s">
        <v>166</v>
      </c>
      <c r="C20" s="309"/>
      <c r="D20" s="309"/>
      <c r="E20" s="309"/>
      <c r="F20" s="310"/>
      <c r="G20" s="310"/>
      <c r="H20" s="310"/>
      <c r="I20" s="311"/>
      <c r="J20" s="138"/>
    </row>
    <row r="21" spans="2:12" ht="31" x14ac:dyDescent="0.35">
      <c r="B21" s="15"/>
      <c r="C21" s="13" t="s">
        <v>167</v>
      </c>
      <c r="D21" s="13" t="s">
        <v>168</v>
      </c>
      <c r="E21" s="13" t="s">
        <v>169</v>
      </c>
      <c r="F21" s="39" t="s">
        <v>156</v>
      </c>
      <c r="G21" s="39" t="s">
        <v>547</v>
      </c>
      <c r="H21" s="39" t="s">
        <v>554</v>
      </c>
      <c r="I21" s="16" t="s">
        <v>135</v>
      </c>
      <c r="J21" s="107" t="s">
        <v>79</v>
      </c>
      <c r="L21" s="77"/>
    </row>
    <row r="22" spans="2:12" ht="15.5" x14ac:dyDescent="0.35">
      <c r="B22" s="15"/>
      <c r="C22" s="149" t="str">
        <f>'1) Tableau budgétaire 1'!D13</f>
        <v>PNUD GUINEE</v>
      </c>
      <c r="D22" s="158" t="str">
        <f>'1) Tableau budgétaire 1'!E13</f>
        <v>PNUD MALI</v>
      </c>
      <c r="E22" s="170" t="str">
        <f>'1) Tableau budgétaire 1'!F13</f>
        <v>UNFPA GUINEE</v>
      </c>
      <c r="F22" s="180" t="str">
        <f>'1) Tableau budgétaire 1'!G13</f>
        <v>UNFPA MALI</v>
      </c>
      <c r="G22" s="191" t="str">
        <f>'1) Tableau budgétaire 1'!H13</f>
        <v>UNODC GUINEE</v>
      </c>
      <c r="H22" s="191" t="str">
        <f>'1) Tableau budgétaire 1'!I13</f>
        <v>UNODC MALI</v>
      </c>
      <c r="I22" s="16"/>
      <c r="J22" s="107"/>
    </row>
    <row r="23" spans="2:12" ht="20.149999999999999" customHeight="1" x14ac:dyDescent="0.35">
      <c r="B23" s="14" t="s">
        <v>170</v>
      </c>
      <c r="C23" s="12">
        <f>'1) Tableau budgétaire 1'!D90</f>
        <v>888314</v>
      </c>
      <c r="D23" s="12">
        <f>'1) Tableau budgétaire 1'!E90</f>
        <v>703745.00055999996</v>
      </c>
      <c r="E23" s="12">
        <f>'1) Tableau budgétaire 1'!F90</f>
        <v>490594.99999999994</v>
      </c>
      <c r="F23" s="12">
        <f>'1) Tableau budgétaire 1'!G90</f>
        <v>496586.99999999994</v>
      </c>
      <c r="G23" s="12">
        <f>'1) Tableau budgétaire 1'!H90</f>
        <v>213839.5</v>
      </c>
      <c r="H23" s="12">
        <f>'1) Tableau budgétaire 1'!I90</f>
        <v>165154.5</v>
      </c>
      <c r="I23" s="106">
        <f>I18*70%</f>
        <v>2958235.0005599996</v>
      </c>
      <c r="J23" s="108">
        <f>'1) Tableau budgétaire 1'!K90</f>
        <v>0.7</v>
      </c>
    </row>
    <row r="24" spans="2:12" ht="26.5" customHeight="1" x14ac:dyDescent="0.35">
      <c r="B24" s="14" t="s">
        <v>171</v>
      </c>
      <c r="C24" s="12">
        <f>'1) Tableau budgétaire 1'!D91</f>
        <v>380706</v>
      </c>
      <c r="D24" s="12">
        <f>'1) Tableau budgétaire 1'!E91</f>
        <v>301605.00023999996</v>
      </c>
      <c r="E24" s="12">
        <f>'1) Tableau budgétaire 1'!F91</f>
        <v>210255</v>
      </c>
      <c r="F24" s="12">
        <f>'1) Tableau budgétaire 1'!G91</f>
        <v>212823</v>
      </c>
      <c r="G24" s="12">
        <f>'1) Tableau budgétaire 1'!H91</f>
        <v>91645.5</v>
      </c>
      <c r="H24" s="12">
        <f>'1) Tableau budgétaire 1'!I91</f>
        <v>70780.5</v>
      </c>
      <c r="I24" s="106">
        <f>I18*30%</f>
        <v>1267815.0002399997</v>
      </c>
      <c r="J24" s="108">
        <f>'1) Tableau budgétaire 1'!K91</f>
        <v>0.3</v>
      </c>
    </row>
    <row r="25" spans="2:12" ht="16" thickBot="1" x14ac:dyDescent="0.4">
      <c r="B25" s="6" t="s">
        <v>135</v>
      </c>
      <c r="C25" s="109">
        <f t="shared" ref="C25:I25" si="4">SUM(C23:C24)</f>
        <v>1269020</v>
      </c>
      <c r="D25" s="109">
        <f t="shared" si="4"/>
        <v>1005350.0007999999</v>
      </c>
      <c r="E25" s="109">
        <f t="shared" si="4"/>
        <v>700850</v>
      </c>
      <c r="F25" s="109">
        <f t="shared" si="4"/>
        <v>709410</v>
      </c>
      <c r="G25" s="109">
        <f t="shared" si="4"/>
        <v>305485</v>
      </c>
      <c r="H25" s="109">
        <f t="shared" si="4"/>
        <v>235935</v>
      </c>
      <c r="I25" s="109">
        <f t="shared" si="4"/>
        <v>4226050.0007999996</v>
      </c>
    </row>
  </sheetData>
  <sheetProtection formatCells="0" formatColumns="0" formatRows="0"/>
  <mergeCells count="4">
    <mergeCell ref="B20:I20"/>
    <mergeCell ref="B6:I6"/>
    <mergeCell ref="I7:I8"/>
    <mergeCell ref="B2:I3"/>
  </mergeCells>
  <phoneticPr fontId="24" type="noConversion"/>
  <dataValidations count="7">
    <dataValidation allowBlank="1" showInputMessage="1" showErrorMessage="1" prompt="Includes all related staff and temporary staff costs including base salary, post adjustment and all staff entitlements." sqref="B9" xr:uid="{685C32D9-A29E-4AB3-A589-E17EED1B2D70}"/>
    <dataValidation allowBlank="1" showInputMessage="1" showErrorMessage="1" prompt="Includes all direct and indirect costs (e.g. freight, transport, delivery, distribution) associated with procurement of supplies, commodities and materials. Office supplies should be reported as &quot;General Operating&quot;." sqref="B10" xr:uid="{E9DDC0AE-2185-45F7-BFCB-FDA525A480C6}"/>
    <dataValidation allowBlank="1" showInputMessage="1" showErrorMessage="1" prompt="For those reporting assets on UNSAS or modified UNSAS basis (i.e. expense up front) this would relate to all costs to put asset into service. For those who do donor reports according to IPSAS this would equal depreciation for period." sqref="B11" xr:uid="{77711502-57BE-4DB4-AF61-EF9806395508}"/>
    <dataValidation allowBlank="1" showInputMessage="1" showErrorMessage="1" prompt="Includes staff and non-staff travel paid for by the organization directly related to a project." sqref="B13" xr:uid="{7599ADEE-72AD-45B4-93A0-EDFAEB4D5077}"/>
    <dataValidation allowBlank="1" showInputMessage="1" showErrorMessage="1" prompt="Services contracted by an organization which follow the normal procurement processes." sqref="B12" xr:uid="{E0DB3F96-9659-4639-AF80-B798EAC818A8}"/>
    <dataValidation allowBlank="1" showInputMessage="1" showErrorMessage="1" prompt="Includes transfers to national counterparts and any other transfers given to an implementing partner (e.g. NGO) which is not similar to a commercial service contract as per above. In IPSAS terms this would be more similar to non-exchange transactions." sqref="B14" xr:uid="{2F0DD795-5EC8-483B-85A0-4555258DC886}"/>
    <dataValidation allowBlank="1" showInputMessage="1" showErrorMessage="1" prompt=" Includes all general operating costs for running an office. Examples include telecommunication, rents, finance charges and other costs which cannot be mapped to other expense categories." sqref="B15" xr:uid="{D281C19F-1EF8-4A9D-BA14-51718AA1EA2B}"/>
  </dataValidations>
  <pageMargins left="0.7" right="0.7" top="0.75" bottom="0.75" header="0.3" footer="0.3"/>
  <pageSetup orientation="landscape" r:id="rId1"/>
  <extLst>
    <ext xmlns:x14="http://schemas.microsoft.com/office/spreadsheetml/2009/9/main" uri="{78C0D931-6437-407d-A8EE-F0AAD7539E65}">
      <x14:conditionalFormattings>
        <x14:conditionalFormatting xmlns:xm="http://schemas.microsoft.com/office/excel/2006/main">
          <x14:cfRule type="cellIs" priority="1" operator="notEqual" id="{6A746277-8EB3-4E89-A065-2769BD4F1948}">
            <xm:f>'1) Tableau budgétaire 1'!$J$84</xm:f>
            <x14:dxf>
              <font>
                <color rgb="FF9C0006"/>
              </font>
              <fill>
                <patternFill>
                  <bgColor rgb="FFFFC7CE"/>
                </patternFill>
              </fill>
            </x14:dxf>
          </x14:cfRule>
          <xm:sqref>I18</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885465-8CD8-428B-8440-C6A70E3F1392}">
  <sheetPr>
    <tabColor theme="2" tint="-0.499984740745262"/>
  </sheetPr>
  <dimension ref="A1:A6"/>
  <sheetViews>
    <sheetView workbookViewId="0">
      <selection activeCell="A9" sqref="A9"/>
    </sheetView>
  </sheetViews>
  <sheetFormatPr baseColWidth="10" defaultColWidth="8.81640625" defaultRowHeight="14.5" x14ac:dyDescent="0.35"/>
  <sheetData>
    <row r="1" spans="1:1" x14ac:dyDescent="0.35">
      <c r="A1" s="77">
        <v>0</v>
      </c>
    </row>
    <row r="2" spans="1:1" x14ac:dyDescent="0.35">
      <c r="A2" s="77">
        <v>0.2</v>
      </c>
    </row>
    <row r="3" spans="1:1" x14ac:dyDescent="0.35">
      <c r="A3" s="77">
        <v>0.4</v>
      </c>
    </row>
    <row r="4" spans="1:1" x14ac:dyDescent="0.35">
      <c r="A4" s="77">
        <v>0.6</v>
      </c>
    </row>
    <row r="5" spans="1:1" x14ac:dyDescent="0.35">
      <c r="A5" s="77">
        <v>0.8</v>
      </c>
    </row>
    <row r="6" spans="1:1" x14ac:dyDescent="0.35">
      <c r="A6" s="77">
        <v>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0AD6C3-7045-4784-9A71-26257C808563}">
  <dimension ref="A1:B170"/>
  <sheetViews>
    <sheetView topLeftCell="A148" workbookViewId="0">
      <selection activeCell="D3" sqref="D3"/>
    </sheetView>
  </sheetViews>
  <sheetFormatPr baseColWidth="10" defaultColWidth="8.81640625" defaultRowHeight="14.5" x14ac:dyDescent="0.35"/>
  <sheetData>
    <row r="1" spans="1:2" x14ac:dyDescent="0.35">
      <c r="A1" s="50" t="s">
        <v>172</v>
      </c>
      <c r="B1" s="51" t="s">
        <v>173</v>
      </c>
    </row>
    <row r="2" spans="1:2" x14ac:dyDescent="0.35">
      <c r="A2" s="52" t="s">
        <v>174</v>
      </c>
      <c r="B2" s="53" t="s">
        <v>175</v>
      </c>
    </row>
    <row r="3" spans="1:2" x14ac:dyDescent="0.35">
      <c r="A3" s="52" t="s">
        <v>176</v>
      </c>
      <c r="B3" s="53" t="s">
        <v>177</v>
      </c>
    </row>
    <row r="4" spans="1:2" x14ac:dyDescent="0.35">
      <c r="A4" s="52" t="s">
        <v>178</v>
      </c>
      <c r="B4" s="53" t="s">
        <v>179</v>
      </c>
    </row>
    <row r="5" spans="1:2" x14ac:dyDescent="0.35">
      <c r="A5" s="52" t="s">
        <v>180</v>
      </c>
      <c r="B5" s="53" t="s">
        <v>181</v>
      </c>
    </row>
    <row r="6" spans="1:2" x14ac:dyDescent="0.35">
      <c r="A6" s="52" t="s">
        <v>182</v>
      </c>
      <c r="B6" s="53" t="s">
        <v>183</v>
      </c>
    </row>
    <row r="7" spans="1:2" x14ac:dyDescent="0.35">
      <c r="A7" s="52" t="s">
        <v>184</v>
      </c>
      <c r="B7" s="53" t="s">
        <v>185</v>
      </c>
    </row>
    <row r="8" spans="1:2" x14ac:dyDescent="0.35">
      <c r="A8" s="52" t="s">
        <v>186</v>
      </c>
      <c r="B8" s="53" t="s">
        <v>187</v>
      </c>
    </row>
    <row r="9" spans="1:2" x14ac:dyDescent="0.35">
      <c r="A9" s="52" t="s">
        <v>188</v>
      </c>
      <c r="B9" s="53" t="s">
        <v>189</v>
      </c>
    </row>
    <row r="10" spans="1:2" x14ac:dyDescent="0.35">
      <c r="A10" s="52" t="s">
        <v>190</v>
      </c>
      <c r="B10" s="53" t="s">
        <v>191</v>
      </c>
    </row>
    <row r="11" spans="1:2" x14ac:dyDescent="0.35">
      <c r="A11" s="52" t="s">
        <v>192</v>
      </c>
      <c r="B11" s="53" t="s">
        <v>193</v>
      </c>
    </row>
    <row r="12" spans="1:2" x14ac:dyDescent="0.35">
      <c r="A12" s="52" t="s">
        <v>194</v>
      </c>
      <c r="B12" s="53" t="s">
        <v>195</v>
      </c>
    </row>
    <row r="13" spans="1:2" x14ac:dyDescent="0.35">
      <c r="A13" s="52" t="s">
        <v>196</v>
      </c>
      <c r="B13" s="53" t="s">
        <v>197</v>
      </c>
    </row>
    <row r="14" spans="1:2" x14ac:dyDescent="0.35">
      <c r="A14" s="52" t="s">
        <v>198</v>
      </c>
      <c r="B14" s="53" t="s">
        <v>199</v>
      </c>
    </row>
    <row r="15" spans="1:2" x14ac:dyDescent="0.35">
      <c r="A15" s="52" t="s">
        <v>200</v>
      </c>
      <c r="B15" s="53" t="s">
        <v>201</v>
      </c>
    </row>
    <row r="16" spans="1:2" x14ac:dyDescent="0.35">
      <c r="A16" s="52" t="s">
        <v>202</v>
      </c>
      <c r="B16" s="53" t="s">
        <v>203</v>
      </c>
    </row>
    <row r="17" spans="1:2" x14ac:dyDescent="0.35">
      <c r="A17" s="52" t="s">
        <v>204</v>
      </c>
      <c r="B17" s="53" t="s">
        <v>205</v>
      </c>
    </row>
    <row r="18" spans="1:2" x14ac:dyDescent="0.35">
      <c r="A18" s="52" t="s">
        <v>206</v>
      </c>
      <c r="B18" s="53" t="s">
        <v>207</v>
      </c>
    </row>
    <row r="19" spans="1:2" x14ac:dyDescent="0.35">
      <c r="A19" s="52" t="s">
        <v>208</v>
      </c>
      <c r="B19" s="53" t="s">
        <v>209</v>
      </c>
    </row>
    <row r="20" spans="1:2" x14ac:dyDescent="0.35">
      <c r="A20" s="52" t="s">
        <v>210</v>
      </c>
      <c r="B20" s="53" t="s">
        <v>211</v>
      </c>
    </row>
    <row r="21" spans="1:2" x14ac:dyDescent="0.35">
      <c r="A21" s="52" t="s">
        <v>212</v>
      </c>
      <c r="B21" s="53" t="s">
        <v>213</v>
      </c>
    </row>
    <row r="22" spans="1:2" x14ac:dyDescent="0.35">
      <c r="A22" s="52" t="s">
        <v>214</v>
      </c>
      <c r="B22" s="53" t="s">
        <v>215</v>
      </c>
    </row>
    <row r="23" spans="1:2" x14ac:dyDescent="0.35">
      <c r="A23" s="52" t="s">
        <v>216</v>
      </c>
      <c r="B23" s="53" t="s">
        <v>217</v>
      </c>
    </row>
    <row r="24" spans="1:2" x14ac:dyDescent="0.35">
      <c r="A24" s="52" t="s">
        <v>218</v>
      </c>
      <c r="B24" s="53" t="s">
        <v>219</v>
      </c>
    </row>
    <row r="25" spans="1:2" x14ac:dyDescent="0.35">
      <c r="A25" s="52" t="s">
        <v>220</v>
      </c>
      <c r="B25" s="53" t="s">
        <v>221</v>
      </c>
    </row>
    <row r="26" spans="1:2" x14ac:dyDescent="0.35">
      <c r="A26" s="52" t="s">
        <v>222</v>
      </c>
      <c r="B26" s="53" t="s">
        <v>223</v>
      </c>
    </row>
    <row r="27" spans="1:2" x14ac:dyDescent="0.35">
      <c r="A27" s="52" t="s">
        <v>224</v>
      </c>
      <c r="B27" s="53" t="s">
        <v>225</v>
      </c>
    </row>
    <row r="28" spans="1:2" x14ac:dyDescent="0.35">
      <c r="A28" s="52" t="s">
        <v>226</v>
      </c>
      <c r="B28" s="53" t="s">
        <v>227</v>
      </c>
    </row>
    <row r="29" spans="1:2" x14ac:dyDescent="0.35">
      <c r="A29" s="52" t="s">
        <v>228</v>
      </c>
      <c r="B29" s="53" t="s">
        <v>229</v>
      </c>
    </row>
    <row r="30" spans="1:2" x14ac:dyDescent="0.35">
      <c r="A30" s="52" t="s">
        <v>230</v>
      </c>
      <c r="B30" s="53" t="s">
        <v>231</v>
      </c>
    </row>
    <row r="31" spans="1:2" x14ac:dyDescent="0.35">
      <c r="A31" s="52" t="s">
        <v>232</v>
      </c>
      <c r="B31" s="53" t="s">
        <v>233</v>
      </c>
    </row>
    <row r="32" spans="1:2" x14ac:dyDescent="0.35">
      <c r="A32" s="52" t="s">
        <v>234</v>
      </c>
      <c r="B32" s="53" t="s">
        <v>235</v>
      </c>
    </row>
    <row r="33" spans="1:2" x14ac:dyDescent="0.35">
      <c r="A33" s="52" t="s">
        <v>236</v>
      </c>
      <c r="B33" s="53" t="s">
        <v>237</v>
      </c>
    </row>
    <row r="34" spans="1:2" x14ac:dyDescent="0.35">
      <c r="A34" s="52" t="s">
        <v>238</v>
      </c>
      <c r="B34" s="53" t="s">
        <v>239</v>
      </c>
    </row>
    <row r="35" spans="1:2" x14ac:dyDescent="0.35">
      <c r="A35" s="52" t="s">
        <v>240</v>
      </c>
      <c r="B35" s="53" t="s">
        <v>241</v>
      </c>
    </row>
    <row r="36" spans="1:2" x14ac:dyDescent="0.35">
      <c r="A36" s="52" t="s">
        <v>242</v>
      </c>
      <c r="B36" s="53" t="s">
        <v>243</v>
      </c>
    </row>
    <row r="37" spans="1:2" x14ac:dyDescent="0.35">
      <c r="A37" s="52" t="s">
        <v>244</v>
      </c>
      <c r="B37" s="53" t="s">
        <v>245</v>
      </c>
    </row>
    <row r="38" spans="1:2" x14ac:dyDescent="0.35">
      <c r="A38" s="52" t="s">
        <v>246</v>
      </c>
      <c r="B38" s="53" t="s">
        <v>247</v>
      </c>
    </row>
    <row r="39" spans="1:2" x14ac:dyDescent="0.35">
      <c r="A39" s="52" t="s">
        <v>248</v>
      </c>
      <c r="B39" s="53" t="s">
        <v>249</v>
      </c>
    </row>
    <row r="40" spans="1:2" x14ac:dyDescent="0.35">
      <c r="A40" s="52" t="s">
        <v>250</v>
      </c>
      <c r="B40" s="53" t="s">
        <v>251</v>
      </c>
    </row>
    <row r="41" spans="1:2" x14ac:dyDescent="0.35">
      <c r="A41" s="52" t="s">
        <v>252</v>
      </c>
      <c r="B41" s="53" t="s">
        <v>253</v>
      </c>
    </row>
    <row r="42" spans="1:2" x14ac:dyDescent="0.35">
      <c r="A42" s="52" t="s">
        <v>254</v>
      </c>
      <c r="B42" s="53" t="s">
        <v>255</v>
      </c>
    </row>
    <row r="43" spans="1:2" x14ac:dyDescent="0.35">
      <c r="A43" s="52" t="s">
        <v>256</v>
      </c>
      <c r="B43" s="53" t="s">
        <v>257</v>
      </c>
    </row>
    <row r="44" spans="1:2" x14ac:dyDescent="0.35">
      <c r="A44" s="52" t="s">
        <v>258</v>
      </c>
      <c r="B44" s="53" t="s">
        <v>259</v>
      </c>
    </row>
    <row r="45" spans="1:2" x14ac:dyDescent="0.35">
      <c r="A45" s="52" t="s">
        <v>260</v>
      </c>
      <c r="B45" s="53" t="s">
        <v>261</v>
      </c>
    </row>
    <row r="46" spans="1:2" x14ac:dyDescent="0.35">
      <c r="A46" s="52" t="s">
        <v>262</v>
      </c>
      <c r="B46" s="53" t="s">
        <v>263</v>
      </c>
    </row>
    <row r="47" spans="1:2" x14ac:dyDescent="0.35">
      <c r="A47" s="52" t="s">
        <v>264</v>
      </c>
      <c r="B47" s="53" t="s">
        <v>265</v>
      </c>
    </row>
    <row r="48" spans="1:2" x14ac:dyDescent="0.35">
      <c r="A48" s="52" t="s">
        <v>266</v>
      </c>
      <c r="B48" s="53" t="s">
        <v>267</v>
      </c>
    </row>
    <row r="49" spans="1:2" x14ac:dyDescent="0.35">
      <c r="A49" s="52" t="s">
        <v>268</v>
      </c>
      <c r="B49" s="53" t="s">
        <v>269</v>
      </c>
    </row>
    <row r="50" spans="1:2" x14ac:dyDescent="0.35">
      <c r="A50" s="52" t="s">
        <v>270</v>
      </c>
      <c r="B50" s="53" t="s">
        <v>271</v>
      </c>
    </row>
    <row r="51" spans="1:2" x14ac:dyDescent="0.35">
      <c r="A51" s="52" t="s">
        <v>272</v>
      </c>
      <c r="B51" s="53" t="s">
        <v>273</v>
      </c>
    </row>
    <row r="52" spans="1:2" x14ac:dyDescent="0.35">
      <c r="A52" s="52" t="s">
        <v>274</v>
      </c>
      <c r="B52" s="53" t="s">
        <v>275</v>
      </c>
    </row>
    <row r="53" spans="1:2" x14ac:dyDescent="0.35">
      <c r="A53" s="52" t="s">
        <v>276</v>
      </c>
      <c r="B53" s="53" t="s">
        <v>277</v>
      </c>
    </row>
    <row r="54" spans="1:2" x14ac:dyDescent="0.35">
      <c r="A54" s="52" t="s">
        <v>278</v>
      </c>
      <c r="B54" s="53" t="s">
        <v>279</v>
      </c>
    </row>
    <row r="55" spans="1:2" x14ac:dyDescent="0.35">
      <c r="A55" s="52" t="s">
        <v>280</v>
      </c>
      <c r="B55" s="53" t="s">
        <v>281</v>
      </c>
    </row>
    <row r="56" spans="1:2" x14ac:dyDescent="0.35">
      <c r="A56" s="52" t="s">
        <v>282</v>
      </c>
      <c r="B56" s="53" t="s">
        <v>283</v>
      </c>
    </row>
    <row r="57" spans="1:2" x14ac:dyDescent="0.35">
      <c r="A57" s="52" t="s">
        <v>284</v>
      </c>
      <c r="B57" s="53" t="s">
        <v>285</v>
      </c>
    </row>
    <row r="58" spans="1:2" x14ac:dyDescent="0.35">
      <c r="A58" s="52" t="s">
        <v>286</v>
      </c>
      <c r="B58" s="53" t="s">
        <v>287</v>
      </c>
    </row>
    <row r="59" spans="1:2" x14ac:dyDescent="0.35">
      <c r="A59" s="52" t="s">
        <v>288</v>
      </c>
      <c r="B59" s="53" t="s">
        <v>289</v>
      </c>
    </row>
    <row r="60" spans="1:2" x14ac:dyDescent="0.35">
      <c r="A60" s="52" t="s">
        <v>290</v>
      </c>
      <c r="B60" s="53" t="s">
        <v>291</v>
      </c>
    </row>
    <row r="61" spans="1:2" x14ac:dyDescent="0.35">
      <c r="A61" s="52" t="s">
        <v>292</v>
      </c>
      <c r="B61" s="53" t="s">
        <v>293</v>
      </c>
    </row>
    <row r="62" spans="1:2" x14ac:dyDescent="0.35">
      <c r="A62" s="52" t="s">
        <v>294</v>
      </c>
      <c r="B62" s="53" t="s">
        <v>295</v>
      </c>
    </row>
    <row r="63" spans="1:2" x14ac:dyDescent="0.35">
      <c r="A63" s="52" t="s">
        <v>296</v>
      </c>
      <c r="B63" s="53" t="s">
        <v>297</v>
      </c>
    </row>
    <row r="64" spans="1:2" x14ac:dyDescent="0.35">
      <c r="A64" s="52" t="s">
        <v>298</v>
      </c>
      <c r="B64" s="53" t="s">
        <v>299</v>
      </c>
    </row>
    <row r="65" spans="1:2" x14ac:dyDescent="0.35">
      <c r="A65" s="52" t="s">
        <v>300</v>
      </c>
      <c r="B65" s="53" t="s">
        <v>301</v>
      </c>
    </row>
    <row r="66" spans="1:2" x14ac:dyDescent="0.35">
      <c r="A66" s="52" t="s">
        <v>302</v>
      </c>
      <c r="B66" s="53" t="s">
        <v>303</v>
      </c>
    </row>
    <row r="67" spans="1:2" x14ac:dyDescent="0.35">
      <c r="A67" s="52" t="s">
        <v>304</v>
      </c>
      <c r="B67" s="53" t="s">
        <v>305</v>
      </c>
    </row>
    <row r="68" spans="1:2" x14ac:dyDescent="0.35">
      <c r="A68" s="52" t="s">
        <v>306</v>
      </c>
      <c r="B68" s="53" t="s">
        <v>307</v>
      </c>
    </row>
    <row r="69" spans="1:2" x14ac:dyDescent="0.35">
      <c r="A69" s="52" t="s">
        <v>308</v>
      </c>
      <c r="B69" s="53" t="s">
        <v>309</v>
      </c>
    </row>
    <row r="70" spans="1:2" x14ac:dyDescent="0.35">
      <c r="A70" s="52" t="s">
        <v>310</v>
      </c>
      <c r="B70" s="53" t="s">
        <v>311</v>
      </c>
    </row>
    <row r="71" spans="1:2" x14ac:dyDescent="0.35">
      <c r="A71" s="52" t="s">
        <v>312</v>
      </c>
      <c r="B71" s="53" t="s">
        <v>313</v>
      </c>
    </row>
    <row r="72" spans="1:2" x14ac:dyDescent="0.35">
      <c r="A72" s="52" t="s">
        <v>314</v>
      </c>
      <c r="B72" s="53" t="s">
        <v>315</v>
      </c>
    </row>
    <row r="73" spans="1:2" x14ac:dyDescent="0.35">
      <c r="A73" s="52" t="s">
        <v>316</v>
      </c>
      <c r="B73" s="53" t="s">
        <v>317</v>
      </c>
    </row>
    <row r="74" spans="1:2" x14ac:dyDescent="0.35">
      <c r="A74" s="52" t="s">
        <v>318</v>
      </c>
      <c r="B74" s="53" t="s">
        <v>319</v>
      </c>
    </row>
    <row r="75" spans="1:2" x14ac:dyDescent="0.35">
      <c r="A75" s="52" t="s">
        <v>320</v>
      </c>
      <c r="B75" s="54" t="s">
        <v>321</v>
      </c>
    </row>
    <row r="76" spans="1:2" x14ac:dyDescent="0.35">
      <c r="A76" s="52" t="s">
        <v>322</v>
      </c>
      <c r="B76" s="54" t="s">
        <v>323</v>
      </c>
    </row>
    <row r="77" spans="1:2" x14ac:dyDescent="0.35">
      <c r="A77" s="52" t="s">
        <v>324</v>
      </c>
      <c r="B77" s="54" t="s">
        <v>325</v>
      </c>
    </row>
    <row r="78" spans="1:2" x14ac:dyDescent="0.35">
      <c r="A78" s="52" t="s">
        <v>326</v>
      </c>
      <c r="B78" s="54" t="s">
        <v>327</v>
      </c>
    </row>
    <row r="79" spans="1:2" x14ac:dyDescent="0.35">
      <c r="A79" s="52" t="s">
        <v>328</v>
      </c>
      <c r="B79" s="54" t="s">
        <v>329</v>
      </c>
    </row>
    <row r="80" spans="1:2" x14ac:dyDescent="0.35">
      <c r="A80" s="52" t="s">
        <v>330</v>
      </c>
      <c r="B80" s="54" t="s">
        <v>331</v>
      </c>
    </row>
    <row r="81" spans="1:2" x14ac:dyDescent="0.35">
      <c r="A81" s="52" t="s">
        <v>332</v>
      </c>
      <c r="B81" s="54" t="s">
        <v>333</v>
      </c>
    </row>
    <row r="82" spans="1:2" x14ac:dyDescent="0.35">
      <c r="A82" s="52" t="s">
        <v>334</v>
      </c>
      <c r="B82" s="54" t="s">
        <v>335</v>
      </c>
    </row>
    <row r="83" spans="1:2" x14ac:dyDescent="0.35">
      <c r="A83" s="52" t="s">
        <v>336</v>
      </c>
      <c r="B83" s="54" t="s">
        <v>337</v>
      </c>
    </row>
    <row r="84" spans="1:2" x14ac:dyDescent="0.35">
      <c r="A84" s="52" t="s">
        <v>338</v>
      </c>
      <c r="B84" s="54" t="s">
        <v>339</v>
      </c>
    </row>
    <row r="85" spans="1:2" x14ac:dyDescent="0.35">
      <c r="A85" s="52" t="s">
        <v>340</v>
      </c>
      <c r="B85" s="54" t="s">
        <v>341</v>
      </c>
    </row>
    <row r="86" spans="1:2" x14ac:dyDescent="0.35">
      <c r="A86" s="52" t="s">
        <v>342</v>
      </c>
      <c r="B86" s="54" t="s">
        <v>343</v>
      </c>
    </row>
    <row r="87" spans="1:2" x14ac:dyDescent="0.35">
      <c r="A87" s="52" t="s">
        <v>344</v>
      </c>
      <c r="B87" s="54" t="s">
        <v>345</v>
      </c>
    </row>
    <row r="88" spans="1:2" x14ac:dyDescent="0.35">
      <c r="A88" s="52" t="s">
        <v>346</v>
      </c>
      <c r="B88" s="54" t="s">
        <v>347</v>
      </c>
    </row>
    <row r="89" spans="1:2" x14ac:dyDescent="0.35">
      <c r="A89" s="52" t="s">
        <v>348</v>
      </c>
      <c r="B89" s="54" t="s">
        <v>349</v>
      </c>
    </row>
    <row r="90" spans="1:2" x14ac:dyDescent="0.35">
      <c r="A90" s="52" t="s">
        <v>350</v>
      </c>
      <c r="B90" s="54" t="s">
        <v>351</v>
      </c>
    </row>
    <row r="91" spans="1:2" x14ac:dyDescent="0.35">
      <c r="A91" s="52" t="s">
        <v>352</v>
      </c>
      <c r="B91" s="54" t="s">
        <v>353</v>
      </c>
    </row>
    <row r="92" spans="1:2" x14ac:dyDescent="0.35">
      <c r="A92" s="52" t="s">
        <v>354</v>
      </c>
      <c r="B92" s="54" t="s">
        <v>355</v>
      </c>
    </row>
    <row r="93" spans="1:2" x14ac:dyDescent="0.35">
      <c r="A93" s="52" t="s">
        <v>356</v>
      </c>
      <c r="B93" s="54" t="s">
        <v>357</v>
      </c>
    </row>
    <row r="94" spans="1:2" x14ac:dyDescent="0.35">
      <c r="A94" s="52" t="s">
        <v>358</v>
      </c>
      <c r="B94" s="54" t="s">
        <v>359</v>
      </c>
    </row>
    <row r="95" spans="1:2" x14ac:dyDescent="0.35">
      <c r="A95" s="52" t="s">
        <v>360</v>
      </c>
      <c r="B95" s="54" t="s">
        <v>361</v>
      </c>
    </row>
    <row r="96" spans="1:2" x14ac:dyDescent="0.35">
      <c r="A96" s="52" t="s">
        <v>362</v>
      </c>
      <c r="B96" s="54" t="s">
        <v>363</v>
      </c>
    </row>
    <row r="97" spans="1:2" x14ac:dyDescent="0.35">
      <c r="A97" s="52" t="s">
        <v>364</v>
      </c>
      <c r="B97" s="54" t="s">
        <v>365</v>
      </c>
    </row>
    <row r="98" spans="1:2" x14ac:dyDescent="0.35">
      <c r="A98" s="52" t="s">
        <v>366</v>
      </c>
      <c r="B98" s="54" t="s">
        <v>367</v>
      </c>
    </row>
    <row r="99" spans="1:2" x14ac:dyDescent="0.35">
      <c r="A99" s="52" t="s">
        <v>368</v>
      </c>
      <c r="B99" s="54" t="s">
        <v>369</v>
      </c>
    </row>
    <row r="100" spans="1:2" x14ac:dyDescent="0.35">
      <c r="A100" s="52" t="s">
        <v>370</v>
      </c>
      <c r="B100" s="54" t="s">
        <v>371</v>
      </c>
    </row>
    <row r="101" spans="1:2" x14ac:dyDescent="0.35">
      <c r="A101" s="52" t="s">
        <v>372</v>
      </c>
      <c r="B101" s="54" t="s">
        <v>373</v>
      </c>
    </row>
    <row r="102" spans="1:2" x14ac:dyDescent="0.35">
      <c r="A102" s="52" t="s">
        <v>374</v>
      </c>
      <c r="B102" s="54" t="s">
        <v>375</v>
      </c>
    </row>
    <row r="103" spans="1:2" x14ac:dyDescent="0.35">
      <c r="A103" s="52" t="s">
        <v>376</v>
      </c>
      <c r="B103" s="54" t="s">
        <v>377</v>
      </c>
    </row>
    <row r="104" spans="1:2" x14ac:dyDescent="0.35">
      <c r="A104" s="52" t="s">
        <v>378</v>
      </c>
      <c r="B104" s="54" t="s">
        <v>379</v>
      </c>
    </row>
    <row r="105" spans="1:2" x14ac:dyDescent="0.35">
      <c r="A105" s="52" t="s">
        <v>380</v>
      </c>
      <c r="B105" s="54" t="s">
        <v>381</v>
      </c>
    </row>
    <row r="106" spans="1:2" x14ac:dyDescent="0.35">
      <c r="A106" s="52" t="s">
        <v>382</v>
      </c>
      <c r="B106" s="54" t="s">
        <v>383</v>
      </c>
    </row>
    <row r="107" spans="1:2" x14ac:dyDescent="0.35">
      <c r="A107" s="52" t="s">
        <v>384</v>
      </c>
      <c r="B107" s="54" t="s">
        <v>385</v>
      </c>
    </row>
    <row r="108" spans="1:2" x14ac:dyDescent="0.35">
      <c r="A108" s="52" t="s">
        <v>386</v>
      </c>
      <c r="B108" s="54" t="s">
        <v>387</v>
      </c>
    </row>
    <row r="109" spans="1:2" x14ac:dyDescent="0.35">
      <c r="A109" s="52" t="s">
        <v>388</v>
      </c>
      <c r="B109" s="54" t="s">
        <v>389</v>
      </c>
    </row>
    <row r="110" spans="1:2" x14ac:dyDescent="0.35">
      <c r="A110" s="52" t="s">
        <v>390</v>
      </c>
      <c r="B110" s="54" t="s">
        <v>391</v>
      </c>
    </row>
    <row r="111" spans="1:2" x14ac:dyDescent="0.35">
      <c r="A111" s="52" t="s">
        <v>392</v>
      </c>
      <c r="B111" s="54" t="s">
        <v>393</v>
      </c>
    </row>
    <row r="112" spans="1:2" x14ac:dyDescent="0.35">
      <c r="A112" s="52" t="s">
        <v>394</v>
      </c>
      <c r="B112" s="54" t="s">
        <v>395</v>
      </c>
    </row>
    <row r="113" spans="1:2" x14ac:dyDescent="0.35">
      <c r="A113" s="52" t="s">
        <v>396</v>
      </c>
      <c r="B113" s="54" t="s">
        <v>397</v>
      </c>
    </row>
    <row r="114" spans="1:2" x14ac:dyDescent="0.35">
      <c r="A114" s="52" t="s">
        <v>398</v>
      </c>
      <c r="B114" s="54" t="s">
        <v>399</v>
      </c>
    </row>
    <row r="115" spans="1:2" x14ac:dyDescent="0.35">
      <c r="A115" s="52" t="s">
        <v>400</v>
      </c>
      <c r="B115" s="54" t="s">
        <v>401</v>
      </c>
    </row>
    <row r="116" spans="1:2" x14ac:dyDescent="0.35">
      <c r="A116" s="52" t="s">
        <v>402</v>
      </c>
      <c r="B116" s="54" t="s">
        <v>403</v>
      </c>
    </row>
    <row r="117" spans="1:2" x14ac:dyDescent="0.35">
      <c r="A117" s="52" t="s">
        <v>404</v>
      </c>
      <c r="B117" s="54" t="s">
        <v>405</v>
      </c>
    </row>
    <row r="118" spans="1:2" x14ac:dyDescent="0.35">
      <c r="A118" s="52" t="s">
        <v>406</v>
      </c>
      <c r="B118" s="54" t="s">
        <v>407</v>
      </c>
    </row>
    <row r="119" spans="1:2" x14ac:dyDescent="0.35">
      <c r="A119" s="52" t="s">
        <v>408</v>
      </c>
      <c r="B119" s="54" t="s">
        <v>409</v>
      </c>
    </row>
    <row r="120" spans="1:2" x14ac:dyDescent="0.35">
      <c r="A120" s="52" t="s">
        <v>410</v>
      </c>
      <c r="B120" s="54" t="s">
        <v>411</v>
      </c>
    </row>
    <row r="121" spans="1:2" x14ac:dyDescent="0.35">
      <c r="A121" s="52" t="s">
        <v>412</v>
      </c>
      <c r="B121" s="54" t="s">
        <v>413</v>
      </c>
    </row>
    <row r="122" spans="1:2" x14ac:dyDescent="0.35">
      <c r="A122" s="52" t="s">
        <v>414</v>
      </c>
      <c r="B122" s="54" t="s">
        <v>415</v>
      </c>
    </row>
    <row r="123" spans="1:2" x14ac:dyDescent="0.35">
      <c r="A123" s="52" t="s">
        <v>416</v>
      </c>
      <c r="B123" s="54" t="s">
        <v>417</v>
      </c>
    </row>
    <row r="124" spans="1:2" x14ac:dyDescent="0.35">
      <c r="A124" s="52" t="s">
        <v>418</v>
      </c>
      <c r="B124" s="54" t="s">
        <v>419</v>
      </c>
    </row>
    <row r="125" spans="1:2" x14ac:dyDescent="0.35">
      <c r="A125" s="52" t="s">
        <v>420</v>
      </c>
      <c r="B125" s="54" t="s">
        <v>421</v>
      </c>
    </row>
    <row r="126" spans="1:2" x14ac:dyDescent="0.35">
      <c r="A126" s="52" t="s">
        <v>422</v>
      </c>
      <c r="B126" s="54" t="s">
        <v>423</v>
      </c>
    </row>
    <row r="127" spans="1:2" x14ac:dyDescent="0.35">
      <c r="A127" s="52" t="s">
        <v>424</v>
      </c>
      <c r="B127" s="54" t="s">
        <v>425</v>
      </c>
    </row>
    <row r="128" spans="1:2" x14ac:dyDescent="0.35">
      <c r="A128" s="52" t="s">
        <v>426</v>
      </c>
      <c r="B128" s="54" t="s">
        <v>427</v>
      </c>
    </row>
    <row r="129" spans="1:2" x14ac:dyDescent="0.35">
      <c r="A129" s="52" t="s">
        <v>428</v>
      </c>
      <c r="B129" s="54" t="s">
        <v>429</v>
      </c>
    </row>
    <row r="130" spans="1:2" x14ac:dyDescent="0.35">
      <c r="A130" s="52" t="s">
        <v>430</v>
      </c>
      <c r="B130" s="54" t="s">
        <v>431</v>
      </c>
    </row>
    <row r="131" spans="1:2" x14ac:dyDescent="0.35">
      <c r="A131" s="52" t="s">
        <v>432</v>
      </c>
      <c r="B131" s="54" t="s">
        <v>433</v>
      </c>
    </row>
    <row r="132" spans="1:2" x14ac:dyDescent="0.35">
      <c r="A132" s="52" t="s">
        <v>434</v>
      </c>
      <c r="B132" s="54" t="s">
        <v>435</v>
      </c>
    </row>
    <row r="133" spans="1:2" x14ac:dyDescent="0.35">
      <c r="A133" s="52" t="s">
        <v>436</v>
      </c>
      <c r="B133" s="54" t="s">
        <v>437</v>
      </c>
    </row>
    <row r="134" spans="1:2" x14ac:dyDescent="0.35">
      <c r="A134" s="52" t="s">
        <v>438</v>
      </c>
      <c r="B134" s="54" t="s">
        <v>439</v>
      </c>
    </row>
    <row r="135" spans="1:2" x14ac:dyDescent="0.35">
      <c r="A135" s="52" t="s">
        <v>440</v>
      </c>
      <c r="B135" s="54" t="s">
        <v>441</v>
      </c>
    </row>
    <row r="136" spans="1:2" x14ac:dyDescent="0.35">
      <c r="A136" s="52" t="s">
        <v>442</v>
      </c>
      <c r="B136" s="54" t="s">
        <v>443</v>
      </c>
    </row>
    <row r="137" spans="1:2" x14ac:dyDescent="0.35">
      <c r="A137" s="52" t="s">
        <v>444</v>
      </c>
      <c r="B137" s="54" t="s">
        <v>445</v>
      </c>
    </row>
    <row r="138" spans="1:2" x14ac:dyDescent="0.35">
      <c r="A138" s="52" t="s">
        <v>446</v>
      </c>
      <c r="B138" s="54" t="s">
        <v>447</v>
      </c>
    </row>
    <row r="139" spans="1:2" x14ac:dyDescent="0.35">
      <c r="A139" s="52" t="s">
        <v>448</v>
      </c>
      <c r="B139" s="54" t="s">
        <v>449</v>
      </c>
    </row>
    <row r="140" spans="1:2" x14ac:dyDescent="0.35">
      <c r="A140" s="52" t="s">
        <v>450</v>
      </c>
      <c r="B140" s="54" t="s">
        <v>451</v>
      </c>
    </row>
    <row r="141" spans="1:2" x14ac:dyDescent="0.35">
      <c r="A141" s="52" t="s">
        <v>452</v>
      </c>
      <c r="B141" s="54" t="s">
        <v>453</v>
      </c>
    </row>
    <row r="142" spans="1:2" x14ac:dyDescent="0.35">
      <c r="A142" s="52" t="s">
        <v>454</v>
      </c>
      <c r="B142" s="54" t="s">
        <v>455</v>
      </c>
    </row>
    <row r="143" spans="1:2" x14ac:dyDescent="0.35">
      <c r="A143" s="52" t="s">
        <v>456</v>
      </c>
      <c r="B143" s="54" t="s">
        <v>457</v>
      </c>
    </row>
    <row r="144" spans="1:2" x14ac:dyDescent="0.35">
      <c r="A144" s="52" t="s">
        <v>458</v>
      </c>
      <c r="B144" s="54" t="s">
        <v>459</v>
      </c>
    </row>
    <row r="145" spans="1:2" x14ac:dyDescent="0.35">
      <c r="A145" s="52" t="s">
        <v>460</v>
      </c>
      <c r="B145" s="54" t="s">
        <v>461</v>
      </c>
    </row>
    <row r="146" spans="1:2" x14ac:dyDescent="0.35">
      <c r="A146" s="52" t="s">
        <v>462</v>
      </c>
      <c r="B146" s="54" t="s">
        <v>463</v>
      </c>
    </row>
    <row r="147" spans="1:2" x14ac:dyDescent="0.35">
      <c r="A147" s="52" t="s">
        <v>464</v>
      </c>
      <c r="B147" s="54" t="s">
        <v>465</v>
      </c>
    </row>
    <row r="148" spans="1:2" x14ac:dyDescent="0.35">
      <c r="A148" s="52" t="s">
        <v>466</v>
      </c>
      <c r="B148" s="54" t="s">
        <v>467</v>
      </c>
    </row>
    <row r="149" spans="1:2" x14ac:dyDescent="0.35">
      <c r="A149" s="52" t="s">
        <v>468</v>
      </c>
      <c r="B149" s="54" t="s">
        <v>469</v>
      </c>
    </row>
    <row r="150" spans="1:2" x14ac:dyDescent="0.35">
      <c r="A150" s="52" t="s">
        <v>470</v>
      </c>
      <c r="B150" s="54" t="s">
        <v>471</v>
      </c>
    </row>
    <row r="151" spans="1:2" x14ac:dyDescent="0.35">
      <c r="A151" s="52" t="s">
        <v>472</v>
      </c>
      <c r="B151" s="54" t="s">
        <v>473</v>
      </c>
    </row>
    <row r="152" spans="1:2" x14ac:dyDescent="0.35">
      <c r="A152" s="52" t="s">
        <v>474</v>
      </c>
      <c r="B152" s="54" t="s">
        <v>475</v>
      </c>
    </row>
    <row r="153" spans="1:2" x14ac:dyDescent="0.35">
      <c r="A153" s="52" t="s">
        <v>476</v>
      </c>
      <c r="B153" s="54" t="s">
        <v>477</v>
      </c>
    </row>
    <row r="154" spans="1:2" x14ac:dyDescent="0.35">
      <c r="A154" s="52" t="s">
        <v>478</v>
      </c>
      <c r="B154" s="54" t="s">
        <v>479</v>
      </c>
    </row>
    <row r="155" spans="1:2" x14ac:dyDescent="0.35">
      <c r="A155" s="52" t="s">
        <v>480</v>
      </c>
      <c r="B155" s="54" t="s">
        <v>481</v>
      </c>
    </row>
    <row r="156" spans="1:2" x14ac:dyDescent="0.35">
      <c r="A156" s="52" t="s">
        <v>482</v>
      </c>
      <c r="B156" s="54" t="s">
        <v>483</v>
      </c>
    </row>
    <row r="157" spans="1:2" x14ac:dyDescent="0.35">
      <c r="A157" s="52" t="s">
        <v>484</v>
      </c>
      <c r="B157" s="54" t="s">
        <v>485</v>
      </c>
    </row>
    <row r="158" spans="1:2" x14ac:dyDescent="0.35">
      <c r="A158" s="52" t="s">
        <v>486</v>
      </c>
      <c r="B158" s="54" t="s">
        <v>487</v>
      </c>
    </row>
    <row r="159" spans="1:2" x14ac:dyDescent="0.35">
      <c r="A159" s="52" t="s">
        <v>488</v>
      </c>
      <c r="B159" s="54" t="s">
        <v>489</v>
      </c>
    </row>
    <row r="160" spans="1:2" x14ac:dyDescent="0.35">
      <c r="A160" s="52" t="s">
        <v>490</v>
      </c>
      <c r="B160" s="54" t="s">
        <v>491</v>
      </c>
    </row>
    <row r="161" spans="1:2" x14ac:dyDescent="0.35">
      <c r="A161" s="52" t="s">
        <v>492</v>
      </c>
      <c r="B161" s="54" t="s">
        <v>493</v>
      </c>
    </row>
    <row r="162" spans="1:2" x14ac:dyDescent="0.35">
      <c r="A162" s="52" t="s">
        <v>494</v>
      </c>
      <c r="B162" s="54" t="s">
        <v>495</v>
      </c>
    </row>
    <row r="163" spans="1:2" x14ac:dyDescent="0.35">
      <c r="A163" s="52" t="s">
        <v>496</v>
      </c>
      <c r="B163" s="54" t="s">
        <v>497</v>
      </c>
    </row>
    <row r="164" spans="1:2" x14ac:dyDescent="0.35">
      <c r="A164" s="52" t="s">
        <v>498</v>
      </c>
      <c r="B164" s="54" t="s">
        <v>499</v>
      </c>
    </row>
    <row r="165" spans="1:2" x14ac:dyDescent="0.35">
      <c r="A165" s="52" t="s">
        <v>500</v>
      </c>
      <c r="B165" s="54" t="s">
        <v>501</v>
      </c>
    </row>
    <row r="166" spans="1:2" x14ac:dyDescent="0.35">
      <c r="A166" s="52" t="s">
        <v>502</v>
      </c>
      <c r="B166" s="54" t="s">
        <v>503</v>
      </c>
    </row>
    <row r="167" spans="1:2" x14ac:dyDescent="0.35">
      <c r="A167" s="52" t="s">
        <v>504</v>
      </c>
      <c r="B167" s="54" t="s">
        <v>505</v>
      </c>
    </row>
    <row r="168" spans="1:2" x14ac:dyDescent="0.35">
      <c r="A168" s="52" t="s">
        <v>506</v>
      </c>
      <c r="B168" s="54" t="s">
        <v>507</v>
      </c>
    </row>
    <row r="169" spans="1:2" x14ac:dyDescent="0.35">
      <c r="A169" s="52" t="s">
        <v>508</v>
      </c>
      <c r="B169" s="54" t="s">
        <v>509</v>
      </c>
    </row>
    <row r="170" spans="1:2" x14ac:dyDescent="0.35">
      <c r="A170" s="52" t="s">
        <v>510</v>
      </c>
      <c r="B170" s="54" t="s">
        <v>511</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20E1B0FB969FA4DB37D3562DA9CC146" ma:contentTypeVersion="32" ma:contentTypeDescription="Create a new document." ma:contentTypeScope="" ma:versionID="cea61b834f8ee701850a84e4d098b1dc">
  <xsd:schema xmlns:xsd="http://www.w3.org/2001/XMLSchema" xmlns:xs="http://www.w3.org/2001/XMLSchema" xmlns:p="http://schemas.microsoft.com/office/2006/metadata/properties" xmlns:ns2="f9695bc1-6109-4dcd-a27a-f8a0370b00e2" xmlns:ns3="b1528a4b-5ccb-40f7-a09e-43427183cd95" xmlns:ns4="cb759e4c-f0d7-4feb-bda3-ed2800574e06" targetNamespace="http://schemas.microsoft.com/office/2006/metadata/properties" ma:root="true" ma:fieldsID="b7c69fab125bdb54e21c4307976656df" ns2:_="" ns3:_="" ns4:_="">
    <xsd:import namespace="f9695bc1-6109-4dcd-a27a-f8a0370b00e2"/>
    <xsd:import namespace="b1528a4b-5ccb-40f7-a09e-43427183cd95"/>
    <xsd:import namespace="cb759e4c-f0d7-4feb-bda3-ed2800574e06"/>
    <xsd:element name="properties">
      <xsd:complexType>
        <xsd:sequence>
          <xsd:element name="documentManagement">
            <xsd:complexType>
              <xsd:all>
                <xsd:element ref="ns2:FundId" minOccurs="0"/>
                <xsd:element ref="ns2:FundCode" minOccurs="0"/>
                <xsd:element ref="ns2:ProjectId" minOccurs="0"/>
                <xsd:element ref="ns2:ProjectType" minOccurs="0"/>
                <xsd:element ref="ns2:DocumentType" minOccurs="0"/>
                <xsd:element ref="ns2:Comments" minOccurs="0"/>
                <xsd:element ref="ns2:Active" minOccurs="0"/>
                <xsd:element ref="ns3:NarrativeCode" minOccurs="0"/>
                <xsd:element ref="ns3:DocumentOrigin" minOccurs="0"/>
                <xsd:element ref="ns3:UploadedBy"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Status" minOccurs="0"/>
                <xsd:element ref="ns3:DocumentDate" minOccurs="0"/>
                <xsd:element ref="ns3:DrupalDocId" minOccurs="0"/>
                <xsd:element ref="ns3:Classification" minOccurs="0"/>
                <xsd:element ref="ns3:Featured" minOccurs="0"/>
                <xsd:element ref="ns3:lcf76f155ced4ddcb4097134ff3c332f" minOccurs="0"/>
                <xsd:element ref="ns4:TaxCatchAll" minOccurs="0"/>
                <xsd:element ref="ns3:FormTypeCode" minOccurs="0"/>
                <xsd:element ref="ns3:FormCode" minOccurs="0"/>
                <xsd:element ref="ns3:DocModified"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9695bc1-6109-4dcd-a27a-f8a0370b00e2" elementFormDefault="qualified">
    <xsd:import namespace="http://schemas.microsoft.com/office/2006/documentManagement/types"/>
    <xsd:import namespace="http://schemas.microsoft.com/office/infopath/2007/PartnerControls"/>
    <xsd:element name="FundId" ma:index="8" nillable="true" ma:displayName="FundId" ma:indexed="true" ma:internalName="FundId">
      <xsd:simpleType>
        <xsd:restriction base="dms:Number"/>
      </xsd:simpleType>
    </xsd:element>
    <xsd:element name="FundCode" ma:index="9" nillable="true" ma:displayName="FundCode" ma:description="Fund code" ma:indexed="true" ma:internalName="FundCode">
      <xsd:simpleType>
        <xsd:restriction base="dms:Text">
          <xsd:maxLength value="255"/>
        </xsd:restriction>
      </xsd:simpleType>
    </xsd:element>
    <xsd:element name="ProjectId" ma:index="10" nillable="true" ma:displayName="ProjectId" ma:description="Project number" ma:indexed="true" ma:internalName="ProjectId">
      <xsd:simpleType>
        <xsd:restriction base="dms:Text">
          <xsd:maxLength value="255"/>
        </xsd:restriction>
      </xsd:simpleType>
    </xsd:element>
    <xsd:element name="ProjectType" ma:index="11" nillable="true" ma:displayName="ProjectType" ma:description="Project type" ma:internalName="ProjectType">
      <xsd:simpleType>
        <xsd:restriction base="dms:Text">
          <xsd:maxLength value="255"/>
        </xsd:restriction>
      </xsd:simpleType>
    </xsd:element>
    <xsd:element name="DocumentType" ma:index="12" nillable="true" ma:displayName="DocumentType" ma:description="Document type" ma:indexed="true" ma:internalName="DocumentType">
      <xsd:simpleType>
        <xsd:restriction base="dms:Text">
          <xsd:maxLength value="255"/>
        </xsd:restriction>
      </xsd:simpleType>
    </xsd:element>
    <xsd:element name="Comments" ma:index="13" nillable="true" ma:displayName="Comments" ma:description="Comments" ma:internalName="Comments">
      <xsd:simpleType>
        <xsd:restriction base="dms:Note">
          <xsd:maxLength value="255"/>
        </xsd:restriction>
      </xsd:simpleType>
    </xsd:element>
    <xsd:element name="Active" ma:index="14" nillable="true" ma:displayName="Active" ma:default="Yes" ma:description="Active" ma:format="Dropdown" ma:indexed="true" ma:internalName="Active">
      <xsd:simpleType>
        <xsd:restriction base="dms:Choice">
          <xsd:enumeration value="Yes"/>
          <xsd:enumeration value="No"/>
        </xsd:restriction>
      </xsd:simpleType>
    </xsd:element>
  </xsd:schema>
  <xsd:schema xmlns:xsd="http://www.w3.org/2001/XMLSchema" xmlns:xs="http://www.w3.org/2001/XMLSchema" xmlns:dms="http://schemas.microsoft.com/office/2006/documentManagement/types" xmlns:pc="http://schemas.microsoft.com/office/infopath/2007/PartnerControls" targetNamespace="b1528a4b-5ccb-40f7-a09e-43427183cd95" elementFormDefault="qualified">
    <xsd:import namespace="http://schemas.microsoft.com/office/2006/documentManagement/types"/>
    <xsd:import namespace="http://schemas.microsoft.com/office/infopath/2007/PartnerControls"/>
    <xsd:element name="NarrativeCode" ma:index="15" nillable="true" ma:displayName="NarrativeCode" ma:description="Narrative Code" ma:indexed="true" ma:internalName="NarrativeCode">
      <xsd:simpleType>
        <xsd:restriction base="dms:Text">
          <xsd:maxLength value="255"/>
        </xsd:restriction>
      </xsd:simpleType>
    </xsd:element>
    <xsd:element name="DocumentOrigin" ma:index="16" nillable="true" ma:displayName="DocumentOrigin" ma:internalName="DocumentOrigin">
      <xsd:simpleType>
        <xsd:restriction base="dms:Text">
          <xsd:maxLength value="255"/>
        </xsd:restriction>
      </xsd:simpleType>
    </xsd:element>
    <xsd:element name="UploadedBy" ma:index="17" nillable="true" ma:displayName="UploadedBy" ma:internalName="UploadedBy">
      <xsd:simpleType>
        <xsd:restriction base="dms:Text">
          <xsd:maxLength value="255"/>
        </xsd:restriction>
      </xsd:simpleType>
    </xsd:element>
    <xsd:element name="MediaServiceMetadata" ma:index="18" nillable="true" ma:displayName="MediaServiceMetadata" ma:hidden="true" ma:internalName="MediaServiceMetadata" ma:readOnly="true">
      <xsd:simpleType>
        <xsd:restriction base="dms:Note"/>
      </xsd:simpleType>
    </xsd:element>
    <xsd:element name="MediaServiceFastMetadata" ma:index="19" nillable="true" ma:displayName="MediaServiceFastMetadata" ma:hidden="true" ma:internalName="MediaServiceFastMetadata" ma:readOnly="true">
      <xsd:simpleType>
        <xsd:restriction base="dms:Note"/>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ServiceDateTaken" ma:index="22" nillable="true" ma:displayName="MediaServiceDateTaken" ma:hidden="true" ma:internalName="MediaServiceDateTaken" ma:readOnly="true">
      <xsd:simpleType>
        <xsd:restriction base="dms:Text"/>
      </xsd:simpleType>
    </xsd:element>
    <xsd:element name="MediaServiceAutoTags" ma:index="23" nillable="true" ma:displayName="Tags" ma:internalName="MediaServiceAutoTags" ma:readOnly="true">
      <xsd:simpleType>
        <xsd:restriction base="dms:Text"/>
      </xsd:simpleType>
    </xsd:element>
    <xsd:element name="MediaServiceOCR" ma:index="24" nillable="true" ma:displayName="Extracted Text" ma:internalName="MediaServiceOCR" ma:readOnly="true">
      <xsd:simpleType>
        <xsd:restriction base="dms:Note">
          <xsd:maxLength value="255"/>
        </xsd:restriction>
      </xsd:simpleType>
    </xsd:element>
    <xsd:element name="MediaServiceGenerationTime" ma:index="25" nillable="true" ma:displayName="MediaServiceGenerationTime" ma:hidden="true" ma:internalName="MediaServiceGenerationTime" ma:readOnly="true">
      <xsd:simpleType>
        <xsd:restriction base="dms:Text"/>
      </xsd:simpleType>
    </xsd:element>
    <xsd:element name="MediaServiceEventHashCode" ma:index="26" nillable="true" ma:displayName="MediaServiceEventHashCode" ma:hidden="true" ma:internalName="MediaServiceEventHashCode" ma:readOnly="true">
      <xsd:simpleType>
        <xsd:restriction base="dms:Text"/>
      </xsd:simpleType>
    </xsd:element>
    <xsd:element name="Status" ma:index="27" nillable="true" ma:displayName="Status" ma:default="Draft" ma:description="Document Status" ma:format="Dropdown" ma:internalName="Status">
      <xsd:simpleType>
        <xsd:restriction base="dms:Choice">
          <xsd:enumeration value="Draft"/>
          <xsd:enumeration value="Archived"/>
          <xsd:enumeration value="Deleted"/>
          <xsd:enumeration value="Finalized"/>
          <xsd:enumeration value="Finalized - Signature Redacted"/>
          <xsd:enumeration value="Published"/>
        </xsd:restriction>
      </xsd:simpleType>
    </xsd:element>
    <xsd:element name="DocumentDate" ma:index="28" nillable="true" ma:displayName="DocumentDate" ma:description="Document Date" ma:format="DateOnly" ma:internalName="DocumentDate">
      <xsd:simpleType>
        <xsd:restriction base="dms:DateTime"/>
      </xsd:simpleType>
    </xsd:element>
    <xsd:element name="DrupalDocId" ma:index="29" nillable="true" ma:displayName="DrupalDocId" ma:description="Drupal Document Id" ma:internalName="DrupalDocId">
      <xsd:simpleType>
        <xsd:restriction base="dms:Text">
          <xsd:maxLength value="255"/>
        </xsd:restriction>
      </xsd:simpleType>
    </xsd:element>
    <xsd:element name="Classification" ma:index="30" nillable="true" ma:displayName="Classification" ma:default="Internal" ma:description="Document Classification" ma:format="Dropdown" ma:internalName="Classification">
      <xsd:simpleType>
        <xsd:restriction base="dms:Choice">
          <xsd:enumeration value="External"/>
          <xsd:enumeration value="Internal"/>
          <xsd:enumeration value="Confidential"/>
          <xsd:enumeration value="Very Confidential"/>
        </xsd:restriction>
      </xsd:simpleType>
    </xsd:element>
    <xsd:element name="Featured" ma:index="31" nillable="true" ma:displayName="Featured" ma:default="0" ma:description="Document Featured" ma:format="Dropdown" ma:internalName="Featured">
      <xsd:simpleType>
        <xsd:restriction base="dms:Choice">
          <xsd:enumeration value="0"/>
          <xsd:enumeration value="1"/>
        </xsd:restriction>
      </xsd:simpleType>
    </xsd:element>
    <xsd:element name="lcf76f155ced4ddcb4097134ff3c332f" ma:index="33" nillable="true" ma:taxonomy="true" ma:internalName="lcf76f155ced4ddcb4097134ff3c332f" ma:taxonomyFieldName="MediaServiceImageTags" ma:displayName="Image Tags" ma:readOnly="false" ma:fieldId="{5cf76f15-5ced-4ddc-b409-7134ff3c332f}" ma:taxonomyMulti="true" ma:sspId="f8ebb0a5-c57d-4c3a-bec7-8a38252dd05c" ma:termSetId="09814cd3-568e-fe90-9814-8d621ff8fb84" ma:anchorId="fba54fb3-c3e1-fe81-a776-ca4b69148c4d" ma:open="true" ma:isKeyword="false">
      <xsd:complexType>
        <xsd:sequence>
          <xsd:element ref="pc:Terms" minOccurs="0" maxOccurs="1"/>
        </xsd:sequence>
      </xsd:complexType>
    </xsd:element>
    <xsd:element name="FormTypeCode" ma:index="35" nillable="true" ma:displayName="FormTypeCode" ma:description="Project form type code" ma:format="Dropdown" ma:indexed="true" ma:internalName="FormTypeCode">
      <xsd:simpleType>
        <xsd:restriction base="dms:Text">
          <xsd:maxLength value="255"/>
        </xsd:restriction>
      </xsd:simpleType>
    </xsd:element>
    <xsd:element name="FormCode" ma:index="36" nillable="true" ma:displayName="FormCode" ma:description="Project form code" ma:format="Dropdown" ma:indexed="true" ma:internalName="FormCode">
      <xsd:simpleType>
        <xsd:restriction base="dms:Text">
          <xsd:maxLength value="255"/>
        </xsd:restriction>
      </xsd:simpleType>
    </xsd:element>
    <xsd:element name="DocModified" ma:index="37" nillable="true" ma:displayName="DocModified" ma:default="No" ma:description="Document Modified" ma:format="Dropdown" ma:internalName="DocModified">
      <xsd:simpleType>
        <xsd:restriction base="dms:Choice">
          <xsd:enumeration value="Yes"/>
          <xsd:enumeration value="No"/>
        </xsd:restriction>
      </xsd:simpleType>
    </xsd:element>
    <xsd:element name="MediaServiceObjectDetectorVersions" ma:index="38" nillable="true" ma:displayName="MediaServiceObjectDetectorVersions" ma:hidden="true" ma:indexed="true" ma:internalName="MediaServiceObjectDetectorVersions" ma:readOnly="true">
      <xsd:simpleType>
        <xsd:restriction base="dms:Text"/>
      </xsd:simpleType>
    </xsd:element>
    <xsd:element name="MediaServiceSearchProperties" ma:index="3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b759e4c-f0d7-4feb-bda3-ed2800574e06" elementFormDefault="qualified">
    <xsd:import namespace="http://schemas.microsoft.com/office/2006/documentManagement/types"/>
    <xsd:import namespace="http://schemas.microsoft.com/office/infopath/2007/PartnerControls"/>
    <xsd:element name="TaxCatchAll" ma:index="34" nillable="true" ma:displayName="Taxonomy Catch All Column" ma:hidden="true" ma:list="{51d52f8b-6d40-4d16-91df-4b14ea0a2b7b}" ma:internalName="TaxCatchAll" ma:showField="CatchAllData" ma:web="cb759e4c-f0d7-4feb-bda3-ed2800574e0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cb759e4c-f0d7-4feb-bda3-ed2800574e06" xsi:nil="true"/>
    <lcf76f155ced4ddcb4097134ff3c332f xmlns="b1528a4b-5ccb-40f7-a09e-43427183cd95">
      <Terms xmlns="http://schemas.microsoft.com/office/infopath/2007/PartnerControls"/>
    </lcf76f155ced4ddcb4097134ff3c332f>
    <DocumentType xmlns="f9695bc1-6109-4dcd-a27a-f8a0370b00e2">Progress report</DocumentType>
    <UploadedBy xmlns="b1528a4b-5ccb-40f7-a09e-43427183cd95">joachim.ouedraogo@undp.org</UploadedBy>
    <Classification xmlns="b1528a4b-5ccb-40f7-a09e-43427183cd95">External</Classification>
    <FormCode xmlns="b1528a4b-5ccb-40f7-a09e-43427183cd95" xsi:nil="true"/>
    <FundId xmlns="f9695bc1-6109-4dcd-a27a-f8a0370b00e2">6</FundId>
    <ProjectType xmlns="f9695bc1-6109-4dcd-a27a-f8a0370b00e2">PROJECT</ProjectType>
    <DocModified xmlns="b1528a4b-5ccb-40f7-a09e-43427183cd95">No</DocModified>
    <NarrativeCode xmlns="b1528a4b-5ccb-40f7-a09e-43427183cd95" xsi:nil="true"/>
    <DocumentOrigin xmlns="b1528a4b-5ccb-40f7-a09e-43427183cd95">Project</DocumentOrigin>
    <DrupalDocId xmlns="b1528a4b-5ccb-40f7-a09e-43427183cd95" xsi:nil="true"/>
    <Status xmlns="b1528a4b-5ccb-40f7-a09e-43427183cd95">Finalized - Signature Redacted</Status>
    <ProjectId xmlns="f9695bc1-6109-4dcd-a27a-f8a0370b00e2">MPTF_00006_01034</ProjectId>
    <FundCode xmlns="f9695bc1-6109-4dcd-a27a-f8a0370b00e2">MPTF_00006</FundCode>
    <Comments xmlns="f9695bc1-6109-4dcd-a27a-f8a0370b00e2">Rapport financier semestriel</Comments>
    <Active xmlns="f9695bc1-6109-4dcd-a27a-f8a0370b00e2">Yes</Active>
    <DocumentDate xmlns="b1528a4b-5ccb-40f7-a09e-43427183cd95">2024-06-26T07:00:00+00:00</DocumentDate>
    <Featured xmlns="b1528a4b-5ccb-40f7-a09e-43427183cd95">1</Featured>
    <FormTypeCode xmlns="b1528a4b-5ccb-40f7-a09e-43427183cd95"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0A4A450-1680-4D8D-A1A8-F2EA74C16372}"/>
</file>

<file path=customXml/itemProps2.xml><?xml version="1.0" encoding="utf-8"?>
<ds:datastoreItem xmlns:ds="http://schemas.openxmlformats.org/officeDocument/2006/customXml" ds:itemID="{1DA2A1D0-ED4F-43E9-A85C-7DB0793B499E}">
  <ds:schemaRefs>
    <ds:schemaRef ds:uri="http://schemas.microsoft.com/office/2006/documentManagement/types"/>
    <ds:schemaRef ds:uri="http://purl.org/dc/terms/"/>
    <ds:schemaRef ds:uri="http://purl.org/dc/dcmitype/"/>
    <ds:schemaRef ds:uri="http://schemas.microsoft.com/office/infopath/2007/PartnerControls"/>
    <ds:schemaRef ds:uri="http://purl.org/dc/elements/1.1/"/>
    <ds:schemaRef ds:uri="http://schemas.microsoft.com/office/2006/metadata/properties"/>
    <ds:schemaRef ds:uri="1982c8dc-7257-4c05-a2af-4f58398b4e1f"/>
    <ds:schemaRef ds:uri="http://schemas.openxmlformats.org/package/2006/metadata/core-properties"/>
    <ds:schemaRef ds:uri="9ff829f7-ecbb-4735-8693-58729151bd61"/>
    <ds:schemaRef ds:uri="http://www.w3.org/XML/1998/namespace"/>
    <ds:schemaRef ds:uri="985ec44e-1bab-4c0b-9df0-6ba128686fc9"/>
    <ds:schemaRef ds:uri="9dc44b34-9e2b-42ea-86f7-9ee7f71036fc"/>
  </ds:schemaRefs>
</ds:datastoreItem>
</file>

<file path=customXml/itemProps3.xml><?xml version="1.0" encoding="utf-8"?>
<ds:datastoreItem xmlns:ds="http://schemas.openxmlformats.org/officeDocument/2006/customXml" ds:itemID="{38D9DA6C-FA8D-47C9-80AF-FA43E873A85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7</vt:i4>
      </vt:variant>
    </vt:vector>
  </HeadingPairs>
  <TitlesOfParts>
    <vt:vector size="7" baseType="lpstr">
      <vt:lpstr>1) Tableau budgétaire 1</vt:lpstr>
      <vt:lpstr>2) Tableau budgétaire 2</vt:lpstr>
      <vt:lpstr>3) Notes d'explication</vt:lpstr>
      <vt:lpstr>4) Pour utilisation par PBSO</vt:lpstr>
      <vt:lpstr>5) Pour utilisation par MPTFO</vt:lpstr>
      <vt:lpstr>Dropdowns</vt:lpstr>
      <vt:lpstr>Sheet2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Rapport financier semestriel projet GN_Malivf.xlsx</dc:title>
  <dc:subject/>
  <dc:creator>Jelena Zelenovic</dc:creator>
  <cp:keywords/>
  <dc:description/>
  <cp:lastModifiedBy>Boubacar BAH</cp:lastModifiedBy>
  <cp:revision/>
  <cp:lastPrinted>2023-10-12T10:54:17Z</cp:lastPrinted>
  <dcterms:created xsi:type="dcterms:W3CDTF">2017-11-15T21:17:43Z</dcterms:created>
  <dcterms:modified xsi:type="dcterms:W3CDTF">2024-06-14T13:16:16Z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0x010100A20E1B0FB969FA4DB37D3562DA9CC146</vt:lpwstr>
  </property>
  <property fmtid="{D5CDD505-2E9C-101B-9397-08002B2CF9AE}" pid="3" name="MediaServiceImageTags">
    <vt:lpwstr/>
  </property>
</Properties>
</file>